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1A4" lockStructure="1"/>
  <bookViews>
    <workbookView xWindow="280" yWindow="380" windowWidth="2320" windowHeight="296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45621"/>
</workbook>
</file>

<file path=xl/calcChain.xml><?xml version="1.0" encoding="utf-8"?>
<calcChain xmlns="http://schemas.openxmlformats.org/spreadsheetml/2006/main">
  <c r="B261" i="2" l="1"/>
  <c r="AJ8" i="4"/>
  <c r="AL8" i="4"/>
  <c r="AS8" i="4"/>
  <c r="AJ9" i="4"/>
  <c r="AL9" i="4"/>
  <c r="AS9" i="4"/>
  <c r="AJ10" i="4"/>
  <c r="AL10" i="4"/>
  <c r="AS10" i="4"/>
  <c r="AJ11" i="4"/>
  <c r="AL11" i="4"/>
  <c r="AS11" i="4"/>
  <c r="AJ12" i="4"/>
  <c r="AL12" i="4"/>
  <c r="AS12" i="4"/>
  <c r="AJ13" i="4"/>
  <c r="AL13" i="4"/>
  <c r="AS13" i="4"/>
  <c r="AJ14" i="4"/>
  <c r="AL14" i="4"/>
  <c r="AS14" i="4"/>
  <c r="AJ15" i="4"/>
  <c r="AL15" i="4"/>
  <c r="AS15" i="4"/>
  <c r="AJ16" i="4"/>
  <c r="AL16" i="4"/>
  <c r="AS16" i="4"/>
  <c r="AJ17" i="4"/>
  <c r="AL17" i="4"/>
  <c r="AS17" i="4"/>
  <c r="AJ18" i="4"/>
  <c r="AL18" i="4"/>
  <c r="AS18" i="4"/>
  <c r="AJ19" i="4"/>
  <c r="AL19" i="4"/>
  <c r="AS19" i="4"/>
  <c r="AJ20" i="4"/>
  <c r="AL20" i="4"/>
  <c r="AS20" i="4"/>
  <c r="AJ21" i="4"/>
  <c r="AL21" i="4"/>
  <c r="AS21" i="4"/>
  <c r="AJ22" i="4"/>
  <c r="AL22" i="4"/>
  <c r="AS22" i="4"/>
  <c r="AJ23" i="4"/>
  <c r="AL23" i="4"/>
  <c r="AS23" i="4"/>
  <c r="AJ24" i="4"/>
  <c r="AL24" i="4"/>
  <c r="AS24" i="4"/>
  <c r="AJ25" i="4"/>
  <c r="AL25" i="4"/>
  <c r="AS25" i="4"/>
  <c r="AJ26" i="4"/>
  <c r="AL26" i="4"/>
  <c r="AS26" i="4"/>
  <c r="AJ27" i="4"/>
  <c r="AL27" i="4"/>
  <c r="AS27" i="4"/>
  <c r="AJ28" i="4"/>
  <c r="AL28" i="4"/>
  <c r="AS28" i="4"/>
  <c r="AJ29" i="4"/>
  <c r="AL29" i="4"/>
  <c r="AS29" i="4"/>
  <c r="AJ30" i="4"/>
  <c r="AL30" i="4"/>
  <c r="AS30" i="4"/>
  <c r="AJ31" i="4"/>
  <c r="AL31" i="4"/>
  <c r="AS31" i="4"/>
  <c r="AJ32" i="4"/>
  <c r="AL32" i="4"/>
  <c r="AS32" i="4"/>
  <c r="AJ33" i="4"/>
  <c r="AL33" i="4"/>
  <c r="AS33" i="4"/>
  <c r="AJ34" i="4"/>
  <c r="AL34" i="4"/>
  <c r="AS34" i="4"/>
  <c r="AJ35" i="4"/>
  <c r="AL35" i="4"/>
  <c r="AS35" i="4"/>
  <c r="AJ36" i="4"/>
  <c r="AL36" i="4"/>
  <c r="AS36" i="4"/>
  <c r="AJ37" i="4"/>
  <c r="AL37" i="4"/>
  <c r="AS37" i="4"/>
  <c r="AJ38" i="4"/>
  <c r="AL38" i="4"/>
  <c r="AS38" i="4"/>
  <c r="AJ39" i="4"/>
  <c r="AL39" i="4"/>
  <c r="AS39" i="4"/>
  <c r="AJ40" i="4"/>
  <c r="AL40" i="4"/>
  <c r="AS40" i="4"/>
  <c r="AJ41" i="4"/>
  <c r="AL41" i="4"/>
  <c r="AS41" i="4"/>
  <c r="AJ42" i="4"/>
  <c r="AL42" i="4"/>
  <c r="AS42" i="4"/>
  <c r="AJ43" i="4"/>
  <c r="AL43" i="4"/>
  <c r="AS43" i="4"/>
  <c r="AJ44" i="4"/>
  <c r="AL44" i="4"/>
  <c r="AS44" i="4"/>
  <c r="AJ45" i="4"/>
  <c r="AL45" i="4"/>
  <c r="AS45" i="4"/>
  <c r="AJ46" i="4"/>
  <c r="AL46" i="4"/>
  <c r="AS46" i="4"/>
  <c r="AJ47" i="4"/>
  <c r="AL47" i="4"/>
  <c r="AS47" i="4"/>
  <c r="AJ48" i="4"/>
  <c r="AL48" i="4"/>
  <c r="AS48" i="4"/>
  <c r="AJ49" i="4"/>
  <c r="AL49" i="4"/>
  <c r="AS49" i="4"/>
  <c r="AJ50" i="4"/>
  <c r="AL50" i="4"/>
  <c r="AS50" i="4"/>
  <c r="AJ51" i="4"/>
  <c r="AL51" i="4"/>
  <c r="AS51" i="4"/>
  <c r="AJ52" i="4"/>
  <c r="AL52" i="4"/>
  <c r="AS52" i="4"/>
  <c r="AJ53" i="4"/>
  <c r="AL53" i="4"/>
  <c r="AS53" i="4"/>
  <c r="AJ54" i="4"/>
  <c r="AL54" i="4"/>
  <c r="AS54" i="4"/>
  <c r="AJ55" i="4"/>
  <c r="AL55" i="4"/>
  <c r="AS55" i="4"/>
  <c r="AJ56" i="4"/>
  <c r="AL56" i="4"/>
  <c r="AS56" i="4"/>
  <c r="AJ57" i="4"/>
  <c r="AL57" i="4"/>
  <c r="AS57" i="4"/>
  <c r="AJ58" i="4"/>
  <c r="AL58" i="4"/>
  <c r="AS58" i="4"/>
  <c r="AJ59" i="4"/>
  <c r="AL59" i="4"/>
  <c r="AS59" i="4"/>
  <c r="AJ60" i="4"/>
  <c r="AL60" i="4"/>
  <c r="AS60" i="4"/>
  <c r="AJ61" i="4"/>
  <c r="AL61" i="4"/>
  <c r="AS61" i="4"/>
  <c r="AJ62" i="4"/>
  <c r="AL62" i="4"/>
  <c r="AS62" i="4"/>
  <c r="AJ63" i="4"/>
  <c r="AL63" i="4"/>
  <c r="AS63" i="4"/>
  <c r="AJ64" i="4"/>
  <c r="AL64" i="4"/>
  <c r="AS64" i="4"/>
  <c r="AJ65" i="4"/>
  <c r="AL65" i="4"/>
  <c r="AS65" i="4"/>
  <c r="AJ66" i="4"/>
  <c r="AL66" i="4"/>
  <c r="AS66" i="4"/>
  <c r="AJ67" i="4"/>
  <c r="AL67" i="4"/>
  <c r="AS67" i="4"/>
  <c r="AJ68" i="4"/>
  <c r="AL68" i="4"/>
  <c r="AS68" i="4"/>
  <c r="AJ69" i="4"/>
  <c r="AL69" i="4"/>
  <c r="AS69" i="4"/>
  <c r="AJ70" i="4"/>
  <c r="AL70" i="4"/>
  <c r="AS70" i="4"/>
  <c r="AJ71" i="4"/>
  <c r="AL71" i="4"/>
  <c r="AS71" i="4"/>
  <c r="AJ72" i="4"/>
  <c r="AL72" i="4"/>
  <c r="AS72" i="4"/>
  <c r="AJ73" i="4"/>
  <c r="AL73" i="4"/>
  <c r="AS73" i="4"/>
  <c r="AJ74" i="4"/>
  <c r="AL74" i="4"/>
  <c r="AS74" i="4"/>
  <c r="AJ75" i="4"/>
  <c r="AL75" i="4"/>
  <c r="AS75" i="4"/>
  <c r="AJ76" i="4"/>
  <c r="AL76" i="4"/>
  <c r="AS76" i="4"/>
  <c r="AJ77" i="4"/>
  <c r="AL77" i="4"/>
  <c r="AS77" i="4"/>
  <c r="AJ78" i="4"/>
  <c r="AL78" i="4"/>
  <c r="AS78" i="4"/>
  <c r="AJ79" i="4"/>
  <c r="AL79" i="4"/>
  <c r="AS79" i="4"/>
  <c r="AJ80" i="4"/>
  <c r="AL80" i="4"/>
  <c r="AS80" i="4"/>
  <c r="AJ81" i="4"/>
  <c r="AL81" i="4"/>
  <c r="AS81" i="4"/>
  <c r="AJ82" i="4"/>
  <c r="AL82" i="4"/>
  <c r="AS82" i="4"/>
  <c r="AJ83" i="4"/>
  <c r="AL83" i="4"/>
  <c r="AS83" i="4"/>
  <c r="AJ84" i="4"/>
  <c r="AL84" i="4"/>
  <c r="AS84" i="4"/>
  <c r="AJ85" i="4"/>
  <c r="AL85" i="4"/>
  <c r="AS85" i="4"/>
  <c r="AJ86" i="4"/>
  <c r="AL86" i="4"/>
  <c r="AS86" i="4"/>
  <c r="AJ87" i="4"/>
  <c r="AL87" i="4"/>
  <c r="AS87" i="4"/>
  <c r="AJ88" i="4"/>
  <c r="AL88" i="4"/>
  <c r="AS88" i="4"/>
  <c r="AJ89" i="4"/>
  <c r="AL89" i="4"/>
  <c r="AS89" i="4"/>
  <c r="AJ90" i="4"/>
  <c r="AL90" i="4"/>
  <c r="AS90" i="4"/>
  <c r="AJ91" i="4"/>
  <c r="AL91" i="4"/>
  <c r="AS91" i="4"/>
  <c r="AJ92" i="4"/>
  <c r="AL92" i="4"/>
  <c r="AS92" i="4"/>
  <c r="AJ93" i="4"/>
  <c r="AL93" i="4"/>
  <c r="AS93" i="4"/>
  <c r="AJ94" i="4"/>
  <c r="AL94" i="4"/>
  <c r="AS94" i="4"/>
  <c r="AJ95" i="4"/>
  <c r="AL95" i="4"/>
  <c r="AS95" i="4"/>
  <c r="AJ96" i="4"/>
  <c r="AL96" i="4"/>
  <c r="AS96" i="4"/>
  <c r="AJ97" i="4"/>
  <c r="AL97" i="4"/>
  <c r="AS97" i="4"/>
  <c r="AJ98" i="4"/>
  <c r="AL98" i="4"/>
  <c r="AS98" i="4"/>
  <c r="AJ99" i="4"/>
  <c r="AL99" i="4"/>
  <c r="AS99" i="4"/>
  <c r="AJ100" i="4"/>
  <c r="AL100" i="4"/>
  <c r="AS100" i="4"/>
  <c r="AJ101" i="4"/>
  <c r="AL101" i="4"/>
  <c r="AS101" i="4"/>
  <c r="AJ102" i="4"/>
  <c r="AL102" i="4"/>
  <c r="AS102" i="4"/>
  <c r="AJ103" i="4"/>
  <c r="AL103" i="4"/>
  <c r="AS103" i="4"/>
  <c r="AJ104" i="4"/>
  <c r="AL104" i="4"/>
  <c r="AS104" i="4"/>
  <c r="AJ105" i="4"/>
  <c r="AL105" i="4"/>
  <c r="AS105" i="4"/>
  <c r="AJ106" i="4"/>
  <c r="AL106" i="4"/>
  <c r="AS106" i="4"/>
  <c r="AJ107" i="4"/>
  <c r="AL107" i="4"/>
  <c r="AS107" i="4"/>
  <c r="AJ108" i="4"/>
  <c r="AL108" i="4"/>
  <c r="AS108" i="4"/>
  <c r="AJ109" i="4"/>
  <c r="AL109" i="4"/>
  <c r="AS109" i="4"/>
  <c r="AJ110" i="4"/>
  <c r="AL110" i="4"/>
  <c r="AS110" i="4"/>
  <c r="AJ111" i="4"/>
  <c r="AL111" i="4"/>
  <c r="AS111" i="4"/>
  <c r="AJ112" i="4"/>
  <c r="AL112" i="4"/>
  <c r="AS112" i="4"/>
  <c r="AJ113" i="4"/>
  <c r="AL113" i="4"/>
  <c r="AS113" i="4"/>
  <c r="AJ114" i="4"/>
  <c r="AL114" i="4"/>
  <c r="AS114" i="4"/>
  <c r="AJ115" i="4"/>
  <c r="AL115" i="4"/>
  <c r="AS115" i="4"/>
  <c r="AJ116" i="4"/>
  <c r="AL116" i="4"/>
  <c r="AS116" i="4"/>
  <c r="AJ117" i="4"/>
  <c r="AL117" i="4"/>
  <c r="AS117" i="4"/>
  <c r="AJ118" i="4"/>
  <c r="AL118" i="4"/>
  <c r="AS118" i="4"/>
  <c r="AJ119" i="4"/>
  <c r="AL119" i="4"/>
  <c r="AS119" i="4"/>
  <c r="AJ120" i="4"/>
  <c r="AL120" i="4"/>
  <c r="AS120" i="4"/>
  <c r="AJ121" i="4"/>
  <c r="AL121" i="4"/>
  <c r="AS121" i="4"/>
  <c r="AJ122" i="4"/>
  <c r="AL122" i="4"/>
  <c r="AS122" i="4"/>
  <c r="AJ123" i="4"/>
  <c r="AL123" i="4"/>
  <c r="AS123" i="4"/>
  <c r="AJ124" i="4"/>
  <c r="AL124" i="4"/>
  <c r="AS124" i="4"/>
  <c r="AJ125" i="4"/>
  <c r="AL125" i="4"/>
  <c r="AS125" i="4"/>
  <c r="AJ126" i="4"/>
  <c r="AL126" i="4"/>
  <c r="AS126" i="4"/>
  <c r="AJ127" i="4"/>
  <c r="AL127" i="4"/>
  <c r="AS127" i="4"/>
  <c r="AJ128" i="4"/>
  <c r="AL128" i="4"/>
  <c r="AS128" i="4"/>
  <c r="AJ129" i="4"/>
  <c r="AL129" i="4"/>
  <c r="AS129" i="4"/>
  <c r="AJ130" i="4"/>
  <c r="AL130" i="4"/>
  <c r="AS130" i="4"/>
  <c r="AJ131" i="4"/>
  <c r="AL131" i="4"/>
  <c r="AS131" i="4"/>
  <c r="AJ132" i="4"/>
  <c r="AL132" i="4"/>
  <c r="AS132" i="4"/>
  <c r="AJ133" i="4"/>
  <c r="AL133" i="4"/>
  <c r="AS133" i="4"/>
  <c r="AJ134" i="4"/>
  <c r="AL134" i="4"/>
  <c r="AS134" i="4"/>
  <c r="AJ135" i="4"/>
  <c r="AL135" i="4"/>
  <c r="AS135" i="4"/>
  <c r="AJ136" i="4"/>
  <c r="AL136" i="4"/>
  <c r="AS136" i="4"/>
  <c r="AJ137" i="4"/>
  <c r="AL137" i="4"/>
  <c r="AS137" i="4"/>
  <c r="AJ138" i="4"/>
  <c r="AL138" i="4"/>
  <c r="AS138" i="4"/>
  <c r="AJ139" i="4"/>
  <c r="AL139" i="4"/>
  <c r="AS139" i="4"/>
  <c r="AJ140" i="4"/>
  <c r="AL140" i="4"/>
  <c r="AS140" i="4"/>
  <c r="AJ141" i="4"/>
  <c r="AL141" i="4"/>
  <c r="AS141" i="4"/>
  <c r="AJ142" i="4"/>
  <c r="AL142" i="4"/>
  <c r="AS142" i="4"/>
  <c r="AJ143" i="4"/>
  <c r="AL143" i="4"/>
  <c r="AS143" i="4"/>
  <c r="AJ144" i="4"/>
  <c r="AL144" i="4"/>
  <c r="AS144" i="4"/>
  <c r="AJ145" i="4"/>
  <c r="AL145" i="4"/>
  <c r="AS145" i="4"/>
  <c r="AJ146" i="4"/>
  <c r="AL146" i="4"/>
  <c r="AS146" i="4"/>
  <c r="AJ147" i="4"/>
  <c r="AL147" i="4"/>
  <c r="AS147" i="4"/>
  <c r="AJ148" i="4"/>
  <c r="AL148" i="4"/>
  <c r="AS148" i="4"/>
  <c r="AJ149" i="4"/>
  <c r="AL149" i="4"/>
  <c r="AS149" i="4"/>
  <c r="AJ150" i="4"/>
  <c r="AL150" i="4"/>
  <c r="AS150" i="4"/>
  <c r="AJ151" i="4"/>
  <c r="AL151" i="4"/>
  <c r="AS151" i="4"/>
  <c r="AJ152" i="4"/>
  <c r="AL152" i="4"/>
  <c r="AS152" i="4"/>
  <c r="AJ153" i="4"/>
  <c r="AL153" i="4"/>
  <c r="AS153" i="4"/>
  <c r="AJ154" i="4"/>
  <c r="AL154" i="4"/>
  <c r="AS154" i="4"/>
  <c r="AJ155" i="4"/>
  <c r="AL155" i="4"/>
  <c r="AS155" i="4"/>
  <c r="AJ156" i="4"/>
  <c r="AL156" i="4"/>
  <c r="AS156" i="4"/>
  <c r="AJ157" i="4"/>
  <c r="AL157" i="4"/>
  <c r="AS157" i="4"/>
  <c r="AJ7" i="4"/>
  <c r="B18" i="5"/>
  <c r="B35" i="5" s="1"/>
  <c r="B132" i="2"/>
  <c r="B46" i="2"/>
  <c r="B34" i="5" l="1"/>
  <c r="B2" i="6"/>
  <c r="B48" i="3" l="1"/>
  <c r="B258" i="2" l="1"/>
  <c r="B257" i="2"/>
  <c r="B256" i="2"/>
  <c r="B254" i="2"/>
  <c r="B253" i="2"/>
  <c r="B252" i="2"/>
  <c r="B251" i="2"/>
  <c r="B250" i="2"/>
  <c r="B246" i="2"/>
  <c r="B245" i="2"/>
  <c r="AP9" i="4" l="1"/>
  <c r="AP12" i="4"/>
  <c r="AP14" i="4"/>
  <c r="AP17" i="4"/>
  <c r="AP20" i="4"/>
  <c r="AP21" i="4"/>
  <c r="AP22" i="4"/>
  <c r="AP28" i="4"/>
  <c r="AP31" i="4"/>
  <c r="AP37" i="4"/>
  <c r="AP42" i="4"/>
  <c r="AP44" i="4"/>
  <c r="AP47" i="4"/>
  <c r="AP52" i="4"/>
  <c r="AP58" i="4"/>
  <c r="AP62" i="4"/>
  <c r="AP67" i="4"/>
  <c r="AP70" i="4"/>
  <c r="AP75" i="4"/>
  <c r="AP80" i="4"/>
  <c r="AP85" i="4"/>
  <c r="AP88" i="4"/>
  <c r="AP93" i="4"/>
  <c r="AP95" i="4"/>
  <c r="AP96" i="4"/>
  <c r="AP109" i="4"/>
  <c r="AP112" i="4"/>
  <c r="AP120" i="4"/>
  <c r="AP123" i="4"/>
  <c r="AP129" i="4"/>
  <c r="AP132" i="4"/>
  <c r="AP141" i="4"/>
  <c r="AP142" i="4"/>
  <c r="AP143" i="4"/>
  <c r="AP149" i="4"/>
  <c r="AP153" i="4"/>
  <c r="AP155" i="4"/>
  <c r="AP15" i="4"/>
  <c r="AP23" i="4"/>
  <c r="AP32" i="4"/>
  <c r="AP33" i="4"/>
  <c r="AP34" i="4"/>
  <c r="AP38" i="4"/>
  <c r="AP40" i="4"/>
  <c r="AP43" i="4"/>
  <c r="AP45" i="4"/>
  <c r="AP50" i="4"/>
  <c r="AP53" i="4"/>
  <c r="AP57" i="4"/>
  <c r="AP59" i="4"/>
  <c r="AP65" i="4"/>
  <c r="AP68" i="4"/>
  <c r="AP73" i="4"/>
  <c r="AP76" i="4"/>
  <c r="AP83" i="4"/>
  <c r="AP86" i="4"/>
  <c r="AP91" i="4"/>
  <c r="AP94" i="4"/>
  <c r="AP101" i="4"/>
  <c r="AP103" i="4"/>
  <c r="AP106" i="4"/>
  <c r="AP107" i="4"/>
  <c r="AP113" i="4"/>
  <c r="AP116" i="4"/>
  <c r="AP118" i="4"/>
  <c r="AP121" i="4"/>
  <c r="AP126" i="4"/>
  <c r="AP133" i="4"/>
  <c r="AP134" i="4"/>
  <c r="AP135" i="4"/>
  <c r="AP144" i="4"/>
  <c r="AP146" i="4"/>
  <c r="AP147" i="4"/>
  <c r="AP151" i="4"/>
  <c r="AP8" i="4"/>
  <c r="AP10" i="4"/>
  <c r="AP13" i="4"/>
  <c r="AP16" i="4"/>
  <c r="AP18" i="4"/>
  <c r="AP24" i="4"/>
  <c r="AP25" i="4"/>
  <c r="AP26" i="4"/>
  <c r="AP35" i="4"/>
  <c r="AP39" i="4"/>
  <c r="AP41" i="4"/>
  <c r="AP51" i="4"/>
  <c r="AP54" i="4"/>
  <c r="AP56" i="4"/>
  <c r="AP60" i="4"/>
  <c r="AP63" i="4"/>
  <c r="AP66" i="4"/>
  <c r="AP71" i="4"/>
  <c r="AP74" i="4"/>
  <c r="AP81" i="4"/>
  <c r="AP84" i="4"/>
  <c r="AP89" i="4"/>
  <c r="AP92" i="4"/>
  <c r="AP97" i="4"/>
  <c r="AP99" i="4"/>
  <c r="AP102" i="4"/>
  <c r="AP104" i="4"/>
  <c r="AP110" i="4"/>
  <c r="AP111" i="4"/>
  <c r="AP117" i="4"/>
  <c r="AP119" i="4"/>
  <c r="AP124" i="4"/>
  <c r="AP127" i="4"/>
  <c r="AP136" i="4"/>
  <c r="AP138" i="4"/>
  <c r="AP139" i="4"/>
  <c r="AP145" i="4"/>
  <c r="AP154" i="4"/>
  <c r="AP156" i="4"/>
  <c r="AP157" i="4"/>
  <c r="AP11" i="4"/>
  <c r="AP19" i="4"/>
  <c r="AP27" i="4"/>
  <c r="AP29" i="4"/>
  <c r="AP30" i="4"/>
  <c r="AP36" i="4"/>
  <c r="AP46" i="4"/>
  <c r="AP48" i="4"/>
  <c r="AP49" i="4"/>
  <c r="AP55" i="4"/>
  <c r="AP61" i="4"/>
  <c r="AP64" i="4"/>
  <c r="AP69" i="4"/>
  <c r="AP72" i="4"/>
  <c r="AP77" i="4"/>
  <c r="AP78" i="4"/>
  <c r="AP79" i="4"/>
  <c r="AP82" i="4"/>
  <c r="AP87" i="4"/>
  <c r="AP90" i="4"/>
  <c r="AP98" i="4"/>
  <c r="AP100" i="4"/>
  <c r="AP105" i="4"/>
  <c r="AP108" i="4"/>
  <c r="AP114" i="4"/>
  <c r="AP115" i="4"/>
  <c r="AP122" i="4"/>
  <c r="AP125" i="4"/>
  <c r="AP128" i="4"/>
  <c r="AP130" i="4"/>
  <c r="AP131" i="4"/>
  <c r="AP137" i="4"/>
  <c r="AP140" i="4"/>
  <c r="AP148" i="4"/>
  <c r="AP150" i="4"/>
  <c r="AP152" i="4"/>
  <c r="B160" i="2"/>
  <c r="B158" i="2"/>
  <c r="B42" i="3"/>
  <c r="B157" i="2"/>
  <c r="B156" i="2"/>
  <c r="B155" i="2"/>
  <c r="B154" i="2"/>
  <c r="B150" i="2"/>
  <c r="B148" i="2"/>
  <c r="B37" i="3"/>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30" i="5" l="1"/>
  <c r="B29" i="3"/>
  <c r="B170" i="2" l="1"/>
  <c r="B172" i="2"/>
  <c r="B238" i="2"/>
  <c r="B240" i="2"/>
  <c r="B56" i="5" s="1"/>
  <c r="B236" i="2"/>
  <c r="B54" i="5" s="1"/>
  <c r="B28" i="5"/>
  <c r="B27" i="5"/>
  <c r="B53" i="5" l="1"/>
  <c r="B52" i="5"/>
  <c r="B58" i="5"/>
  <c r="AS7" i="5" s="1"/>
  <c r="B55" i="5"/>
  <c r="B60" i="5"/>
  <c r="B61" i="5"/>
  <c r="AW7" i="5" s="1"/>
  <c r="B59" i="5"/>
  <c r="AZ7" i="5" s="1"/>
  <c r="B145" i="2"/>
  <c r="B144" i="2"/>
  <c r="B124" i="2"/>
  <c r="B119" i="2"/>
  <c r="B118" i="2"/>
  <c r="B27" i="3"/>
  <c r="B25" i="3"/>
  <c r="B103" i="2"/>
  <c r="B71" i="5" l="1"/>
  <c r="B72" i="5" s="1"/>
  <c r="AJ72" i="5"/>
  <c r="AJ98" i="5"/>
  <c r="AJ108" i="5"/>
  <c r="AJ116" i="5"/>
  <c r="AJ124" i="5"/>
  <c r="AJ132" i="5"/>
  <c r="AJ149" i="5"/>
  <c r="AJ167" i="5"/>
  <c r="AJ187" i="5"/>
  <c r="AJ22" i="5"/>
  <c r="AJ38" i="5"/>
  <c r="AJ54" i="5"/>
  <c r="AJ68" i="5"/>
  <c r="AJ70" i="5"/>
  <c r="AJ84" i="5"/>
  <c r="AJ86" i="5"/>
  <c r="AJ141" i="5"/>
  <c r="AJ145" i="5"/>
  <c r="AJ151" i="5"/>
  <c r="AJ153" i="5"/>
  <c r="AJ157" i="5"/>
  <c r="AJ165"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38" i="5" s="1"/>
  <c r="B39" i="5" s="1"/>
  <c r="B22" i="3"/>
  <c r="B28" i="2"/>
  <c r="B10" i="2"/>
  <c r="B14" i="3"/>
  <c r="B12" i="3"/>
  <c r="B10" i="3"/>
  <c r="B14" i="2"/>
  <c r="B13" i="2"/>
  <c r="B9" i="2"/>
  <c r="B8" i="2"/>
  <c r="B7" i="2"/>
  <c r="B143" i="2" l="1"/>
  <c r="B134" i="2"/>
  <c r="H37" i="1" s="1"/>
  <c r="B95" i="2"/>
  <c r="B107" i="2"/>
  <c r="AJ49" i="5"/>
  <c r="AK49" i="5" s="1"/>
  <c r="AJ8" i="5"/>
  <c r="AK8" i="5" s="1"/>
  <c r="AJ163" i="5"/>
  <c r="AK163" i="5" s="1"/>
  <c r="AJ130" i="5"/>
  <c r="AK130" i="5" s="1"/>
  <c r="AJ114" i="5"/>
  <c r="AK114" i="5" s="1"/>
  <c r="AJ94" i="5"/>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70" i="5"/>
  <c r="AL70" i="5"/>
  <c r="AK54" i="5"/>
  <c r="AL54" i="5"/>
  <c r="AK38" i="5"/>
  <c r="AL38" i="5"/>
  <c r="AK22" i="5"/>
  <c r="AL22" i="5"/>
  <c r="AL187" i="5"/>
  <c r="AK187" i="5"/>
  <c r="AK167" i="5"/>
  <c r="AL167" i="5"/>
  <c r="AK149" i="5"/>
  <c r="AL149" i="5"/>
  <c r="AL132" i="5"/>
  <c r="AK132" i="5"/>
  <c r="AL124" i="5"/>
  <c r="AK124" i="5"/>
  <c r="AL116" i="5"/>
  <c r="AK116" i="5"/>
  <c r="AL108" i="5"/>
  <c r="AK108" i="5"/>
  <c r="AL100" i="5"/>
  <c r="AK63"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L106"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K8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AK118" i="5"/>
  <c r="AK94" i="5"/>
  <c r="AL94"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B262" i="2"/>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K191" i="5" l="1"/>
  <c r="AL130" i="5"/>
  <c r="AK7" i="5"/>
  <c r="AL114" i="5"/>
  <c r="AK92" i="5"/>
  <c r="AL59" i="5"/>
  <c r="AL49" i="5"/>
  <c r="AK128" i="5"/>
  <c r="AL171" i="5"/>
  <c r="AL37" i="5"/>
  <c r="AL161" i="5"/>
  <c r="AK195" i="5"/>
  <c r="AK140" i="5"/>
  <c r="AL33" i="5"/>
  <c r="AL163" i="5"/>
  <c r="B96" i="2"/>
  <c r="B100" i="2" s="1"/>
  <c r="B91" i="2"/>
  <c r="B92" i="2" s="1"/>
  <c r="B53" i="2"/>
  <c r="B70" i="2"/>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AG253" i="5"/>
  <c r="AG488" i="5"/>
  <c r="AG254" i="5"/>
  <c r="AG469" i="5"/>
  <c r="AG515" i="5"/>
  <c r="AG500" i="5"/>
  <c r="B216" i="2"/>
  <c r="B79" i="2"/>
  <c r="B83" i="2" s="1"/>
  <c r="B222"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S63" i="4"/>
  <c r="S64"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60" i="4"/>
  <c r="S67" i="4"/>
  <c r="S62" i="4"/>
  <c r="S69" i="4"/>
  <c r="S87" i="4"/>
  <c r="S99" i="4"/>
  <c r="S120" i="4"/>
  <c r="S130" i="4"/>
  <c r="S134" i="4"/>
  <c r="S68" i="4"/>
  <c r="S74" i="4"/>
  <c r="S78" i="4"/>
  <c r="S82" i="4"/>
  <c r="S86" i="4"/>
  <c r="S90" i="4"/>
  <c r="S94" i="4"/>
  <c r="S98" i="4"/>
  <c r="S102" i="4"/>
  <c r="S109" i="4"/>
  <c r="S110" i="4"/>
  <c r="S119" i="4"/>
  <c r="S128" i="4"/>
  <c r="S137" i="4"/>
  <c r="S59" i="4"/>
  <c r="S65" i="4"/>
  <c r="S66" i="4"/>
  <c r="S71" i="4"/>
  <c r="S72" i="4"/>
  <c r="S76" i="4"/>
  <c r="S80" i="4"/>
  <c r="S84" i="4"/>
  <c r="S88" i="4"/>
  <c r="S92" i="4"/>
  <c r="S96" i="4"/>
  <c r="S100" i="4"/>
  <c r="S105" i="4"/>
  <c r="S106" i="4"/>
  <c r="S112" i="4"/>
  <c r="S121" i="4"/>
  <c r="S122" i="4"/>
  <c r="S123" i="4"/>
  <c r="S124" i="4"/>
  <c r="S125" i="4"/>
  <c r="S126" i="4"/>
  <c r="S135" i="4"/>
  <c r="S139" i="4"/>
  <c r="S140" i="4"/>
  <c r="S144" i="4"/>
  <c r="S149" i="4"/>
  <c r="S153" i="4"/>
  <c r="S8" i="4"/>
  <c r="S61" i="4"/>
  <c r="S70" i="4"/>
  <c r="S75" i="4"/>
  <c r="S79" i="4"/>
  <c r="S83" i="4"/>
  <c r="S91" i="4"/>
  <c r="S95" i="4"/>
  <c r="S103" i="4"/>
  <c r="S104" i="4"/>
  <c r="S111" i="4"/>
  <c r="S129" i="4"/>
  <c r="S131" i="4"/>
  <c r="S132" i="4"/>
  <c r="S133" i="4"/>
  <c r="S77" i="4"/>
  <c r="S93" i="4"/>
  <c r="S107" i="4"/>
  <c r="S115" i="4"/>
  <c r="S127" i="4"/>
  <c r="S136" i="4"/>
  <c r="S142" i="4"/>
  <c r="S145" i="4"/>
  <c r="S156" i="4"/>
  <c r="S9" i="4"/>
  <c r="S10" i="4"/>
  <c r="S81" i="4"/>
  <c r="S97" i="4"/>
  <c r="S114" i="4"/>
  <c r="S118" i="4"/>
  <c r="S138" i="4"/>
  <c r="S141" i="4"/>
  <c r="S152" i="4"/>
  <c r="S155" i="4"/>
  <c r="S13" i="4"/>
  <c r="S14" i="4"/>
  <c r="S85" i="4"/>
  <c r="S101" i="4"/>
  <c r="S113" i="4"/>
  <c r="S117" i="4"/>
  <c r="S147" i="4"/>
  <c r="S148" i="4"/>
  <c r="S151" i="4"/>
  <c r="S154" i="4"/>
  <c r="S12" i="4"/>
  <c r="S73" i="4"/>
  <c r="S89" i="4"/>
  <c r="S108" i="4"/>
  <c r="S116" i="4"/>
  <c r="S143" i="4"/>
  <c r="S146" i="4"/>
  <c r="S150" i="4"/>
  <c r="S157" i="4"/>
  <c r="S11" i="4"/>
  <c r="P15" i="5"/>
  <c r="T7" i="4"/>
  <c r="O9" i="4"/>
  <c r="S7" i="4"/>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B206" i="2" l="1"/>
  <c r="B208" i="2" s="1"/>
  <c r="B139" i="2"/>
  <c r="AM136" i="4"/>
  <c r="AN136" i="4" s="1"/>
  <c r="AQ136" i="4"/>
  <c r="V136" i="4"/>
  <c r="AM104" i="4"/>
  <c r="AN104" i="4" s="1"/>
  <c r="AQ104" i="4"/>
  <c r="V104" i="4"/>
  <c r="AM72" i="4"/>
  <c r="AN72" i="4" s="1"/>
  <c r="AQ72" i="4"/>
  <c r="V72" i="4"/>
  <c r="AM36" i="4"/>
  <c r="AN36" i="4" s="1"/>
  <c r="AQ36" i="4"/>
  <c r="V36" i="4"/>
  <c r="AM15" i="4"/>
  <c r="AN15" i="4" s="1"/>
  <c r="AQ15" i="4"/>
  <c r="V15" i="4"/>
  <c r="AM138" i="4"/>
  <c r="AN138" i="4" s="1"/>
  <c r="V138" i="4"/>
  <c r="AQ138" i="4"/>
  <c r="AM106" i="4"/>
  <c r="AN106" i="4" s="1"/>
  <c r="AQ106" i="4"/>
  <c r="V106" i="4"/>
  <c r="AM74" i="4"/>
  <c r="AN74" i="4" s="1"/>
  <c r="AQ74" i="4"/>
  <c r="V74" i="4"/>
  <c r="AM42" i="4"/>
  <c r="AN42" i="4" s="1"/>
  <c r="AQ42" i="4"/>
  <c r="V42" i="4"/>
  <c r="AM24" i="4"/>
  <c r="AN24" i="4" s="1"/>
  <c r="AQ24" i="4"/>
  <c r="V24" i="4"/>
  <c r="AM148" i="4"/>
  <c r="AN148" i="4" s="1"/>
  <c r="AQ148" i="4"/>
  <c r="V148" i="4"/>
  <c r="AM116" i="4"/>
  <c r="AN116" i="4" s="1"/>
  <c r="AQ116" i="4"/>
  <c r="V116" i="4"/>
  <c r="AM84" i="4"/>
  <c r="AN84" i="4" s="1"/>
  <c r="AQ84" i="4"/>
  <c r="V84" i="4"/>
  <c r="AM52" i="4"/>
  <c r="AN52" i="4" s="1"/>
  <c r="AQ52" i="4"/>
  <c r="V52" i="4"/>
  <c r="AM27" i="4"/>
  <c r="AN27" i="4" s="1"/>
  <c r="AQ27" i="4"/>
  <c r="V27" i="4"/>
  <c r="AM150" i="4"/>
  <c r="AN150" i="4" s="1"/>
  <c r="AQ150" i="4"/>
  <c r="V150" i="4"/>
  <c r="AM118" i="4"/>
  <c r="AN118" i="4" s="1"/>
  <c r="V118" i="4"/>
  <c r="AQ118" i="4"/>
  <c r="AM86" i="4"/>
  <c r="AN86" i="4" s="1"/>
  <c r="AQ86" i="4"/>
  <c r="V86" i="4"/>
  <c r="AQ54" i="4"/>
  <c r="AM54" i="4"/>
  <c r="AN54" i="4" s="1"/>
  <c r="V54" i="4"/>
  <c r="AM26" i="4"/>
  <c r="AN26" i="4" s="1"/>
  <c r="AQ26" i="4"/>
  <c r="V26" i="4"/>
  <c r="AM11" i="4"/>
  <c r="AN11" i="4" s="1"/>
  <c r="AQ11" i="4"/>
  <c r="V11" i="4"/>
  <c r="AM153" i="4"/>
  <c r="AN153" i="4" s="1"/>
  <c r="AQ153" i="4"/>
  <c r="V153" i="4"/>
  <c r="AM145" i="4"/>
  <c r="AN145" i="4" s="1"/>
  <c r="AQ145" i="4"/>
  <c r="V145" i="4"/>
  <c r="AM137" i="4"/>
  <c r="AN137" i="4" s="1"/>
  <c r="AQ137" i="4"/>
  <c r="V137" i="4"/>
  <c r="AM129" i="4"/>
  <c r="AN129" i="4" s="1"/>
  <c r="AQ129" i="4"/>
  <c r="V129" i="4"/>
  <c r="AM121" i="4"/>
  <c r="AN121" i="4" s="1"/>
  <c r="AQ121" i="4"/>
  <c r="V121" i="4"/>
  <c r="AM113" i="4"/>
  <c r="AN113" i="4" s="1"/>
  <c r="AQ113" i="4"/>
  <c r="V113" i="4"/>
  <c r="AM105" i="4"/>
  <c r="AN105" i="4" s="1"/>
  <c r="AQ105" i="4"/>
  <c r="V105" i="4"/>
  <c r="AM97" i="4"/>
  <c r="AN97" i="4" s="1"/>
  <c r="AQ97" i="4"/>
  <c r="V97" i="4"/>
  <c r="AM89" i="4"/>
  <c r="AN89" i="4" s="1"/>
  <c r="AQ89" i="4"/>
  <c r="V89" i="4"/>
  <c r="AM81" i="4"/>
  <c r="AN81" i="4" s="1"/>
  <c r="AQ81" i="4"/>
  <c r="V81" i="4"/>
  <c r="AM73" i="4"/>
  <c r="AN73" i="4" s="1"/>
  <c r="AQ73" i="4"/>
  <c r="V73" i="4"/>
  <c r="AM65" i="4"/>
  <c r="AN65" i="4" s="1"/>
  <c r="AQ65" i="4"/>
  <c r="V65" i="4"/>
  <c r="AM57" i="4"/>
  <c r="AN57" i="4" s="1"/>
  <c r="AQ57" i="4"/>
  <c r="V57" i="4"/>
  <c r="AM49" i="4"/>
  <c r="AN49" i="4" s="1"/>
  <c r="AQ49" i="4"/>
  <c r="V49" i="4"/>
  <c r="AM41" i="4"/>
  <c r="AN41" i="4" s="1"/>
  <c r="AQ41" i="4"/>
  <c r="V41" i="4"/>
  <c r="AM25" i="4"/>
  <c r="AN25" i="4" s="1"/>
  <c r="AQ25" i="4"/>
  <c r="V25" i="4"/>
  <c r="AM7" i="4"/>
  <c r="V7" i="4"/>
  <c r="AM10" i="4"/>
  <c r="AN10" i="4" s="1"/>
  <c r="AQ10" i="4"/>
  <c r="V10" i="4"/>
  <c r="AM128" i="4"/>
  <c r="AN128" i="4" s="1"/>
  <c r="AQ128" i="4"/>
  <c r="V128" i="4"/>
  <c r="AM96" i="4"/>
  <c r="AN96" i="4" s="1"/>
  <c r="AQ96" i="4"/>
  <c r="V96" i="4"/>
  <c r="AM64" i="4"/>
  <c r="AN64" i="4" s="1"/>
  <c r="AQ64" i="4"/>
  <c r="V64" i="4"/>
  <c r="AM32" i="4"/>
  <c r="AN32" i="4" s="1"/>
  <c r="AQ32" i="4"/>
  <c r="V32" i="4"/>
  <c r="AM12" i="4"/>
  <c r="AN12" i="4" s="1"/>
  <c r="AQ12" i="4"/>
  <c r="V12" i="4"/>
  <c r="AM130" i="4"/>
  <c r="AN130" i="4" s="1"/>
  <c r="AQ130" i="4"/>
  <c r="V130" i="4"/>
  <c r="AM98" i="4"/>
  <c r="AN98" i="4" s="1"/>
  <c r="AQ98" i="4"/>
  <c r="V98" i="4"/>
  <c r="AM66" i="4"/>
  <c r="AN66" i="4" s="1"/>
  <c r="AQ66" i="4"/>
  <c r="V66" i="4"/>
  <c r="AM39" i="4"/>
  <c r="AN39" i="4" s="1"/>
  <c r="AQ39" i="4"/>
  <c r="V39" i="4"/>
  <c r="AM21" i="4"/>
  <c r="AN21" i="4" s="1"/>
  <c r="AQ21" i="4"/>
  <c r="V21" i="4"/>
  <c r="AM140" i="4"/>
  <c r="AN140" i="4" s="1"/>
  <c r="V140" i="4"/>
  <c r="AQ140" i="4"/>
  <c r="AM108" i="4"/>
  <c r="AN108" i="4" s="1"/>
  <c r="AQ108" i="4"/>
  <c r="V108" i="4"/>
  <c r="AM76" i="4"/>
  <c r="AN76" i="4" s="1"/>
  <c r="AQ76" i="4"/>
  <c r="V76" i="4"/>
  <c r="AM44" i="4"/>
  <c r="AN44" i="4" s="1"/>
  <c r="AQ44" i="4"/>
  <c r="V44" i="4"/>
  <c r="AM20" i="4"/>
  <c r="AN20" i="4" s="1"/>
  <c r="AQ20" i="4"/>
  <c r="V20" i="4"/>
  <c r="AM142" i="4"/>
  <c r="AN142" i="4" s="1"/>
  <c r="AQ142" i="4"/>
  <c r="V142" i="4"/>
  <c r="AM110" i="4"/>
  <c r="AN110" i="4" s="1"/>
  <c r="AQ110" i="4"/>
  <c r="V110" i="4"/>
  <c r="AM78" i="4"/>
  <c r="AN78" i="4" s="1"/>
  <c r="AQ78" i="4"/>
  <c r="V78" i="4"/>
  <c r="AM46" i="4"/>
  <c r="AN46" i="4" s="1"/>
  <c r="AQ46" i="4"/>
  <c r="V46" i="4"/>
  <c r="AM23" i="4"/>
  <c r="AN23" i="4" s="1"/>
  <c r="AQ23" i="4"/>
  <c r="V23" i="4"/>
  <c r="AM9" i="4"/>
  <c r="AN9" i="4" s="1"/>
  <c r="AQ9" i="4"/>
  <c r="V9" i="4"/>
  <c r="AM151" i="4"/>
  <c r="AN151" i="4" s="1"/>
  <c r="V151" i="4"/>
  <c r="AQ151" i="4"/>
  <c r="AM143" i="4"/>
  <c r="AN143" i="4" s="1"/>
  <c r="AQ143" i="4"/>
  <c r="V143" i="4"/>
  <c r="AM135" i="4"/>
  <c r="AN135" i="4" s="1"/>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N79" i="4" s="1"/>
  <c r="AQ79" i="4"/>
  <c r="V79" i="4"/>
  <c r="AM71" i="4"/>
  <c r="AN71" i="4" s="1"/>
  <c r="AQ71" i="4"/>
  <c r="V71" i="4"/>
  <c r="AM63" i="4"/>
  <c r="AN63" i="4" s="1"/>
  <c r="AQ63" i="4"/>
  <c r="V63" i="4"/>
  <c r="AM55" i="4"/>
  <c r="AN55" i="4" s="1"/>
  <c r="AQ55" i="4"/>
  <c r="V55" i="4"/>
  <c r="AM47" i="4"/>
  <c r="AN47" i="4" s="1"/>
  <c r="AQ47" i="4"/>
  <c r="V47" i="4"/>
  <c r="AM38" i="4"/>
  <c r="AN38" i="4" s="1"/>
  <c r="AQ38" i="4"/>
  <c r="V38" i="4"/>
  <c r="AM22" i="4"/>
  <c r="AN22" i="4" s="1"/>
  <c r="AQ22" i="4"/>
  <c r="V22" i="4"/>
  <c r="AM152" i="4"/>
  <c r="AN152" i="4" s="1"/>
  <c r="AQ152" i="4"/>
  <c r="V152" i="4"/>
  <c r="AM120" i="4"/>
  <c r="AN120" i="4" s="1"/>
  <c r="V120" i="4"/>
  <c r="AQ120" i="4"/>
  <c r="AM88" i="4"/>
  <c r="AN88" i="4" s="1"/>
  <c r="AQ88" i="4"/>
  <c r="V88" i="4"/>
  <c r="AM56" i="4"/>
  <c r="AN56" i="4" s="1"/>
  <c r="AQ56" i="4"/>
  <c r="V56" i="4"/>
  <c r="AM29" i="4"/>
  <c r="AN29" i="4" s="1"/>
  <c r="AQ29" i="4"/>
  <c r="V29" i="4"/>
  <c r="AM154" i="4"/>
  <c r="AN154" i="4" s="1"/>
  <c r="AQ154" i="4"/>
  <c r="V154" i="4"/>
  <c r="AM122" i="4"/>
  <c r="AN122" i="4" s="1"/>
  <c r="V122" i="4"/>
  <c r="AQ122" i="4"/>
  <c r="AM90" i="4"/>
  <c r="AN90" i="4" s="1"/>
  <c r="AQ90" i="4"/>
  <c r="V90" i="4"/>
  <c r="AM58" i="4"/>
  <c r="AN58" i="4" s="1"/>
  <c r="AQ58" i="4"/>
  <c r="V58" i="4"/>
  <c r="AM35" i="4"/>
  <c r="AN35" i="4" s="1"/>
  <c r="AQ35" i="4"/>
  <c r="V35" i="4"/>
  <c r="AM14" i="4"/>
  <c r="AN14" i="4" s="1"/>
  <c r="AQ14" i="4"/>
  <c r="V14" i="4"/>
  <c r="AM132" i="4"/>
  <c r="AN132" i="4" s="1"/>
  <c r="AQ132" i="4"/>
  <c r="V132" i="4"/>
  <c r="AM100" i="4"/>
  <c r="AN100" i="4" s="1"/>
  <c r="AQ100" i="4"/>
  <c r="V100" i="4"/>
  <c r="AM68" i="4"/>
  <c r="AN68" i="4" s="1"/>
  <c r="AQ68" i="4"/>
  <c r="V68" i="4"/>
  <c r="AM34" i="4"/>
  <c r="AN34" i="4" s="1"/>
  <c r="AQ34" i="4"/>
  <c r="V34" i="4"/>
  <c r="AM16" i="4"/>
  <c r="AN16" i="4" s="1"/>
  <c r="AQ16" i="4"/>
  <c r="V16" i="4"/>
  <c r="AM134" i="4"/>
  <c r="AN134" i="4" s="1"/>
  <c r="AQ134" i="4"/>
  <c r="V134" i="4"/>
  <c r="AM102" i="4"/>
  <c r="AN102" i="4" s="1"/>
  <c r="AQ102" i="4"/>
  <c r="V102" i="4"/>
  <c r="AM70" i="4"/>
  <c r="AN70" i="4" s="1"/>
  <c r="AQ70" i="4"/>
  <c r="V70" i="4"/>
  <c r="AM40" i="4"/>
  <c r="AN40" i="4" s="1"/>
  <c r="AQ40" i="4"/>
  <c r="V40" i="4"/>
  <c r="AM19" i="4"/>
  <c r="AN19" i="4" s="1"/>
  <c r="AQ19" i="4"/>
  <c r="V19" i="4"/>
  <c r="AM157" i="4"/>
  <c r="AN157" i="4" s="1"/>
  <c r="AQ157" i="4"/>
  <c r="V157" i="4"/>
  <c r="AM149" i="4"/>
  <c r="AN149" i="4" s="1"/>
  <c r="AQ149" i="4"/>
  <c r="V149" i="4"/>
  <c r="AM141" i="4"/>
  <c r="AN141" i="4" s="1"/>
  <c r="AQ141" i="4"/>
  <c r="V141" i="4"/>
  <c r="AM133" i="4"/>
  <c r="AN133" i="4" s="1"/>
  <c r="AQ133" i="4"/>
  <c r="V133" i="4"/>
  <c r="AM125" i="4"/>
  <c r="AN125" i="4" s="1"/>
  <c r="V125" i="4"/>
  <c r="AQ125" i="4"/>
  <c r="AM117" i="4"/>
  <c r="AN117" i="4" s="1"/>
  <c r="AQ117" i="4"/>
  <c r="V117" i="4"/>
  <c r="AM109" i="4"/>
  <c r="AN109" i="4" s="1"/>
  <c r="AQ109" i="4"/>
  <c r="V109" i="4"/>
  <c r="AM101" i="4"/>
  <c r="AN101" i="4" s="1"/>
  <c r="AQ101" i="4"/>
  <c r="V101" i="4"/>
  <c r="AM93" i="4"/>
  <c r="AN93" i="4" s="1"/>
  <c r="AQ93" i="4"/>
  <c r="V93" i="4"/>
  <c r="AM85" i="4"/>
  <c r="AN85" i="4" s="1"/>
  <c r="AQ85" i="4"/>
  <c r="V85" i="4"/>
  <c r="AM77" i="4"/>
  <c r="AN77" i="4" s="1"/>
  <c r="AQ77" i="4"/>
  <c r="V77" i="4"/>
  <c r="AM69" i="4"/>
  <c r="AN69" i="4" s="1"/>
  <c r="AQ69" i="4"/>
  <c r="V69" i="4"/>
  <c r="AM61" i="4"/>
  <c r="AN61" i="4" s="1"/>
  <c r="AQ61" i="4"/>
  <c r="V61" i="4"/>
  <c r="AM53" i="4"/>
  <c r="AN53" i="4" s="1"/>
  <c r="AQ53" i="4"/>
  <c r="V53" i="4"/>
  <c r="AM45" i="4"/>
  <c r="AN45" i="4" s="1"/>
  <c r="AQ45" i="4"/>
  <c r="V45" i="4"/>
  <c r="AM33" i="4"/>
  <c r="AN33" i="4" s="1"/>
  <c r="AQ33" i="4"/>
  <c r="V33" i="4"/>
  <c r="AM17" i="4"/>
  <c r="AN17" i="4" s="1"/>
  <c r="AQ17" i="4"/>
  <c r="V17" i="4"/>
  <c r="AM144" i="4"/>
  <c r="AN144" i="4" s="1"/>
  <c r="AQ144" i="4"/>
  <c r="V144" i="4"/>
  <c r="AM112" i="4"/>
  <c r="AN112" i="4" s="1"/>
  <c r="AQ112" i="4"/>
  <c r="V112" i="4"/>
  <c r="AM80" i="4"/>
  <c r="AN80" i="4" s="1"/>
  <c r="AQ80" i="4"/>
  <c r="V80" i="4"/>
  <c r="AM48" i="4"/>
  <c r="AN48" i="4" s="1"/>
  <c r="AQ48" i="4"/>
  <c r="V48" i="4"/>
  <c r="AM18" i="4"/>
  <c r="AN18" i="4" s="1"/>
  <c r="AQ18" i="4"/>
  <c r="V18" i="4"/>
  <c r="AM146" i="4"/>
  <c r="AN146" i="4" s="1"/>
  <c r="AQ146" i="4"/>
  <c r="V146" i="4"/>
  <c r="AM114" i="4"/>
  <c r="AN114" i="4" s="1"/>
  <c r="AQ114" i="4"/>
  <c r="V114" i="4"/>
  <c r="AM82" i="4"/>
  <c r="AN82" i="4" s="1"/>
  <c r="AQ82" i="4"/>
  <c r="V82" i="4"/>
  <c r="AM50" i="4"/>
  <c r="AN50" i="4" s="1"/>
  <c r="AQ50" i="4"/>
  <c r="V50" i="4"/>
  <c r="AM28" i="4"/>
  <c r="AN28" i="4" s="1"/>
  <c r="AQ28" i="4"/>
  <c r="V28" i="4"/>
  <c r="AM156" i="4"/>
  <c r="AN156" i="4" s="1"/>
  <c r="AQ156" i="4"/>
  <c r="V156" i="4"/>
  <c r="AM124" i="4"/>
  <c r="AN124" i="4" s="1"/>
  <c r="AQ124" i="4"/>
  <c r="V124" i="4"/>
  <c r="AM92" i="4"/>
  <c r="AN92" i="4" s="1"/>
  <c r="AQ92" i="4"/>
  <c r="V92" i="4"/>
  <c r="AM60" i="4"/>
  <c r="AN60" i="4" s="1"/>
  <c r="AQ60" i="4"/>
  <c r="V60" i="4"/>
  <c r="AM31" i="4"/>
  <c r="AN31" i="4" s="1"/>
  <c r="AQ31" i="4"/>
  <c r="V31" i="4"/>
  <c r="AM8" i="4"/>
  <c r="AN8" i="4" s="1"/>
  <c r="AQ8" i="4"/>
  <c r="V8" i="4"/>
  <c r="AM126" i="4"/>
  <c r="AN126" i="4" s="1"/>
  <c r="AQ126" i="4"/>
  <c r="V126" i="4"/>
  <c r="AM94" i="4"/>
  <c r="AN94" i="4" s="1"/>
  <c r="AQ94" i="4"/>
  <c r="V94" i="4"/>
  <c r="AM62" i="4"/>
  <c r="AN62" i="4" s="1"/>
  <c r="AQ62" i="4"/>
  <c r="V62" i="4"/>
  <c r="AM37" i="4"/>
  <c r="AN37" i="4" s="1"/>
  <c r="AQ37" i="4"/>
  <c r="V37" i="4"/>
  <c r="AM13" i="4"/>
  <c r="AN13" i="4" s="1"/>
  <c r="AQ13" i="4"/>
  <c r="V13" i="4"/>
  <c r="AM155" i="4"/>
  <c r="AN155" i="4" s="1"/>
  <c r="AQ155" i="4"/>
  <c r="V155" i="4"/>
  <c r="AM147" i="4"/>
  <c r="AN147" i="4" s="1"/>
  <c r="AQ147" i="4"/>
  <c r="V147" i="4"/>
  <c r="AM139" i="4"/>
  <c r="AN139" i="4" s="1"/>
  <c r="AQ139" i="4"/>
  <c r="V139" i="4"/>
  <c r="AM131" i="4"/>
  <c r="AN131" i="4" s="1"/>
  <c r="AQ131" i="4"/>
  <c r="V131" i="4"/>
  <c r="AM123" i="4"/>
  <c r="AN123" i="4" s="1"/>
  <c r="AQ123" i="4"/>
  <c r="V123" i="4"/>
  <c r="AM115" i="4"/>
  <c r="AN115" i="4" s="1"/>
  <c r="AQ115" i="4"/>
  <c r="V115" i="4"/>
  <c r="AM107" i="4"/>
  <c r="AN107" i="4" s="1"/>
  <c r="AQ107" i="4"/>
  <c r="V107" i="4"/>
  <c r="AM99" i="4"/>
  <c r="AN99" i="4" s="1"/>
  <c r="AQ99" i="4"/>
  <c r="V99" i="4"/>
  <c r="AM91" i="4"/>
  <c r="AN91" i="4" s="1"/>
  <c r="AQ91" i="4"/>
  <c r="V91" i="4"/>
  <c r="AM83" i="4"/>
  <c r="AN83" i="4" s="1"/>
  <c r="AQ83" i="4"/>
  <c r="V83" i="4"/>
  <c r="AM75" i="4"/>
  <c r="AN75" i="4" s="1"/>
  <c r="AQ75" i="4"/>
  <c r="V75" i="4"/>
  <c r="AM67" i="4"/>
  <c r="AN67" i="4" s="1"/>
  <c r="AQ67" i="4"/>
  <c r="V67" i="4"/>
  <c r="AM59" i="4"/>
  <c r="AN59" i="4" s="1"/>
  <c r="AQ59" i="4"/>
  <c r="V59" i="4"/>
  <c r="AM51" i="4"/>
  <c r="AN51" i="4" s="1"/>
  <c r="AQ51" i="4"/>
  <c r="V51" i="4"/>
  <c r="AM43" i="4"/>
  <c r="AN43" i="4" s="1"/>
  <c r="AQ43" i="4"/>
  <c r="V43" i="4"/>
  <c r="AQ30" i="4"/>
  <c r="AM30" i="4"/>
  <c r="AN30" i="4" s="1"/>
  <c r="V30" i="4"/>
  <c r="B195" i="2"/>
  <c r="Z7" i="5" s="1"/>
  <c r="B180" i="2"/>
  <c r="B186" i="2"/>
  <c r="B178" i="2"/>
  <c r="P7" i="5" s="1"/>
  <c r="AG541" i="5"/>
  <c r="AG496" i="5"/>
  <c r="AI496" i="5" s="1"/>
  <c r="AG434" i="5"/>
  <c r="AG438" i="5"/>
  <c r="AG373" i="5"/>
  <c r="AG149" i="5"/>
  <c r="AH149" i="5" s="1"/>
  <c r="AG551" i="5"/>
  <c r="AG499" i="5"/>
  <c r="AG558" i="5"/>
  <c r="AG386" i="5"/>
  <c r="AI386" i="5" s="1"/>
  <c r="AG364" i="5"/>
  <c r="AG241" i="5"/>
  <c r="AG156" i="5"/>
  <c r="AG524" i="5"/>
  <c r="AH524" i="5" s="1"/>
  <c r="AG466" i="5"/>
  <c r="AG521" i="5"/>
  <c r="AH521" i="5" s="1"/>
  <c r="AG309" i="5"/>
  <c r="AG293" i="5"/>
  <c r="AI293" i="5" s="1"/>
  <c r="AG363" i="5"/>
  <c r="B70" i="5"/>
  <c r="O11" i="5" s="1"/>
  <c r="Z11" i="5" s="1"/>
  <c r="AG8" i="5"/>
  <c r="AG35" i="5"/>
  <c r="AH35" i="5" s="1"/>
  <c r="AG26" i="5"/>
  <c r="AG34" i="5"/>
  <c r="AG42" i="5"/>
  <c r="AG32" i="5"/>
  <c r="AI32" i="5" s="1"/>
  <c r="AG48" i="5"/>
  <c r="AG46" i="5"/>
  <c r="AI46" i="5" s="1"/>
  <c r="AG63" i="5"/>
  <c r="AG71" i="5"/>
  <c r="AH71" i="5" s="1"/>
  <c r="AG83" i="5"/>
  <c r="AG105" i="5"/>
  <c r="AG121" i="5"/>
  <c r="AG137" i="5"/>
  <c r="AI137" i="5" s="1"/>
  <c r="AG152" i="5"/>
  <c r="AG168" i="5"/>
  <c r="AG193" i="5"/>
  <c r="AG57" i="5"/>
  <c r="AH57" i="5" s="1"/>
  <c r="AG91" i="5"/>
  <c r="AG102" i="5"/>
  <c r="AG118" i="5"/>
  <c r="AG144" i="5"/>
  <c r="AI144" i="5" s="1"/>
  <c r="AG154" i="5"/>
  <c r="AG162" i="5"/>
  <c r="AH162" i="5" s="1"/>
  <c r="AG182" i="5"/>
  <c r="AG61" i="5"/>
  <c r="AH61" i="5" s="1"/>
  <c r="AG78" i="5"/>
  <c r="AG87" i="5"/>
  <c r="AG97" i="5"/>
  <c r="AG113" i="5"/>
  <c r="AH113" i="5" s="1"/>
  <c r="AG136" i="5"/>
  <c r="AG163" i="5"/>
  <c r="AG180" i="5"/>
  <c r="AG49" i="5"/>
  <c r="AH49" i="5" s="1"/>
  <c r="AG12" i="5"/>
  <c r="AI12" i="5" s="1"/>
  <c r="AG23" i="5"/>
  <c r="AG21" i="5"/>
  <c r="AG29" i="5"/>
  <c r="AH29" i="5" s="1"/>
  <c r="AG37" i="5"/>
  <c r="AG20" i="5"/>
  <c r="AH20" i="5" s="1"/>
  <c r="AG36" i="5"/>
  <c r="AG51" i="5"/>
  <c r="AI51" i="5" s="1"/>
  <c r="AG58" i="5"/>
  <c r="AG66" i="5"/>
  <c r="AG74" i="5"/>
  <c r="AG88" i="5"/>
  <c r="AI88" i="5" s="1"/>
  <c r="AG106" i="5"/>
  <c r="AG122" i="5"/>
  <c r="AG148" i="5"/>
  <c r="AG158" i="5"/>
  <c r="AH158" i="5" s="1"/>
  <c r="AG186" i="5"/>
  <c r="AG45" i="5"/>
  <c r="AG77" i="5"/>
  <c r="AG96" i="5"/>
  <c r="AH96" i="5" s="1"/>
  <c r="AG112" i="5"/>
  <c r="AG127" i="5"/>
  <c r="AI127" i="5" s="1"/>
  <c r="AG145" i="5"/>
  <c r="AG157" i="5"/>
  <c r="AI157" i="5" s="1"/>
  <c r="AG174" i="5"/>
  <c r="AG43" i="5"/>
  <c r="AG65" i="5"/>
  <c r="AG79" i="5"/>
  <c r="AI79" i="5" s="1"/>
  <c r="AG89" i="5"/>
  <c r="AG98" i="5"/>
  <c r="AG114" i="5"/>
  <c r="AG146" i="5"/>
  <c r="AH146" i="5" s="1"/>
  <c r="AG164" i="5"/>
  <c r="AG183" i="5"/>
  <c r="AG55" i="5"/>
  <c r="AG72" i="5"/>
  <c r="AI72" i="5" s="1"/>
  <c r="AG93" i="5"/>
  <c r="AG109" i="5"/>
  <c r="AH109" i="5" s="1"/>
  <c r="AG125" i="5"/>
  <c r="AG133" i="5"/>
  <c r="AI133" i="5" s="1"/>
  <c r="AG141" i="5"/>
  <c r="AG161" i="5"/>
  <c r="AG172" i="5"/>
  <c r="AG181" i="5"/>
  <c r="AH181" i="5" s="1"/>
  <c r="AG192" i="5"/>
  <c r="AG201" i="5"/>
  <c r="AG217" i="5"/>
  <c r="AG232" i="5"/>
  <c r="AI232" i="5" s="1"/>
  <c r="AG243" i="5"/>
  <c r="AG255" i="5"/>
  <c r="AG266" i="5"/>
  <c r="AG274" i="5"/>
  <c r="AH274" i="5" s="1"/>
  <c r="AG282" i="5"/>
  <c r="AG290" i="5"/>
  <c r="AH290" i="5" s="1"/>
  <c r="AG306" i="5"/>
  <c r="AG338" i="5"/>
  <c r="AI338" i="5" s="1"/>
  <c r="AG354" i="5"/>
  <c r="AG366" i="5"/>
  <c r="AG382" i="5"/>
  <c r="AG411" i="5"/>
  <c r="AI411" i="5" s="1"/>
  <c r="AG427" i="5"/>
  <c r="AG443" i="5"/>
  <c r="AG195" i="5"/>
  <c r="AG213" i="5"/>
  <c r="AI213" i="5" s="1"/>
  <c r="AG227" i="5"/>
  <c r="AG248" i="5"/>
  <c r="AG300" i="5"/>
  <c r="AG312" i="5"/>
  <c r="AI312" i="5" s="1"/>
  <c r="AG321" i="5"/>
  <c r="AG327" i="5"/>
  <c r="AH327" i="5" s="1"/>
  <c r="AG334" i="5"/>
  <c r="AG350" i="5"/>
  <c r="AI350" i="5" s="1"/>
  <c r="AG361" i="5"/>
  <c r="AG377" i="5"/>
  <c r="AG384" i="5"/>
  <c r="AG393" i="5"/>
  <c r="AH393" i="5" s="1"/>
  <c r="AG410" i="5"/>
  <c r="AG426" i="5"/>
  <c r="AG442" i="5"/>
  <c r="AG463" i="5"/>
  <c r="AH463" i="5" s="1"/>
  <c r="AG473" i="5"/>
  <c r="AG489" i="5"/>
  <c r="AG207" i="5"/>
  <c r="AG221" i="5"/>
  <c r="AI221" i="5" s="1"/>
  <c r="AG239" i="5"/>
  <c r="AG7" i="5"/>
  <c r="AG27" i="5"/>
  <c r="AG22" i="5"/>
  <c r="AH22" i="5" s="1"/>
  <c r="AG30" i="5"/>
  <c r="AG38" i="5"/>
  <c r="AG24" i="5"/>
  <c r="AG40" i="5"/>
  <c r="AH40" i="5" s="1"/>
  <c r="AG53" i="5"/>
  <c r="AG59" i="5"/>
  <c r="AG67" i="5"/>
  <c r="AG75" i="5"/>
  <c r="AH75" i="5" s="1"/>
  <c r="AG100" i="5"/>
  <c r="AG116" i="5"/>
  <c r="AG129" i="5"/>
  <c r="AG150" i="5"/>
  <c r="AI150" i="5" s="1"/>
  <c r="AG165" i="5"/>
  <c r="AG188" i="5"/>
  <c r="AG47" i="5"/>
  <c r="AG80" i="5"/>
  <c r="AI80" i="5" s="1"/>
  <c r="AG99" i="5"/>
  <c r="AG115" i="5"/>
  <c r="AG135" i="5"/>
  <c r="AG147" i="5"/>
  <c r="AI147" i="5" s="1"/>
  <c r="AG159" i="5"/>
  <c r="AG176" i="5"/>
  <c r="AG50" i="5"/>
  <c r="AG69" i="5"/>
  <c r="AI69" i="5" s="1"/>
  <c r="AG84" i="5"/>
  <c r="AG92" i="5"/>
  <c r="AG108" i="5"/>
  <c r="AG124" i="5"/>
  <c r="AH124" i="5" s="1"/>
  <c r="AG155" i="5"/>
  <c r="AG170" i="5"/>
  <c r="AG185" i="5"/>
  <c r="AG60" i="5"/>
  <c r="AI60" i="5" s="1"/>
  <c r="AG76" i="5"/>
  <c r="AG94" i="5"/>
  <c r="AG110" i="5"/>
  <c r="AG126" i="5"/>
  <c r="AH126" i="5" s="1"/>
  <c r="AG134" i="5"/>
  <c r="AG142" i="5"/>
  <c r="AG166" i="5"/>
  <c r="AG175" i="5"/>
  <c r="AH175" i="5" s="1"/>
  <c r="AG184" i="5"/>
  <c r="AG197" i="5"/>
  <c r="AG210" i="5"/>
  <c r="AG222" i="5"/>
  <c r="AI222" i="5" s="1"/>
  <c r="AG233" i="5"/>
  <c r="AG247" i="5"/>
  <c r="AG256" i="5"/>
  <c r="AG267" i="5"/>
  <c r="AH267" i="5" s="1"/>
  <c r="AG275" i="5"/>
  <c r="AG283" i="5"/>
  <c r="AG291" i="5"/>
  <c r="AG307" i="5"/>
  <c r="AH307" i="5" s="1"/>
  <c r="AG340" i="5"/>
  <c r="AG356" i="5"/>
  <c r="AG368" i="5"/>
  <c r="AG391" i="5"/>
  <c r="AH391" i="5" s="1"/>
  <c r="AG413" i="5"/>
  <c r="AG429" i="5"/>
  <c r="AG445" i="5"/>
  <c r="AG206" i="5"/>
  <c r="AI206" i="5" s="1"/>
  <c r="AG220" i="5"/>
  <c r="AG236" i="5"/>
  <c r="AG251" i="5"/>
  <c r="AG302" i="5"/>
  <c r="AH302" i="5" s="1"/>
  <c r="AG313" i="5"/>
  <c r="AG322" i="5"/>
  <c r="AG330" i="5"/>
  <c r="AG336" i="5"/>
  <c r="AI336" i="5" s="1"/>
  <c r="AG352" i="5"/>
  <c r="AG370" i="5"/>
  <c r="AG378" i="5"/>
  <c r="AG385" i="5"/>
  <c r="AH385" i="5" s="1"/>
  <c r="AG404" i="5"/>
  <c r="AG420" i="5"/>
  <c r="AG436" i="5"/>
  <c r="AG451" i="5"/>
  <c r="AI451" i="5" s="1"/>
  <c r="AG467" i="5"/>
  <c r="AG483" i="5"/>
  <c r="AG187" i="5"/>
  <c r="AG209" i="5"/>
  <c r="AI209" i="5" s="1"/>
  <c r="AG228" i="5"/>
  <c r="AG244" i="5"/>
  <c r="AG13" i="5"/>
  <c r="AG41" i="5"/>
  <c r="AH41" i="5" s="1"/>
  <c r="AG62" i="5"/>
  <c r="AG119" i="5"/>
  <c r="AG191" i="5"/>
  <c r="AG117" i="5"/>
  <c r="AH117" i="5" s="1"/>
  <c r="AG177" i="5"/>
  <c r="AG95" i="5"/>
  <c r="AH95" i="5" s="1"/>
  <c r="AG173" i="5"/>
  <c r="AG81" i="5"/>
  <c r="AH81" i="5" s="1"/>
  <c r="AG120" i="5"/>
  <c r="AG138" i="5"/>
  <c r="AG169" i="5"/>
  <c r="AG189" i="5"/>
  <c r="AH189" i="5" s="1"/>
  <c r="AG212" i="5"/>
  <c r="AG235" i="5"/>
  <c r="AG262" i="5"/>
  <c r="AG278" i="5"/>
  <c r="AH278" i="5" s="1"/>
  <c r="AG301" i="5"/>
  <c r="AG345" i="5"/>
  <c r="AG369" i="5"/>
  <c r="AG414" i="5"/>
  <c r="AH414" i="5" s="1"/>
  <c r="AG446" i="5"/>
  <c r="AG224" i="5"/>
  <c r="AG252" i="5"/>
  <c r="AG318" i="5"/>
  <c r="AH318" i="5" s="1"/>
  <c r="AG331" i="5"/>
  <c r="AG358" i="5"/>
  <c r="AG379" i="5"/>
  <c r="AG407" i="5"/>
  <c r="AH407" i="5" s="1"/>
  <c r="AG439" i="5"/>
  <c r="AG470" i="5"/>
  <c r="AG202" i="5"/>
  <c r="AG229" i="5"/>
  <c r="AI229" i="5" s="1"/>
  <c r="AG265" i="5"/>
  <c r="AG281" i="5"/>
  <c r="AG296" i="5"/>
  <c r="AI296" i="5" s="1"/>
  <c r="AG319" i="5"/>
  <c r="AH319" i="5" s="1"/>
  <c r="AG337" i="5"/>
  <c r="AG353" i="5"/>
  <c r="AG367" i="5"/>
  <c r="AH367" i="5" s="1"/>
  <c r="AG400" i="5"/>
  <c r="AH400" i="5" s="1"/>
  <c r="AG416" i="5"/>
  <c r="AG432" i="5"/>
  <c r="AH432" i="5" s="1"/>
  <c r="AG448" i="5"/>
  <c r="AH448" i="5" s="1"/>
  <c r="AG203" i="5"/>
  <c r="AH203" i="5" s="1"/>
  <c r="AG226" i="5"/>
  <c r="AG245" i="5"/>
  <c r="AG257" i="5"/>
  <c r="AI257" i="5" s="1"/>
  <c r="AG268" i="5"/>
  <c r="AH268" i="5" s="1"/>
  <c r="AG284" i="5"/>
  <c r="AG295" i="5"/>
  <c r="AG314" i="5"/>
  <c r="AH314" i="5" s="1"/>
  <c r="AG335" i="5"/>
  <c r="AH335" i="5" s="1"/>
  <c r="AG351" i="5"/>
  <c r="AG376" i="5"/>
  <c r="AG387" i="5"/>
  <c r="AI387" i="5" s="1"/>
  <c r="AG397" i="5"/>
  <c r="AH397" i="5" s="1"/>
  <c r="AG412" i="5"/>
  <c r="AG428" i="5"/>
  <c r="AH428" i="5" s="1"/>
  <c r="AG444" i="5"/>
  <c r="AI444" i="5" s="1"/>
  <c r="AG453" i="5"/>
  <c r="AI453" i="5" s="1"/>
  <c r="AG461" i="5"/>
  <c r="AG478" i="5"/>
  <c r="AG474" i="5"/>
  <c r="AI474" i="5" s="1"/>
  <c r="AG498" i="5"/>
  <c r="AI498" i="5" s="1"/>
  <c r="AG513" i="5"/>
  <c r="AG530" i="5"/>
  <c r="AG547" i="5"/>
  <c r="AI547" i="5" s="1"/>
  <c r="AG554" i="5"/>
  <c r="AI554" i="5" s="1"/>
  <c r="AG491" i="5"/>
  <c r="AG502" i="5"/>
  <c r="AG508" i="5"/>
  <c r="AH508" i="5" s="1"/>
  <c r="AG536" i="5"/>
  <c r="AH536" i="5" s="1"/>
  <c r="AG458" i="5"/>
  <c r="AG477" i="5"/>
  <c r="AH477" i="5" s="1"/>
  <c r="AG492" i="5"/>
  <c r="AH492" i="5" s="1"/>
  <c r="AG519" i="5"/>
  <c r="AI519" i="5" s="1"/>
  <c r="AG535" i="5"/>
  <c r="AG550" i="5"/>
  <c r="AG552" i="5"/>
  <c r="AH552" i="5" s="1"/>
  <c r="AG506" i="5"/>
  <c r="AI506" i="5" s="1"/>
  <c r="AG522" i="5"/>
  <c r="AG528" i="5"/>
  <c r="AG544" i="5"/>
  <c r="AH544" i="5" s="1"/>
  <c r="AG31" i="5"/>
  <c r="AI31" i="5" s="1"/>
  <c r="AG28" i="5"/>
  <c r="AG70" i="5"/>
  <c r="AI70" i="5" s="1"/>
  <c r="AG130" i="5"/>
  <c r="AH130" i="5" s="1"/>
  <c r="AG56" i="5"/>
  <c r="AI56" i="5" s="1"/>
  <c r="AG139" i="5"/>
  <c r="AG52" i="5"/>
  <c r="AH52" i="5" s="1"/>
  <c r="AG111" i="5"/>
  <c r="AI111" i="5" s="1"/>
  <c r="AG39" i="5"/>
  <c r="AH39" i="5" s="1"/>
  <c r="AG90" i="5"/>
  <c r="AG123" i="5"/>
  <c r="AG140" i="5"/>
  <c r="AI140" i="5" s="1"/>
  <c r="AG171" i="5"/>
  <c r="AH171" i="5" s="1"/>
  <c r="AG190" i="5"/>
  <c r="AG215" i="5"/>
  <c r="AG242" i="5"/>
  <c r="AI242" i="5" s="1"/>
  <c r="AG263" i="5"/>
  <c r="AI263" i="5" s="1"/>
  <c r="AG279" i="5"/>
  <c r="AG304" i="5"/>
  <c r="AG347" i="5"/>
  <c r="AI347" i="5" s="1"/>
  <c r="AG375" i="5"/>
  <c r="AH375" i="5" s="1"/>
  <c r="AG424" i="5"/>
  <c r="AG194" i="5"/>
  <c r="AG225" i="5"/>
  <c r="AH225" i="5" s="1"/>
  <c r="AG297" i="5"/>
  <c r="AI297" i="5" s="1"/>
  <c r="AG320" i="5"/>
  <c r="AG333" i="5"/>
  <c r="AG360" i="5"/>
  <c r="AH360" i="5" s="1"/>
  <c r="AG381" i="5"/>
  <c r="AH381" i="5" s="1"/>
  <c r="AG409" i="5"/>
  <c r="AG441" i="5"/>
  <c r="AG472" i="5"/>
  <c r="AH472" i="5" s="1"/>
  <c r="AG204" i="5"/>
  <c r="AI204" i="5" s="1"/>
  <c r="AG234" i="5"/>
  <c r="AG269" i="5"/>
  <c r="AI269" i="5" s="1"/>
  <c r="AG285" i="5"/>
  <c r="AG298" i="5"/>
  <c r="AH298" i="5" s="1"/>
  <c r="AG324" i="5"/>
  <c r="AG339" i="5"/>
  <c r="AH339" i="5" s="1"/>
  <c r="AG355" i="5"/>
  <c r="AI355" i="5" s="1"/>
  <c r="AG374" i="5"/>
  <c r="AH374" i="5" s="1"/>
  <c r="AG403" i="5"/>
  <c r="AG419" i="5"/>
  <c r="AI419" i="5" s="1"/>
  <c r="AG435" i="5"/>
  <c r="AH435" i="5" s="1"/>
  <c r="AG450" i="5"/>
  <c r="AI450" i="5" s="1"/>
  <c r="AG205" i="5"/>
  <c r="AG231" i="5"/>
  <c r="AI231" i="5" s="1"/>
  <c r="AG246" i="5"/>
  <c r="AI246" i="5" s="1"/>
  <c r="AG259" i="5"/>
  <c r="AI259" i="5" s="1"/>
  <c r="AG272" i="5"/>
  <c r="AG288" i="5"/>
  <c r="AH288" i="5" s="1"/>
  <c r="AG305" i="5"/>
  <c r="AI305" i="5" s="1"/>
  <c r="AG316" i="5"/>
  <c r="AH316" i="5" s="1"/>
  <c r="AG342" i="5"/>
  <c r="AG359" i="5"/>
  <c r="AH359" i="5" s="1"/>
  <c r="AG380" i="5"/>
  <c r="AH380" i="5" s="1"/>
  <c r="AG392" i="5"/>
  <c r="AI392" i="5" s="1"/>
  <c r="AG399" i="5"/>
  <c r="AG415" i="5"/>
  <c r="AI415" i="5" s="1"/>
  <c r="AG431" i="5"/>
  <c r="AI431" i="5" s="1"/>
  <c r="AG447" i="5"/>
  <c r="AI447" i="5" s="1"/>
  <c r="AG456" i="5"/>
  <c r="AG464" i="5"/>
  <c r="AH464" i="5" s="1"/>
  <c r="AG480" i="5"/>
  <c r="AH480" i="5" s="1"/>
  <c r="AG476" i="5"/>
  <c r="AH476" i="5" s="1"/>
  <c r="AG503" i="5"/>
  <c r="AG514" i="5"/>
  <c r="AH514" i="5" s="1"/>
  <c r="AG531" i="5"/>
  <c r="AI531" i="5" s="1"/>
  <c r="AG549" i="5"/>
  <c r="AH549" i="5" s="1"/>
  <c r="AG559" i="5"/>
  <c r="AG494" i="5"/>
  <c r="AI494" i="5" s="1"/>
  <c r="AG504" i="5"/>
  <c r="AI504" i="5" s="1"/>
  <c r="AG510" i="5"/>
  <c r="AI510" i="5" s="1"/>
  <c r="AG538" i="5"/>
  <c r="AG462" i="5"/>
  <c r="AG482" i="5"/>
  <c r="AH482" i="5" s="1"/>
  <c r="AG493" i="5"/>
  <c r="AH493" i="5" s="1"/>
  <c r="AG525" i="5"/>
  <c r="AG539" i="5"/>
  <c r="AH539" i="5" s="1"/>
  <c r="AG555" i="5"/>
  <c r="AH555" i="5" s="1"/>
  <c r="AG479" i="5"/>
  <c r="AH479" i="5" s="1"/>
  <c r="AG509" i="5"/>
  <c r="AG523" i="5"/>
  <c r="AI523" i="5" s="1"/>
  <c r="AG529" i="5"/>
  <c r="AH529" i="5" s="1"/>
  <c r="AG546" i="5"/>
  <c r="AH546" i="5" s="1"/>
  <c r="AG25" i="5"/>
  <c r="AG44" i="5"/>
  <c r="AI44" i="5" s="1"/>
  <c r="AG82" i="5"/>
  <c r="AH82" i="5" s="1"/>
  <c r="AG151" i="5"/>
  <c r="AH151" i="5" s="1"/>
  <c r="AG85" i="5"/>
  <c r="AG153" i="5"/>
  <c r="AG73" i="5"/>
  <c r="AI73" i="5" s="1"/>
  <c r="AG132" i="5"/>
  <c r="AH132" i="5" s="1"/>
  <c r="AG64" i="5"/>
  <c r="AG104" i="5"/>
  <c r="AI104" i="5" s="1"/>
  <c r="AG128" i="5"/>
  <c r="AH128" i="5" s="1"/>
  <c r="AG143" i="5"/>
  <c r="AI143" i="5" s="1"/>
  <c r="AG178" i="5"/>
  <c r="AG198" i="5"/>
  <c r="AH198" i="5" s="1"/>
  <c r="AG223" i="5"/>
  <c r="AH223" i="5" s="1"/>
  <c r="AG250" i="5"/>
  <c r="AI250" i="5" s="1"/>
  <c r="AG270" i="5"/>
  <c r="AG286" i="5"/>
  <c r="AI286" i="5" s="1"/>
  <c r="AG315" i="5"/>
  <c r="AH315" i="5" s="1"/>
  <c r="AG357" i="5"/>
  <c r="AI357" i="5" s="1"/>
  <c r="AG395" i="5"/>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P538" i="5" s="1"/>
  <c r="AF482" i="5"/>
  <c r="AF294" i="5"/>
  <c r="AF29" i="5"/>
  <c r="AF522" i="5"/>
  <c r="AP522" i="5" s="1"/>
  <c r="AF466" i="5"/>
  <c r="AP466" i="5" s="1"/>
  <c r="AF214" i="5"/>
  <c r="AP214" i="5" s="1"/>
  <c r="AF558" i="5"/>
  <c r="AP558" i="5" s="1"/>
  <c r="AF506" i="5"/>
  <c r="AP506" i="5" s="1"/>
  <c r="AF414" i="5"/>
  <c r="AF21" i="5"/>
  <c r="AF542" i="5"/>
  <c r="AP542" i="5" s="1"/>
  <c r="AF518" i="5"/>
  <c r="AP518" i="5" s="1"/>
  <c r="AF486" i="5"/>
  <c r="AF454" i="5"/>
  <c r="AF406" i="5"/>
  <c r="AF342" i="5"/>
  <c r="AP342" i="5" s="1"/>
  <c r="AF286" i="5"/>
  <c r="AF90" i="5"/>
  <c r="AP90" i="5" s="1"/>
  <c r="AF446" i="5"/>
  <c r="AP446" i="5" s="1"/>
  <c r="AF382" i="5"/>
  <c r="AF326" i="5"/>
  <c r="AP326" i="5" s="1"/>
  <c r="AF278" i="5"/>
  <c r="AF437" i="5"/>
  <c r="AF33" i="5"/>
  <c r="AF554" i="5"/>
  <c r="AF530" i="5"/>
  <c r="AP530" i="5" s="1"/>
  <c r="AF502" i="5"/>
  <c r="AF474" i="5"/>
  <c r="AF422" i="5"/>
  <c r="AF374" i="5"/>
  <c r="AF318" i="5"/>
  <c r="AF246" i="5"/>
  <c r="AF41" i="5"/>
  <c r="AF25" i="5"/>
  <c r="AP25" i="5" s="1"/>
  <c r="AF550" i="5"/>
  <c r="AF534" i="5"/>
  <c r="AF514" i="5"/>
  <c r="AF490" i="5"/>
  <c r="AF470" i="5"/>
  <c r="AF438" i="5"/>
  <c r="AF390" i="5"/>
  <c r="AF350" i="5"/>
  <c r="AF310" i="5"/>
  <c r="AF262" i="5"/>
  <c r="AF198" i="5"/>
  <c r="AF373" i="5"/>
  <c r="AP373" i="5" s="1"/>
  <c r="AF254" i="5"/>
  <c r="AP254" i="5" s="1"/>
  <c r="AF150" i="5"/>
  <c r="AP150" i="5" s="1"/>
  <c r="AF526" i="5"/>
  <c r="AP526" i="5" s="1"/>
  <c r="AF510" i="5"/>
  <c r="AF494" i="5"/>
  <c r="AF478" i="5"/>
  <c r="AF462" i="5"/>
  <c r="AF430" i="5"/>
  <c r="AF398" i="5"/>
  <c r="AF366" i="5"/>
  <c r="AF334" i="5"/>
  <c r="AF302" i="5"/>
  <c r="AF270" i="5"/>
  <c r="AP270" i="5" s="1"/>
  <c r="AF238" i="5"/>
  <c r="AF182" i="5"/>
  <c r="AP182" i="5" s="1"/>
  <c r="AF24" i="5"/>
  <c r="AF193" i="5"/>
  <c r="AP193" i="5" s="1"/>
  <c r="AF230" i="5"/>
  <c r="AF166" i="5"/>
  <c r="AF501" i="5"/>
  <c r="AP501" i="5" s="1"/>
  <c r="AF458" i="5"/>
  <c r="AP458" i="5" s="1"/>
  <c r="AF442" i="5"/>
  <c r="AF426" i="5"/>
  <c r="AF410" i="5"/>
  <c r="AP410" i="5" s="1"/>
  <c r="AF394" i="5"/>
  <c r="AF378" i="5"/>
  <c r="AF362" i="5"/>
  <c r="AF346" i="5"/>
  <c r="AF330" i="5"/>
  <c r="AP330" i="5" s="1"/>
  <c r="AF314" i="5"/>
  <c r="AF298" i="5"/>
  <c r="AF282" i="5"/>
  <c r="AF266" i="5"/>
  <c r="AP266" i="5" s="1"/>
  <c r="AF250" i="5"/>
  <c r="AP250" i="5" s="1"/>
  <c r="AF234" i="5"/>
  <c r="AF206" i="5"/>
  <c r="AF174" i="5"/>
  <c r="AP174" i="5" s="1"/>
  <c r="AF138" i="5"/>
  <c r="AF74" i="5"/>
  <c r="AP74" i="5" s="1"/>
  <c r="AF549" i="5"/>
  <c r="AF485" i="5"/>
  <c r="AF421" i="5"/>
  <c r="AF353" i="5"/>
  <c r="AF129" i="5"/>
  <c r="AF122" i="5"/>
  <c r="AF58" i="5"/>
  <c r="AP58" i="5" s="1"/>
  <c r="AF533" i="5"/>
  <c r="AF469" i="5"/>
  <c r="AF405" i="5"/>
  <c r="AF321" i="5"/>
  <c r="AP321" i="5" s="1"/>
  <c r="AF524" i="5"/>
  <c r="AF450" i="5"/>
  <c r="AF434" i="5"/>
  <c r="AP434" i="5" s="1"/>
  <c r="AF418" i="5"/>
  <c r="AF402" i="5"/>
  <c r="AP402" i="5" s="1"/>
  <c r="AF386" i="5"/>
  <c r="AF370" i="5"/>
  <c r="AF354" i="5"/>
  <c r="AP354" i="5" s="1"/>
  <c r="AF338" i="5"/>
  <c r="AF322" i="5"/>
  <c r="AP322" i="5" s="1"/>
  <c r="AF306" i="5"/>
  <c r="AP306" i="5" s="1"/>
  <c r="AF290" i="5"/>
  <c r="AF274" i="5"/>
  <c r="AF258" i="5"/>
  <c r="AP258" i="5" s="1"/>
  <c r="AF242" i="5"/>
  <c r="AP242" i="5" s="1"/>
  <c r="AF222" i="5"/>
  <c r="AP222" i="5" s="1"/>
  <c r="AF190" i="5"/>
  <c r="AP190" i="5" s="1"/>
  <c r="AF158" i="5"/>
  <c r="AF106" i="5"/>
  <c r="AP106" i="5" s="1"/>
  <c r="AF40" i="5"/>
  <c r="AP40" i="5" s="1"/>
  <c r="AF517" i="5"/>
  <c r="AF453" i="5"/>
  <c r="AF389" i="5"/>
  <c r="AF257" i="5"/>
  <c r="AF226" i="5"/>
  <c r="AP226" i="5" s="1"/>
  <c r="AF210" i="5"/>
  <c r="AF194" i="5"/>
  <c r="AF178" i="5"/>
  <c r="AP178" i="5" s="1"/>
  <c r="AF162" i="5"/>
  <c r="AF146" i="5"/>
  <c r="AF114" i="5"/>
  <c r="AP114" i="5" s="1"/>
  <c r="AF82" i="5"/>
  <c r="AF50" i="5"/>
  <c r="AF557" i="5"/>
  <c r="AF525" i="5"/>
  <c r="AP525" i="5" s="1"/>
  <c r="AF493" i="5"/>
  <c r="AP493" i="5" s="1"/>
  <c r="AF461" i="5"/>
  <c r="AP461" i="5" s="1"/>
  <c r="AF429" i="5"/>
  <c r="AP429" i="5" s="1"/>
  <c r="AF397" i="5"/>
  <c r="AF365" i="5"/>
  <c r="AF305" i="5"/>
  <c r="AF241" i="5"/>
  <c r="AP241" i="5" s="1"/>
  <c r="AF177" i="5"/>
  <c r="AP177" i="5" s="1"/>
  <c r="AF113" i="5"/>
  <c r="AP113" i="5" s="1"/>
  <c r="AF436" i="5"/>
  <c r="AF289" i="5"/>
  <c r="AF225" i="5"/>
  <c r="AP225" i="5" s="1"/>
  <c r="AF161" i="5"/>
  <c r="AF97" i="5"/>
  <c r="AP97" i="5" s="1"/>
  <c r="AF300" i="5"/>
  <c r="AF218" i="5"/>
  <c r="AF202" i="5"/>
  <c r="AF186" i="5"/>
  <c r="AP186" i="5" s="1"/>
  <c r="AF170" i="5"/>
  <c r="AP170" i="5" s="1"/>
  <c r="AF154" i="5"/>
  <c r="AP154" i="5" s="1"/>
  <c r="AF130" i="5"/>
  <c r="AF98" i="5"/>
  <c r="AF66" i="5"/>
  <c r="AP66" i="5" s="1"/>
  <c r="AF32" i="5"/>
  <c r="AF541" i="5"/>
  <c r="AP541" i="5" s="1"/>
  <c r="AF509" i="5"/>
  <c r="AP509" i="5" s="1"/>
  <c r="AF477" i="5"/>
  <c r="AP477" i="5" s="1"/>
  <c r="AF445" i="5"/>
  <c r="AP445" i="5" s="1"/>
  <c r="AF413" i="5"/>
  <c r="AP413" i="5" s="1"/>
  <c r="AF381" i="5"/>
  <c r="AF337" i="5"/>
  <c r="AP337" i="5" s="1"/>
  <c r="AF273" i="5"/>
  <c r="AP273" i="5" s="1"/>
  <c r="AF209" i="5"/>
  <c r="AP209" i="5" s="1"/>
  <c r="AF145" i="5"/>
  <c r="AP145" i="5" s="1"/>
  <c r="AF49" i="5"/>
  <c r="AF134" i="5"/>
  <c r="AP134" i="5" s="1"/>
  <c r="AF118" i="5"/>
  <c r="AP118" i="5" s="1"/>
  <c r="AF102" i="5"/>
  <c r="AF86" i="5"/>
  <c r="AF70" i="5"/>
  <c r="AF54" i="5"/>
  <c r="AF36" i="5"/>
  <c r="AF20" i="5"/>
  <c r="AP20" i="5" s="1"/>
  <c r="AF545" i="5"/>
  <c r="AF529" i="5"/>
  <c r="AF513" i="5"/>
  <c r="AP513" i="5" s="1"/>
  <c r="AF497" i="5"/>
  <c r="AF481" i="5"/>
  <c r="AF465" i="5"/>
  <c r="AF449" i="5"/>
  <c r="AP449" i="5" s="1"/>
  <c r="AF433" i="5"/>
  <c r="AF417" i="5"/>
  <c r="AF401" i="5"/>
  <c r="AF385" i="5"/>
  <c r="AF369" i="5"/>
  <c r="AF345" i="5"/>
  <c r="AF313" i="5"/>
  <c r="AP313" i="5" s="1"/>
  <c r="AF281" i="5"/>
  <c r="AF249" i="5"/>
  <c r="AF217" i="5"/>
  <c r="AP217" i="5" s="1"/>
  <c r="AF185" i="5"/>
  <c r="AF153" i="5"/>
  <c r="AF121" i="5"/>
  <c r="AP121" i="5" s="1"/>
  <c r="AF89" i="5"/>
  <c r="AP89" i="5" s="1"/>
  <c r="AF31" i="5"/>
  <c r="AP31" i="5" s="1"/>
  <c r="AF508" i="5"/>
  <c r="AF404" i="5"/>
  <c r="AP404" i="5" s="1"/>
  <c r="AF256" i="5"/>
  <c r="AP256" i="5" s="1"/>
  <c r="AF81" i="5"/>
  <c r="AP81" i="5" s="1"/>
  <c r="AF556" i="5"/>
  <c r="AP556" i="5" s="1"/>
  <c r="AF492" i="5"/>
  <c r="AF372" i="5"/>
  <c r="AF64" i="5"/>
  <c r="AP64" i="5" s="1"/>
  <c r="AF142" i="5"/>
  <c r="AF126" i="5"/>
  <c r="AF110" i="5"/>
  <c r="AP110" i="5" s="1"/>
  <c r="AF94" i="5"/>
  <c r="AF78" i="5"/>
  <c r="AP78" i="5" s="1"/>
  <c r="AF62" i="5"/>
  <c r="AP62" i="5" s="1"/>
  <c r="AF46" i="5"/>
  <c r="AF28" i="5"/>
  <c r="AP28" i="5" s="1"/>
  <c r="AF553" i="5"/>
  <c r="AF537" i="5"/>
  <c r="AF521" i="5"/>
  <c r="AF505" i="5"/>
  <c r="AP505" i="5" s="1"/>
  <c r="AF489" i="5"/>
  <c r="AF473" i="5"/>
  <c r="AP473" i="5" s="1"/>
  <c r="AF457" i="5"/>
  <c r="AF441" i="5"/>
  <c r="AF425" i="5"/>
  <c r="AF409" i="5"/>
  <c r="AP409" i="5" s="1"/>
  <c r="AF393" i="5"/>
  <c r="AF377" i="5"/>
  <c r="AF361" i="5"/>
  <c r="AF329" i="5"/>
  <c r="AF297" i="5"/>
  <c r="AF265" i="5"/>
  <c r="AP265" i="5" s="1"/>
  <c r="AF233" i="5"/>
  <c r="AP233" i="5" s="1"/>
  <c r="AF201" i="5"/>
  <c r="AP201" i="5" s="1"/>
  <c r="AF169" i="5"/>
  <c r="AP169" i="5" s="1"/>
  <c r="AF137" i="5"/>
  <c r="AP137" i="5" s="1"/>
  <c r="AF105" i="5"/>
  <c r="AF65" i="5"/>
  <c r="AP65" i="5" s="1"/>
  <c r="AF540" i="5"/>
  <c r="AF468" i="5"/>
  <c r="AF340" i="5"/>
  <c r="AP340" i="5" s="1"/>
  <c r="AF357" i="5"/>
  <c r="AF341" i="5"/>
  <c r="AP341" i="5" s="1"/>
  <c r="AF325" i="5"/>
  <c r="AF309" i="5"/>
  <c r="AP309" i="5" s="1"/>
  <c r="AF293" i="5"/>
  <c r="AF277" i="5"/>
  <c r="AF261" i="5"/>
  <c r="AF245" i="5"/>
  <c r="AF229" i="5"/>
  <c r="AF213" i="5"/>
  <c r="AF197" i="5"/>
  <c r="AF181" i="5"/>
  <c r="AF165" i="5"/>
  <c r="AP165" i="5" s="1"/>
  <c r="AF149" i="5"/>
  <c r="AF133" i="5"/>
  <c r="AP133" i="5" s="1"/>
  <c r="AF117" i="5"/>
  <c r="AF101" i="5"/>
  <c r="AF85" i="5"/>
  <c r="AP85" i="5" s="1"/>
  <c r="AF57" i="5"/>
  <c r="AP57" i="5" s="1"/>
  <c r="AF23" i="5"/>
  <c r="AF532" i="5"/>
  <c r="AF500" i="5"/>
  <c r="AP500" i="5" s="1"/>
  <c r="AF452" i="5"/>
  <c r="AF388" i="5"/>
  <c r="AP388" i="5" s="1"/>
  <c r="AF320" i="5"/>
  <c r="AP320" i="5" s="1"/>
  <c r="AF236" i="5"/>
  <c r="AF543" i="5"/>
  <c r="AF192" i="5"/>
  <c r="AP192" i="5" s="1"/>
  <c r="AF399" i="5"/>
  <c r="AP399" i="5" s="1"/>
  <c r="AF349" i="5"/>
  <c r="AF333" i="5"/>
  <c r="AF317" i="5"/>
  <c r="AP317" i="5" s="1"/>
  <c r="AF301" i="5"/>
  <c r="AP301" i="5" s="1"/>
  <c r="AF285" i="5"/>
  <c r="AP285" i="5" s="1"/>
  <c r="AF269" i="5"/>
  <c r="AF253" i="5"/>
  <c r="AP253" i="5" s="1"/>
  <c r="AF237" i="5"/>
  <c r="AF221" i="5"/>
  <c r="AF205" i="5"/>
  <c r="AP205" i="5" s="1"/>
  <c r="AF189" i="5"/>
  <c r="AF173" i="5"/>
  <c r="AF157" i="5"/>
  <c r="AF141" i="5"/>
  <c r="AP141" i="5" s="1"/>
  <c r="AF125" i="5"/>
  <c r="AP125" i="5" s="1"/>
  <c r="AF109" i="5"/>
  <c r="AP109" i="5" s="1"/>
  <c r="AF93" i="5"/>
  <c r="AP93" i="5" s="1"/>
  <c r="AF73" i="5"/>
  <c r="AF39" i="5"/>
  <c r="AF548" i="5"/>
  <c r="AF516" i="5"/>
  <c r="AP516" i="5" s="1"/>
  <c r="AF484" i="5"/>
  <c r="AF420" i="5"/>
  <c r="AF356" i="5"/>
  <c r="AP356" i="5" s="1"/>
  <c r="AF280" i="5"/>
  <c r="AP280" i="5" s="1"/>
  <c r="AF128" i="5"/>
  <c r="AF69" i="5"/>
  <c r="AF53" i="5"/>
  <c r="AP53" i="5" s="1"/>
  <c r="AF35" i="5"/>
  <c r="AF560" i="5"/>
  <c r="AF544" i="5"/>
  <c r="AF528" i="5"/>
  <c r="AP528" i="5" s="1"/>
  <c r="AF512" i="5"/>
  <c r="AF496" i="5"/>
  <c r="AP496" i="5" s="1"/>
  <c r="AF476" i="5"/>
  <c r="AF444" i="5"/>
  <c r="AF412" i="5"/>
  <c r="AP412" i="5" s="1"/>
  <c r="AF380" i="5"/>
  <c r="AF348" i="5"/>
  <c r="AF312" i="5"/>
  <c r="AF268" i="5"/>
  <c r="AF224" i="5"/>
  <c r="AF176" i="5"/>
  <c r="AF112" i="5"/>
  <c r="AP112" i="5" s="1"/>
  <c r="AF48" i="5"/>
  <c r="AP48" i="5" s="1"/>
  <c r="AF511" i="5"/>
  <c r="AF383" i="5"/>
  <c r="AF216" i="5"/>
  <c r="AF160" i="5"/>
  <c r="AF96" i="5"/>
  <c r="AP96" i="5" s="1"/>
  <c r="AF34" i="5"/>
  <c r="AF495" i="5"/>
  <c r="AP495" i="5" s="1"/>
  <c r="AF271" i="5"/>
  <c r="AF77" i="5"/>
  <c r="AP77" i="5" s="1"/>
  <c r="AF61" i="5"/>
  <c r="AF45" i="5"/>
  <c r="AP45" i="5" s="1"/>
  <c r="AF27" i="5"/>
  <c r="AP27" i="5" s="1"/>
  <c r="AF552" i="5"/>
  <c r="AF536" i="5"/>
  <c r="AF520" i="5"/>
  <c r="AP520" i="5" s="1"/>
  <c r="AF504" i="5"/>
  <c r="AP504" i="5" s="1"/>
  <c r="AF488" i="5"/>
  <c r="AP488" i="5" s="1"/>
  <c r="AF460" i="5"/>
  <c r="AF428" i="5"/>
  <c r="AP428" i="5" s="1"/>
  <c r="AF396" i="5"/>
  <c r="AF364" i="5"/>
  <c r="AP364" i="5" s="1"/>
  <c r="AF332" i="5"/>
  <c r="AF288" i="5"/>
  <c r="AP288" i="5" s="1"/>
  <c r="AF248" i="5"/>
  <c r="AF204" i="5"/>
  <c r="AP204" i="5" s="1"/>
  <c r="AF144" i="5"/>
  <c r="AF80" i="5"/>
  <c r="AF559" i="5"/>
  <c r="AP559" i="5" s="1"/>
  <c r="AF479" i="5"/>
  <c r="AP479" i="5" s="1"/>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P351" i="5" s="1"/>
  <c r="AF287" i="5"/>
  <c r="AF223" i="5"/>
  <c r="AP223" i="5" s="1"/>
  <c r="AF159" i="5"/>
  <c r="AP159" i="5" s="1"/>
  <c r="AF95" i="5"/>
  <c r="AF143" i="5"/>
  <c r="AF79" i="5"/>
  <c r="AF480" i="5"/>
  <c r="AF464" i="5"/>
  <c r="AF448" i="5"/>
  <c r="AF432" i="5"/>
  <c r="AF416" i="5"/>
  <c r="AP416" i="5" s="1"/>
  <c r="AF400" i="5"/>
  <c r="AF384" i="5"/>
  <c r="AP384" i="5" s="1"/>
  <c r="AF368" i="5"/>
  <c r="AP368" i="5" s="1"/>
  <c r="AF352" i="5"/>
  <c r="AP352" i="5" s="1"/>
  <c r="AF336" i="5"/>
  <c r="AF316" i="5"/>
  <c r="AF296" i="5"/>
  <c r="AP296" i="5" s="1"/>
  <c r="AF272" i="5"/>
  <c r="AP272" i="5" s="1"/>
  <c r="AF252" i="5"/>
  <c r="AF232" i="5"/>
  <c r="AF208" i="5"/>
  <c r="AP208" i="5" s="1"/>
  <c r="AF184" i="5"/>
  <c r="AP184" i="5" s="1"/>
  <c r="AF152" i="5"/>
  <c r="AP152" i="5" s="1"/>
  <c r="AF120" i="5"/>
  <c r="AP120" i="5" s="1"/>
  <c r="AF88" i="5"/>
  <c r="AF56" i="5"/>
  <c r="AP56" i="5" s="1"/>
  <c r="AF26" i="5"/>
  <c r="AP26" i="5" s="1"/>
  <c r="AF535" i="5"/>
  <c r="AP535" i="5" s="1"/>
  <c r="AF503" i="5"/>
  <c r="AP503" i="5" s="1"/>
  <c r="AF471" i="5"/>
  <c r="AF439" i="5"/>
  <c r="AP439" i="5" s="1"/>
  <c r="AF407" i="5"/>
  <c r="AF375" i="5"/>
  <c r="AF343" i="5"/>
  <c r="AF311" i="5"/>
  <c r="AP311" i="5" s="1"/>
  <c r="AF279" i="5"/>
  <c r="AP279" i="5" s="1"/>
  <c r="AF247" i="5"/>
  <c r="AF215" i="5"/>
  <c r="AF183" i="5"/>
  <c r="AF151" i="5"/>
  <c r="AF119" i="5"/>
  <c r="AF87" i="5"/>
  <c r="AF55" i="5"/>
  <c r="AP55" i="5" s="1"/>
  <c r="AF10" i="5"/>
  <c r="AF47" i="5"/>
  <c r="AP47" i="5" s="1"/>
  <c r="AF472" i="5"/>
  <c r="AF456" i="5"/>
  <c r="AP456" i="5" s="1"/>
  <c r="AF440" i="5"/>
  <c r="AP440" i="5" s="1"/>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P104" i="5" s="1"/>
  <c r="AF72" i="5"/>
  <c r="AF42" i="5"/>
  <c r="AP42" i="5" s="1"/>
  <c r="AF551" i="5"/>
  <c r="AP551" i="5" s="1"/>
  <c r="AF519" i="5"/>
  <c r="AF487" i="5"/>
  <c r="AF455" i="5"/>
  <c r="AF423" i="5"/>
  <c r="AF391" i="5"/>
  <c r="AF359" i="5"/>
  <c r="AF327" i="5"/>
  <c r="AF295" i="5"/>
  <c r="AF263" i="5"/>
  <c r="AF231" i="5"/>
  <c r="AF199" i="5"/>
  <c r="AP199" i="5" s="1"/>
  <c r="AF167" i="5"/>
  <c r="AP167" i="5" s="1"/>
  <c r="AF135" i="5"/>
  <c r="AF103" i="5"/>
  <c r="AF71" i="5"/>
  <c r="AP71" i="5" s="1"/>
  <c r="AF19" i="5"/>
  <c r="AF188" i="5"/>
  <c r="AP188" i="5" s="1"/>
  <c r="AF172" i="5"/>
  <c r="AP172" i="5" s="1"/>
  <c r="AF156" i="5"/>
  <c r="AP156" i="5" s="1"/>
  <c r="AF140" i="5"/>
  <c r="AF124" i="5"/>
  <c r="AF108" i="5"/>
  <c r="AP108" i="5" s="1"/>
  <c r="AF92" i="5"/>
  <c r="AF76" i="5"/>
  <c r="AP76" i="5" s="1"/>
  <c r="AF60" i="5"/>
  <c r="AF44" i="5"/>
  <c r="AF30" i="5"/>
  <c r="AP30" i="5" s="1"/>
  <c r="AF555" i="5"/>
  <c r="AF539" i="5"/>
  <c r="AP539" i="5" s="1"/>
  <c r="AF523" i="5"/>
  <c r="AF507" i="5"/>
  <c r="AF491" i="5"/>
  <c r="AP491" i="5" s="1"/>
  <c r="AF475" i="5"/>
  <c r="AF459" i="5"/>
  <c r="AF443" i="5"/>
  <c r="AF427" i="5"/>
  <c r="AP427" i="5" s="1"/>
  <c r="AF411" i="5"/>
  <c r="AF395" i="5"/>
  <c r="AP395" i="5" s="1"/>
  <c r="AF379" i="5"/>
  <c r="AF363" i="5"/>
  <c r="AP363" i="5" s="1"/>
  <c r="AF347" i="5"/>
  <c r="AF331" i="5"/>
  <c r="AP331" i="5" s="1"/>
  <c r="AF315" i="5"/>
  <c r="AF299" i="5"/>
  <c r="AP299" i="5" s="1"/>
  <c r="AF283" i="5"/>
  <c r="AP283" i="5" s="1"/>
  <c r="AF267" i="5"/>
  <c r="AF251" i="5"/>
  <c r="AF235" i="5"/>
  <c r="AF219" i="5"/>
  <c r="AP219" i="5" s="1"/>
  <c r="AF203" i="5"/>
  <c r="AF187" i="5"/>
  <c r="AF171" i="5"/>
  <c r="AF155" i="5"/>
  <c r="AP155" i="5" s="1"/>
  <c r="AF139" i="5"/>
  <c r="AP139" i="5" s="1"/>
  <c r="AF123" i="5"/>
  <c r="AF107" i="5"/>
  <c r="AP107" i="5" s="1"/>
  <c r="AF91" i="5"/>
  <c r="AP91" i="5" s="1"/>
  <c r="AF75" i="5"/>
  <c r="AF59" i="5"/>
  <c r="AF43" i="5"/>
  <c r="AF7" i="5"/>
  <c r="AP7" i="5" s="1"/>
  <c r="AF9" i="5"/>
  <c r="AF8" i="5"/>
  <c r="AP8" i="5" s="1"/>
  <c r="AF324" i="5"/>
  <c r="AP324" i="5" s="1"/>
  <c r="AF308" i="5"/>
  <c r="AF292" i="5"/>
  <c r="AP292" i="5" s="1"/>
  <c r="AF276" i="5"/>
  <c r="AF260" i="5"/>
  <c r="AP260" i="5" s="1"/>
  <c r="AF244" i="5"/>
  <c r="AP244" i="5" s="1"/>
  <c r="AF228" i="5"/>
  <c r="AP228" i="5" s="1"/>
  <c r="AF212" i="5"/>
  <c r="AP212" i="5" s="1"/>
  <c r="AF196" i="5"/>
  <c r="AP196" i="5" s="1"/>
  <c r="AF180" i="5"/>
  <c r="AP180" i="5" s="1"/>
  <c r="AF164" i="5"/>
  <c r="AP164" i="5" s="1"/>
  <c r="AF148" i="5"/>
  <c r="AP148" i="5" s="1"/>
  <c r="AF132" i="5"/>
  <c r="AF116" i="5"/>
  <c r="AP116" i="5" s="1"/>
  <c r="AF100" i="5"/>
  <c r="AP100" i="5" s="1"/>
  <c r="AF84" i="5"/>
  <c r="AP84" i="5" s="1"/>
  <c r="AF68" i="5"/>
  <c r="AF52" i="5"/>
  <c r="AP52" i="5" s="1"/>
  <c r="AF38" i="5"/>
  <c r="AF22" i="5"/>
  <c r="AP22" i="5" s="1"/>
  <c r="AF547" i="5"/>
  <c r="AF531" i="5"/>
  <c r="AF515" i="5"/>
  <c r="AP515" i="5" s="1"/>
  <c r="AF499" i="5"/>
  <c r="AF483" i="5"/>
  <c r="AF467" i="5"/>
  <c r="AP467" i="5" s="1"/>
  <c r="AF451" i="5"/>
  <c r="AF435" i="5"/>
  <c r="AF419" i="5"/>
  <c r="AF403" i="5"/>
  <c r="AP403" i="5" s="1"/>
  <c r="AF387" i="5"/>
  <c r="AP387" i="5" s="1"/>
  <c r="AF371" i="5"/>
  <c r="AF355" i="5"/>
  <c r="AF339" i="5"/>
  <c r="AP339" i="5" s="1"/>
  <c r="AF323" i="5"/>
  <c r="AF307" i="5"/>
  <c r="AP307" i="5" s="1"/>
  <c r="AF291" i="5"/>
  <c r="AF275" i="5"/>
  <c r="AP275" i="5" s="1"/>
  <c r="AF259" i="5"/>
  <c r="AF243" i="5"/>
  <c r="AP243" i="5" s="1"/>
  <c r="AF227" i="5"/>
  <c r="AP227" i="5" s="1"/>
  <c r="AF211" i="5"/>
  <c r="AF195" i="5"/>
  <c r="AP195" i="5" s="1"/>
  <c r="AF179" i="5"/>
  <c r="AF163" i="5"/>
  <c r="AF147" i="5"/>
  <c r="AF131" i="5"/>
  <c r="AF115" i="5"/>
  <c r="AF99" i="5"/>
  <c r="AP99" i="5" s="1"/>
  <c r="AF83" i="5"/>
  <c r="AP83" i="5" s="1"/>
  <c r="AF67" i="5"/>
  <c r="AP67" i="5" s="1"/>
  <c r="AF51" i="5"/>
  <c r="AP51" i="5" s="1"/>
  <c r="AF12" i="5"/>
  <c r="AP12" i="5" s="1"/>
  <c r="Q10" i="5"/>
  <c r="S10" i="5" s="1"/>
  <c r="AW10" i="5"/>
  <c r="AX10" i="5" s="1"/>
  <c r="B123" i="2"/>
  <c r="B125" i="2" s="1"/>
  <c r="O9" i="5"/>
  <c r="AM9" i="5" s="1"/>
  <c r="AG11" i="5"/>
  <c r="AH522" i="5"/>
  <c r="AI522" i="5"/>
  <c r="AI535" i="5"/>
  <c r="AH535" i="5"/>
  <c r="AH458" i="5"/>
  <c r="AI458" i="5"/>
  <c r="AI508" i="5"/>
  <c r="AI491" i="5"/>
  <c r="AH491" i="5"/>
  <c r="AH547" i="5"/>
  <c r="AH513" i="5"/>
  <c r="AI513" i="5"/>
  <c r="AH474" i="5"/>
  <c r="AI461" i="5"/>
  <c r="AH461" i="5"/>
  <c r="AH412" i="5"/>
  <c r="AI412" i="5"/>
  <c r="AH351" i="5"/>
  <c r="AI351" i="5"/>
  <c r="AH284" i="5"/>
  <c r="AI284" i="5"/>
  <c r="AI226" i="5"/>
  <c r="AH226" i="5"/>
  <c r="AH416" i="5"/>
  <c r="AI416" i="5"/>
  <c r="AI367" i="5"/>
  <c r="AH337" i="5"/>
  <c r="AI337" i="5"/>
  <c r="AI319" i="5"/>
  <c r="AI265" i="5"/>
  <c r="AH265" i="5"/>
  <c r="AI239" i="5"/>
  <c r="AH239" i="5"/>
  <c r="AH207" i="5"/>
  <c r="AI207" i="5"/>
  <c r="AI473" i="5"/>
  <c r="AH473" i="5"/>
  <c r="AH442" i="5"/>
  <c r="AI442" i="5"/>
  <c r="AH410" i="5"/>
  <c r="AI410" i="5"/>
  <c r="AI384" i="5"/>
  <c r="AH384" i="5"/>
  <c r="AH361" i="5"/>
  <c r="AI361" i="5"/>
  <c r="AH334" i="5"/>
  <c r="AI334" i="5"/>
  <c r="AI321" i="5"/>
  <c r="AH321" i="5"/>
  <c r="AI300" i="5"/>
  <c r="AH300" i="5"/>
  <c r="AH227" i="5"/>
  <c r="AI227" i="5"/>
  <c r="AH195" i="5"/>
  <c r="AI195" i="5"/>
  <c r="AI427" i="5"/>
  <c r="AH427" i="5"/>
  <c r="AH382" i="5"/>
  <c r="AI382" i="5"/>
  <c r="AH354" i="5"/>
  <c r="AI354" i="5"/>
  <c r="AH338" i="5"/>
  <c r="AH306" i="5"/>
  <c r="AI306" i="5"/>
  <c r="AH282" i="5"/>
  <c r="AI282" i="5"/>
  <c r="AH266" i="5"/>
  <c r="AI266" i="5"/>
  <c r="AI243" i="5"/>
  <c r="AH243" i="5"/>
  <c r="AH217" i="5"/>
  <c r="AI217" i="5"/>
  <c r="AH192" i="5"/>
  <c r="AI192" i="5"/>
  <c r="AH172" i="5"/>
  <c r="AI172" i="5"/>
  <c r="AH141" i="5"/>
  <c r="AI141" i="5"/>
  <c r="AH125" i="5"/>
  <c r="AI125" i="5"/>
  <c r="AI109" i="5"/>
  <c r="AH93" i="5"/>
  <c r="AI93" i="5"/>
  <c r="AH72" i="5"/>
  <c r="AI55" i="5"/>
  <c r="AH55" i="5"/>
  <c r="AH164" i="5"/>
  <c r="AI164" i="5"/>
  <c r="AH114" i="5"/>
  <c r="AI114" i="5"/>
  <c r="AI89" i="5"/>
  <c r="AH89" i="5"/>
  <c r="AH65" i="5"/>
  <c r="AI65" i="5"/>
  <c r="AH174" i="5"/>
  <c r="AI174" i="5"/>
  <c r="AH145" i="5"/>
  <c r="AI145" i="5"/>
  <c r="AH112" i="5"/>
  <c r="AI112" i="5"/>
  <c r="AH77" i="5"/>
  <c r="AI77" i="5"/>
  <c r="AI186" i="5"/>
  <c r="AH186" i="5"/>
  <c r="AH148" i="5"/>
  <c r="AI148" i="5"/>
  <c r="AH106" i="5"/>
  <c r="AI106" i="5"/>
  <c r="AH74" i="5"/>
  <c r="AI74" i="5"/>
  <c r="AH58" i="5"/>
  <c r="AI58" i="5"/>
  <c r="AH36" i="5"/>
  <c r="AI36" i="5"/>
  <c r="AH37" i="5"/>
  <c r="AI37" i="5"/>
  <c r="AI29" i="5"/>
  <c r="AH21" i="5"/>
  <c r="AI21" i="5"/>
  <c r="AH12"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7" i="5"/>
  <c r="AH533" i="5"/>
  <c r="AH520" i="5"/>
  <c r="AH526" i="5"/>
  <c r="AH469" i="5"/>
  <c r="AI469" i="5"/>
  <c r="AI475" i="5"/>
  <c r="AH434" i="5"/>
  <c r="AI434" i="5"/>
  <c r="AH402" i="5"/>
  <c r="AI329" i="5"/>
  <c r="AI309" i="5"/>
  <c r="AH309" i="5"/>
  <c r="AH254" i="5"/>
  <c r="AI254" i="5"/>
  <c r="AI240" i="5"/>
  <c r="AI364" i="5"/>
  <c r="AH364" i="5"/>
  <c r="AI234" i="5"/>
  <c r="AH234" i="5"/>
  <c r="AH488" i="5"/>
  <c r="AI488" i="5"/>
  <c r="AH409" i="5"/>
  <c r="AI409" i="5"/>
  <c r="AH373" i="5"/>
  <c r="AI373" i="5"/>
  <c r="AI360" i="5"/>
  <c r="AI320" i="5"/>
  <c r="AH320" i="5"/>
  <c r="AI225" i="5"/>
  <c r="AI440" i="5"/>
  <c r="AH424" i="5"/>
  <c r="AI424" i="5"/>
  <c r="AI408" i="5"/>
  <c r="AH363" i="5"/>
  <c r="AI363" i="5"/>
  <c r="AH279" i="5"/>
  <c r="AI279" i="5"/>
  <c r="AI253" i="5"/>
  <c r="AH253" i="5"/>
  <c r="AI190" i="5"/>
  <c r="AH190" i="5"/>
  <c r="AH90" i="5"/>
  <c r="AI90" i="5"/>
  <c r="AH180" i="5"/>
  <c r="AI180" i="5"/>
  <c r="AH136" i="5"/>
  <c r="AI136" i="5"/>
  <c r="AI97" i="5"/>
  <c r="AH97" i="5"/>
  <c r="AH78" i="5"/>
  <c r="AI78" i="5"/>
  <c r="AI182" i="5"/>
  <c r="AH182" i="5"/>
  <c r="AH154" i="5"/>
  <c r="AI154" i="5"/>
  <c r="AH144" i="5"/>
  <c r="AH118" i="5"/>
  <c r="AI118" i="5"/>
  <c r="AH91" i="5"/>
  <c r="AI91" i="5"/>
  <c r="AH193" i="5"/>
  <c r="AI193" i="5"/>
  <c r="AH152" i="5"/>
  <c r="AI152" i="5"/>
  <c r="AH121" i="5"/>
  <c r="AI121" i="5"/>
  <c r="AH83" i="5"/>
  <c r="AI83" i="5"/>
  <c r="AH63" i="5"/>
  <c r="AI63" i="5"/>
  <c r="AH48" i="5"/>
  <c r="AI48" i="5"/>
  <c r="AH42" i="5"/>
  <c r="AI42" i="5"/>
  <c r="AH26" i="5"/>
  <c r="AI26" i="5"/>
  <c r="AH8" i="5"/>
  <c r="AI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51" i="5"/>
  <c r="AI551" i="5"/>
  <c r="AH500" i="5"/>
  <c r="AI500" i="5"/>
  <c r="AH541" i="5"/>
  <c r="AI541" i="5"/>
  <c r="AH466" i="5"/>
  <c r="AI466" i="5"/>
  <c r="AI515" i="5"/>
  <c r="AH515" i="5"/>
  <c r="AH496" i="5"/>
  <c r="AI558" i="5"/>
  <c r="AH558" i="5"/>
  <c r="AI521" i="5"/>
  <c r="AH485" i="5"/>
  <c r="AH449" i="5"/>
  <c r="AI260" i="5"/>
  <c r="AI196" i="5"/>
  <c r="AH421" i="5"/>
  <c r="AI218" i="5"/>
  <c r="AH218" i="5"/>
  <c r="AI202" i="5"/>
  <c r="AH202" i="5"/>
  <c r="AI439" i="5"/>
  <c r="AH439" i="5"/>
  <c r="AH389" i="5"/>
  <c r="AH379" i="5"/>
  <c r="AI379" i="5"/>
  <c r="AH341" i="5"/>
  <c r="AH331" i="5"/>
  <c r="AI331" i="5"/>
  <c r="AI303" i="5"/>
  <c r="AH252" i="5"/>
  <c r="AI252" i="5"/>
  <c r="AI208" i="5"/>
  <c r="AH446" i="5"/>
  <c r="AI446" i="5"/>
  <c r="AH430" i="5"/>
  <c r="AH395" i="5"/>
  <c r="AI395" i="5"/>
  <c r="AH369" i="5"/>
  <c r="AI369" i="5"/>
  <c r="AI301" i="5"/>
  <c r="AH301" i="5"/>
  <c r="AH270" i="5"/>
  <c r="AI270" i="5"/>
  <c r="AH262" i="5"/>
  <c r="AI262" i="5"/>
  <c r="AH212" i="5"/>
  <c r="AI212" i="5"/>
  <c r="AH178" i="5"/>
  <c r="AI178" i="5"/>
  <c r="AI169" i="5"/>
  <c r="AH169" i="5"/>
  <c r="AH120" i="5"/>
  <c r="AI120" i="5"/>
  <c r="AI81" i="5"/>
  <c r="AI64" i="5"/>
  <c r="AH64" i="5"/>
  <c r="AI173" i="5"/>
  <c r="AH173" i="5"/>
  <c r="AI156" i="5"/>
  <c r="AH156" i="5"/>
  <c r="AI177" i="5"/>
  <c r="AH177" i="5"/>
  <c r="AI160" i="5"/>
  <c r="AI139" i="5"/>
  <c r="AH139" i="5"/>
  <c r="AH85" i="5"/>
  <c r="AI85" i="5"/>
  <c r="AH191" i="5"/>
  <c r="AI191" i="5"/>
  <c r="AH167" i="5"/>
  <c r="AI167" i="5"/>
  <c r="AI130" i="5"/>
  <c r="AH62" i="5"/>
  <c r="AI62" i="5"/>
  <c r="AH28" i="5"/>
  <c r="AI28" i="5"/>
  <c r="AH25" i="5"/>
  <c r="AI25" i="5"/>
  <c r="AH13" i="5"/>
  <c r="AI13"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H509" i="5"/>
  <c r="AI509" i="5"/>
  <c r="AI479" i="5"/>
  <c r="AI525" i="5"/>
  <c r="AH525" i="5"/>
  <c r="AI538" i="5"/>
  <c r="AH538" i="5"/>
  <c r="AH494" i="5"/>
  <c r="AH559" i="5"/>
  <c r="AI559" i="5"/>
  <c r="AH503" i="5"/>
  <c r="AI503" i="5"/>
  <c r="AH456" i="5"/>
  <c r="AI456" i="5"/>
  <c r="AH431" i="5"/>
  <c r="AI399" i="5"/>
  <c r="AH399" i="5"/>
  <c r="AI380" i="5"/>
  <c r="AI359" i="5"/>
  <c r="AH342" i="5"/>
  <c r="AI342" i="5"/>
  <c r="AH272" i="5"/>
  <c r="AI272" i="5"/>
  <c r="AH246" i="5"/>
  <c r="AH205" i="5"/>
  <c r="AI205" i="5"/>
  <c r="AI435" i="5"/>
  <c r="AI403" i="5"/>
  <c r="AH403" i="5"/>
  <c r="AI339" i="5"/>
  <c r="AH324" i="5"/>
  <c r="AI324" i="5"/>
  <c r="AI285" i="5"/>
  <c r="AH285" i="5"/>
  <c r="AH228" i="5"/>
  <c r="AI228" i="5"/>
  <c r="AH187" i="5"/>
  <c r="AI187" i="5"/>
  <c r="AI467" i="5"/>
  <c r="AH467" i="5"/>
  <c r="AH436" i="5"/>
  <c r="AI436" i="5"/>
  <c r="AH404" i="5"/>
  <c r="AI404" i="5"/>
  <c r="AH378" i="5"/>
  <c r="AI378" i="5"/>
  <c r="AI352" i="5"/>
  <c r="AH352" i="5"/>
  <c r="AH330" i="5"/>
  <c r="AI330" i="5"/>
  <c r="AI313" i="5"/>
  <c r="AH313" i="5"/>
  <c r="AI302" i="5"/>
  <c r="AH251" i="5"/>
  <c r="AI251" i="5"/>
  <c r="AH220" i="5"/>
  <c r="AI220" i="5"/>
  <c r="AH445" i="5"/>
  <c r="AI445" i="5"/>
  <c r="AH413" i="5"/>
  <c r="AI413" i="5"/>
  <c r="AI368" i="5"/>
  <c r="AH368" i="5"/>
  <c r="AI340" i="5"/>
  <c r="AH340" i="5"/>
  <c r="AH291" i="5"/>
  <c r="AI291" i="5"/>
  <c r="AH275" i="5"/>
  <c r="AI275" i="5"/>
  <c r="AH256" i="5"/>
  <c r="AI256" i="5"/>
  <c r="AH233" i="5"/>
  <c r="AI233" i="5"/>
  <c r="AI210" i="5"/>
  <c r="AH210" i="5"/>
  <c r="AH184" i="5"/>
  <c r="AI184" i="5"/>
  <c r="AH166" i="5"/>
  <c r="AI166" i="5"/>
  <c r="AI134" i="5"/>
  <c r="AH134" i="5"/>
  <c r="AH110" i="5"/>
  <c r="AI110" i="5"/>
  <c r="AH76" i="5"/>
  <c r="AI76" i="5"/>
  <c r="AH60" i="5"/>
  <c r="AI185" i="5"/>
  <c r="AH185" i="5"/>
  <c r="AI155" i="5"/>
  <c r="AH155" i="5"/>
  <c r="AH108" i="5"/>
  <c r="AI108" i="5"/>
  <c r="AI84" i="5"/>
  <c r="AH84" i="5"/>
  <c r="AI50" i="5"/>
  <c r="AH50" i="5"/>
  <c r="AH159" i="5"/>
  <c r="AI159" i="5"/>
  <c r="AI135" i="5"/>
  <c r="AH135" i="5"/>
  <c r="AI99" i="5"/>
  <c r="AH99" i="5"/>
  <c r="AH47" i="5"/>
  <c r="AI47" i="5"/>
  <c r="AI165" i="5"/>
  <c r="AH165" i="5"/>
  <c r="AH129" i="5"/>
  <c r="AI129" i="5"/>
  <c r="AH100" i="5"/>
  <c r="AI100" i="5"/>
  <c r="AH67" i="5"/>
  <c r="AI67" i="5"/>
  <c r="AH53" i="5"/>
  <c r="AI53" i="5"/>
  <c r="AH24" i="5"/>
  <c r="AI24" i="5"/>
  <c r="AH30" i="5"/>
  <c r="AI30" i="5"/>
  <c r="AI22" i="5"/>
  <c r="AH27" i="5"/>
  <c r="AI27"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AP430" i="5"/>
  <c r="AP361" i="5"/>
  <c r="AP282" i="5"/>
  <c r="AP234" i="5"/>
  <c r="AP469" i="5"/>
  <c r="AP36"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P289" i="5" l="1"/>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AH69" i="5"/>
  <c r="AI316" i="5"/>
  <c r="AI39" i="5"/>
  <c r="AH249" i="5"/>
  <c r="AH505" i="5"/>
  <c r="AI35" i="5"/>
  <c r="AI71" i="5"/>
  <c r="AI57" i="5"/>
  <c r="AI61" i="5"/>
  <c r="AI49" i="5"/>
  <c r="AH263" i="5"/>
  <c r="AH293" i="5"/>
  <c r="AH454" i="5"/>
  <c r="AI181" i="5"/>
  <c r="AI274" i="5"/>
  <c r="AH411" i="5"/>
  <c r="AH312" i="5"/>
  <c r="AI393" i="5"/>
  <c r="AH221" i="5"/>
  <c r="AH519" i="5"/>
  <c r="AP451" i="5"/>
  <c r="AP75" i="5"/>
  <c r="AP267" i="5"/>
  <c r="AP72" i="5"/>
  <c r="AP88" i="5"/>
  <c r="AP79" i="5"/>
  <c r="AP35" i="5"/>
  <c r="AP157" i="5"/>
  <c r="AP221" i="5"/>
  <c r="AP149" i="5"/>
  <c r="AP213" i="5"/>
  <c r="AP393" i="5"/>
  <c r="AP32" i="5"/>
  <c r="AP318" i="5"/>
  <c r="AP29" i="5"/>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AP411" i="5"/>
  <c r="AP60" i="5"/>
  <c r="AP124" i="5"/>
  <c r="AP391" i="5"/>
  <c r="AP407" i="5"/>
  <c r="AP232" i="5"/>
  <c r="AP80" i="5"/>
  <c r="AP312" i="5"/>
  <c r="AP229" i="5"/>
  <c r="AP293" i="5"/>
  <c r="AP126" i="5"/>
  <c r="AP49" i="5"/>
  <c r="AP146" i="5"/>
  <c r="AP158" i="5"/>
  <c r="AP386" i="5"/>
  <c r="AP206" i="5"/>
  <c r="AP302" i="5"/>
  <c r="AP350" i="5"/>
  <c r="AP278" i="5"/>
  <c r="AI549" i="5"/>
  <c r="AH510" i="5"/>
  <c r="AH31" i="5"/>
  <c r="AH56" i="5"/>
  <c r="AI372" i="5"/>
  <c r="AI486" i="5"/>
  <c r="AH383" i="5"/>
  <c r="AH68" i="5"/>
  <c r="AI335" i="5"/>
  <c r="AH554" i="5"/>
  <c r="AP336" i="5"/>
  <c r="AP175" i="5"/>
  <c r="AP319" i="5"/>
  <c r="AP463" i="5"/>
  <c r="AP144" i="5"/>
  <c r="AP61" i="5"/>
  <c r="AP189" i="5"/>
  <c r="AP117" i="5"/>
  <c r="AP181" i="5"/>
  <c r="AP385" i="5"/>
  <c r="AP274" i="5"/>
  <c r="AP338" i="5"/>
  <c r="AP524" i="5"/>
  <c r="AP41" i="5"/>
  <c r="AP414" i="5"/>
  <c r="AH504" i="5"/>
  <c r="AI482" i="5"/>
  <c r="AI82" i="5"/>
  <c r="AI280" i="5"/>
  <c r="AI448" i="5"/>
  <c r="AI492" i="5"/>
  <c r="AI273" i="5"/>
  <c r="AI516" i="5"/>
  <c r="AI287" i="5"/>
  <c r="AI390" i="5"/>
  <c r="AI555" i="5"/>
  <c r="AH111" i="5"/>
  <c r="AI223" i="5"/>
  <c r="AI346" i="5"/>
  <c r="AH238" i="5"/>
  <c r="AH511" i="5"/>
  <c r="AH140" i="5"/>
  <c r="AP334" i="5"/>
  <c r="AH299" i="5"/>
  <c r="AH388" i="5"/>
  <c r="AI394" i="5"/>
  <c r="AH471" i="5"/>
  <c r="AH107" i="5"/>
  <c r="AH230" i="5"/>
  <c r="AI326" i="5"/>
  <c r="AH507" i="5"/>
  <c r="AI468" i="5"/>
  <c r="AI560" i="5"/>
  <c r="AP507" i="5"/>
  <c r="AP408" i="5"/>
  <c r="AP471" i="5"/>
  <c r="AP527" i="5"/>
  <c r="AP560" i="5"/>
  <c r="AP468" i="5"/>
  <c r="AI101" i="5"/>
  <c r="AH317" i="5"/>
  <c r="AI532" i="5"/>
  <c r="AH459" i="5"/>
  <c r="AH311" i="5"/>
  <c r="AI406" i="5"/>
  <c r="AH556" i="5"/>
  <c r="AP459" i="5"/>
  <c r="AP303" i="5"/>
  <c r="AP218" i="5"/>
  <c r="AP389" i="5"/>
  <c r="AP485" i="5"/>
  <c r="AP394" i="5"/>
  <c r="AP475" i="5"/>
  <c r="AP532" i="5"/>
  <c r="AP101" i="5"/>
  <c r="AP329" i="5"/>
  <c r="AH355" i="5"/>
  <c r="AH73" i="5"/>
  <c r="AI455" i="5"/>
  <c r="AI543" i="5"/>
  <c r="AI179" i="5"/>
  <c r="AH347" i="5"/>
  <c r="AI211" i="5"/>
  <c r="AH261" i="5"/>
  <c r="AH296" i="5"/>
  <c r="AH387" i="5"/>
  <c r="AH444" i="5"/>
  <c r="AP435" i="5"/>
  <c r="AP187" i="5"/>
  <c r="AP251" i="5"/>
  <c r="AP315" i="5"/>
  <c r="AP379" i="5"/>
  <c r="AP455" i="5"/>
  <c r="AP472" i="5"/>
  <c r="AP480" i="5"/>
  <c r="AP191" i="5"/>
  <c r="AP552" i="5"/>
  <c r="AP185" i="5"/>
  <c r="AP378" i="5"/>
  <c r="AP442" i="5"/>
  <c r="AP382" i="5"/>
  <c r="AH305" i="5"/>
  <c r="AI480" i="5"/>
  <c r="AH531" i="5"/>
  <c r="AI529" i="5"/>
  <c r="AI128" i="5"/>
  <c r="AI315" i="5"/>
  <c r="AI292" i="5"/>
  <c r="AH365" i="5"/>
  <c r="AH242" i="5"/>
  <c r="AI472" i="5"/>
  <c r="AH542" i="5"/>
  <c r="AH257" i="5"/>
  <c r="AI314" i="5"/>
  <c r="AI552" i="5"/>
  <c r="AI544" i="5"/>
  <c r="AP531" i="5"/>
  <c r="AP347" i="5"/>
  <c r="AP135" i="5"/>
  <c r="BI135" i="5" s="1"/>
  <c r="AP448" i="5"/>
  <c r="AP111" i="5"/>
  <c r="AP367" i="5"/>
  <c r="AP444" i="5"/>
  <c r="BI444" i="5" s="1"/>
  <c r="AP548" i="5"/>
  <c r="AP173" i="5"/>
  <c r="AP300" i="5"/>
  <c r="AP210" i="5"/>
  <c r="BI210" i="5" s="1"/>
  <c r="AP129" i="5"/>
  <c r="AP24" i="5"/>
  <c r="AP21" i="5"/>
  <c r="AP291" i="5"/>
  <c r="BI291" i="5" s="1"/>
  <c r="AP355" i="5"/>
  <c r="AP547" i="5"/>
  <c r="AP555" i="5"/>
  <c r="AP140" i="5"/>
  <c r="BI140" i="5" s="1"/>
  <c r="AP252" i="5"/>
  <c r="AP431" i="5"/>
  <c r="AP544" i="5"/>
  <c r="AP508" i="5"/>
  <c r="BI508" i="5" s="1"/>
  <c r="AP436" i="5"/>
  <c r="AP50" i="5"/>
  <c r="AP166" i="5"/>
  <c r="AH460" i="5"/>
  <c r="AP362" i="5"/>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AP263" i="5"/>
  <c r="AP519" i="5"/>
  <c r="AP151" i="5"/>
  <c r="AQ151" i="5" s="1"/>
  <c r="AP316" i="5"/>
  <c r="AP143" i="5"/>
  <c r="AP335" i="5"/>
  <c r="AP216" i="5"/>
  <c r="AR216" i="5" s="1"/>
  <c r="AP237" i="5"/>
  <c r="AP357" i="5"/>
  <c r="AP249" i="5"/>
  <c r="AP433" i="5"/>
  <c r="AR433" i="5" s="1"/>
  <c r="AP557" i="5"/>
  <c r="AP453" i="5"/>
  <c r="AP450" i="5"/>
  <c r="AP549" i="5"/>
  <c r="BI549" i="5" s="1"/>
  <c r="AP510" i="5"/>
  <c r="AP374" i="5"/>
  <c r="AP454" i="5"/>
  <c r="AH362" i="5"/>
  <c r="AP68" i="5"/>
  <c r="AP132" i="5"/>
  <c r="AP171" i="5"/>
  <c r="AP392" i="5"/>
  <c r="AR392" i="5" s="1"/>
  <c r="AP400" i="5"/>
  <c r="AP460" i="5"/>
  <c r="AP536" i="5"/>
  <c r="AP383" i="5"/>
  <c r="AR383" i="5" s="1"/>
  <c r="AP476" i="5"/>
  <c r="AP39" i="5"/>
  <c r="AP425" i="5"/>
  <c r="AP553" i="5"/>
  <c r="AQ553" i="5" s="1"/>
  <c r="AP381" i="5"/>
  <c r="AP298" i="5"/>
  <c r="AP554" i="5"/>
  <c r="AP486" i="5"/>
  <c r="AQ486" i="5" s="1"/>
  <c r="AP498" i="5"/>
  <c r="AP517" i="5"/>
  <c r="AP259" i="5"/>
  <c r="AP323" i="5"/>
  <c r="AQ323" i="5" s="1"/>
  <c r="AP203" i="5"/>
  <c r="AP103" i="5"/>
  <c r="AP375" i="5"/>
  <c r="AP396" i="5"/>
  <c r="BI396" i="5" s="1"/>
  <c r="AP268" i="5"/>
  <c r="AP512" i="5"/>
  <c r="AP277" i="5"/>
  <c r="BI277" i="5" s="1"/>
  <c r="AP297" i="5"/>
  <c r="AQ297" i="5" s="1"/>
  <c r="AP372" i="5"/>
  <c r="AP481" i="5"/>
  <c r="AP545" i="5"/>
  <c r="AR545" i="5" s="1"/>
  <c r="AP397" i="5"/>
  <c r="BI397" i="5" s="1"/>
  <c r="AP437" i="5"/>
  <c r="AP230" i="5"/>
  <c r="AP492" i="5"/>
  <c r="AP369" i="5"/>
  <c r="AR369" i="5" s="1"/>
  <c r="AP346" i="5"/>
  <c r="AP305" i="5"/>
  <c r="AP482" i="5"/>
  <c r="AP380" i="5"/>
  <c r="AQ380" i="5" s="1"/>
  <c r="AP128" i="5"/>
  <c r="AP73" i="5"/>
  <c r="AP529" i="5"/>
  <c r="AP130" i="5"/>
  <c r="AR130" i="5" s="1"/>
  <c r="AP202" i="5"/>
  <c r="AP365" i="5"/>
  <c r="AP82" i="5"/>
  <c r="AP257" i="5"/>
  <c r="AR257" i="5" s="1"/>
  <c r="AP421" i="5"/>
  <c r="AP314" i="5"/>
  <c r="AP238" i="5"/>
  <c r="AP262" i="5"/>
  <c r="AQ262" i="5" s="1"/>
  <c r="AP246" i="5"/>
  <c r="AP474" i="5"/>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E24" i="4"/>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AZ11" i="5"/>
  <c r="AT11" i="5"/>
  <c r="T11" i="5"/>
  <c r="U11" i="5" s="1"/>
  <c r="Q11" i="5"/>
  <c r="AW11" i="5"/>
  <c r="AI241" i="5"/>
  <c r="AH241" i="5"/>
  <c r="AH419" i="5"/>
  <c r="AH415" i="5"/>
  <c r="AI462" i="5"/>
  <c r="AI52" i="5"/>
  <c r="AH286" i="5"/>
  <c r="AH258" i="5"/>
  <c r="AI162" i="5"/>
  <c r="AI219" i="5"/>
  <c r="AH127" i="5"/>
  <c r="AI477" i="5"/>
  <c r="AP115" i="5"/>
  <c r="AR115" i="5" s="1"/>
  <c r="AP499" i="5"/>
  <c r="BI499" i="5" s="1"/>
  <c r="AP276" i="5"/>
  <c r="BI276" i="5" s="1"/>
  <c r="AP59" i="5"/>
  <c r="AP123" i="5"/>
  <c r="AQ123" i="5" s="1"/>
  <c r="AP443" i="5"/>
  <c r="BI443" i="5" s="1"/>
  <c r="AP92" i="5"/>
  <c r="BI92" i="5" s="1"/>
  <c r="AP163" i="5"/>
  <c r="AP419" i="5"/>
  <c r="AQ419" i="5" s="1"/>
  <c r="AP483" i="5"/>
  <c r="AQ483" i="5" s="1"/>
  <c r="AP43" i="5"/>
  <c r="BI43" i="5" s="1"/>
  <c r="AP235" i="5"/>
  <c r="AP19" i="5"/>
  <c r="BI19" i="5" s="1"/>
  <c r="AP295" i="5"/>
  <c r="BI295" i="5" s="1"/>
  <c r="AP423" i="5"/>
  <c r="AR423" i="5" s="1"/>
  <c r="AP328" i="5"/>
  <c r="AP183" i="5"/>
  <c r="BI183" i="5" s="1"/>
  <c r="AP464" i="5"/>
  <c r="AQ464" i="5" s="1"/>
  <c r="AP95" i="5"/>
  <c r="BI95" i="5" s="1"/>
  <c r="AP332" i="5"/>
  <c r="AP34" i="5"/>
  <c r="AQ34" i="5" s="1"/>
  <c r="AP176" i="5"/>
  <c r="AR176" i="5" s="1"/>
  <c r="AP420" i="5"/>
  <c r="AP23" i="5"/>
  <c r="AP245" i="5"/>
  <c r="AQ245" i="5" s="1"/>
  <c r="AP142" i="5"/>
  <c r="AQ142" i="5" s="1"/>
  <c r="AP153" i="5"/>
  <c r="AR153" i="5" s="1"/>
  <c r="AP281" i="5"/>
  <c r="AP102" i="5"/>
  <c r="BI102" i="5" s="1"/>
  <c r="AP98" i="5"/>
  <c r="BI98" i="5" s="1"/>
  <c r="AP162" i="5"/>
  <c r="BI162" i="5" s="1"/>
  <c r="AP533" i="5"/>
  <c r="AP426" i="5"/>
  <c r="AQ426" i="5" s="1"/>
  <c r="AP198" i="5"/>
  <c r="AQ198" i="5" s="1"/>
  <c r="AP422" i="5"/>
  <c r="AQ422" i="5" s="1"/>
  <c r="AP286" i="5"/>
  <c r="AP327" i="5"/>
  <c r="AQ327" i="5" s="1"/>
  <c r="AP168" i="5"/>
  <c r="AR168" i="5" s="1"/>
  <c r="AP264" i="5"/>
  <c r="AR264" i="5" s="1"/>
  <c r="AP344" i="5"/>
  <c r="AP87" i="5"/>
  <c r="BI87" i="5" s="1"/>
  <c r="AP215" i="5"/>
  <c r="BI215" i="5" s="1"/>
  <c r="AP343" i="5"/>
  <c r="BI343" i="5" s="1"/>
  <c r="AP415" i="5"/>
  <c r="AP224" i="5"/>
  <c r="BI224" i="5" s="1"/>
  <c r="AP484" i="5"/>
  <c r="AR484" i="5" s="1"/>
  <c r="AP269" i="5"/>
  <c r="BI269" i="5" s="1"/>
  <c r="AP333" i="5"/>
  <c r="AP197" i="5"/>
  <c r="BI197" i="5" s="1"/>
  <c r="AP325" i="5"/>
  <c r="BI325" i="5" s="1"/>
  <c r="AP377" i="5"/>
  <c r="AR377" i="5" s="1"/>
  <c r="AP441" i="5"/>
  <c r="AP94" i="5"/>
  <c r="AR94" i="5" s="1"/>
  <c r="AP401" i="5"/>
  <c r="AQ401" i="5" s="1"/>
  <c r="AP161" i="5"/>
  <c r="AR161" i="5" s="1"/>
  <c r="AP290" i="5"/>
  <c r="AP418" i="5"/>
  <c r="AR418" i="5" s="1"/>
  <c r="AP138" i="5"/>
  <c r="BI138" i="5" s="1"/>
  <c r="AP366" i="5"/>
  <c r="BI366" i="5" s="1"/>
  <c r="AP478" i="5"/>
  <c r="AP438" i="5"/>
  <c r="BI438" i="5" s="1"/>
  <c r="AP534" i="5"/>
  <c r="BI534" i="5" s="1"/>
  <c r="AP33" i="5"/>
  <c r="AQ33" i="5" s="1"/>
  <c r="AP131" i="5"/>
  <c r="AP38" i="5"/>
  <c r="AQ38" i="5" s="1"/>
  <c r="AP523" i="5"/>
  <c r="AR523" i="5" s="1"/>
  <c r="AP44" i="5"/>
  <c r="AR44" i="5" s="1"/>
  <c r="AP231" i="5"/>
  <c r="AP359" i="5"/>
  <c r="BI359" i="5" s="1"/>
  <c r="AP487" i="5"/>
  <c r="AQ487" i="5" s="1"/>
  <c r="AP119" i="5"/>
  <c r="AQ119" i="5" s="1"/>
  <c r="AP247" i="5"/>
  <c r="AP432" i="5"/>
  <c r="AQ432" i="5" s="1"/>
  <c r="AP127" i="5"/>
  <c r="BI127" i="5" s="1"/>
  <c r="AP255" i="5"/>
  <c r="BI255" i="5" s="1"/>
  <c r="AP248" i="5"/>
  <c r="AP271" i="5"/>
  <c r="AQ271" i="5" s="1"/>
  <c r="AP160" i="5"/>
  <c r="AQ160" i="5" s="1"/>
  <c r="AP349" i="5"/>
  <c r="BI349" i="5" s="1"/>
  <c r="AP236" i="5"/>
  <c r="AQ236" i="5" s="1"/>
  <c r="AP540" i="5"/>
  <c r="AQ540" i="5" s="1"/>
  <c r="AP457" i="5"/>
  <c r="AR457" i="5" s="1"/>
  <c r="AP521" i="5"/>
  <c r="AQ521" i="5" s="1"/>
  <c r="AP46" i="5"/>
  <c r="AP345" i="5"/>
  <c r="AQ345" i="5" s="1"/>
  <c r="AP70" i="5"/>
  <c r="AQ70" i="5" s="1"/>
  <c r="AP194" i="5"/>
  <c r="AR194" i="5" s="1"/>
  <c r="AP370" i="5"/>
  <c r="AP405" i="5"/>
  <c r="AR405" i="5" s="1"/>
  <c r="AP122" i="5"/>
  <c r="AR122" i="5" s="1"/>
  <c r="AP398" i="5"/>
  <c r="AR398" i="5" s="1"/>
  <c r="AP494" i="5"/>
  <c r="AP310" i="5"/>
  <c r="AQ310" i="5" s="1"/>
  <c r="AP470" i="5"/>
  <c r="AQ470" i="5" s="1"/>
  <c r="AP550" i="5"/>
  <c r="AQ550" i="5" s="1"/>
  <c r="AP502" i="5"/>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AP452" i="5"/>
  <c r="AQ452" i="5" s="1"/>
  <c r="AP261" i="5"/>
  <c r="AQ261" i="5" s="1"/>
  <c r="AP465" i="5"/>
  <c r="AR465" i="5" s="1"/>
  <c r="AP54" i="5"/>
  <c r="AP211" i="5"/>
  <c r="AR211" i="5" s="1"/>
  <c r="AP287" i="5"/>
  <c r="BI287" i="5" s="1"/>
  <c r="BB10" i="5"/>
  <c r="H32" i="1"/>
  <c r="B63" i="2"/>
  <c r="B66" i="2"/>
  <c r="B80" i="2"/>
  <c r="R10" i="5"/>
  <c r="BC10" i="5"/>
  <c r="BD10" i="5" s="1"/>
  <c r="AJ9" i="5"/>
  <c r="AK9" i="5" s="1"/>
  <c r="AY10" i="5"/>
  <c r="B38" i="2"/>
  <c r="H21" i="1" s="1"/>
  <c r="AG9" i="5"/>
  <c r="AP10" i="5"/>
  <c r="AQ10" i="5" s="1"/>
  <c r="AR59" i="5"/>
  <c r="BI59" i="5"/>
  <c r="AQ59" i="5"/>
  <c r="BI187" i="5"/>
  <c r="AQ187" i="5"/>
  <c r="AR187" i="5"/>
  <c r="AQ251" i="5"/>
  <c r="BI251" i="5"/>
  <c r="AR251" i="5"/>
  <c r="AR315" i="5"/>
  <c r="BI315" i="5"/>
  <c r="AQ315" i="5"/>
  <c r="BI395" i="5"/>
  <c r="AR395" i="5"/>
  <c r="AQ395" i="5"/>
  <c r="BI459" i="5"/>
  <c r="AQ459" i="5"/>
  <c r="AR459" i="5"/>
  <c r="BI108" i="5"/>
  <c r="AQ108" i="5"/>
  <c r="AR108" i="5"/>
  <c r="BI172" i="5"/>
  <c r="AR172" i="5"/>
  <c r="AQ172" i="5"/>
  <c r="BI300" i="5"/>
  <c r="AR300" i="5"/>
  <c r="AQ300" i="5"/>
  <c r="BI364" i="5"/>
  <c r="AQ364" i="5"/>
  <c r="AR364" i="5"/>
  <c r="BI428" i="5"/>
  <c r="AQ428" i="5"/>
  <c r="AR428" i="5"/>
  <c r="BI492" i="5"/>
  <c r="AR492" i="5"/>
  <c r="AQ492" i="5"/>
  <c r="BI556" i="5"/>
  <c r="AR556" i="5"/>
  <c r="AQ556" i="5"/>
  <c r="BI81" i="5"/>
  <c r="AQ81" i="5"/>
  <c r="AR81" i="5"/>
  <c r="BI145" i="5"/>
  <c r="AQ145" i="5"/>
  <c r="AR145" i="5"/>
  <c r="BI209" i="5"/>
  <c r="AR209" i="5"/>
  <c r="AQ209" i="5"/>
  <c r="BI289" i="5"/>
  <c r="AQ289" i="5"/>
  <c r="AR289" i="5"/>
  <c r="BI481" i="5"/>
  <c r="AQ481" i="5"/>
  <c r="AR481" i="5"/>
  <c r="BI545" i="5"/>
  <c r="AQ545" i="5"/>
  <c r="AR150" i="5"/>
  <c r="BI150" i="5"/>
  <c r="AQ150" i="5"/>
  <c r="AQ214" i="5"/>
  <c r="BI214" i="5"/>
  <c r="AR214" i="5"/>
  <c r="BI13" i="5"/>
  <c r="AR13" i="5"/>
  <c r="AQ13" i="5"/>
  <c r="AR159" i="5"/>
  <c r="BI159" i="5"/>
  <c r="AQ159" i="5"/>
  <c r="BI223" i="5"/>
  <c r="AQ223" i="5"/>
  <c r="AR223" i="5"/>
  <c r="BI383" i="5"/>
  <c r="BI447" i="5"/>
  <c r="AQ447" i="5"/>
  <c r="AR447" i="5"/>
  <c r="BI96" i="5"/>
  <c r="AQ96" i="5"/>
  <c r="AR96" i="5"/>
  <c r="BI288" i="5"/>
  <c r="AQ288" i="5"/>
  <c r="AR288" i="5"/>
  <c r="AQ352" i="5"/>
  <c r="BI352" i="5"/>
  <c r="AR352" i="5"/>
  <c r="BI416" i="5"/>
  <c r="AQ416" i="5"/>
  <c r="AR416" i="5"/>
  <c r="BI480" i="5"/>
  <c r="AQ480" i="5"/>
  <c r="AR480" i="5"/>
  <c r="BI544" i="5"/>
  <c r="AR544" i="5"/>
  <c r="AQ544" i="5"/>
  <c r="BI69" i="5"/>
  <c r="AR69" i="5"/>
  <c r="AQ69" i="5"/>
  <c r="BI133" i="5"/>
  <c r="AR133" i="5"/>
  <c r="AQ133" i="5"/>
  <c r="AQ277" i="5"/>
  <c r="AR277" i="5"/>
  <c r="BI341" i="5"/>
  <c r="AR341" i="5"/>
  <c r="AQ341" i="5"/>
  <c r="BI469" i="5"/>
  <c r="AQ469" i="5"/>
  <c r="AR469" i="5"/>
  <c r="AQ549" i="5"/>
  <c r="BI74" i="5"/>
  <c r="AQ74" i="5"/>
  <c r="AR74" i="5"/>
  <c r="AQ202" i="5"/>
  <c r="BI202" i="5"/>
  <c r="AR202" i="5"/>
  <c r="BI266" i="5"/>
  <c r="AQ266" i="5"/>
  <c r="AR266" i="5"/>
  <c r="AR330" i="5"/>
  <c r="BI330" i="5"/>
  <c r="AQ330" i="5"/>
  <c r="BI394" i="5"/>
  <c r="AQ394" i="5"/>
  <c r="AR394" i="5"/>
  <c r="BI458" i="5"/>
  <c r="AR458" i="5"/>
  <c r="AQ458" i="5"/>
  <c r="BI522" i="5"/>
  <c r="AR522" i="5"/>
  <c r="AQ522" i="5"/>
  <c r="BI12" i="5"/>
  <c r="AR12" i="5"/>
  <c r="AQ12" i="5"/>
  <c r="BI243" i="5"/>
  <c r="AQ243" i="5"/>
  <c r="AR243" i="5"/>
  <c r="AR307" i="5"/>
  <c r="BI307" i="5"/>
  <c r="AQ307" i="5"/>
  <c r="BI403" i="5"/>
  <c r="AQ403" i="5"/>
  <c r="AR403" i="5"/>
  <c r="AQ467" i="5"/>
  <c r="BI467" i="5"/>
  <c r="AR467" i="5"/>
  <c r="BI531" i="5"/>
  <c r="AQ531" i="5"/>
  <c r="AR531" i="5"/>
  <c r="AQ52" i="5"/>
  <c r="BI52" i="5"/>
  <c r="AR52" i="5"/>
  <c r="BI116" i="5"/>
  <c r="AQ116" i="5"/>
  <c r="AR116" i="5"/>
  <c r="BI180" i="5"/>
  <c r="AR180" i="5"/>
  <c r="AQ180" i="5"/>
  <c r="BI244" i="5"/>
  <c r="AR244" i="5"/>
  <c r="AQ244" i="5"/>
  <c r="BI308" i="5"/>
  <c r="AR308" i="5"/>
  <c r="AQ308" i="5"/>
  <c r="BI372" i="5"/>
  <c r="AQ372" i="5"/>
  <c r="AR372" i="5"/>
  <c r="BI436" i="5"/>
  <c r="AQ436" i="5"/>
  <c r="AR436" i="5"/>
  <c r="BI500" i="5"/>
  <c r="AQ500" i="5"/>
  <c r="AR500" i="5"/>
  <c r="BI23" i="5"/>
  <c r="AQ23" i="5"/>
  <c r="AR23" i="5"/>
  <c r="BI89" i="5"/>
  <c r="AQ89" i="5"/>
  <c r="AR89" i="5"/>
  <c r="BI217" i="5"/>
  <c r="AQ217" i="5"/>
  <c r="AR217" i="5"/>
  <c r="BI281" i="5"/>
  <c r="AQ281" i="5"/>
  <c r="AR281" i="5"/>
  <c r="AQ409" i="5"/>
  <c r="BI409" i="5"/>
  <c r="AR409" i="5"/>
  <c r="BI473" i="5"/>
  <c r="AQ473" i="5"/>
  <c r="AR473" i="5"/>
  <c r="AR553" i="5"/>
  <c r="BI78" i="5"/>
  <c r="AR78" i="5"/>
  <c r="AQ78" i="5"/>
  <c r="AQ206" i="5"/>
  <c r="BI206" i="5"/>
  <c r="AR206" i="5"/>
  <c r="BI270" i="5"/>
  <c r="AR270" i="5"/>
  <c r="AQ270" i="5"/>
  <c r="BI334" i="5"/>
  <c r="AQ334" i="5"/>
  <c r="AR334" i="5"/>
  <c r="AR526" i="5"/>
  <c r="BI526" i="5"/>
  <c r="AQ526" i="5"/>
  <c r="BI8" i="5"/>
  <c r="AR8" i="5"/>
  <c r="AQ8" i="5"/>
  <c r="AR151" i="5"/>
  <c r="AQ279" i="5"/>
  <c r="BI279" i="5"/>
  <c r="AR279" i="5"/>
  <c r="BI551" i="5"/>
  <c r="AR551" i="5"/>
  <c r="AQ551" i="5"/>
  <c r="BI72" i="5"/>
  <c r="AR72" i="5"/>
  <c r="AQ72" i="5"/>
  <c r="AR136" i="5"/>
  <c r="BI136" i="5"/>
  <c r="AQ136" i="5"/>
  <c r="BI200" i="5"/>
  <c r="AR200" i="5"/>
  <c r="AQ200" i="5"/>
  <c r="AR328" i="5"/>
  <c r="BI328" i="5"/>
  <c r="AQ328" i="5"/>
  <c r="BI392" i="5"/>
  <c r="BI456" i="5"/>
  <c r="AQ456" i="5"/>
  <c r="AR456" i="5"/>
  <c r="BI520" i="5"/>
  <c r="AQ520" i="5"/>
  <c r="AR520" i="5"/>
  <c r="AR45" i="5"/>
  <c r="BI45" i="5"/>
  <c r="AQ45" i="5"/>
  <c r="AQ109" i="5"/>
  <c r="BI109" i="5"/>
  <c r="AR109" i="5"/>
  <c r="BI173" i="5"/>
  <c r="AQ173" i="5"/>
  <c r="AR173" i="5"/>
  <c r="BI253" i="5"/>
  <c r="AR253" i="5"/>
  <c r="AQ253" i="5"/>
  <c r="BI317" i="5"/>
  <c r="AQ317" i="5"/>
  <c r="AR317" i="5"/>
  <c r="AR381" i="5"/>
  <c r="BI381" i="5"/>
  <c r="AQ381" i="5"/>
  <c r="AQ445" i="5"/>
  <c r="BI445" i="5"/>
  <c r="AR445" i="5"/>
  <c r="AQ509" i="5"/>
  <c r="BI509" i="5"/>
  <c r="AR509" i="5"/>
  <c r="BI32" i="5"/>
  <c r="AR32" i="5"/>
  <c r="AQ32" i="5"/>
  <c r="BI226" i="5"/>
  <c r="AQ226" i="5"/>
  <c r="AR226" i="5"/>
  <c r="BI290" i="5"/>
  <c r="AQ290" i="5"/>
  <c r="AR290" i="5"/>
  <c r="BI354" i="5"/>
  <c r="AQ354" i="5"/>
  <c r="AR354" i="5"/>
  <c r="BI482" i="5"/>
  <c r="AR482" i="5"/>
  <c r="AQ482" i="5"/>
  <c r="BI278" i="5"/>
  <c r="AR278" i="5"/>
  <c r="AQ278" i="5"/>
  <c r="BI342" i="5"/>
  <c r="AQ342" i="5"/>
  <c r="AR342" i="5"/>
  <c r="AN10" i="5"/>
  <c r="AO10" i="5"/>
  <c r="BI237" i="5"/>
  <c r="AR237" i="5"/>
  <c r="AQ237" i="5"/>
  <c r="BI241" i="5"/>
  <c r="AR241" i="5"/>
  <c r="AQ241" i="5"/>
  <c r="AR530" i="5"/>
  <c r="BI530" i="5"/>
  <c r="AQ530" i="5"/>
  <c r="BI339" i="5"/>
  <c r="AQ339" i="5"/>
  <c r="AR339" i="5"/>
  <c r="BI505" i="5"/>
  <c r="AR505" i="5"/>
  <c r="AQ505" i="5"/>
  <c r="AR75" i="5"/>
  <c r="BI75" i="5"/>
  <c r="AQ75" i="5"/>
  <c r="BI139" i="5"/>
  <c r="AQ139" i="5"/>
  <c r="AR139" i="5"/>
  <c r="BI203" i="5"/>
  <c r="AQ203" i="5"/>
  <c r="AR203" i="5"/>
  <c r="AQ267" i="5"/>
  <c r="BI267" i="5"/>
  <c r="AR267" i="5"/>
  <c r="BI331" i="5"/>
  <c r="AQ331" i="5"/>
  <c r="AR331" i="5"/>
  <c r="BI411" i="5"/>
  <c r="AR411" i="5"/>
  <c r="AQ411" i="5"/>
  <c r="AQ475" i="5"/>
  <c r="BI475" i="5"/>
  <c r="AR475" i="5"/>
  <c r="BI539" i="5"/>
  <c r="AR539" i="5"/>
  <c r="AQ539" i="5"/>
  <c r="BI60" i="5"/>
  <c r="AQ60" i="5"/>
  <c r="AR60" i="5"/>
  <c r="AR124" i="5"/>
  <c r="BI124" i="5"/>
  <c r="AQ124" i="5"/>
  <c r="BI188" i="5"/>
  <c r="AQ188" i="5"/>
  <c r="AR188" i="5"/>
  <c r="BI252" i="5"/>
  <c r="AQ252" i="5"/>
  <c r="AR252" i="5"/>
  <c r="BI316" i="5"/>
  <c r="AR316" i="5"/>
  <c r="AQ316" i="5"/>
  <c r="BI380" i="5"/>
  <c r="AR444" i="5"/>
  <c r="BI31" i="5"/>
  <c r="AQ31" i="5"/>
  <c r="AR31" i="5"/>
  <c r="AQ97" i="5"/>
  <c r="BI97" i="5"/>
  <c r="AR97" i="5"/>
  <c r="BI225" i="5"/>
  <c r="AR225" i="5"/>
  <c r="AQ225" i="5"/>
  <c r="AQ305" i="5"/>
  <c r="BI305" i="5"/>
  <c r="AR305" i="5"/>
  <c r="AQ433" i="5"/>
  <c r="AR497" i="5"/>
  <c r="BI20" i="5"/>
  <c r="AQ20" i="5"/>
  <c r="AR20" i="5"/>
  <c r="AR166" i="5"/>
  <c r="BI166" i="5"/>
  <c r="AQ166" i="5"/>
  <c r="BI230" i="5"/>
  <c r="AR230" i="5"/>
  <c r="AQ230" i="5"/>
  <c r="BI47" i="5"/>
  <c r="AQ47" i="5"/>
  <c r="AR47" i="5"/>
  <c r="BI111" i="5"/>
  <c r="AQ111" i="5"/>
  <c r="AR111" i="5"/>
  <c r="BI175" i="5"/>
  <c r="AR175" i="5"/>
  <c r="AQ175" i="5"/>
  <c r="AQ239" i="5"/>
  <c r="BI239" i="5"/>
  <c r="AR239" i="5"/>
  <c r="BI303" i="5"/>
  <c r="AQ303" i="5"/>
  <c r="AR303" i="5"/>
  <c r="BI399" i="5"/>
  <c r="AQ399" i="5"/>
  <c r="AR399" i="5"/>
  <c r="BI463" i="5"/>
  <c r="AQ463" i="5"/>
  <c r="AR463" i="5"/>
  <c r="BI527" i="5"/>
  <c r="AQ527" i="5"/>
  <c r="AR527" i="5"/>
  <c r="AQ48" i="5"/>
  <c r="BI48" i="5"/>
  <c r="AR48" i="5"/>
  <c r="BI112" i="5"/>
  <c r="AQ112" i="5"/>
  <c r="AR112" i="5"/>
  <c r="BI240" i="5"/>
  <c r="AQ240" i="5"/>
  <c r="AR240" i="5"/>
  <c r="BI304" i="5"/>
  <c r="AQ304" i="5"/>
  <c r="AR304" i="5"/>
  <c r="BI368" i="5"/>
  <c r="AR368" i="5"/>
  <c r="AQ368" i="5"/>
  <c r="BI496" i="5"/>
  <c r="AR496" i="5"/>
  <c r="AQ496" i="5"/>
  <c r="BI560" i="5"/>
  <c r="AR560" i="5"/>
  <c r="AQ560" i="5"/>
  <c r="AQ85" i="5"/>
  <c r="BI85" i="5"/>
  <c r="AR85" i="5"/>
  <c r="AR149" i="5"/>
  <c r="BI149" i="5"/>
  <c r="AQ149" i="5"/>
  <c r="BI213" i="5"/>
  <c r="AR213" i="5"/>
  <c r="AQ213" i="5"/>
  <c r="AQ293" i="5"/>
  <c r="BI293" i="5"/>
  <c r="AR293" i="5"/>
  <c r="BI357" i="5"/>
  <c r="AR357" i="5"/>
  <c r="AQ357" i="5"/>
  <c r="AQ421" i="5"/>
  <c r="BI421" i="5"/>
  <c r="AR421" i="5"/>
  <c r="BI485" i="5"/>
  <c r="AQ485" i="5"/>
  <c r="AR485" i="5"/>
  <c r="BI24" i="5"/>
  <c r="AR24" i="5"/>
  <c r="AQ24" i="5"/>
  <c r="BI90" i="5"/>
  <c r="AQ90" i="5"/>
  <c r="AR90" i="5"/>
  <c r="BI154" i="5"/>
  <c r="AR154" i="5"/>
  <c r="AQ154" i="5"/>
  <c r="BI218" i="5"/>
  <c r="AQ218" i="5"/>
  <c r="AR218" i="5"/>
  <c r="BI282" i="5"/>
  <c r="AQ282" i="5"/>
  <c r="AR282" i="5"/>
  <c r="BI346" i="5"/>
  <c r="AR346" i="5"/>
  <c r="AQ346" i="5"/>
  <c r="BI410" i="5"/>
  <c r="AQ410" i="5"/>
  <c r="AR410" i="5"/>
  <c r="BI474" i="5"/>
  <c r="AR474" i="5"/>
  <c r="AQ474" i="5"/>
  <c r="AQ538" i="5"/>
  <c r="BI538" i="5"/>
  <c r="AR538" i="5"/>
  <c r="BI51" i="5"/>
  <c r="AR51" i="5"/>
  <c r="AQ51" i="5"/>
  <c r="AQ131" i="5"/>
  <c r="BI131" i="5"/>
  <c r="AR131" i="5"/>
  <c r="BI195" i="5"/>
  <c r="AQ195" i="5"/>
  <c r="AR195" i="5"/>
  <c r="AQ259" i="5"/>
  <c r="BI259" i="5"/>
  <c r="AR259" i="5"/>
  <c r="BI323" i="5"/>
  <c r="BI547" i="5"/>
  <c r="AR547" i="5"/>
  <c r="AQ547" i="5"/>
  <c r="BI68" i="5"/>
  <c r="AR68" i="5"/>
  <c r="AQ68" i="5"/>
  <c r="AR132" i="5"/>
  <c r="BI132" i="5"/>
  <c r="AQ132" i="5"/>
  <c r="BI196" i="5"/>
  <c r="AR196" i="5"/>
  <c r="AQ196" i="5"/>
  <c r="BI260" i="5"/>
  <c r="AR260" i="5"/>
  <c r="AQ260" i="5"/>
  <c r="AR324" i="5"/>
  <c r="BI324" i="5"/>
  <c r="AQ324" i="5"/>
  <c r="BI388" i="5"/>
  <c r="AQ388" i="5"/>
  <c r="AR388" i="5"/>
  <c r="AR516" i="5"/>
  <c r="BI516" i="5"/>
  <c r="AQ516" i="5"/>
  <c r="BI39" i="5"/>
  <c r="AR39" i="5"/>
  <c r="AQ39" i="5"/>
  <c r="AQ105" i="5"/>
  <c r="BI105" i="5"/>
  <c r="AR105" i="5"/>
  <c r="AQ169" i="5"/>
  <c r="BI169" i="5"/>
  <c r="AR169" i="5"/>
  <c r="BI233" i="5"/>
  <c r="AR233" i="5"/>
  <c r="AQ233" i="5"/>
  <c r="AR297" i="5"/>
  <c r="BI361" i="5"/>
  <c r="AR361" i="5"/>
  <c r="AQ361" i="5"/>
  <c r="AQ425" i="5"/>
  <c r="BI425" i="5"/>
  <c r="AR425" i="5"/>
  <c r="BI28" i="5"/>
  <c r="AR28" i="5"/>
  <c r="AQ28" i="5"/>
  <c r="BI158" i="5"/>
  <c r="AQ158" i="5"/>
  <c r="AR158" i="5"/>
  <c r="BI222" i="5"/>
  <c r="AQ222" i="5"/>
  <c r="AR222" i="5"/>
  <c r="BI286" i="5"/>
  <c r="AR286" i="5"/>
  <c r="AQ286" i="5"/>
  <c r="BI350" i="5"/>
  <c r="AQ350" i="5"/>
  <c r="AR350" i="5"/>
  <c r="BI414" i="5"/>
  <c r="AR414" i="5"/>
  <c r="AQ414" i="5"/>
  <c r="BI478" i="5"/>
  <c r="AR478" i="5"/>
  <c r="AQ478" i="5"/>
  <c r="AQ542" i="5"/>
  <c r="BI542" i="5"/>
  <c r="AR542" i="5"/>
  <c r="BI103" i="5"/>
  <c r="AQ103" i="5"/>
  <c r="AR103" i="5"/>
  <c r="BI167" i="5"/>
  <c r="AR167" i="5"/>
  <c r="AQ167" i="5"/>
  <c r="AQ231" i="5"/>
  <c r="BI231" i="5"/>
  <c r="AR231" i="5"/>
  <c r="BI375" i="5"/>
  <c r="AQ375" i="5"/>
  <c r="AR375" i="5"/>
  <c r="BI439" i="5"/>
  <c r="AR439" i="5"/>
  <c r="AQ439" i="5"/>
  <c r="AQ503" i="5"/>
  <c r="BI503" i="5"/>
  <c r="AR503" i="5"/>
  <c r="AQ26" i="5"/>
  <c r="BI26" i="5"/>
  <c r="AR26" i="5"/>
  <c r="BI88" i="5"/>
  <c r="AQ88" i="5"/>
  <c r="AR88" i="5"/>
  <c r="AR152" i="5"/>
  <c r="BI152" i="5"/>
  <c r="AQ152" i="5"/>
  <c r="AQ216" i="5"/>
  <c r="BI280" i="5"/>
  <c r="AQ280" i="5"/>
  <c r="AR280" i="5"/>
  <c r="AQ344" i="5"/>
  <c r="BI344" i="5"/>
  <c r="AR344" i="5"/>
  <c r="BI408" i="5"/>
  <c r="AQ408" i="5"/>
  <c r="AR408" i="5"/>
  <c r="BI472" i="5"/>
  <c r="AQ472" i="5"/>
  <c r="AR472" i="5"/>
  <c r="BI536" i="5"/>
  <c r="AR536" i="5"/>
  <c r="AQ536" i="5"/>
  <c r="BI61" i="5"/>
  <c r="AR61" i="5"/>
  <c r="AQ61" i="5"/>
  <c r="BI125" i="5"/>
  <c r="AQ125" i="5"/>
  <c r="AR125" i="5"/>
  <c r="BI189" i="5"/>
  <c r="AQ189" i="5"/>
  <c r="AR189" i="5"/>
  <c r="BI333" i="5"/>
  <c r="AR333" i="5"/>
  <c r="AQ333" i="5"/>
  <c r="AR397" i="5"/>
  <c r="AQ461" i="5"/>
  <c r="BI461" i="5"/>
  <c r="AR461" i="5"/>
  <c r="AQ525" i="5"/>
  <c r="BI525" i="5"/>
  <c r="AR525" i="5"/>
  <c r="AR50" i="5"/>
  <c r="BI50" i="5"/>
  <c r="AQ50" i="5"/>
  <c r="BI114" i="5"/>
  <c r="AR114" i="5"/>
  <c r="AQ114" i="5"/>
  <c r="BI178" i="5"/>
  <c r="AQ178" i="5"/>
  <c r="AR178" i="5"/>
  <c r="BI242" i="5"/>
  <c r="AR242" i="5"/>
  <c r="AQ242" i="5"/>
  <c r="BI306" i="5"/>
  <c r="AR306" i="5"/>
  <c r="AQ306" i="5"/>
  <c r="BI370" i="5"/>
  <c r="AR370" i="5"/>
  <c r="AQ370" i="5"/>
  <c r="BI434" i="5"/>
  <c r="AQ434" i="5"/>
  <c r="AR434" i="5"/>
  <c r="BI498" i="5"/>
  <c r="AQ498" i="5"/>
  <c r="AR498" i="5"/>
  <c r="BI294" i="5"/>
  <c r="AR294" i="5"/>
  <c r="AQ294" i="5"/>
  <c r="BI358" i="5"/>
  <c r="AQ358" i="5"/>
  <c r="AR358" i="5"/>
  <c r="AH10" i="5"/>
  <c r="AI10" i="5"/>
  <c r="BI229" i="5"/>
  <c r="AR229" i="5"/>
  <c r="AQ229" i="5"/>
  <c r="AQ546" i="5"/>
  <c r="BI546" i="5"/>
  <c r="AR546" i="5"/>
  <c r="BI7" i="5"/>
  <c r="AR7" i="5"/>
  <c r="AQ7" i="5"/>
  <c r="AR91" i="5"/>
  <c r="BI91" i="5"/>
  <c r="AQ91" i="5"/>
  <c r="AR155" i="5"/>
  <c r="BI155" i="5"/>
  <c r="AQ155" i="5"/>
  <c r="BI219" i="5"/>
  <c r="AQ219" i="5"/>
  <c r="AR219" i="5"/>
  <c r="AQ283" i="5"/>
  <c r="BI283" i="5"/>
  <c r="AR283" i="5"/>
  <c r="BI363" i="5"/>
  <c r="AR363" i="5"/>
  <c r="AQ363" i="5"/>
  <c r="BI427" i="5"/>
  <c r="AR427" i="5"/>
  <c r="AQ427" i="5"/>
  <c r="AQ491" i="5"/>
  <c r="BI491" i="5"/>
  <c r="AR491" i="5"/>
  <c r="BI555" i="5"/>
  <c r="AR555" i="5"/>
  <c r="AQ555" i="5"/>
  <c r="BI76" i="5"/>
  <c r="AQ76" i="5"/>
  <c r="AR76" i="5"/>
  <c r="AR140" i="5"/>
  <c r="BI204" i="5"/>
  <c r="AQ204" i="5"/>
  <c r="AR204" i="5"/>
  <c r="BI268" i="5"/>
  <c r="AR268" i="5"/>
  <c r="AQ268" i="5"/>
  <c r="BI332" i="5"/>
  <c r="AQ332" i="5"/>
  <c r="AR332" i="5"/>
  <c r="AR396" i="5"/>
  <c r="BI460" i="5"/>
  <c r="AR460" i="5"/>
  <c r="AQ460" i="5"/>
  <c r="AR524" i="5"/>
  <c r="BI524" i="5"/>
  <c r="AQ524" i="5"/>
  <c r="BI49" i="5"/>
  <c r="AR49" i="5"/>
  <c r="AQ49" i="5"/>
  <c r="AQ113" i="5"/>
  <c r="BI113" i="5"/>
  <c r="AR113" i="5"/>
  <c r="BI177" i="5"/>
  <c r="AQ177" i="5"/>
  <c r="AR177" i="5"/>
  <c r="BI257" i="5"/>
  <c r="AQ321" i="5"/>
  <c r="BI321" i="5"/>
  <c r="AR321" i="5"/>
  <c r="BI385" i="5"/>
  <c r="AR385" i="5"/>
  <c r="AQ385" i="5"/>
  <c r="AQ449" i="5"/>
  <c r="BI449" i="5"/>
  <c r="AR449" i="5"/>
  <c r="AR513" i="5"/>
  <c r="BI513" i="5"/>
  <c r="AQ513" i="5"/>
  <c r="BI36" i="5"/>
  <c r="AR36" i="5"/>
  <c r="AQ36" i="5"/>
  <c r="BI118" i="5"/>
  <c r="AR118" i="5"/>
  <c r="AQ118" i="5"/>
  <c r="AQ182" i="5"/>
  <c r="BI182" i="5"/>
  <c r="AR182" i="5"/>
  <c r="BI246" i="5"/>
  <c r="AQ246" i="5"/>
  <c r="AR246" i="5"/>
  <c r="AR63" i="5"/>
  <c r="BI63" i="5"/>
  <c r="AQ63" i="5"/>
  <c r="BI191" i="5"/>
  <c r="AQ191" i="5"/>
  <c r="AR191" i="5"/>
  <c r="AR319" i="5"/>
  <c r="BI319" i="5"/>
  <c r="AQ319" i="5"/>
  <c r="BI415" i="5"/>
  <c r="AQ415" i="5"/>
  <c r="AR415" i="5"/>
  <c r="AQ479" i="5"/>
  <c r="BI479" i="5"/>
  <c r="AR479" i="5"/>
  <c r="BI543" i="5"/>
  <c r="AR543" i="5"/>
  <c r="AQ543" i="5"/>
  <c r="BI64" i="5"/>
  <c r="AQ64" i="5"/>
  <c r="AR64" i="5"/>
  <c r="BI128" i="5"/>
  <c r="AQ128" i="5"/>
  <c r="AR128" i="5"/>
  <c r="BI192" i="5"/>
  <c r="AQ192" i="5"/>
  <c r="AR192" i="5"/>
  <c r="BI256" i="5"/>
  <c r="AR256" i="5"/>
  <c r="AQ256" i="5"/>
  <c r="BI320" i="5"/>
  <c r="AR320" i="5"/>
  <c r="AQ320" i="5"/>
  <c r="AQ384" i="5"/>
  <c r="BI384" i="5"/>
  <c r="AR384" i="5"/>
  <c r="BI448" i="5"/>
  <c r="AQ448" i="5"/>
  <c r="AR448" i="5"/>
  <c r="BI512" i="5"/>
  <c r="AR512" i="5"/>
  <c r="AQ512" i="5"/>
  <c r="BI35" i="5"/>
  <c r="AR35" i="5"/>
  <c r="AQ35" i="5"/>
  <c r="AQ101" i="5"/>
  <c r="BI101" i="5"/>
  <c r="AR101" i="5"/>
  <c r="BI165" i="5"/>
  <c r="AQ165" i="5"/>
  <c r="AR165" i="5"/>
  <c r="BI309" i="5"/>
  <c r="AR309" i="5"/>
  <c r="AQ309" i="5"/>
  <c r="BI373" i="5"/>
  <c r="AQ373" i="5"/>
  <c r="AR373" i="5"/>
  <c r="AQ437" i="5"/>
  <c r="BI437" i="5"/>
  <c r="AR437" i="5"/>
  <c r="BI517" i="5"/>
  <c r="AQ517" i="5"/>
  <c r="AR517" i="5"/>
  <c r="BI40" i="5"/>
  <c r="AR40" i="5"/>
  <c r="AQ40" i="5"/>
  <c r="BI106" i="5"/>
  <c r="AQ106" i="5"/>
  <c r="AR106" i="5"/>
  <c r="AR170" i="5"/>
  <c r="BI170" i="5"/>
  <c r="AQ170" i="5"/>
  <c r="BI234" i="5"/>
  <c r="AQ234" i="5"/>
  <c r="AR234" i="5"/>
  <c r="BI298" i="5"/>
  <c r="AR298" i="5"/>
  <c r="AQ298" i="5"/>
  <c r="BI362" i="5"/>
  <c r="AQ362" i="5"/>
  <c r="AR362" i="5"/>
  <c r="AQ554" i="5"/>
  <c r="BI554" i="5"/>
  <c r="AR554" i="5"/>
  <c r="AR67" i="5"/>
  <c r="BI67" i="5"/>
  <c r="AQ67" i="5"/>
  <c r="BI147" i="5"/>
  <c r="AQ147" i="5"/>
  <c r="AR147" i="5"/>
  <c r="AQ275" i="5"/>
  <c r="BI275" i="5"/>
  <c r="AR275" i="5"/>
  <c r="BI435" i="5"/>
  <c r="AQ435" i="5"/>
  <c r="AR435" i="5"/>
  <c r="AR499" i="5"/>
  <c r="AQ22" i="5"/>
  <c r="BI22" i="5"/>
  <c r="AR22" i="5"/>
  <c r="BI84" i="5"/>
  <c r="AQ84" i="5"/>
  <c r="AR84" i="5"/>
  <c r="BI148" i="5"/>
  <c r="AR148" i="5"/>
  <c r="AQ148" i="5"/>
  <c r="BI212" i="5"/>
  <c r="AR212" i="5"/>
  <c r="AQ212" i="5"/>
  <c r="AR276" i="5"/>
  <c r="AQ276" i="5"/>
  <c r="AQ340" i="5"/>
  <c r="BI340" i="5"/>
  <c r="AR340" i="5"/>
  <c r="BI404" i="5"/>
  <c r="AQ404" i="5"/>
  <c r="AR404" i="5"/>
  <c r="BI468" i="5"/>
  <c r="AR468" i="5"/>
  <c r="AQ468" i="5"/>
  <c r="AR532" i="5"/>
  <c r="BI532" i="5"/>
  <c r="AQ532" i="5"/>
  <c r="BI57" i="5"/>
  <c r="AR57" i="5"/>
  <c r="AQ57" i="5"/>
  <c r="AQ121" i="5"/>
  <c r="BI121" i="5"/>
  <c r="AR121" i="5"/>
  <c r="BI185" i="5"/>
  <c r="AR185" i="5"/>
  <c r="AQ185" i="5"/>
  <c r="AR249" i="5"/>
  <c r="BI249" i="5"/>
  <c r="AQ249" i="5"/>
  <c r="BI313" i="5"/>
  <c r="AQ313" i="5"/>
  <c r="AR313" i="5"/>
  <c r="BI377" i="5"/>
  <c r="AQ441" i="5"/>
  <c r="BI441" i="5"/>
  <c r="AR441" i="5"/>
  <c r="BI46" i="5"/>
  <c r="AQ46" i="5"/>
  <c r="AR46" i="5"/>
  <c r="BI110" i="5"/>
  <c r="AR110" i="5"/>
  <c r="AQ110" i="5"/>
  <c r="AR174" i="5"/>
  <c r="BI174" i="5"/>
  <c r="AQ174" i="5"/>
  <c r="BI238" i="5"/>
  <c r="AR238" i="5"/>
  <c r="AQ238" i="5"/>
  <c r="BI302" i="5"/>
  <c r="AR302" i="5"/>
  <c r="AQ302" i="5"/>
  <c r="BI430" i="5"/>
  <c r="AR430" i="5"/>
  <c r="AQ430" i="5"/>
  <c r="BI494" i="5"/>
  <c r="AR494" i="5"/>
  <c r="AQ494" i="5"/>
  <c r="AQ558" i="5"/>
  <c r="BI558" i="5"/>
  <c r="AR558" i="5"/>
  <c r="BI55" i="5"/>
  <c r="AQ55" i="5"/>
  <c r="AR55" i="5"/>
  <c r="BI247" i="5"/>
  <c r="AQ247" i="5"/>
  <c r="AR247" i="5"/>
  <c r="AR311" i="5"/>
  <c r="BI311" i="5"/>
  <c r="AQ311" i="5"/>
  <c r="BI391" i="5"/>
  <c r="AR391" i="5"/>
  <c r="AQ391" i="5"/>
  <c r="BI455" i="5"/>
  <c r="AQ455" i="5"/>
  <c r="AR455" i="5"/>
  <c r="BI519" i="5"/>
  <c r="AR519" i="5"/>
  <c r="AQ519" i="5"/>
  <c r="AQ42" i="5"/>
  <c r="BI42" i="5"/>
  <c r="AR42" i="5"/>
  <c r="BI104" i="5"/>
  <c r="AQ104" i="5"/>
  <c r="AR104" i="5"/>
  <c r="BI232" i="5"/>
  <c r="AQ232" i="5"/>
  <c r="AR232" i="5"/>
  <c r="BI296" i="5"/>
  <c r="AQ296" i="5"/>
  <c r="AR296" i="5"/>
  <c r="BI360" i="5"/>
  <c r="AQ360" i="5"/>
  <c r="AR360" i="5"/>
  <c r="BI424" i="5"/>
  <c r="AQ424" i="5"/>
  <c r="AR424" i="5"/>
  <c r="BI488" i="5"/>
  <c r="AR488" i="5"/>
  <c r="AQ488" i="5"/>
  <c r="BI552" i="5"/>
  <c r="AR552" i="5"/>
  <c r="AQ552" i="5"/>
  <c r="BI77" i="5"/>
  <c r="AQ77" i="5"/>
  <c r="AR77" i="5"/>
  <c r="AR141" i="5"/>
  <c r="BI141" i="5"/>
  <c r="AQ141" i="5"/>
  <c r="BI205" i="5"/>
  <c r="AR205" i="5"/>
  <c r="AQ205" i="5"/>
  <c r="BI285" i="5"/>
  <c r="AQ285" i="5"/>
  <c r="AR285" i="5"/>
  <c r="AQ349" i="5"/>
  <c r="AQ413" i="5"/>
  <c r="BI413" i="5"/>
  <c r="AR413" i="5"/>
  <c r="BI477" i="5"/>
  <c r="AQ477" i="5"/>
  <c r="AR477" i="5"/>
  <c r="BI541" i="5"/>
  <c r="AR541" i="5"/>
  <c r="AQ541" i="5"/>
  <c r="BI66" i="5"/>
  <c r="AQ66" i="5"/>
  <c r="AR66" i="5"/>
  <c r="BI130" i="5"/>
  <c r="BI258" i="5"/>
  <c r="AQ258" i="5"/>
  <c r="AR258" i="5"/>
  <c r="AR322" i="5"/>
  <c r="BI322" i="5"/>
  <c r="AQ322" i="5"/>
  <c r="AQ386" i="5"/>
  <c r="BI386" i="5"/>
  <c r="AR386" i="5"/>
  <c r="BI450" i="5"/>
  <c r="AR450" i="5"/>
  <c r="AQ450" i="5"/>
  <c r="AR514" i="5"/>
  <c r="BI514" i="5"/>
  <c r="AQ514" i="5"/>
  <c r="BI374" i="5"/>
  <c r="AQ374" i="5"/>
  <c r="AR374" i="5"/>
  <c r="BI502" i="5"/>
  <c r="AR502" i="5"/>
  <c r="AQ502" i="5"/>
  <c r="BI25" i="5"/>
  <c r="AR25" i="5"/>
  <c r="AQ25" i="5"/>
  <c r="AK10" i="5"/>
  <c r="AL10" i="5"/>
  <c r="BI54" i="5"/>
  <c r="AR54" i="5"/>
  <c r="AQ54" i="5"/>
  <c r="BI351" i="5"/>
  <c r="AR351" i="5"/>
  <c r="AQ351" i="5"/>
  <c r="BI21" i="5"/>
  <c r="AR21" i="5"/>
  <c r="AQ21" i="5"/>
  <c r="AN9" i="5"/>
  <c r="AO9" i="5"/>
  <c r="AC19" i="5"/>
  <c r="AR43" i="5"/>
  <c r="BI107" i="5"/>
  <c r="AQ107" i="5"/>
  <c r="AR107" i="5"/>
  <c r="BI171" i="5"/>
  <c r="AR171" i="5"/>
  <c r="AQ171" i="5"/>
  <c r="BI235" i="5"/>
  <c r="AR235" i="5"/>
  <c r="AQ235" i="5"/>
  <c r="BI299" i="5"/>
  <c r="AQ299" i="5"/>
  <c r="AR299" i="5"/>
  <c r="BI379" i="5"/>
  <c r="AR379" i="5"/>
  <c r="AQ379" i="5"/>
  <c r="AQ507" i="5"/>
  <c r="BI507" i="5"/>
  <c r="AR507" i="5"/>
  <c r="AQ30" i="5"/>
  <c r="BI30" i="5"/>
  <c r="AR30" i="5"/>
  <c r="AR92" i="5"/>
  <c r="BI156" i="5"/>
  <c r="AQ156" i="5"/>
  <c r="AR156" i="5"/>
  <c r="AQ220" i="5"/>
  <c r="BI220" i="5"/>
  <c r="AR220" i="5"/>
  <c r="BI284" i="5"/>
  <c r="AQ284" i="5"/>
  <c r="AR284" i="5"/>
  <c r="BI412" i="5"/>
  <c r="AQ412" i="5"/>
  <c r="AR412" i="5"/>
  <c r="BI476" i="5"/>
  <c r="AR476" i="5"/>
  <c r="AQ476" i="5"/>
  <c r="BI65" i="5"/>
  <c r="AQ65" i="5"/>
  <c r="AR65" i="5"/>
  <c r="BI129" i="5"/>
  <c r="AQ129" i="5"/>
  <c r="AR129" i="5"/>
  <c r="BI193" i="5"/>
  <c r="AR193" i="5"/>
  <c r="AQ193" i="5"/>
  <c r="BI273" i="5"/>
  <c r="AQ273" i="5"/>
  <c r="AR273" i="5"/>
  <c r="BI337" i="5"/>
  <c r="AQ337" i="5"/>
  <c r="AR337" i="5"/>
  <c r="AR529" i="5"/>
  <c r="BI529" i="5"/>
  <c r="AQ529" i="5"/>
  <c r="BI134" i="5"/>
  <c r="AQ134" i="5"/>
  <c r="AR134" i="5"/>
  <c r="BI79" i="5"/>
  <c r="AR79" i="5"/>
  <c r="AQ79" i="5"/>
  <c r="BI143" i="5"/>
  <c r="AR143" i="5"/>
  <c r="AQ143" i="5"/>
  <c r="BI207" i="5"/>
  <c r="AQ207" i="5"/>
  <c r="AR207" i="5"/>
  <c r="BI367" i="5"/>
  <c r="AR367" i="5"/>
  <c r="AQ367" i="5"/>
  <c r="BI431" i="5"/>
  <c r="AQ431" i="5"/>
  <c r="AR431" i="5"/>
  <c r="AQ495" i="5"/>
  <c r="BI495" i="5"/>
  <c r="AR495" i="5"/>
  <c r="BI559" i="5"/>
  <c r="AR559" i="5"/>
  <c r="AQ559" i="5"/>
  <c r="BI80" i="5"/>
  <c r="AR80" i="5"/>
  <c r="AQ80" i="5"/>
  <c r="AR144" i="5"/>
  <c r="BI144" i="5"/>
  <c r="AQ144" i="5"/>
  <c r="BI208" i="5"/>
  <c r="AQ208" i="5"/>
  <c r="AR208" i="5"/>
  <c r="BI272" i="5"/>
  <c r="AR272" i="5"/>
  <c r="AQ272" i="5"/>
  <c r="AQ336" i="5"/>
  <c r="BI336" i="5"/>
  <c r="AR336" i="5"/>
  <c r="BI400" i="5"/>
  <c r="AQ400" i="5"/>
  <c r="AR400" i="5"/>
  <c r="BI528" i="5"/>
  <c r="AR528" i="5"/>
  <c r="AQ528" i="5"/>
  <c r="BI53" i="5"/>
  <c r="AQ53" i="5"/>
  <c r="AR53" i="5"/>
  <c r="AQ117" i="5"/>
  <c r="BI117" i="5"/>
  <c r="AR117" i="5"/>
  <c r="BI181" i="5"/>
  <c r="AR181" i="5"/>
  <c r="AQ181" i="5"/>
  <c r="AR261" i="5"/>
  <c r="BI389" i="5"/>
  <c r="AQ389" i="5"/>
  <c r="AR389" i="5"/>
  <c r="AQ453" i="5"/>
  <c r="BI453" i="5"/>
  <c r="AR453" i="5"/>
  <c r="BI533" i="5"/>
  <c r="AR533" i="5"/>
  <c r="AQ533" i="5"/>
  <c r="BI58" i="5"/>
  <c r="AQ58" i="5"/>
  <c r="AR58" i="5"/>
  <c r="AQ186" i="5"/>
  <c r="BI186" i="5"/>
  <c r="AR186" i="5"/>
  <c r="BI250" i="5"/>
  <c r="AQ250" i="5"/>
  <c r="AR250" i="5"/>
  <c r="BI314" i="5"/>
  <c r="AR314" i="5"/>
  <c r="AQ314" i="5"/>
  <c r="AQ378" i="5"/>
  <c r="BI378" i="5"/>
  <c r="AR378" i="5"/>
  <c r="BI442" i="5"/>
  <c r="AQ442" i="5"/>
  <c r="AR442" i="5"/>
  <c r="BI506" i="5"/>
  <c r="AR506" i="5"/>
  <c r="AQ506" i="5"/>
  <c r="BI29" i="5"/>
  <c r="AR29" i="5"/>
  <c r="AQ29" i="5"/>
  <c r="BI99" i="5"/>
  <c r="AQ99" i="5"/>
  <c r="AR99" i="5"/>
  <c r="BI163" i="5"/>
  <c r="AR163" i="5"/>
  <c r="AQ163" i="5"/>
  <c r="BI227" i="5"/>
  <c r="AR227" i="5"/>
  <c r="AQ227" i="5"/>
  <c r="BI387" i="5"/>
  <c r="AR387" i="5"/>
  <c r="AQ387" i="5"/>
  <c r="BI451" i="5"/>
  <c r="AQ451" i="5"/>
  <c r="AR451" i="5"/>
  <c r="BI515" i="5"/>
  <c r="AR515" i="5"/>
  <c r="AQ515" i="5"/>
  <c r="BI100" i="5"/>
  <c r="AQ100" i="5"/>
  <c r="AR100" i="5"/>
  <c r="BI164" i="5"/>
  <c r="AQ164" i="5"/>
  <c r="AR164" i="5"/>
  <c r="BI228" i="5"/>
  <c r="AQ228" i="5"/>
  <c r="AR228" i="5"/>
  <c r="BI292" i="5"/>
  <c r="AR292" i="5"/>
  <c r="AQ292" i="5"/>
  <c r="AQ356" i="5"/>
  <c r="BI356" i="5"/>
  <c r="AR356" i="5"/>
  <c r="BI420" i="5"/>
  <c r="AQ420" i="5"/>
  <c r="AR420" i="5"/>
  <c r="BI548" i="5"/>
  <c r="AQ548" i="5"/>
  <c r="AR548" i="5"/>
  <c r="BI73" i="5"/>
  <c r="AQ73" i="5"/>
  <c r="AR73" i="5"/>
  <c r="AQ137" i="5"/>
  <c r="BI137" i="5"/>
  <c r="AR137" i="5"/>
  <c r="BI201" i="5"/>
  <c r="AQ201" i="5"/>
  <c r="AR201" i="5"/>
  <c r="BI265" i="5"/>
  <c r="AQ265" i="5"/>
  <c r="AR265" i="5"/>
  <c r="BI329" i="5"/>
  <c r="AR329" i="5"/>
  <c r="AQ329" i="5"/>
  <c r="AR393" i="5"/>
  <c r="BI393" i="5"/>
  <c r="AQ393" i="5"/>
  <c r="BI537" i="5"/>
  <c r="BI62" i="5"/>
  <c r="AR62" i="5"/>
  <c r="AQ62" i="5"/>
  <c r="BI126" i="5"/>
  <c r="AR126" i="5"/>
  <c r="AQ126" i="5"/>
  <c r="AQ190" i="5"/>
  <c r="BI190" i="5"/>
  <c r="AR190" i="5"/>
  <c r="BI254" i="5"/>
  <c r="AQ254" i="5"/>
  <c r="AR254" i="5"/>
  <c r="BI318" i="5"/>
  <c r="AQ318" i="5"/>
  <c r="AR318" i="5"/>
  <c r="AQ382" i="5"/>
  <c r="BI382" i="5"/>
  <c r="AR382" i="5"/>
  <c r="BI446" i="5"/>
  <c r="AR446" i="5"/>
  <c r="AQ446" i="5"/>
  <c r="AR510" i="5"/>
  <c r="BI510" i="5"/>
  <c r="AQ510" i="5"/>
  <c r="BI33" i="5"/>
  <c r="AR33" i="5"/>
  <c r="AR71" i="5"/>
  <c r="BI71" i="5"/>
  <c r="AQ71" i="5"/>
  <c r="BI199" i="5"/>
  <c r="AR199" i="5"/>
  <c r="AQ199" i="5"/>
  <c r="AQ263" i="5"/>
  <c r="BI263" i="5"/>
  <c r="AR263" i="5"/>
  <c r="BI327" i="5"/>
  <c r="BI407" i="5"/>
  <c r="AR407" i="5"/>
  <c r="AQ407" i="5"/>
  <c r="AQ471" i="5"/>
  <c r="BI471" i="5"/>
  <c r="AR471" i="5"/>
  <c r="BI535" i="5"/>
  <c r="AR535" i="5"/>
  <c r="AQ535" i="5"/>
  <c r="BI56" i="5"/>
  <c r="AQ56" i="5"/>
  <c r="AR56" i="5"/>
  <c r="BI120" i="5"/>
  <c r="AQ120" i="5"/>
  <c r="AR120" i="5"/>
  <c r="BI184" i="5"/>
  <c r="AR184" i="5"/>
  <c r="AQ184" i="5"/>
  <c r="BI248" i="5"/>
  <c r="AQ248" i="5"/>
  <c r="AR248" i="5"/>
  <c r="BI312" i="5"/>
  <c r="AR312" i="5"/>
  <c r="AQ312" i="5"/>
  <c r="BI376" i="5"/>
  <c r="AR376" i="5"/>
  <c r="AQ376" i="5"/>
  <c r="BI440" i="5"/>
  <c r="AQ440" i="5"/>
  <c r="AR440" i="5"/>
  <c r="BI504" i="5"/>
  <c r="AQ504" i="5"/>
  <c r="AR504" i="5"/>
  <c r="BI27" i="5"/>
  <c r="AQ27" i="5"/>
  <c r="AR27" i="5"/>
  <c r="AQ93" i="5"/>
  <c r="BI93" i="5"/>
  <c r="AR93" i="5"/>
  <c r="BI157" i="5"/>
  <c r="AQ157" i="5"/>
  <c r="AR157" i="5"/>
  <c r="BI221" i="5"/>
  <c r="AR221" i="5"/>
  <c r="AQ221" i="5"/>
  <c r="AQ301" i="5"/>
  <c r="BI301" i="5"/>
  <c r="AR301" i="5"/>
  <c r="BI365" i="5"/>
  <c r="AQ365" i="5"/>
  <c r="AR365" i="5"/>
  <c r="AQ429" i="5"/>
  <c r="BI429" i="5"/>
  <c r="AR429" i="5"/>
  <c r="BI493" i="5"/>
  <c r="AQ493" i="5"/>
  <c r="AR493" i="5"/>
  <c r="BI557" i="5"/>
  <c r="AQ557" i="5"/>
  <c r="AR557" i="5"/>
  <c r="BI82" i="5"/>
  <c r="AR82" i="5"/>
  <c r="AQ82" i="5"/>
  <c r="BI146" i="5"/>
  <c r="AQ146" i="5"/>
  <c r="AR146" i="5"/>
  <c r="BI274" i="5"/>
  <c r="AQ274" i="5"/>
  <c r="AR274" i="5"/>
  <c r="BI338" i="5"/>
  <c r="AR338" i="5"/>
  <c r="AQ338" i="5"/>
  <c r="BI402" i="5"/>
  <c r="AQ402" i="5"/>
  <c r="AR402" i="5"/>
  <c r="BI466" i="5"/>
  <c r="AQ466" i="5"/>
  <c r="AR466" i="5"/>
  <c r="BI262" i="5"/>
  <c r="BI326" i="5"/>
  <c r="AR326" i="5"/>
  <c r="AQ326" i="5"/>
  <c r="BI454" i="5"/>
  <c r="AR454" i="5"/>
  <c r="AQ454" i="5"/>
  <c r="BI518" i="5"/>
  <c r="AR518" i="5"/>
  <c r="AQ518" i="5"/>
  <c r="BI41" i="5"/>
  <c r="AR41" i="5"/>
  <c r="AQ41" i="5"/>
  <c r="BI335" i="5"/>
  <c r="AQ335" i="5"/>
  <c r="AR335" i="5"/>
  <c r="BI347" i="5"/>
  <c r="AQ347" i="5"/>
  <c r="AR347" i="5"/>
  <c r="BI501" i="5"/>
  <c r="AQ501" i="5"/>
  <c r="AR501" i="5"/>
  <c r="BI37" i="5"/>
  <c r="AR37" i="5"/>
  <c r="AQ37" i="5"/>
  <c r="BI83" i="5"/>
  <c r="AR83" i="5"/>
  <c r="AQ83" i="5"/>
  <c r="BI355" i="5"/>
  <c r="AQ355" i="5"/>
  <c r="AR355" i="5"/>
  <c r="AH11" i="5"/>
  <c r="AI11" i="5"/>
  <c r="B227" i="2"/>
  <c r="B228" i="2" s="1"/>
  <c r="B229" i="2" s="1"/>
  <c r="B223" i="2"/>
  <c r="AC536" i="5"/>
  <c r="AD536" i="5" s="1"/>
  <c r="Y59" i="5"/>
  <c r="AA10" i="5"/>
  <c r="X7" i="5"/>
  <c r="Y7"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11" i="5"/>
  <c r="Y11" i="5"/>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X11" i="5"/>
  <c r="AY11" i="5"/>
  <c r="R11" i="5"/>
  <c r="S11" i="5"/>
  <c r="AB12" i="5"/>
  <c r="AA12" i="5"/>
  <c r="Y13" i="5"/>
  <c r="X13" i="5"/>
  <c r="BA11" i="5"/>
  <c r="BB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C11" i="5"/>
  <c r="V11" i="5"/>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E19" i="5"/>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AQ497" i="5" l="1"/>
  <c r="AQ484" i="5"/>
  <c r="BI401" i="5"/>
  <c r="AQ168" i="5"/>
  <c r="AR390" i="5"/>
  <c r="AQ537" i="5"/>
  <c r="AQ92" i="5"/>
  <c r="AQ43" i="5"/>
  <c r="BI194" i="5"/>
  <c r="BI119" i="5"/>
  <c r="AQ377" i="5"/>
  <c r="AQ194" i="5"/>
  <c r="AQ366" i="5"/>
  <c r="BI423" i="5"/>
  <c r="AR142" i="5"/>
  <c r="AR262" i="5"/>
  <c r="AQ210" i="5"/>
  <c r="AQ135" i="5"/>
  <c r="AQ291" i="5"/>
  <c r="AR325" i="5"/>
  <c r="BI198" i="5"/>
  <c r="BI70" i="5"/>
  <c r="AR401" i="5"/>
  <c r="AQ348" i="5"/>
  <c r="AR443" i="5"/>
  <c r="AQ130" i="5"/>
  <c r="AQ257" i="5"/>
  <c r="BI486" i="5"/>
  <c r="BJ486" i="5" s="1"/>
  <c r="BI216" i="5"/>
  <c r="AR295" i="5"/>
  <c r="AR323" i="5"/>
  <c r="BI433" i="5"/>
  <c r="BK433" i="5" s="1"/>
  <c r="BI369" i="5"/>
  <c r="AR508" i="5"/>
  <c r="AR380" i="5"/>
  <c r="AQ392" i="5"/>
  <c r="AQ383" i="5"/>
  <c r="AR210" i="5"/>
  <c r="AR135" i="5"/>
  <c r="BI457" i="5"/>
  <c r="BJ457" i="5" s="1"/>
  <c r="BI484" i="5"/>
  <c r="AR291" i="5"/>
  <c r="BI261" i="5"/>
  <c r="BI168" i="5"/>
  <c r="BK168" i="5" s="1"/>
  <c r="AQ499" i="5"/>
  <c r="AQ396" i="5"/>
  <c r="AQ140" i="5"/>
  <c r="AR486" i="5"/>
  <c r="AQ397" i="5"/>
  <c r="BI489" i="5"/>
  <c r="BI297" i="5"/>
  <c r="AQ369" i="5"/>
  <c r="AQ508" i="5"/>
  <c r="AQ444" i="5"/>
  <c r="BI151" i="5"/>
  <c r="AR462" i="5"/>
  <c r="BI553" i="5"/>
  <c r="AR549" i="5"/>
  <c r="AQ457" i="5"/>
  <c r="BI122" i="5"/>
  <c r="BJ122" i="5" s="1"/>
  <c r="BI464" i="5"/>
  <c r="AR198" i="5"/>
  <c r="AR348" i="5"/>
  <c r="AQ443" i="5"/>
  <c r="BI161" i="5"/>
  <c r="AQ534" i="5"/>
  <c r="BI462" i="5"/>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AQ98" i="5"/>
  <c r="AR487" i="5"/>
  <c r="BI142" i="5"/>
  <c r="BJ142" i="5" s="1"/>
  <c r="AR521" i="5"/>
  <c r="AR343" i="5"/>
  <c r="AR550" i="5"/>
  <c r="AR422" i="5"/>
  <c r="AR269" i="5"/>
  <c r="BI521" i="5"/>
  <c r="AQ255" i="5"/>
  <c r="AQ343" i="5"/>
  <c r="BI422" i="5"/>
  <c r="AQ269" i="5"/>
  <c r="AQ153" i="5"/>
  <c r="AR349" i="5"/>
  <c r="AR119" i="5"/>
  <c r="AR366" i="5"/>
  <c r="AR490" i="5"/>
  <c r="AR255" i="5"/>
  <c r="BI550" i="5"/>
  <c r="BI483" i="5"/>
  <c r="AQ162" i="5"/>
  <c r="AQ264" i="5"/>
  <c r="AQ423" i="5"/>
  <c r="AQ95" i="5"/>
  <c r="BI44" i="5"/>
  <c r="BJ44" i="5" s="1"/>
  <c r="BI465" i="5"/>
  <c r="BK465" i="5" s="1"/>
  <c r="AQ161" i="5"/>
  <c r="AR162" i="5"/>
  <c r="BI264" i="5"/>
  <c r="BK264" i="5" s="1"/>
  <c r="AR138" i="5"/>
  <c r="AR271" i="5"/>
  <c r="AR310" i="5"/>
  <c r="BI245" i="5"/>
  <c r="BK245" i="5" s="1"/>
  <c r="AR19" i="5"/>
  <c r="BI432" i="5"/>
  <c r="BI418" i="5"/>
  <c r="AR540" i="5"/>
  <c r="BI426" i="5"/>
  <c r="BJ426" i="5" s="1"/>
  <c r="AR452" i="5"/>
  <c r="AQ359" i="5"/>
  <c r="AQ115" i="5"/>
  <c r="AR224" i="5"/>
  <c r="AQ183" i="5"/>
  <c r="AQ87" i="5"/>
  <c r="AQ138" i="5"/>
  <c r="BI523" i="5"/>
  <c r="BK523" i="5" s="1"/>
  <c r="AQ523" i="5"/>
  <c r="BI398" i="5"/>
  <c r="AR345" i="5"/>
  <c r="AR197" i="5"/>
  <c r="AQ44" i="5"/>
  <c r="AQ398" i="5"/>
  <c r="BI153" i="5"/>
  <c r="BJ153" i="5" s="1"/>
  <c r="AR95" i="5"/>
  <c r="AE97" i="4"/>
  <c r="BI417" i="5"/>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AC91" i="4"/>
  <c r="AD91"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C139" i="4"/>
  <c r="AD139" i="4" s="1"/>
  <c r="AF139"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AK153" i="4" s="1"/>
  <c r="X145" i="4"/>
  <c r="X137" i="4"/>
  <c r="X129" i="4"/>
  <c r="X121" i="4"/>
  <c r="X113" i="4"/>
  <c r="X97" i="4"/>
  <c r="AE8" i="4"/>
  <c r="AE62" i="4"/>
  <c r="AE15" i="4"/>
  <c r="AE52" i="4"/>
  <c r="AE26" i="4"/>
  <c r="AE115" i="4"/>
  <c r="AE106" i="4"/>
  <c r="AE31" i="4"/>
  <c r="AE27" i="4"/>
  <c r="AE112" i="4"/>
  <c r="AE99" i="4"/>
  <c r="AE113" i="4"/>
  <c r="AE91" i="4"/>
  <c r="AE65" i="4"/>
  <c r="AE51" i="4"/>
  <c r="X133" i="4"/>
  <c r="X117" i="4"/>
  <c r="X109" i="4"/>
  <c r="AK109" i="4" s="1"/>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301" i="5"/>
  <c r="BK301" i="5"/>
  <c r="BJ221" i="5"/>
  <c r="BK221" i="5"/>
  <c r="BJ504" i="5"/>
  <c r="BL504" i="5" s="1"/>
  <c r="BK504" i="5"/>
  <c r="BJ248" i="5"/>
  <c r="BK248" i="5"/>
  <c r="BK535" i="5"/>
  <c r="BJ535" i="5"/>
  <c r="BJ327" i="5"/>
  <c r="BK327" i="5"/>
  <c r="BJ71" i="5"/>
  <c r="BK71" i="5"/>
  <c r="BM71" i="5" s="1"/>
  <c r="BJ33" i="5"/>
  <c r="BL33" i="5" s="1"/>
  <c r="BK33" i="5"/>
  <c r="BK382" i="5"/>
  <c r="BJ382" i="5"/>
  <c r="BJ318" i="5"/>
  <c r="BK318" i="5"/>
  <c r="BJ62" i="5"/>
  <c r="BL62" i="5" s="1"/>
  <c r="BK62" i="5"/>
  <c r="BJ393" i="5"/>
  <c r="BK393" i="5"/>
  <c r="BJ329" i="5"/>
  <c r="BK329" i="5"/>
  <c r="BJ137" i="5"/>
  <c r="BK137" i="5"/>
  <c r="BM137" i="5" s="1"/>
  <c r="BJ73" i="5"/>
  <c r="BK73" i="5"/>
  <c r="BK100" i="5"/>
  <c r="BJ100" i="5"/>
  <c r="BK387" i="5"/>
  <c r="BJ387" i="5"/>
  <c r="BJ99" i="5"/>
  <c r="BK99" i="5"/>
  <c r="BK186" i="5"/>
  <c r="BJ186" i="5"/>
  <c r="BJ453" i="5"/>
  <c r="BK453" i="5"/>
  <c r="BJ389" i="5"/>
  <c r="BK389" i="5"/>
  <c r="BJ400" i="5"/>
  <c r="BK400" i="5"/>
  <c r="BK495" i="5"/>
  <c r="BM495" i="5" s="1"/>
  <c r="BJ495" i="5"/>
  <c r="BK431" i="5"/>
  <c r="BJ431" i="5"/>
  <c r="BJ143" i="5"/>
  <c r="BK143" i="5"/>
  <c r="BJ198" i="5"/>
  <c r="BK198" i="5"/>
  <c r="BJ134" i="5"/>
  <c r="BK134" i="5"/>
  <c r="BM134" i="5" s="1"/>
  <c r="BJ465" i="5"/>
  <c r="BJ129" i="5"/>
  <c r="BK129" i="5"/>
  <c r="BJ412" i="5"/>
  <c r="BL412" i="5" s="1"/>
  <c r="BK412" i="5"/>
  <c r="BK220" i="5"/>
  <c r="BJ220" i="5"/>
  <c r="BK156" i="5"/>
  <c r="BJ156" i="5"/>
  <c r="BK507" i="5"/>
  <c r="BJ507" i="5"/>
  <c r="BK443" i="5"/>
  <c r="BJ443" i="5"/>
  <c r="BJ171" i="5"/>
  <c r="BK171" i="5"/>
  <c r="BM171" i="5" s="1"/>
  <c r="BJ438" i="5"/>
  <c r="BK438" i="5"/>
  <c r="BJ514" i="5"/>
  <c r="BK514" i="5"/>
  <c r="BJ450" i="5"/>
  <c r="BK450" i="5"/>
  <c r="BM450" i="5" s="1"/>
  <c r="BJ477" i="5"/>
  <c r="BK477" i="5"/>
  <c r="BJ205" i="5"/>
  <c r="BK205" i="5"/>
  <c r="BJ488" i="5"/>
  <c r="BK488" i="5"/>
  <c r="BJ232" i="5"/>
  <c r="BK232" i="5"/>
  <c r="BK42" i="5"/>
  <c r="BJ42" i="5"/>
  <c r="BK519" i="5"/>
  <c r="BJ519" i="5"/>
  <c r="BJ311" i="5"/>
  <c r="BK311" i="5"/>
  <c r="BM311" i="5" s="1"/>
  <c r="BJ247" i="5"/>
  <c r="BK247" i="5"/>
  <c r="BJ302" i="5"/>
  <c r="BK302" i="5"/>
  <c r="BJ46" i="5"/>
  <c r="BL46" i="5" s="1"/>
  <c r="BK46" i="5"/>
  <c r="BJ313" i="5"/>
  <c r="BK313" i="5"/>
  <c r="BJ121" i="5"/>
  <c r="BK121" i="5"/>
  <c r="BK57" i="5"/>
  <c r="BJ57" i="5"/>
  <c r="BK84" i="5"/>
  <c r="BJ84" i="5"/>
  <c r="BJ371" i="5"/>
  <c r="BK371" i="5"/>
  <c r="BK362" i="5"/>
  <c r="BJ362" i="5"/>
  <c r="BK170" i="5"/>
  <c r="BJ170" i="5"/>
  <c r="BJ106" i="5"/>
  <c r="BK106" i="5"/>
  <c r="BJ437" i="5"/>
  <c r="BK437" i="5"/>
  <c r="BJ373" i="5"/>
  <c r="BK373" i="5"/>
  <c r="BM373" i="5" s="1"/>
  <c r="BK128" i="5"/>
  <c r="BJ128" i="5"/>
  <c r="BL128" i="5" s="1"/>
  <c r="BK479" i="5"/>
  <c r="BJ479" i="5"/>
  <c r="BK415" i="5"/>
  <c r="BJ415" i="5"/>
  <c r="BJ127" i="5"/>
  <c r="BK127" i="5"/>
  <c r="BJ182" i="5"/>
  <c r="BL182" i="5" s="1"/>
  <c r="BK182"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375" i="5"/>
  <c r="BK375"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305" i="5"/>
  <c r="BK305" i="5"/>
  <c r="BM305" i="5" s="1"/>
  <c r="BJ225" i="5"/>
  <c r="BK225" i="5"/>
  <c r="BJ252" i="5"/>
  <c r="BK252" i="5"/>
  <c r="BK539" i="5"/>
  <c r="BJ539" i="5"/>
  <c r="BJ75" i="5"/>
  <c r="BK75" i="5"/>
  <c r="BJ406" i="5"/>
  <c r="BK406" i="5"/>
  <c r="BJ418" i="5"/>
  <c r="BL418" i="5" s="1"/>
  <c r="BK418" i="5"/>
  <c r="BJ162" i="5"/>
  <c r="BK162" i="5"/>
  <c r="BJ509" i="5"/>
  <c r="BK509" i="5"/>
  <c r="BJ173" i="5"/>
  <c r="BK173" i="5"/>
  <c r="BJ456" i="5"/>
  <c r="BK456" i="5"/>
  <c r="BK200" i="5"/>
  <c r="BJ200" i="5"/>
  <c r="BJ279" i="5"/>
  <c r="BK279" i="5"/>
  <c r="BM279" i="5" s="1"/>
  <c r="BJ215" i="5"/>
  <c r="BK215" i="5"/>
  <c r="BM215" i="5" s="1"/>
  <c r="BJ270" i="5"/>
  <c r="BK270" i="5"/>
  <c r="BJ281" i="5"/>
  <c r="BK281" i="5"/>
  <c r="BJ23" i="5"/>
  <c r="BK23" i="5"/>
  <c r="BK308" i="5"/>
  <c r="BJ308" i="5"/>
  <c r="BL308" i="5" s="1"/>
  <c r="BJ12" i="5"/>
  <c r="BK12" i="5"/>
  <c r="BJ74" i="5"/>
  <c r="BK74" i="5"/>
  <c r="BJ341" i="5"/>
  <c r="BK341" i="5"/>
  <c r="BM341" i="5" s="1"/>
  <c r="BJ69" i="5"/>
  <c r="BL69" i="5" s="1"/>
  <c r="BK69" i="5"/>
  <c r="BK96" i="5"/>
  <c r="BM96" i="5" s="1"/>
  <c r="BJ96" i="5"/>
  <c r="BJ383" i="5"/>
  <c r="BK383" i="5"/>
  <c r="BK159" i="5"/>
  <c r="BJ159" i="5"/>
  <c r="BJ95" i="5"/>
  <c r="BK95" i="5"/>
  <c r="BJ150" i="5"/>
  <c r="BK150" i="5"/>
  <c r="BJ417" i="5"/>
  <c r="BK417" i="5"/>
  <c r="BJ353" i="5"/>
  <c r="BK353" i="5"/>
  <c r="BJ81" i="5"/>
  <c r="BL81" i="5" s="1"/>
  <c r="BK81" i="5"/>
  <c r="BJ364" i="5"/>
  <c r="BK364" i="5"/>
  <c r="BK108" i="5"/>
  <c r="BM108" i="5" s="1"/>
  <c r="BJ108" i="5"/>
  <c r="BK395" i="5"/>
  <c r="BJ395" i="5"/>
  <c r="BL395" i="5" s="1"/>
  <c r="BJ501" i="5"/>
  <c r="BK501" i="5"/>
  <c r="BM501" i="5" s="1"/>
  <c r="BJ518" i="5"/>
  <c r="BK518" i="5"/>
  <c r="BJ262" i="5"/>
  <c r="BK262" i="5"/>
  <c r="BJ274" i="5"/>
  <c r="BK274" i="5"/>
  <c r="BJ557" i="5"/>
  <c r="BK557" i="5"/>
  <c r="BJ93" i="5"/>
  <c r="BK93" i="5"/>
  <c r="BK27" i="5"/>
  <c r="BJ27" i="5"/>
  <c r="BJ312" i="5"/>
  <c r="BK312" i="5"/>
  <c r="BJ56" i="5"/>
  <c r="BK56" i="5"/>
  <c r="BJ135" i="5"/>
  <c r="BK135" i="5"/>
  <c r="BK190" i="5"/>
  <c r="BJ190" i="5"/>
  <c r="BJ126" i="5"/>
  <c r="BK126" i="5"/>
  <c r="BK457" i="5"/>
  <c r="BJ420" i="5"/>
  <c r="BK420" i="5"/>
  <c r="BK164" i="5"/>
  <c r="BJ164" i="5"/>
  <c r="BK451" i="5"/>
  <c r="BJ451" i="5"/>
  <c r="BL451" i="5" s="1"/>
  <c r="BJ163" i="5"/>
  <c r="BK163" i="5"/>
  <c r="BJ442" i="5"/>
  <c r="BK442" i="5"/>
  <c r="BM442" i="5" s="1"/>
  <c r="BK181" i="5"/>
  <c r="BJ181" i="5"/>
  <c r="BJ464" i="5"/>
  <c r="BK464" i="5"/>
  <c r="BK208" i="5"/>
  <c r="BJ208" i="5"/>
  <c r="BJ207" i="5"/>
  <c r="BK207" i="5"/>
  <c r="BM207" i="5" s="1"/>
  <c r="BJ529" i="5"/>
  <c r="BK529" i="5"/>
  <c r="BJ193" i="5"/>
  <c r="BK193" i="5"/>
  <c r="BJ476" i="5"/>
  <c r="BK476" i="5"/>
  <c r="BK30" i="5"/>
  <c r="BJ30" i="5"/>
  <c r="BJ235" i="5"/>
  <c r="BK235" i="5"/>
  <c r="BJ54" i="5"/>
  <c r="BK54" i="5"/>
  <c r="BJ502" i="5"/>
  <c r="BK502" i="5"/>
  <c r="BJ322" i="5"/>
  <c r="BK322" i="5"/>
  <c r="BJ258" i="5"/>
  <c r="BK258" i="5"/>
  <c r="BJ541" i="5"/>
  <c r="BL541" i="5" s="1"/>
  <c r="BK541" i="5"/>
  <c r="BJ285" i="5"/>
  <c r="BK285" i="5"/>
  <c r="BJ552" i="5"/>
  <c r="BK552" i="5"/>
  <c r="BJ296" i="5"/>
  <c r="BK296" i="5"/>
  <c r="BJ55" i="5"/>
  <c r="BK55" i="5"/>
  <c r="BK366" i="5"/>
  <c r="BJ366" i="5"/>
  <c r="BJ174" i="5"/>
  <c r="BK174" i="5"/>
  <c r="BJ110" i="5"/>
  <c r="BK110" i="5"/>
  <c r="BM110" i="5" s="1"/>
  <c r="BJ441" i="5"/>
  <c r="BK441" i="5"/>
  <c r="BJ377" i="5"/>
  <c r="BK377" i="5"/>
  <c r="BJ404" i="5"/>
  <c r="BK404" i="5"/>
  <c r="BK148" i="5"/>
  <c r="BJ148" i="5"/>
  <c r="BK435" i="5"/>
  <c r="BJ435" i="5"/>
  <c r="BJ147" i="5"/>
  <c r="BK147" i="5"/>
  <c r="BM147" i="5" s="1"/>
  <c r="BK165" i="5"/>
  <c r="BJ165" i="5"/>
  <c r="BJ448" i="5"/>
  <c r="BK448" i="5"/>
  <c r="BK192" i="5"/>
  <c r="BJ192" i="5"/>
  <c r="BJ255" i="5"/>
  <c r="BK255" i="5"/>
  <c r="BK191" i="5"/>
  <c r="BJ191" i="5"/>
  <c r="BJ513" i="5"/>
  <c r="BK513" i="5"/>
  <c r="BJ177" i="5"/>
  <c r="BK177" i="5"/>
  <c r="BJ524" i="5"/>
  <c r="BK524" i="5"/>
  <c r="BJ460" i="5"/>
  <c r="BK460" i="5"/>
  <c r="BK204" i="5"/>
  <c r="BJ204" i="5"/>
  <c r="BK283" i="5"/>
  <c r="BJ283" i="5"/>
  <c r="BJ219" i="5"/>
  <c r="BK219" i="5"/>
  <c r="BK358" i="5"/>
  <c r="BJ358" i="5"/>
  <c r="BK370" i="5"/>
  <c r="BJ370" i="5"/>
  <c r="BJ114" i="5"/>
  <c r="BK114" i="5"/>
  <c r="BJ461" i="5"/>
  <c r="BK461" i="5"/>
  <c r="BJ397" i="5"/>
  <c r="BK397" i="5"/>
  <c r="BJ125" i="5"/>
  <c r="BK125" i="5"/>
  <c r="BJ408" i="5"/>
  <c r="BK408" i="5"/>
  <c r="BK216" i="5"/>
  <c r="BJ216" i="5"/>
  <c r="BL216" i="5" s="1"/>
  <c r="BK503" i="5"/>
  <c r="BJ503" i="5"/>
  <c r="BK439" i="5"/>
  <c r="BJ439" i="5"/>
  <c r="BJ231" i="5"/>
  <c r="BK231" i="5"/>
  <c r="BJ167" i="5"/>
  <c r="BK167" i="5"/>
  <c r="BJ542" i="5"/>
  <c r="BK542" i="5"/>
  <c r="BJ478" i="5"/>
  <c r="BK478" i="5"/>
  <c r="BJ222" i="5"/>
  <c r="BK222" i="5"/>
  <c r="BJ489" i="5"/>
  <c r="BK489" i="5"/>
  <c r="BM489" i="5" s="1"/>
  <c r="BJ297" i="5"/>
  <c r="BK297" i="5"/>
  <c r="BJ233" i="5"/>
  <c r="BK233" i="5"/>
  <c r="BK324" i="5"/>
  <c r="BJ324" i="5"/>
  <c r="BK260" i="5"/>
  <c r="BM260" i="5" s="1"/>
  <c r="BJ260" i="5"/>
  <c r="BK547" i="5"/>
  <c r="BJ547" i="5"/>
  <c r="BK323" i="5"/>
  <c r="BJ323" i="5"/>
  <c r="BJ282" i="5"/>
  <c r="BK282" i="5"/>
  <c r="BJ24" i="5"/>
  <c r="BK24" i="5"/>
  <c r="BJ85" i="5"/>
  <c r="BK85" i="5"/>
  <c r="BJ560" i="5"/>
  <c r="BK560" i="5"/>
  <c r="BJ304" i="5"/>
  <c r="BK304" i="5"/>
  <c r="BK303" i="5"/>
  <c r="BJ303" i="5"/>
  <c r="BJ47" i="5"/>
  <c r="BK47" i="5"/>
  <c r="BJ20" i="5"/>
  <c r="BK20" i="5"/>
  <c r="BJ97" i="5"/>
  <c r="BK97" i="5"/>
  <c r="BJ31" i="5"/>
  <c r="BK31" i="5"/>
  <c r="BK380" i="5"/>
  <c r="BJ380" i="5"/>
  <c r="BJ316" i="5"/>
  <c r="BK316" i="5"/>
  <c r="BK124" i="5"/>
  <c r="BJ124" i="5"/>
  <c r="BK60" i="5"/>
  <c r="BJ60" i="5"/>
  <c r="BK331" i="5"/>
  <c r="BJ331" i="5"/>
  <c r="BJ237" i="5"/>
  <c r="BK237" i="5"/>
  <c r="BJ482" i="5"/>
  <c r="BK482" i="5"/>
  <c r="BJ226" i="5"/>
  <c r="BK226" i="5"/>
  <c r="BJ253" i="5"/>
  <c r="BL253" i="5" s="1"/>
  <c r="BK253" i="5"/>
  <c r="BJ45" i="5"/>
  <c r="BK45" i="5"/>
  <c r="BJ520" i="5"/>
  <c r="BL520" i="5" s="1"/>
  <c r="BK520" i="5"/>
  <c r="BJ328" i="5"/>
  <c r="BK328" i="5"/>
  <c r="BK551" i="5"/>
  <c r="BJ551" i="5"/>
  <c r="BK8" i="5"/>
  <c r="BJ8" i="5"/>
  <c r="BL8" i="5" s="1"/>
  <c r="BJ398" i="5"/>
  <c r="BK398" i="5"/>
  <c r="BJ334" i="5"/>
  <c r="BK334" i="5"/>
  <c r="BK142" i="5"/>
  <c r="BJ78" i="5"/>
  <c r="BK78" i="5"/>
  <c r="BJ409" i="5"/>
  <c r="BK409" i="5"/>
  <c r="BJ89" i="5"/>
  <c r="BK89" i="5"/>
  <c r="BJ372" i="5"/>
  <c r="BL372" i="5" s="1"/>
  <c r="BK372" i="5"/>
  <c r="BK116" i="5"/>
  <c r="BJ116" i="5"/>
  <c r="BK467" i="5"/>
  <c r="BM467" i="5" s="1"/>
  <c r="BJ467" i="5"/>
  <c r="BK403" i="5"/>
  <c r="BJ403" i="5"/>
  <c r="BK115" i="5"/>
  <c r="BJ394" i="5"/>
  <c r="BK394" i="5"/>
  <c r="BJ202" i="5"/>
  <c r="BK202" i="5"/>
  <c r="BK138" i="5"/>
  <c r="BJ138" i="5"/>
  <c r="BJ133" i="5"/>
  <c r="BK133" i="5"/>
  <c r="BJ416" i="5"/>
  <c r="BK416" i="5"/>
  <c r="BJ160" i="5"/>
  <c r="BK447" i="5"/>
  <c r="BJ447" i="5"/>
  <c r="BL447" i="5" s="1"/>
  <c r="BJ214" i="5"/>
  <c r="BL214" i="5" s="1"/>
  <c r="BK214" i="5"/>
  <c r="BJ145" i="5"/>
  <c r="BL145" i="5" s="1"/>
  <c r="BK145" i="5"/>
  <c r="BJ428" i="5"/>
  <c r="BK428" i="5"/>
  <c r="BK172" i="5"/>
  <c r="BJ172" i="5"/>
  <c r="BJ523" i="5"/>
  <c r="BK459" i="5"/>
  <c r="BJ459" i="5"/>
  <c r="BK251" i="5"/>
  <c r="BM251" i="5" s="1"/>
  <c r="BJ251" i="5"/>
  <c r="BK187" i="5"/>
  <c r="BJ187" i="5"/>
  <c r="BJ37" i="5"/>
  <c r="BK37" i="5"/>
  <c r="BJ41" i="5"/>
  <c r="BK41" i="5"/>
  <c r="BJ326" i="5"/>
  <c r="BK326" i="5"/>
  <c r="BK338" i="5"/>
  <c r="BM338" i="5" s="1"/>
  <c r="BJ338" i="5"/>
  <c r="BJ82" i="5"/>
  <c r="BK82" i="5"/>
  <c r="BJ429" i="5"/>
  <c r="BK429" i="5"/>
  <c r="BJ365" i="5"/>
  <c r="BK365" i="5"/>
  <c r="BJ376" i="5"/>
  <c r="BK376" i="5"/>
  <c r="BK120" i="5"/>
  <c r="BJ120" i="5"/>
  <c r="BK471" i="5"/>
  <c r="BJ471" i="5"/>
  <c r="BL471" i="5" s="1"/>
  <c r="BK407" i="5"/>
  <c r="BJ407" i="5"/>
  <c r="BJ510" i="5"/>
  <c r="BK510" i="5"/>
  <c r="BJ446" i="5"/>
  <c r="BK446" i="5"/>
  <c r="BJ201" i="5"/>
  <c r="BL201" i="5" s="1"/>
  <c r="BK201" i="5"/>
  <c r="BJ484" i="5"/>
  <c r="BL484" i="5" s="1"/>
  <c r="BK484" i="5"/>
  <c r="BK228" i="5"/>
  <c r="BJ228" i="5"/>
  <c r="BK515" i="5"/>
  <c r="BJ515" i="5"/>
  <c r="BK291" i="5"/>
  <c r="BJ291" i="5"/>
  <c r="BK227" i="5"/>
  <c r="BM227" i="5" s="1"/>
  <c r="BJ227" i="5"/>
  <c r="BJ506" i="5"/>
  <c r="BK506" i="5"/>
  <c r="BJ250" i="5"/>
  <c r="BK250" i="5"/>
  <c r="BJ533" i="5"/>
  <c r="BK533" i="5"/>
  <c r="BJ261" i="5"/>
  <c r="BK261" i="5"/>
  <c r="BJ528" i="5"/>
  <c r="BL528" i="5" s="1"/>
  <c r="BK528" i="5"/>
  <c r="BJ336" i="5"/>
  <c r="BK336" i="5"/>
  <c r="BJ272" i="5"/>
  <c r="BK272" i="5"/>
  <c r="BK559" i="5"/>
  <c r="BJ559" i="5"/>
  <c r="BJ273" i="5"/>
  <c r="BK273" i="5"/>
  <c r="BJ348" i="5"/>
  <c r="BK348" i="5"/>
  <c r="BJ284" i="5"/>
  <c r="BK284" i="5"/>
  <c r="BJ299" i="5"/>
  <c r="BL299" i="5" s="1"/>
  <c r="BK299" i="5"/>
  <c r="BK43" i="5"/>
  <c r="BJ43" i="5"/>
  <c r="BL43" i="5" s="1"/>
  <c r="AQ11" i="5"/>
  <c r="BJ351" i="5"/>
  <c r="BK351" i="5"/>
  <c r="BJ25" i="5"/>
  <c r="BK25" i="5"/>
  <c r="BJ386" i="5"/>
  <c r="BK386" i="5"/>
  <c r="BJ66" i="5"/>
  <c r="BK66" i="5"/>
  <c r="BM66" i="5" s="1"/>
  <c r="BJ413" i="5"/>
  <c r="BK413" i="5"/>
  <c r="BJ349" i="5"/>
  <c r="BK349" i="5"/>
  <c r="BJ141" i="5"/>
  <c r="BK141" i="5"/>
  <c r="BM141" i="5" s="1"/>
  <c r="BJ77" i="5"/>
  <c r="BK77" i="5"/>
  <c r="BJ360" i="5"/>
  <c r="BL360" i="5" s="1"/>
  <c r="BK360" i="5"/>
  <c r="BK104" i="5"/>
  <c r="BJ104" i="5"/>
  <c r="BK391" i="5"/>
  <c r="BJ391" i="5"/>
  <c r="BJ119" i="5"/>
  <c r="BK119" i="5"/>
  <c r="BJ430" i="5"/>
  <c r="BK430" i="5"/>
  <c r="BM430" i="5" s="1"/>
  <c r="BJ249" i="5"/>
  <c r="BL249" i="5" s="1"/>
  <c r="BK249" i="5"/>
  <c r="BJ185" i="5"/>
  <c r="BK185" i="5"/>
  <c r="BJ532" i="5"/>
  <c r="BK532" i="5"/>
  <c r="BJ468" i="5"/>
  <c r="BL468" i="5" s="1"/>
  <c r="BK468" i="5"/>
  <c r="BK212" i="5"/>
  <c r="BJ212" i="5"/>
  <c r="BK22" i="5"/>
  <c r="BJ22" i="5"/>
  <c r="BK499" i="5"/>
  <c r="BM499" i="5" s="1"/>
  <c r="BJ499" i="5"/>
  <c r="BJ275" i="5"/>
  <c r="BK275" i="5"/>
  <c r="BJ211" i="5"/>
  <c r="BJ554" i="5"/>
  <c r="BK554" i="5"/>
  <c r="BJ490" i="5"/>
  <c r="BK490" i="5"/>
  <c r="BJ234" i="5"/>
  <c r="BK234" i="5"/>
  <c r="BM234" i="5" s="1"/>
  <c r="BJ517" i="5"/>
  <c r="BK517" i="5"/>
  <c r="BJ512" i="5"/>
  <c r="BL512" i="5" s="1"/>
  <c r="BK512" i="5"/>
  <c r="BJ256" i="5"/>
  <c r="BK256" i="5"/>
  <c r="BK543" i="5"/>
  <c r="BJ543" i="5"/>
  <c r="BJ319" i="5"/>
  <c r="BK319" i="5"/>
  <c r="BM319" i="5" s="1"/>
  <c r="BK63" i="5"/>
  <c r="BJ63" i="5"/>
  <c r="BJ246" i="5"/>
  <c r="BK246" i="5"/>
  <c r="BJ321" i="5"/>
  <c r="BK321" i="5"/>
  <c r="BJ257" i="5"/>
  <c r="BK257" i="5"/>
  <c r="BJ268" i="5"/>
  <c r="BK268" i="5"/>
  <c r="BK555" i="5"/>
  <c r="BJ555" i="5"/>
  <c r="BJ91" i="5"/>
  <c r="BK91" i="5"/>
  <c r="BJ7" i="5"/>
  <c r="BK7" i="5"/>
  <c r="BJ422" i="5"/>
  <c r="BL422" i="5" s="1"/>
  <c r="BK422" i="5"/>
  <c r="BJ434" i="5"/>
  <c r="BL434" i="5" s="1"/>
  <c r="BK434" i="5"/>
  <c r="BJ178" i="5"/>
  <c r="BK178" i="5"/>
  <c r="BM178" i="5" s="1"/>
  <c r="BJ525" i="5"/>
  <c r="BK525" i="5"/>
  <c r="BJ189" i="5"/>
  <c r="BK189" i="5"/>
  <c r="BJ472" i="5"/>
  <c r="BK472" i="5"/>
  <c r="BJ26" i="5"/>
  <c r="BK26" i="5"/>
  <c r="BK19" i="5"/>
  <c r="BJ19" i="5"/>
  <c r="BJ286" i="5"/>
  <c r="BK286" i="5"/>
  <c r="BJ28" i="5"/>
  <c r="BK28" i="5"/>
  <c r="BJ105" i="5"/>
  <c r="BL105" i="5" s="1"/>
  <c r="BK105" i="5"/>
  <c r="BK39" i="5"/>
  <c r="BJ39" i="5"/>
  <c r="BK132" i="5"/>
  <c r="BJ132" i="5"/>
  <c r="BK68" i="5"/>
  <c r="BJ68" i="5"/>
  <c r="BJ131" i="5"/>
  <c r="BK131" i="5"/>
  <c r="BK51" i="5"/>
  <c r="BJ51" i="5"/>
  <c r="BL51" i="5" s="1"/>
  <c r="BK346" i="5"/>
  <c r="BJ346" i="5"/>
  <c r="BJ90" i="5"/>
  <c r="BK90" i="5"/>
  <c r="BJ421" i="5"/>
  <c r="BK421" i="5"/>
  <c r="BJ357" i="5"/>
  <c r="BK357" i="5"/>
  <c r="BK149" i="5"/>
  <c r="BJ149" i="5"/>
  <c r="BK368" i="5"/>
  <c r="BJ368" i="5"/>
  <c r="BK112" i="5"/>
  <c r="BJ112" i="5"/>
  <c r="BK399" i="5"/>
  <c r="BJ399" i="5"/>
  <c r="BJ111" i="5"/>
  <c r="BK111" i="5"/>
  <c r="BJ166" i="5"/>
  <c r="BK166" i="5"/>
  <c r="BJ102" i="5"/>
  <c r="BK102" i="5"/>
  <c r="BJ433" i="5"/>
  <c r="BJ369" i="5"/>
  <c r="BK369" i="5"/>
  <c r="BK475" i="5"/>
  <c r="BJ475" i="5"/>
  <c r="BK411" i="5"/>
  <c r="BJ411" i="5"/>
  <c r="BJ139" i="5"/>
  <c r="BK139" i="5"/>
  <c r="BK339" i="5"/>
  <c r="BM339" i="5" s="1"/>
  <c r="BJ339" i="5"/>
  <c r="BJ530" i="5"/>
  <c r="BK530" i="5"/>
  <c r="BJ241" i="5"/>
  <c r="BK241" i="5"/>
  <c r="BM241" i="5" s="1"/>
  <c r="BJ534" i="5"/>
  <c r="BK534" i="5"/>
  <c r="BJ278" i="5"/>
  <c r="BK278" i="5"/>
  <c r="BJ290" i="5"/>
  <c r="BK290" i="5"/>
  <c r="BJ32" i="5"/>
  <c r="BK32" i="5"/>
  <c r="BJ381" i="5"/>
  <c r="BK381" i="5"/>
  <c r="BJ317" i="5"/>
  <c r="BK317" i="5"/>
  <c r="BJ109" i="5"/>
  <c r="BK109" i="5"/>
  <c r="BM109" i="5" s="1"/>
  <c r="BK136" i="5"/>
  <c r="BJ136" i="5"/>
  <c r="BK72" i="5"/>
  <c r="BJ72" i="5"/>
  <c r="BJ359" i="5"/>
  <c r="BK359" i="5"/>
  <c r="BJ151" i="5"/>
  <c r="BK151" i="5"/>
  <c r="BJ87" i="5"/>
  <c r="BK87" i="5"/>
  <c r="BJ206" i="5"/>
  <c r="BK206"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236" i="5"/>
  <c r="BK315" i="5"/>
  <c r="BJ315" i="5"/>
  <c r="BK59" i="5"/>
  <c r="BJ59" i="5"/>
  <c r="BJ83" i="5"/>
  <c r="BK83" i="5"/>
  <c r="BK335" i="5"/>
  <c r="BJ335" i="5"/>
  <c r="BJ390" i="5"/>
  <c r="BK390" i="5"/>
  <c r="BJ402" i="5"/>
  <c r="BK402" i="5"/>
  <c r="BJ210" i="5"/>
  <c r="BK210" i="5"/>
  <c r="BJ146" i="5"/>
  <c r="BL146" i="5" s="1"/>
  <c r="BK146" i="5"/>
  <c r="BJ157" i="5"/>
  <c r="BK157" i="5"/>
  <c r="BM157" i="5" s="1"/>
  <c r="BJ440" i="5"/>
  <c r="BK440" i="5"/>
  <c r="BK184" i="5"/>
  <c r="BJ184" i="5"/>
  <c r="BJ263" i="5"/>
  <c r="BK263" i="5"/>
  <c r="BJ199" i="5"/>
  <c r="BK199" i="5"/>
  <c r="BJ254" i="5"/>
  <c r="BK254" i="5"/>
  <c r="BJ537" i="5"/>
  <c r="BK537" i="5"/>
  <c r="BJ265" i="5"/>
  <c r="BK265" i="5"/>
  <c r="BJ548" i="5"/>
  <c r="BL548" i="5" s="1"/>
  <c r="BK548" i="5"/>
  <c r="BJ356" i="5"/>
  <c r="BK356" i="5"/>
  <c r="BK292" i="5"/>
  <c r="BJ292" i="5"/>
  <c r="BJ29" i="5"/>
  <c r="BK29" i="5"/>
  <c r="BK378" i="5"/>
  <c r="BJ378" i="5"/>
  <c r="BJ314" i="5"/>
  <c r="BK314" i="5"/>
  <c r="BJ58" i="5"/>
  <c r="BK58" i="5"/>
  <c r="BJ325" i="5"/>
  <c r="BK325" i="5"/>
  <c r="BJ117" i="5"/>
  <c r="BK117" i="5"/>
  <c r="BM117" i="5" s="1"/>
  <c r="BK53" i="5"/>
  <c r="BJ53" i="5"/>
  <c r="BK144" i="5"/>
  <c r="BM144" i="5" s="1"/>
  <c r="BJ144" i="5"/>
  <c r="BK80" i="5"/>
  <c r="BJ80" i="5"/>
  <c r="BJ367" i="5"/>
  <c r="BK367" i="5"/>
  <c r="BJ79" i="5"/>
  <c r="BK79" i="5"/>
  <c r="BJ70" i="5"/>
  <c r="BK70" i="5"/>
  <c r="BJ401" i="5"/>
  <c r="BK401" i="5"/>
  <c r="BJ337" i="5"/>
  <c r="BK337" i="5"/>
  <c r="BJ65" i="5"/>
  <c r="BK65" i="5"/>
  <c r="BK92" i="5"/>
  <c r="BJ92" i="5"/>
  <c r="BJ379" i="5"/>
  <c r="BK379" i="5"/>
  <c r="BJ107" i="5"/>
  <c r="BK107" i="5"/>
  <c r="BK21" i="5"/>
  <c r="BJ21" i="5"/>
  <c r="BK374" i="5"/>
  <c r="BJ374" i="5"/>
  <c r="BJ194" i="5"/>
  <c r="BK194" i="5"/>
  <c r="BJ130" i="5"/>
  <c r="BK130" i="5"/>
  <c r="BJ424" i="5"/>
  <c r="BL424" i="5" s="1"/>
  <c r="BK424" i="5"/>
  <c r="BJ168" i="5"/>
  <c r="BK455" i="5"/>
  <c r="BJ455" i="5"/>
  <c r="BJ183" i="5"/>
  <c r="BK183" i="5"/>
  <c r="BM183" i="5" s="1"/>
  <c r="BJ558" i="5"/>
  <c r="BK558" i="5"/>
  <c r="BJ494" i="5"/>
  <c r="BK494" i="5"/>
  <c r="BJ238" i="5"/>
  <c r="BK238" i="5"/>
  <c r="BJ521" i="5"/>
  <c r="BK521" i="5"/>
  <c r="BJ340" i="5"/>
  <c r="BK340" i="5"/>
  <c r="BK276" i="5"/>
  <c r="BJ276" i="5"/>
  <c r="BJ67" i="5"/>
  <c r="BK67" i="5"/>
  <c r="BJ298" i="5"/>
  <c r="BK298"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J155" i="5"/>
  <c r="BK343" i="5"/>
  <c r="BJ343" i="5"/>
  <c r="BJ550" i="5"/>
  <c r="BK550" i="5"/>
  <c r="BM550" i="5" s="1"/>
  <c r="BJ498" i="5"/>
  <c r="BK498" i="5"/>
  <c r="BM498" i="5" s="1"/>
  <c r="BJ242" i="5"/>
  <c r="BK242" i="5"/>
  <c r="BJ50" i="5"/>
  <c r="BK50" i="5"/>
  <c r="BJ269" i="5"/>
  <c r="BK269" i="5"/>
  <c r="BJ536" i="5"/>
  <c r="BK536" i="5"/>
  <c r="BJ344" i="5"/>
  <c r="BK344" i="5"/>
  <c r="BJ280" i="5"/>
  <c r="BK280" i="5"/>
  <c r="BJ295" i="5"/>
  <c r="BK295" i="5"/>
  <c r="BK350" i="5"/>
  <c r="BJ350" i="5"/>
  <c r="BJ425" i="5"/>
  <c r="BK425" i="5"/>
  <c r="BJ361" i="5"/>
  <c r="BK361" i="5"/>
  <c r="BJ169" i="5"/>
  <c r="BL169" i="5" s="1"/>
  <c r="BK169" i="5"/>
  <c r="BJ388" i="5"/>
  <c r="BK388" i="5"/>
  <c r="BK483" i="5"/>
  <c r="BJ483" i="5"/>
  <c r="BJ410" i="5"/>
  <c r="BK410" i="5"/>
  <c r="BK154" i="5"/>
  <c r="BJ154" i="5"/>
  <c r="BJ432" i="5"/>
  <c r="BK432" i="5"/>
  <c r="BK463" i="5"/>
  <c r="BJ463" i="5"/>
  <c r="BK239" i="5"/>
  <c r="BJ239" i="5"/>
  <c r="BJ175" i="5"/>
  <c r="BK175" i="5"/>
  <c r="BJ161" i="5"/>
  <c r="BK161" i="5"/>
  <c r="BJ508" i="5"/>
  <c r="BK508" i="5"/>
  <c r="BJ444" i="5"/>
  <c r="BK444" i="5"/>
  <c r="BK188" i="5"/>
  <c r="BJ188" i="5"/>
  <c r="BJ267" i="5"/>
  <c r="BK267" i="5"/>
  <c r="BJ203" i="5"/>
  <c r="BK203" i="5"/>
  <c r="BJ505" i="5"/>
  <c r="BK505" i="5"/>
  <c r="BJ342" i="5"/>
  <c r="BK342" i="5"/>
  <c r="BK354" i="5"/>
  <c r="BJ354" i="5"/>
  <c r="BJ98" i="5"/>
  <c r="BK98" i="5"/>
  <c r="BJ445" i="5"/>
  <c r="BK445" i="5"/>
  <c r="BJ392" i="5"/>
  <c r="BK392" i="5"/>
  <c r="BK423" i="5"/>
  <c r="BJ423" i="5"/>
  <c r="BJ526" i="5"/>
  <c r="BK526" i="5"/>
  <c r="BJ462" i="5"/>
  <c r="BL462" i="5" s="1"/>
  <c r="BK462" i="5"/>
  <c r="BJ553" i="5"/>
  <c r="BL553" i="5" s="1"/>
  <c r="BK553"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J545" i="5"/>
  <c r="BK545" i="5"/>
  <c r="BJ289" i="5"/>
  <c r="BK289" i="5"/>
  <c r="BJ556" i="5"/>
  <c r="BK556" i="5"/>
  <c r="BJ300" i="5"/>
  <c r="BK300" i="5"/>
  <c r="BK44"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H496"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D11" i="5"/>
  <c r="AE11" i="5"/>
  <c r="BF11"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BD11" i="5"/>
  <c r="BE11"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I11" i="5" l="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F131" i="4"/>
  <c r="AO131" i="4" s="1"/>
  <c r="AA84" i="4"/>
  <c r="AF84" i="4" s="1"/>
  <c r="AO84" i="4" s="1"/>
  <c r="AA83" i="4"/>
  <c r="AK102" i="4"/>
  <c r="AK124" i="4"/>
  <c r="AK118" i="4"/>
  <c r="AA75" i="4"/>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C54" i="4"/>
  <c r="AD54"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88" i="4"/>
  <c r="AO88" i="4" s="1"/>
  <c r="AF75" i="4"/>
  <c r="AC75" i="4"/>
  <c r="AD75" i="4" s="1"/>
  <c r="AF144" i="4"/>
  <c r="AO144" i="4" s="1"/>
  <c r="AC144" i="4"/>
  <c r="AD144" i="4" s="1"/>
  <c r="AA106" i="4"/>
  <c r="AA86" i="4"/>
  <c r="AA150" i="4"/>
  <c r="AC150" i="4" s="1"/>
  <c r="AD150" i="4" s="1"/>
  <c r="AA102" i="4"/>
  <c r="AA125" i="4"/>
  <c r="X74" i="4"/>
  <c r="AA74" i="4" s="1"/>
  <c r="AA65" i="4"/>
  <c r="AA99" i="4"/>
  <c r="AF99" i="4" s="1"/>
  <c r="AO99" i="4" s="1"/>
  <c r="AA114" i="4"/>
  <c r="AF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AG88" i="4"/>
  <c r="AI88" i="4" s="1"/>
  <c r="Z79" i="4"/>
  <c r="Z111" i="4"/>
  <c r="Z44" i="4"/>
  <c r="X44" i="4" s="1"/>
  <c r="Z128" i="4"/>
  <c r="Z138" i="4"/>
  <c r="X138" i="4" s="1"/>
  <c r="AK138" i="4" s="1"/>
  <c r="AA138" i="4"/>
  <c r="AF59" i="4"/>
  <c r="AC59" i="4"/>
  <c r="AD59" i="4" s="1"/>
  <c r="AO75" i="4"/>
  <c r="AG75" i="4"/>
  <c r="AI75" i="4" s="1"/>
  <c r="AG129" i="4"/>
  <c r="AI129" i="4" s="1"/>
  <c r="AO114" i="4"/>
  <c r="AG114" i="4"/>
  <c r="AI114" i="4" s="1"/>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O148" i="4"/>
  <c r="AC115" i="4"/>
  <c r="AD115" i="4" s="1"/>
  <c r="AF115" i="4"/>
  <c r="AO109" i="4"/>
  <c r="AO116" i="4"/>
  <c r="AK54" i="4"/>
  <c r="Z38" i="4"/>
  <c r="Z157" i="4"/>
  <c r="Z39" i="4"/>
  <c r="Z126" i="4"/>
  <c r="Z135" i="4"/>
  <c r="Z101" i="4"/>
  <c r="X22" i="4"/>
  <c r="AK22" i="4" s="1"/>
  <c r="Z108" i="4"/>
  <c r="Z98" i="4"/>
  <c r="X12" i="4"/>
  <c r="AK12" i="4" s="1"/>
  <c r="Z143" i="4"/>
  <c r="Z69" i="4"/>
  <c r="AO154" i="4"/>
  <c r="Z103" i="4"/>
  <c r="Z23" i="4"/>
  <c r="Z32" i="4"/>
  <c r="X10" i="4"/>
  <c r="AA10" i="4" s="1"/>
  <c r="BK34" i="5"/>
  <c r="BK310" i="5"/>
  <c r="AR9" i="5"/>
  <c r="BI9" i="5"/>
  <c r="BJ540" i="5"/>
  <c r="BF7" i="5"/>
  <c r="AE7" i="5"/>
  <c r="AD7" i="5"/>
  <c r="BK38" i="5"/>
  <c r="BK123" i="5"/>
  <c r="B111" i="2"/>
  <c r="H27" i="1"/>
  <c r="B108" i="2"/>
  <c r="B114" i="2" s="1"/>
  <c r="B116" i="2" s="1"/>
  <c r="H29" i="1" s="1"/>
  <c r="K122" i="2"/>
  <c r="B11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496"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J11" i="5"/>
  <c r="BK11"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11" i="5"/>
  <c r="BG11" i="5"/>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AC82" i="4" l="1"/>
  <c r="AD82" i="4" s="1"/>
  <c r="AG99" i="4"/>
  <c r="AI99" i="4" s="1"/>
  <c r="AO14" i="4"/>
  <c r="AG107" i="4"/>
  <c r="AI107" i="4" s="1"/>
  <c r="AC156" i="4"/>
  <c r="AD156" i="4" s="1"/>
  <c r="AC51" i="4"/>
  <c r="AD51" i="4" s="1"/>
  <c r="AC37" i="4"/>
  <c r="AD37" i="4" s="1"/>
  <c r="AG131" i="4"/>
  <c r="AI131" i="4" s="1"/>
  <c r="AG137" i="4"/>
  <c r="AI137" i="4" s="1"/>
  <c r="AC99" i="4"/>
  <c r="AD99" i="4" s="1"/>
  <c r="AC57" i="4"/>
  <c r="AD57" i="4" s="1"/>
  <c r="AC84" i="4"/>
  <c r="AD84" i="4" s="1"/>
  <c r="AO57" i="4"/>
  <c r="AG57" i="4"/>
  <c r="AI57" i="4" s="1"/>
  <c r="AG97" i="4"/>
  <c r="AI97" i="4" s="1"/>
  <c r="AG121" i="4"/>
  <c r="AI121" i="4" s="1"/>
  <c r="AF52" i="4"/>
  <c r="AO52" i="4" s="1"/>
  <c r="AG153" i="4"/>
  <c r="AI153" i="4" s="1"/>
  <c r="AG145" i="4"/>
  <c r="AI145" i="4" s="1"/>
  <c r="AG113" i="4"/>
  <c r="AI113" i="4" s="1"/>
  <c r="AG144" i="4"/>
  <c r="AI144" i="4" s="1"/>
  <c r="AR144" i="4" s="1"/>
  <c r="AT144" i="4" s="1"/>
  <c r="AC83" i="4"/>
  <c r="AD83" i="4" s="1"/>
  <c r="AF83" i="4"/>
  <c r="AG84" i="4"/>
  <c r="AI84" i="4" s="1"/>
  <c r="AG118" i="4"/>
  <c r="AI118" i="4" s="1"/>
  <c r="AR118" i="4" s="1"/>
  <c r="AT118" i="4" s="1"/>
  <c r="AF62" i="4"/>
  <c r="AO62" i="4" s="1"/>
  <c r="AG51" i="4"/>
  <c r="AI51" i="4" s="1"/>
  <c r="AO51" i="4"/>
  <c r="AK43" i="4"/>
  <c r="AG34" i="4"/>
  <c r="AI34" i="4" s="1"/>
  <c r="AR34" i="4" s="1"/>
  <c r="AT34" i="4" s="1"/>
  <c r="AK81" i="4"/>
  <c r="AG117" i="4"/>
  <c r="AI117" i="4" s="1"/>
  <c r="AO124" i="4"/>
  <c r="AK74" i="4"/>
  <c r="AO136" i="4"/>
  <c r="AO54" i="4"/>
  <c r="AG54" i="4"/>
  <c r="AI54" i="4" s="1"/>
  <c r="AF49" i="4"/>
  <c r="AO49" i="4" s="1"/>
  <c r="AF50" i="4"/>
  <c r="AF150" i="4"/>
  <c r="AF13" i="4"/>
  <c r="AO13" i="4" s="1"/>
  <c r="AG49" i="4"/>
  <c r="AI49"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AR153" i="4"/>
  <c r="AT153" i="4" s="1"/>
  <c r="AR114" i="4"/>
  <c r="AT114" i="4" s="1"/>
  <c r="X23" i="4"/>
  <c r="AA23" i="4" s="1"/>
  <c r="AA12" i="4"/>
  <c r="AF12" i="4" s="1"/>
  <c r="AR14" i="4"/>
  <c r="AT14" i="4" s="1"/>
  <c r="AR129" i="4"/>
  <c r="AT129" i="4" s="1"/>
  <c r="AR84" i="4"/>
  <c r="AT84" i="4" s="1"/>
  <c r="AR94" i="4"/>
  <c r="AT94" i="4" s="1"/>
  <c r="AR117" i="4"/>
  <c r="AT117" i="4" s="1"/>
  <c r="AR124" i="4"/>
  <c r="AT124" i="4" s="1"/>
  <c r="AR97" i="4"/>
  <c r="AT97" i="4" s="1"/>
  <c r="AR121" i="4"/>
  <c r="AT121" i="4" s="1"/>
  <c r="AK19" i="4"/>
  <c r="AR116" i="4"/>
  <c r="AT116" i="4" s="1"/>
  <c r="AR109" i="4"/>
  <c r="AT109" i="4" s="1"/>
  <c r="AR139" i="4"/>
  <c r="AT139" i="4" s="1"/>
  <c r="AR137" i="4"/>
  <c r="AT137" i="4" s="1"/>
  <c r="AK20" i="4"/>
  <c r="AR88" i="4"/>
  <c r="AT88" i="4" s="1"/>
  <c r="AK21" i="4"/>
  <c r="AR99" i="4"/>
  <c r="AT99" i="4" s="1"/>
  <c r="AR148" i="4"/>
  <c r="AT148" i="4" s="1"/>
  <c r="AR145" i="4"/>
  <c r="AT145" i="4" s="1"/>
  <c r="AR113" i="4"/>
  <c r="AT113" i="4" s="1"/>
  <c r="AR75" i="4"/>
  <c r="AT75" i="4" s="1"/>
  <c r="AC10" i="4"/>
  <c r="AD10" i="4" s="1"/>
  <c r="AF10" i="4"/>
  <c r="AC21" i="4"/>
  <c r="AD21" i="4" s="1"/>
  <c r="AF21" i="4"/>
  <c r="AF19" i="4"/>
  <c r="AC19" i="4"/>
  <c r="AD19" i="4" s="1"/>
  <c r="AF20" i="4"/>
  <c r="AC20" i="4"/>
  <c r="AD20" i="4" s="1"/>
  <c r="AF16" i="4"/>
  <c r="AC16" i="4"/>
  <c r="AD16" i="4" s="1"/>
  <c r="AF103" i="4"/>
  <c r="AO37" i="4"/>
  <c r="AG37" i="4"/>
  <c r="AI37" i="4" s="1"/>
  <c r="AO115" i="4"/>
  <c r="AG115" i="4"/>
  <c r="AI115" i="4" s="1"/>
  <c r="AO122" i="4"/>
  <c r="AG122" i="4"/>
  <c r="AI122" i="4" s="1"/>
  <c r="AC71" i="4"/>
  <c r="AD71" i="4" s="1"/>
  <c r="AO59" i="4"/>
  <c r="AG59" i="4"/>
  <c r="AI59" i="4" s="1"/>
  <c r="AC76" i="4"/>
  <c r="AD76" i="4" s="1"/>
  <c r="AA18" i="4"/>
  <c r="AR136" i="4"/>
  <c r="AT136" i="4" s="1"/>
  <c r="AR107" i="4"/>
  <c r="AT107" i="4" s="1"/>
  <c r="AK10" i="4"/>
  <c r="AA22" i="4"/>
  <c r="AG82" i="4"/>
  <c r="AI82" i="4" s="1"/>
  <c r="AO82" i="4"/>
  <c r="AO156" i="4"/>
  <c r="AG156" i="4"/>
  <c r="AI156" i="4" s="1"/>
  <c r="AG11" i="4"/>
  <c r="AI11" i="4" s="1"/>
  <c r="AO11" i="4"/>
  <c r="AA9" i="4"/>
  <c r="AK16" i="4"/>
  <c r="AC138" i="4"/>
  <c r="AD138" i="4" s="1"/>
  <c r="AF138" i="4"/>
  <c r="AF130" i="4"/>
  <c r="AC61" i="4"/>
  <c r="AD61" i="4" s="1"/>
  <c r="AF61" i="4"/>
  <c r="AF17" i="4"/>
  <c r="AC17" i="4"/>
  <c r="AD17" i="4" s="1"/>
  <c r="AO28" i="4"/>
  <c r="AG28" i="4"/>
  <c r="AI28" i="4" s="1"/>
  <c r="AR154" i="4"/>
  <c r="AT154" i="4" s="1"/>
  <c r="AC142" i="4"/>
  <c r="AD142" i="4" s="1"/>
  <c r="AO80" i="4"/>
  <c r="AG80" i="4"/>
  <c r="AI80" i="4" s="1"/>
  <c r="AR72" i="4"/>
  <c r="AT72" i="4" s="1"/>
  <c r="AR131" i="4"/>
  <c r="AT131"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F100" i="4" l="1"/>
  <c r="AF63" i="4"/>
  <c r="AC87" i="4"/>
  <c r="AD87" i="4" s="1"/>
  <c r="AF157" i="4"/>
  <c r="AR49" i="4"/>
  <c r="AT49" i="4" s="1"/>
  <c r="AC55" i="4"/>
  <c r="AD55" i="4" s="1"/>
  <c r="AC93" i="4"/>
  <c r="AD93" i="4" s="1"/>
  <c r="AF152" i="4"/>
  <c r="AF48" i="4"/>
  <c r="AA85" i="4"/>
  <c r="AC85" i="4" s="1"/>
  <c r="AD85" i="4" s="1"/>
  <c r="AR57" i="4"/>
  <c r="AT57" i="4" s="1"/>
  <c r="AA77" i="4"/>
  <c r="AC77" i="4" s="1"/>
  <c r="AD77" i="4" s="1"/>
  <c r="AG52" i="4"/>
  <c r="AI52" i="4" s="1"/>
  <c r="AR52" i="4" s="1"/>
  <c r="AT52" i="4" s="1"/>
  <c r="AR51" i="4"/>
  <c r="AT51" i="4" s="1"/>
  <c r="AO83" i="4"/>
  <c r="AG83" i="4"/>
  <c r="AI83" i="4" s="1"/>
  <c r="AR54" i="4"/>
  <c r="AT54" i="4" s="1"/>
  <c r="AF108" i="4"/>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C98" i="4"/>
  <c r="AD98" i="4" s="1"/>
  <c r="AF90" i="4"/>
  <c r="AF110" i="4"/>
  <c r="AO110" i="4" s="1"/>
  <c r="AC141" i="4"/>
  <c r="AD141" i="4" s="1"/>
  <c r="AC78" i="4"/>
  <c r="AD78" i="4" s="1"/>
  <c r="AF53" i="4"/>
  <c r="AA58" i="4"/>
  <c r="AF58" i="4" s="1"/>
  <c r="AO58" i="4" s="1"/>
  <c r="AO50" i="4"/>
  <c r="AG50" i="4"/>
  <c r="AI50" i="4" s="1"/>
  <c r="AO150" i="4"/>
  <c r="AG150" i="4"/>
  <c r="AI150" i="4" s="1"/>
  <c r="AF134" i="4"/>
  <c r="AC140" i="4"/>
  <c r="AD140" i="4" s="1"/>
  <c r="AF111" i="4"/>
  <c r="AG146" i="4"/>
  <c r="AI146" i="4" s="1"/>
  <c r="AR146" i="4" s="1"/>
  <c r="AT146" i="4" s="1"/>
  <c r="AK142" i="4"/>
  <c r="AK152" i="4"/>
  <c r="AK151" i="4"/>
  <c r="AK76" i="4"/>
  <c r="AK78" i="4"/>
  <c r="AF126" i="4"/>
  <c r="AG126" i="4" s="1"/>
  <c r="AI126" i="4" s="1"/>
  <c r="AC126" i="4"/>
  <c r="AD126" i="4" s="1"/>
  <c r="AC66" i="4"/>
  <c r="AD66" i="4" s="1"/>
  <c r="AF66" i="4"/>
  <c r="AO66" i="4" s="1"/>
  <c r="AC70" i="4"/>
  <c r="AD70" i="4" s="1"/>
  <c r="AF70" i="4"/>
  <c r="AF95" i="4"/>
  <c r="AO95" i="4" s="1"/>
  <c r="AC95" i="4"/>
  <c r="AD95" i="4" s="1"/>
  <c r="AC128" i="4"/>
  <c r="AD128" i="4" s="1"/>
  <c r="AF128" i="4"/>
  <c r="AF56" i="4"/>
  <c r="AO56" i="4" s="1"/>
  <c r="AC56" i="4"/>
  <c r="AD56" i="4" s="1"/>
  <c r="AC143" i="4"/>
  <c r="AD143" i="4" s="1"/>
  <c r="AF143" i="4"/>
  <c r="AG143" i="4" s="1"/>
  <c r="AI143" i="4" s="1"/>
  <c r="AF127" i="4"/>
  <c r="AG127" i="4" s="1"/>
  <c r="AI127" i="4" s="1"/>
  <c r="AC127" i="4"/>
  <c r="AD127" i="4" s="1"/>
  <c r="AC120" i="4"/>
  <c r="AD120" i="4" s="1"/>
  <c r="AF120" i="4"/>
  <c r="AF151" i="4"/>
  <c r="AO151" i="4" s="1"/>
  <c r="AC151" i="4"/>
  <c r="AD151" i="4" s="1"/>
  <c r="AC132" i="4"/>
  <c r="AD132" i="4" s="1"/>
  <c r="AF132" i="4"/>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F85" i="4"/>
  <c r="AO85"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O48" i="4"/>
  <c r="AG48" i="4"/>
  <c r="AI48" i="4" s="1"/>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15" i="4"/>
  <c r="AT15" i="4" s="1"/>
  <c r="AR27" i="4"/>
  <c r="AT27" i="4" s="1"/>
  <c r="AR59" i="4"/>
  <c r="AT59" i="4" s="1"/>
  <c r="AR115" i="4"/>
  <c r="AT115" i="4" s="1"/>
  <c r="AR11" i="4"/>
  <c r="AT11" i="4" s="1"/>
  <c r="AO143" i="4"/>
  <c r="AO93" i="4"/>
  <c r="AG93" i="4"/>
  <c r="AI93" i="4" s="1"/>
  <c r="AO39" i="4"/>
  <c r="AG39" i="4"/>
  <c r="AI39" i="4" s="1"/>
  <c r="AO140" i="4"/>
  <c r="AG140" i="4"/>
  <c r="AI140" i="4" s="1"/>
  <c r="AO76" i="4"/>
  <c r="AG76" i="4"/>
  <c r="AI76" i="4" s="1"/>
  <c r="AO120" i="4"/>
  <c r="AG120" i="4"/>
  <c r="AI120" i="4" s="1"/>
  <c r="AO128" i="4"/>
  <c r="AG128" i="4"/>
  <c r="AI128" i="4" s="1"/>
  <c r="AO108" i="4"/>
  <c r="AG108" i="4"/>
  <c r="AI108" i="4" s="1"/>
  <c r="AO21" i="4"/>
  <c r="AG21" i="4"/>
  <c r="AI21" i="4" s="1"/>
  <c r="AO119" i="4"/>
  <c r="AO127" i="4"/>
  <c r="AO70" i="4"/>
  <c r="AG70" i="4"/>
  <c r="AI70" i="4" s="1"/>
  <c r="AO130" i="4"/>
  <c r="AG130" i="4"/>
  <c r="AI130" i="4" s="1"/>
  <c r="AO135" i="4"/>
  <c r="AG135" i="4"/>
  <c r="AI135" i="4" s="1"/>
  <c r="AO98" i="4"/>
  <c r="AG98" i="4"/>
  <c r="AI98" i="4" s="1"/>
  <c r="AO100" i="4"/>
  <c r="AG100" i="4"/>
  <c r="AI100" i="4" s="1"/>
  <c r="AG66" i="4"/>
  <c r="AI66" i="4" s="1"/>
  <c r="AO63" i="4"/>
  <c r="AG63" i="4"/>
  <c r="AI63" i="4" s="1"/>
  <c r="AO71" i="4"/>
  <c r="AG71" i="4"/>
  <c r="AI71" i="4" s="1"/>
  <c r="AO55" i="4"/>
  <c r="AG55" i="4"/>
  <c r="AI55" i="4" s="1"/>
  <c r="AO38" i="4"/>
  <c r="AG38" i="4"/>
  <c r="AI38" i="4" s="1"/>
  <c r="AO20" i="4"/>
  <c r="AG20" i="4"/>
  <c r="AI20" i="4" s="1"/>
  <c r="AO90" i="4"/>
  <c r="AG90" i="4"/>
  <c r="AI90" i="4" s="1"/>
  <c r="AG56" i="4"/>
  <c r="AI56" i="4" s="1"/>
  <c r="AG17" i="4"/>
  <c r="AI17" i="4" s="1"/>
  <c r="AO17" i="4"/>
  <c r="AO44" i="4"/>
  <c r="AG44" i="4"/>
  <c r="AI44" i="4" s="1"/>
  <c r="AC9" i="4"/>
  <c r="AD9" i="4" s="1"/>
  <c r="AF9" i="4"/>
  <c r="AG151" i="4"/>
  <c r="AI151" i="4" s="1"/>
  <c r="AO152" i="4"/>
  <c r="AG152" i="4"/>
  <c r="AI152" i="4" s="1"/>
  <c r="AO87" i="4"/>
  <c r="AG87" i="4"/>
  <c r="AI87" i="4" s="1"/>
  <c r="AO53" i="4"/>
  <c r="AG53" i="4"/>
  <c r="AI53" i="4" s="1"/>
  <c r="AG85" i="4"/>
  <c r="AI85" i="4" s="1"/>
  <c r="AO111" i="4"/>
  <c r="AG111" i="4"/>
  <c r="AI111" i="4" s="1"/>
  <c r="AO157" i="4"/>
  <c r="AG157" i="4"/>
  <c r="AI157" i="4" s="1"/>
  <c r="AO10" i="4"/>
  <c r="AG10" i="4"/>
  <c r="AI10" i="4" s="1"/>
  <c r="AR80" i="4"/>
  <c r="AT80" i="4" s="1"/>
  <c r="AO142" i="4"/>
  <c r="AG142" i="4"/>
  <c r="AI142" i="4" s="1"/>
  <c r="AO132" i="4"/>
  <c r="AG132" i="4"/>
  <c r="AI13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O134" i="4"/>
  <c r="AG134" i="4"/>
  <c r="AI134" i="4" s="1"/>
  <c r="AC18" i="4"/>
  <c r="AD18" i="4" s="1"/>
  <c r="AF18" i="4"/>
  <c r="AO141" i="4"/>
  <c r="AG141" i="4"/>
  <c r="AI141" i="4" s="1"/>
  <c r="AO78" i="4"/>
  <c r="AG78" i="4"/>
  <c r="AI78" i="4" s="1"/>
  <c r="AO68" i="4"/>
  <c r="AO103" i="4"/>
  <c r="AG103" i="4"/>
  <c r="AI103" i="4" s="1"/>
  <c r="AG16" i="4"/>
  <c r="AI16" i="4" s="1"/>
  <c r="AO16" i="4"/>
  <c r="AG19" i="4"/>
  <c r="AI19" i="4" s="1"/>
  <c r="AO19" i="4"/>
  <c r="AO7" i="4"/>
  <c r="AR7" i="4" s="1"/>
  <c r="AT7" i="4" s="1"/>
  <c r="BL9" i="5"/>
  <c r="AO69" i="4" l="1"/>
  <c r="AF77" i="4"/>
  <c r="AO126" i="4"/>
  <c r="AG58" i="4"/>
  <c r="AI58" i="4" s="1"/>
  <c r="AG95" i="4"/>
  <c r="AI95" i="4" s="1"/>
  <c r="AR95" i="4" s="1"/>
  <c r="AT95" i="4" s="1"/>
  <c r="AG110" i="4"/>
  <c r="AI110" i="4" s="1"/>
  <c r="AR110" i="4" s="1"/>
  <c r="AT110" i="4" s="1"/>
  <c r="AC58" i="4"/>
  <c r="AD58" i="4" s="1"/>
  <c r="AR83" i="4"/>
  <c r="AT83" i="4" s="1"/>
  <c r="AG40" i="4"/>
  <c r="AI40" i="4" s="1"/>
  <c r="AR40" i="4" s="1"/>
  <c r="AT40" i="4" s="1"/>
  <c r="AG46" i="4"/>
  <c r="AI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8" i="4"/>
  <c r="AT48" i="4" s="1"/>
  <c r="AR41" i="4"/>
  <c r="AT41" i="4" s="1"/>
  <c r="AR43" i="4"/>
  <c r="AT43" i="4" s="1"/>
  <c r="AR39" i="4"/>
  <c r="AT39" i="4" s="1"/>
  <c r="AR143" i="4"/>
  <c r="AT143" i="4" s="1"/>
  <c r="AR36" i="4"/>
  <c r="AT36" i="4" s="1"/>
  <c r="AR24" i="4"/>
  <c r="AT24" i="4" s="1"/>
  <c r="AR35" i="4"/>
  <c r="AT35" i="4" s="1"/>
  <c r="AO23" i="4"/>
  <c r="AR23" i="4" s="1"/>
  <c r="AT23" i="4" s="1"/>
  <c r="AR31" i="4"/>
  <c r="AT31" i="4" s="1"/>
  <c r="AR33" i="4"/>
  <c r="AT33" i="4" s="1"/>
  <c r="AR12" i="4"/>
  <c r="AT12" i="4" s="1"/>
  <c r="AR103" i="4"/>
  <c r="AT103" i="4" s="1"/>
  <c r="AR58" i="4"/>
  <c r="AT58" i="4" s="1"/>
  <c r="AR141" i="4"/>
  <c r="AT141" i="4" s="1"/>
  <c r="AR134" i="4"/>
  <c r="AT134" i="4" s="1"/>
  <c r="AR101" i="4"/>
  <c r="AT101" i="4" s="1"/>
  <c r="AR132" i="4"/>
  <c r="AT132" i="4" s="1"/>
  <c r="AR21" i="4"/>
  <c r="AT21" i="4" s="1"/>
  <c r="AR120" i="4"/>
  <c r="AT120" i="4" s="1"/>
  <c r="AR76" i="4"/>
  <c r="AT76" i="4" s="1"/>
  <c r="AR26" i="4"/>
  <c r="AT26" i="4" s="1"/>
  <c r="AR30" i="4"/>
  <c r="AT30" i="4" s="1"/>
  <c r="AR16" i="4"/>
  <c r="AT16" i="4" s="1"/>
  <c r="AR138" i="4"/>
  <c r="AT138" i="4" s="1"/>
  <c r="AR61" i="4"/>
  <c r="AT61" i="4" s="1"/>
  <c r="AR157" i="4"/>
  <c r="AT157" i="4" s="1"/>
  <c r="AR85" i="4"/>
  <c r="AT85" i="4" s="1"/>
  <c r="AR53" i="4"/>
  <c r="AT53" i="4" s="1"/>
  <c r="AR152" i="4"/>
  <c r="AT152" i="4" s="1"/>
  <c r="AR56" i="4"/>
  <c r="AT56" i="4" s="1"/>
  <c r="AR90" i="4"/>
  <c r="AT90" i="4" s="1"/>
  <c r="AR55" i="4"/>
  <c r="AT55" i="4" s="1"/>
  <c r="AR63" i="4"/>
  <c r="AT63" i="4" s="1"/>
  <c r="AR119" i="4"/>
  <c r="AT119" i="4" s="1"/>
  <c r="AR108" i="4"/>
  <c r="AT108" i="4" s="1"/>
  <c r="AR128" i="4"/>
  <c r="AT128" i="4" s="1"/>
  <c r="AR69" i="4"/>
  <c r="AT69" i="4" s="1"/>
  <c r="AR140" i="4"/>
  <c r="AT140" i="4" s="1"/>
  <c r="AR93" i="4"/>
  <c r="AT93" i="4" s="1"/>
  <c r="AR68" i="4"/>
  <c r="AT68" i="4" s="1"/>
  <c r="AR78" i="4"/>
  <c r="AT78" i="4" s="1"/>
  <c r="AG18" i="4"/>
  <c r="AI18" i="4" s="1"/>
  <c r="AO18" i="4"/>
  <c r="AR96" i="4"/>
  <c r="AT96" i="4" s="1"/>
  <c r="AR142" i="4"/>
  <c r="AT142" i="4" s="1"/>
  <c r="AG9" i="4"/>
  <c r="AI9" i="4" s="1"/>
  <c r="AO9" i="4"/>
  <c r="AR100" i="4"/>
  <c r="AT100" i="4" s="1"/>
  <c r="AR135" i="4"/>
  <c r="AT135" i="4" s="1"/>
  <c r="AR70" i="4"/>
  <c r="AT70" i="4" s="1"/>
  <c r="AR127" i="4"/>
  <c r="AT127" i="4" s="1"/>
  <c r="AR17" i="4"/>
  <c r="AT17" i="4" s="1"/>
  <c r="AO22" i="4"/>
  <c r="AG22" i="4"/>
  <c r="AI22" i="4" s="1"/>
  <c r="AR19" i="4"/>
  <c r="AT19" i="4" s="1"/>
  <c r="AR79" i="4"/>
  <c r="AT79" i="4" s="1"/>
  <c r="AR10" i="4"/>
  <c r="AT10" i="4" s="1"/>
  <c r="AR111" i="4"/>
  <c r="AT111" i="4" s="1"/>
  <c r="AR46" i="4"/>
  <c r="AT46" i="4" s="1"/>
  <c r="AR87" i="4"/>
  <c r="AT87" i="4" s="1"/>
  <c r="AR151" i="4"/>
  <c r="AT151" i="4" s="1"/>
  <c r="AR44" i="4"/>
  <c r="AT44" i="4" s="1"/>
  <c r="AR20" i="4"/>
  <c r="AT20" i="4" s="1"/>
  <c r="AR38" i="4"/>
  <c r="AT38" i="4" s="1"/>
  <c r="AR71" i="4"/>
  <c r="AT71" i="4" s="1"/>
  <c r="AR66" i="4"/>
  <c r="AT66" i="4" s="1"/>
  <c r="AR98" i="4"/>
  <c r="AT98" i="4" s="1"/>
  <c r="AR130" i="4"/>
  <c r="AT130" i="4" s="1"/>
  <c r="AR126" i="4"/>
  <c r="AT126" i="4" s="1"/>
  <c r="H67" i="1"/>
  <c r="AG77" i="4" l="1"/>
  <c r="AI77" i="4" s="1"/>
  <c r="AO77" i="4"/>
  <c r="AR89" i="4"/>
  <c r="AT89" i="4" s="1"/>
  <c r="AG64" i="4"/>
  <c r="AI64" i="4" s="1"/>
  <c r="AO64" i="4"/>
  <c r="AG149" i="4"/>
  <c r="AI149" i="4" s="1"/>
  <c r="AO149" i="4"/>
  <c r="AR18" i="4"/>
  <c r="AT18" i="4" s="1"/>
  <c r="AR9" i="4"/>
  <c r="AT9" i="4" s="1"/>
  <c r="AR22" i="4"/>
  <c r="AT22" i="4" s="1"/>
  <c r="AR77" i="4" l="1"/>
  <c r="AT77" i="4" s="1"/>
  <c r="AR149" i="4"/>
  <c r="AT149" i="4" s="1"/>
  <c r="AR64" i="4"/>
  <c r="AT64" i="4" s="1"/>
</calcChain>
</file>

<file path=xl/comments1.xml><?xml version="1.0" encoding="utf-8"?>
<comments xmlns="http://schemas.openxmlformats.org/spreadsheetml/2006/main">
  <authors>
    <author>BMC-BCS</author>
  </authors>
  <commentList>
    <comment ref="A3" authorId="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text>
        <r>
          <rPr>
            <b/>
            <sz val="9"/>
            <color indexed="81"/>
            <rFont val="Tahoma"/>
            <family val="2"/>
          </rPr>
          <t>Output Voltage:</t>
        </r>
        <r>
          <rPr>
            <sz val="9"/>
            <color indexed="81"/>
            <rFont val="Tahoma"/>
            <family val="2"/>
          </rPr>
          <t xml:space="preserve">
Enter the desired output voltage.
</t>
        </r>
      </text>
    </comment>
    <comment ref="G12" authorId="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text>
        <r>
          <rPr>
            <b/>
            <sz val="9"/>
            <color indexed="81"/>
            <rFont val="Tahoma"/>
            <family val="2"/>
          </rPr>
          <t>BMC-BCS:</t>
        </r>
        <r>
          <rPr>
            <sz val="9"/>
            <color indexed="81"/>
            <rFont val="Tahoma"/>
            <family val="2"/>
          </rPr>
          <t xml:space="preserve">
CCM = Continous Conduction Mode
DCM  = Discontinous Conduction Mode</t>
        </r>
      </text>
    </comment>
    <comment ref="G20" authorId="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text>
        <r>
          <rPr>
            <b/>
            <sz val="9"/>
            <color indexed="81"/>
            <rFont val="Tahoma"/>
            <family val="2"/>
          </rPr>
          <t xml:space="preserve">Filter Inductance:
</t>
        </r>
        <r>
          <rPr>
            <sz val="9"/>
            <color indexed="81"/>
            <rFont val="Tahoma"/>
            <family val="2"/>
          </rPr>
          <t xml:space="preserve">Enter the filter inductance here.
</t>
        </r>
      </text>
    </comment>
    <comment ref="G23" authorId="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text>
        <r>
          <rPr>
            <b/>
            <sz val="9"/>
            <color indexed="81"/>
            <rFont val="Tahoma"/>
            <family val="2"/>
          </rPr>
          <t>Calculated External Slope Compensation Resistor</t>
        </r>
        <r>
          <rPr>
            <sz val="9"/>
            <color indexed="81"/>
            <rFont val="Tahoma"/>
            <family val="2"/>
          </rPr>
          <t xml:space="preserve">
</t>
        </r>
      </text>
    </comment>
    <comment ref="G30" authorId="0">
      <text>
        <r>
          <rPr>
            <sz val="9"/>
            <color indexed="81"/>
            <rFont val="Tahoma"/>
            <family val="2"/>
          </rPr>
          <t xml:space="preserve">
</t>
        </r>
      </text>
    </comment>
    <comment ref="G40" authorId="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authors>
    <author>BMC-BCS</author>
  </authors>
  <commentList>
    <comment ref="B21" authorId="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authors>
    <author>BMC-BCS</author>
  </authors>
  <commentList>
    <comment ref="V6" authorId="0">
      <text>
        <r>
          <rPr>
            <b/>
            <sz val="9"/>
            <color indexed="81"/>
            <rFont val="Tahoma"/>
            <family val="2"/>
          </rPr>
          <t xml:space="preserve">1 = DCM operation
2 = CCM operation
</t>
        </r>
      </text>
    </comment>
    <comment ref="AG6" authorId="0">
      <text>
        <r>
          <rPr>
            <b/>
            <sz val="9"/>
            <color indexed="81"/>
            <rFont val="Tahoma"/>
            <family val="2"/>
          </rPr>
          <t>BMC-BCS:</t>
        </r>
        <r>
          <rPr>
            <sz val="9"/>
            <color indexed="81"/>
            <rFont val="Tahoma"/>
            <family val="2"/>
          </rPr>
          <t xml:space="preserve">
Estimating uisng Average current. Needs to be updated for RMS current
</t>
        </r>
      </text>
    </comment>
    <comment ref="AK6" authorId="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authors>
    <author>BMC-BCS</author>
  </authors>
  <commentList>
    <comment ref="O18" authorId="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<sst xmlns="http://schemas.openxmlformats.org/spreadsheetml/2006/main" count="1018" uniqueCount="591">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</sst>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23" fillId="9" borderId="0" xfId="0" applyFont="1" applyFill="1" applyAlignment="1">
      <alignment horizontal="center"/>
    </xf>
    <xf numFmtId="0" fontId="23" fillId="0" borderId="10" xfId="0" applyFont="1" applyBorder="1" applyAlignment="1">
      <alignment horizontal="center"/>
    </xf>
    <xf numFmtId="0" fontId="23" fillId="0" borderId="12" xfId="0" applyFont="1" applyBorder="1" applyAlignment="1">
      <alignment horizontal="center"/>
    </xf>
    <xf numFmtId="0" fontId="23" fillId="0" borderId="11" xfId="0" applyFont="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cellXfs>
  <cellStyles count="8">
    <cellStyle name="Comma 2" xfId="5"/>
    <cellStyle name="Comma 3" xfId="2"/>
    <cellStyle name="Normal" xfId="0" builtinId="0"/>
    <cellStyle name="Normal 2" xfId="3"/>
    <cellStyle name="Normal 3" xfId="4"/>
    <cellStyle name="Normal 4" xfId="1"/>
    <cellStyle name="Normal 4 2" xfId="7"/>
    <cellStyle name="Normal 4 3" xfId="6"/>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61.860516041726477</c:v>
                </c:pt>
                <c:pt idx="1">
                  <c:v>61.660335795290067</c:v>
                </c:pt>
                <c:pt idx="2">
                  <c:v>61.460147064017235</c:v>
                </c:pt>
                <c:pt idx="3">
                  <c:v>61.259949448985495</c:v>
                </c:pt>
                <c:pt idx="4">
                  <c:v>61.05974253256386</c:v>
                </c:pt>
                <c:pt idx="5">
                  <c:v>60.859525877540079</c:v>
                </c:pt>
                <c:pt idx="6">
                  <c:v>60.659299026207066</c:v>
                </c:pt>
                <c:pt idx="7">
                  <c:v>60.459061499407973</c:v>
                </c:pt>
                <c:pt idx="8">
                  <c:v>60.258812795536869</c:v>
                </c:pt>
                <c:pt idx="9">
                  <c:v>60.058552389493805</c:v>
                </c:pt>
                <c:pt idx="10">
                  <c:v>59.858279731590962</c:v>
                </c:pt>
                <c:pt idx="11">
                  <c:v>59.657994246409771</c:v>
                </c:pt>
                <c:pt idx="12">
                  <c:v>59.457695331604995</c:v>
                </c:pt>
                <c:pt idx="13">
                  <c:v>59.257382356653785</c:v>
                </c:pt>
                <c:pt idx="14">
                  <c:v>59.05705466154852</c:v>
                </c:pt>
                <c:pt idx="15">
                  <c:v>58.856711555428809</c:v>
                </c:pt>
                <c:pt idx="16">
                  <c:v>58.656352315152134</c:v>
                </c:pt>
                <c:pt idx="17">
                  <c:v>58.455976183798739</c:v>
                </c:pt>
                <c:pt idx="18">
                  <c:v>58.255582369109071</c:v>
                </c:pt>
                <c:pt idx="19">
                  <c:v>58.055170041850268</c:v>
                </c:pt>
                <c:pt idx="20">
                  <c:v>57.854738334108397</c:v>
                </c:pt>
                <c:pt idx="21">
                  <c:v>57.654286337504118</c:v>
                </c:pt>
                <c:pt idx="22">
                  <c:v>57.453813101327341</c:v>
                </c:pt>
                <c:pt idx="23">
                  <c:v>57.253317630588462</c:v>
                </c:pt>
                <c:pt idx="24">
                  <c:v>57.05279888398195</c:v>
                </c:pt>
                <c:pt idx="25">
                  <c:v>56.852255771758699</c:v>
                </c:pt>
                <c:pt idx="26">
                  <c:v>56.651687153503509</c:v>
                </c:pt>
                <c:pt idx="27">
                  <c:v>56.451091835813386</c:v>
                </c:pt>
                <c:pt idx="28">
                  <c:v>56.250468569873519</c:v>
                </c:pt>
                <c:pt idx="29">
                  <c:v>56.049816048924662</c:v>
                </c:pt>
                <c:pt idx="30">
                  <c:v>55.849132905619797</c:v>
                </c:pt>
                <c:pt idx="31">
                  <c:v>55.648417709264102</c:v>
                </c:pt>
                <c:pt idx="32">
                  <c:v>55.44766896293374</c:v>
                </c:pt>
                <c:pt idx="33">
                  <c:v>55.246885100469491</c:v>
                </c:pt>
                <c:pt idx="34">
                  <c:v>55.046064483338711</c:v>
                </c:pt>
                <c:pt idx="35">
                  <c:v>54.84520539736198</c:v>
                </c:pt>
                <c:pt idx="36">
                  <c:v>54.644306049298081</c:v>
                </c:pt>
                <c:pt idx="37">
                  <c:v>54.443364563282515</c:v>
                </c:pt>
                <c:pt idx="38">
                  <c:v>54.242378977113617</c:v>
                </c:pt>
                <c:pt idx="39">
                  <c:v>54.041347238381114</c:v>
                </c:pt>
                <c:pt idx="40">
                  <c:v>53.840267200430148</c:v>
                </c:pt>
                <c:pt idx="41">
                  <c:v>53.63913661815598</c:v>
                </c:pt>
                <c:pt idx="42">
                  <c:v>53.437953143623034</c:v>
                </c:pt>
                <c:pt idx="43">
                  <c:v>53.236714321500962</c:v>
                </c:pt>
                <c:pt idx="44">
                  <c:v>53.035417584313791</c:v>
                </c:pt>
                <c:pt idx="45">
                  <c:v>52.834060247492175</c:v>
                </c:pt>
                <c:pt idx="46">
                  <c:v>52.632639504226717</c:v>
                </c:pt>
                <c:pt idx="47">
                  <c:v>52.43115242011163</c:v>
                </c:pt>
                <c:pt idx="48">
                  <c:v>52.229595927574827</c:v>
                </c:pt>
                <c:pt idx="49">
                  <c:v>52.027966820087158</c:v>
                </c:pt>
                <c:pt idx="50">
                  <c:v>51.826261746143423</c:v>
                </c:pt>
                <c:pt idx="51">
                  <c:v>51.624477203010308</c:v>
                </c:pt>
                <c:pt idx="52">
                  <c:v>51.422609530232208</c:v>
                </c:pt>
                <c:pt idx="53">
                  <c:v>51.220654902891781</c:v>
                </c:pt>
                <c:pt idx="54">
                  <c:v>51.018609324615589</c:v>
                </c:pt>
                <c:pt idx="55">
                  <c:v>50.816468620321714</c:v>
                </c:pt>
                <c:pt idx="56">
                  <c:v>50.614228428701367</c:v>
                </c:pt>
                <c:pt idx="57">
                  <c:v>50.411884194429824</c:v>
                </c:pt>
                <c:pt idx="58">
                  <c:v>50.209431160101666</c:v>
                </c:pt>
                <c:pt idx="59">
                  <c:v>50.00686435788522</c:v>
                </c:pt>
                <c:pt idx="60">
                  <c:v>49.804178600891177</c:v>
                </c:pt>
                <c:pt idx="61">
                  <c:v>49.601368474253164</c:v>
                </c:pt>
                <c:pt idx="62">
                  <c:v>49.398428325915575</c:v>
                </c:pt>
                <c:pt idx="63">
                  <c:v>49.195352257127027</c:v>
                </c:pt>
                <c:pt idx="64">
                  <c:v>48.992134112637913</c:v>
                </c:pt>
                <c:pt idx="65">
                  <c:v>48.788767470600845</c:v>
                </c:pt>
                <c:pt idx="66">
                  <c:v>48.585245632175315</c:v>
                </c:pt>
                <c:pt idx="67">
                  <c:v>48.381561610837167</c:v>
                </c:pt>
                <c:pt idx="68">
                  <c:v>48.177708121397025</c:v>
                </c:pt>
                <c:pt idx="69">
                  <c:v>47.973677568730849</c:v>
                </c:pt>
                <c:pt idx="70">
                  <c:v>47.769462036230223</c:v>
                </c:pt>
                <c:pt idx="71">
                  <c:v>47.565053273979075</c:v>
                </c:pt>
                <c:pt idx="72">
                  <c:v>47.360442686667568</c:v>
                </c:pt>
                <c:pt idx="73">
                  <c:v>47.155621321255225</c:v>
                </c:pt>
                <c:pt idx="74">
                  <c:v>46.950579854398036</c:v>
                </c:pt>
                <c:pt idx="75">
                  <c:v>46.745308579656751</c:v>
                </c:pt>
                <c:pt idx="76">
                  <c:v>46.539797394506913</c:v>
                </c:pt>
                <c:pt idx="77">
                  <c:v>46.334035787173391</c:v>
                </c:pt>
                <c:pt idx="78">
                  <c:v>46.128012823317874</c:v>
                </c:pt>
                <c:pt idx="79">
                  <c:v>45.921717132607768</c:v>
                </c:pt>
                <c:pt idx="80">
                  <c:v>45.715136895203301</c:v>
                </c:pt>
                <c:pt idx="81">
                  <c:v>45.508259828199904</c:v>
                </c:pt>
                <c:pt idx="82">
                  <c:v>45.301073172070971</c:v>
                </c:pt>
                <c:pt idx="83">
                  <c:v>45.093563677158954</c:v>
                </c:pt>
                <c:pt idx="84">
                  <c:v>44.885717590268541</c:v>
                </c:pt>
                <c:pt idx="85">
                  <c:v>44.677520641421459</c:v>
                </c:pt>
                <c:pt idx="86">
                  <c:v>44.468958030838834</c:v>
                </c:pt>
                <c:pt idx="87">
                  <c:v>44.260014416222617</c:v>
                </c:pt>
                <c:pt idx="88">
                  <c:v>44.050673900414104</c:v>
                </c:pt>
                <c:pt idx="89">
                  <c:v>43.840920019516119</c:v>
                </c:pt>
                <c:pt idx="90">
                  <c:v>43.630735731570205</c:v>
                </c:pt>
                <c:pt idx="91">
                  <c:v>43.42010340589043</c:v>
                </c:pt>
                <c:pt idx="92">
                  <c:v>43.209004813161052</c:v>
                </c:pt>
                <c:pt idx="93">
                  <c:v>42.9974211164145</c:v>
                </c:pt>
                <c:pt idx="94">
                  <c:v>42.785332863014759</c:v>
                </c:pt>
                <c:pt idx="95">
                  <c:v>42.572719977778476</c:v>
                </c:pt>
                <c:pt idx="96">
                  <c:v>42.359561757375246</c:v>
                </c:pt>
                <c:pt idx="97">
                  <c:v>42.145836866158191</c:v>
                </c:pt>
                <c:pt idx="98">
                  <c:v>41.931523333581431</c:v>
                </c:pt>
                <c:pt idx="99">
                  <c:v>41.716598553373281</c:v>
                </c:pt>
                <c:pt idx="100">
                  <c:v>41.501039284639006</c:v>
                </c:pt>
                <c:pt idx="101">
                  <c:v>41.284821655075547</c:v>
                </c:pt>
                <c:pt idx="102">
                  <c:v>41.067921166489356</c:v>
                </c:pt>
                <c:pt idx="103">
                  <c:v>40.850312702812118</c:v>
                </c:pt>
                <c:pt idx="104">
                  <c:v>40.631970540818159</c:v>
                </c:pt>
                <c:pt idx="105">
                  <c:v>40.412868363749055</c:v>
                </c:pt>
                <c:pt idx="106">
                  <c:v>40.19297927805772</c:v>
                </c:pt>
                <c:pt idx="107">
                  <c:v>39.972275833483565</c:v>
                </c:pt>
                <c:pt idx="108">
                  <c:v>39.75073004667378</c:v>
                </c:pt>
                <c:pt idx="109">
                  <c:v>39.528313428562555</c:v>
                </c:pt>
                <c:pt idx="110">
                  <c:v>39.304997015719046</c:v>
                </c:pt>
                <c:pt idx="111">
                  <c:v>39.080751405868327</c:v>
                </c:pt>
                <c:pt idx="112">
                  <c:v>38.855546797783127</c:v>
                </c:pt>
                <c:pt idx="113">
                  <c:v>38.629353035732542</c:v>
                </c:pt>
                <c:pt idx="114">
                  <c:v>38.402139658662989</c:v>
                </c:pt>
                <c:pt idx="115">
                  <c:v>38.173875954268787</c:v>
                </c:pt>
                <c:pt idx="116">
                  <c:v>37.944531018090949</c:v>
                </c:pt>
                <c:pt idx="117">
                  <c:v>37.714073817760628</c:v>
                </c:pt>
                <c:pt idx="118">
                  <c:v>37.482473262477633</c:v>
                </c:pt>
                <c:pt idx="119">
                  <c:v>37.249698277783246</c:v>
                </c:pt>
                <c:pt idx="120">
                  <c:v>37.015717885655647</c:v>
                </c:pt>
                <c:pt idx="121">
                  <c:v>36.780501289916877</c:v>
                </c:pt>
                <c:pt idx="122">
                  <c:v>36.544017966902025</c:v>
                </c:pt>
                <c:pt idx="123">
                  <c:v>36.306237761296053</c:v>
                </c:pt>
                <c:pt idx="124">
                  <c:v>36.067130986996887</c:v>
                </c:pt>
                <c:pt idx="125">
                  <c:v>35.826668532815276</c:v>
                </c:pt>
                <c:pt idx="126">
                  <c:v>35.584821972765695</c:v>
                </c:pt>
                <c:pt idx="127">
                  <c:v>35.341563680653316</c:v>
                </c:pt>
                <c:pt idx="128">
                  <c:v>35.09686694860126</c:v>
                </c:pt>
                <c:pt idx="129">
                  <c:v>34.85070610910833</c:v>
                </c:pt>
                <c:pt idx="130">
                  <c:v>34.60305666016896</c:v>
                </c:pt>
                <c:pt idx="131">
                  <c:v>34.353895392931364</c:v>
                </c:pt>
                <c:pt idx="132">
                  <c:v>34.103200521313056</c:v>
                </c:pt>
                <c:pt idx="133">
                  <c:v>33.850951812940487</c:v>
                </c:pt>
                <c:pt idx="134">
                  <c:v>33.597130720729965</c:v>
                </c:pt>
                <c:pt idx="135">
                  <c:v>33.341720514378622</c:v>
                </c:pt>
                <c:pt idx="136">
                  <c:v>33.084706410995203</c:v>
                </c:pt>
                <c:pt idx="137">
                  <c:v>32.826075704062696</c:v>
                </c:pt>
                <c:pt idx="138">
                  <c:v>32.565817889896962</c:v>
                </c:pt>
                <c:pt idx="139">
                  <c:v>32.303924790742634</c:v>
                </c:pt>
                <c:pt idx="140">
                  <c:v>32.040390673634967</c:v>
                </c:pt>
                <c:pt idx="141">
                  <c:v>31.775212364149276</c:v>
                </c:pt>
                <c:pt idx="142">
                  <c:v>31.508389354165438</c:v>
                </c:pt>
                <c:pt idx="143">
                  <c:v>31.239923902786238</c:v>
                </c:pt>
                <c:pt idx="144">
                  <c:v>30.969821129572352</c:v>
                </c:pt>
                <c:pt idx="145">
                  <c:v>30.698089099286552</c:v>
                </c:pt>
                <c:pt idx="146">
                  <c:v>30.424738897384746</c:v>
                </c:pt>
                <c:pt idx="147">
                  <c:v>30.149784695536415</c:v>
                </c:pt>
                <c:pt idx="148">
                  <c:v>29.873243806519728</c:v>
                </c:pt>
                <c:pt idx="149">
                  <c:v>29.595136727900019</c:v>
                </c:pt>
                <c:pt idx="150">
                  <c:v>29.315487173972787</c:v>
                </c:pt>
                <c:pt idx="151">
                  <c:v>29.034322095532342</c:v>
                </c:pt>
                <c:pt idx="152">
                  <c:v>28.751671687106111</c:v>
                </c:pt>
                <c:pt idx="153">
                  <c:v>28.467569381386703</c:v>
                </c:pt>
                <c:pt idx="154">
                  <c:v>28.18205183067322</c:v>
                </c:pt>
                <c:pt idx="155">
                  <c:v>27.895158875232692</c:v>
                </c:pt>
                <c:pt idx="156">
                  <c:v>27.606933498571635</c:v>
                </c:pt>
                <c:pt idx="157">
                  <c:v>27.317421769700459</c:v>
                </c:pt>
                <c:pt idx="158">
                  <c:v>27.026672772557298</c:v>
                </c:pt>
                <c:pt idx="159">
                  <c:v>26.734738522835244</c:v>
                </c:pt>
                <c:pt idx="160">
                  <c:v>26.441673872538797</c:v>
                </c:pt>
                <c:pt idx="161">
                  <c:v>26.147536402660926</c:v>
                </c:pt>
                <c:pt idx="162">
                  <c:v>25.852386304440532</c:v>
                </c:pt>
                <c:pt idx="163">
                  <c:v>25.556286249719552</c:v>
                </c:pt>
                <c:pt idx="164">
                  <c:v>25.259301250969635</c:v>
                </c:pt>
                <c:pt idx="165">
                  <c:v>24.961498511605697</c:v>
                </c:pt>
                <c:pt idx="166">
                  <c:v>24.662947267244522</c:v>
                </c:pt>
                <c:pt idx="167">
                  <c:v>24.363718618598295</c:v>
                </c:pt>
                <c:pt idx="168">
                  <c:v>24.063885356724448</c:v>
                </c:pt>
                <c:pt idx="169">
                  <c:v>23.763521781371303</c:v>
                </c:pt>
                <c:pt idx="170">
                  <c:v>23.462703513183442</c:v>
                </c:pt>
                <c:pt idx="171">
                  <c:v>23.161507300539284</c:v>
                </c:pt>
                <c:pt idx="172">
                  <c:v>22.860010821806782</c:v>
                </c:pt>
                <c:pt idx="173">
                  <c:v>22.558292483812007</c:v>
                </c:pt>
                <c:pt idx="174">
                  <c:v>22.256431217318571</c:v>
                </c:pt>
                <c:pt idx="175">
                  <c:v>21.954506270319904</c:v>
                </c:pt>
                <c:pt idx="176">
                  <c:v>21.65259699995126</c:v>
                </c:pt>
                <c:pt idx="177">
                  <c:v>21.350782663826415</c:v>
                </c:pt>
                <c:pt idx="178">
                  <c:v>21.049142211606085</c:v>
                </c:pt>
                <c:pt idx="179">
                  <c:v>20.747754077604558</c:v>
                </c:pt>
                <c:pt idx="180">
                  <c:v>20.446695975240008</c:v>
                </c:pt>
                <c:pt idx="181">
                  <c:v>20.146044694130822</c:v>
                </c:pt>
                <c:pt idx="182">
                  <c:v>19.845875900637864</c:v>
                </c:pt>
                <c:pt idx="183">
                  <c:v>19.54626394264729</c:v>
                </c:pt>
                <c:pt idx="184">
                  <c:v>19.247281659380604</c:v>
                </c:pt>
                <c:pt idx="185">
                  <c:v>18.949000197008221</c:v>
                </c:pt>
                <c:pt idx="186">
                  <c:v>18.651488830832687</c:v>
                </c:pt>
                <c:pt idx="187">
                  <c:v>18.354814794785362</c:v>
                </c:pt>
                <c:pt idx="188">
                  <c:v>18.059043118962435</c:v>
                </c:pt>
                <c:pt idx="189">
                  <c:v>17.76423647589969</c:v>
                </c:pt>
                <c:pt idx="190">
                  <c:v>17.470455036248676</c:v>
                </c:pt>
                <c:pt idx="191">
                  <c:v>17.177756334484201</c:v>
                </c:pt>
                <c:pt idx="192">
                  <c:v>16.886195145224779</c:v>
                </c:pt>
                <c:pt idx="193">
                  <c:v>16.595823370697044</c:v>
                </c:pt>
                <c:pt idx="194">
                  <c:v>16.306689939819201</c:v>
                </c:pt>
                <c:pt idx="195">
                  <c:v>16.018840719314092</c:v>
                </c:pt>
                <c:pt idx="196">
                  <c:v>15.732318437191083</c:v>
                </c:pt>
                <c:pt idx="197">
                  <c:v>15.447162618864709</c:v>
                </c:pt>
                <c:pt idx="198">
                  <c:v>15.163409536094225</c:v>
                </c:pt>
                <c:pt idx="199">
                  <c:v>14.881092168847532</c:v>
                </c:pt>
                <c:pt idx="200">
                  <c:v>14.600240180104977</c:v>
                </c:pt>
                <c:pt idx="201">
                  <c:v>14.32087990352967</c:v>
                </c:pt>
                <c:pt idx="202">
                  <c:v>14.043034343843255</c:v>
                </c:pt>
                <c:pt idx="203">
                  <c:v>13.766723189655732</c:v>
                </c:pt>
                <c:pt idx="204">
                  <c:v>13.491962838411958</c:v>
                </c:pt>
                <c:pt idx="205">
                  <c:v>13.218766433033807</c:v>
                </c:pt>
                <c:pt idx="206">
                  <c:v>12.947143909755912</c:v>
                </c:pt>
                <c:pt idx="207">
                  <c:v>12.677102056579624</c:v>
                </c:pt>
                <c:pt idx="208">
                  <c:v>12.408644581702868</c:v>
                </c:pt>
                <c:pt idx="209">
                  <c:v>12.141772191219015</c:v>
                </c:pt>
                <c:pt idx="210">
                  <c:v>11.876482675330655</c:v>
                </c:pt>
                <c:pt idx="211">
                  <c:v>11.612771002274618</c:v>
                </c:pt>
                <c:pt idx="212">
                  <c:v>11.350629419125831</c:v>
                </c:pt>
                <c:pt idx="213">
                  <c:v>11.090047558615277</c:v>
                </c:pt>
                <c:pt idx="214">
                  <c:v>10.831012551087616</c:v>
                </c:pt>
                <c:pt idx="215">
                  <c:v>10.573509140714211</c:v>
                </c:pt>
                <c:pt idx="216">
                  <c:v>10.317519805079851</c:v>
                </c:pt>
                <c:pt idx="217">
                  <c:v>10.06302487727419</c:v>
                </c:pt>
                <c:pt idx="218">
                  <c:v>9.8100026696381946</c:v>
                </c:pt>
                <c:pt idx="219">
                  <c:v>9.5584295983419718</c:v>
                </c:pt>
                <c:pt idx="220">
                  <c:v>9.3082803080057062</c:v>
                </c:pt>
                <c:pt idx="221">
                  <c:v>9.0595277956146223</c:v>
                </c:pt>
                <c:pt idx="222">
                  <c:v>8.8121435330247504</c:v>
                </c:pt>
                <c:pt idx="223">
                  <c:v>8.5660975874047427</c:v>
                </c:pt>
                <c:pt idx="224">
                  <c:v>8.3213587390127834</c:v>
                </c:pt>
                <c:pt idx="225">
                  <c:v>8.0778945957622952</c:v>
                </c:pt>
                <c:pt idx="226">
                  <c:v>7.8356717040874511</c:v>
                </c:pt>
                <c:pt idx="227">
                  <c:v>7.5946556556765978</c:v>
                </c:pt>
                <c:pt idx="228">
                  <c:v>7.3548111897000092</c:v>
                </c:pt>
                <c:pt idx="229">
                  <c:v>7.116102290215176</c:v>
                </c:pt>
                <c:pt idx="230">
                  <c:v>6.8784922784882321</c:v>
                </c:pt>
                <c:pt idx="231">
                  <c:v>6.6419439000252094</c:v>
                </c:pt>
                <c:pt idx="232">
                  <c:v>6.4064194061570765</c:v>
                </c:pt>
                <c:pt idx="233">
                  <c:v>6.1718806300722751</c:v>
                </c:pt>
                <c:pt idx="234">
                  <c:v>5.9382890572370925</c:v>
                </c:pt>
                <c:pt idx="235">
                  <c:v>5.7056058901850815</c:v>
                </c:pt>
                <c:pt idx="236">
                  <c:v>5.4737921076995431</c:v>
                </c:pt>
                <c:pt idx="237">
                  <c:v>5.2428085184457593</c:v>
                </c:pt>
                <c:pt idx="238">
                  <c:v>5.0126158091446698</c:v>
                </c:pt>
                <c:pt idx="239">
                  <c:v>4.7831745874088192</c:v>
                </c:pt>
                <c:pt idx="240">
                  <c:v>4.554445419386485</c:v>
                </c:pt>
                <c:pt idx="241">
                  <c:v>4.3263888623834257</c:v>
                </c:pt>
                <c:pt idx="242">
                  <c:v>4.0989654926512511</c:v>
                </c:pt>
                <c:pt idx="243">
                  <c:v>3.8721359285499823</c:v>
                </c:pt>
                <c:pt idx="244">
                  <c:v>3.6458608493036309</c:v>
                </c:pt>
                <c:pt idx="245">
                  <c:v>3.4201010095819373</c:v>
                </c:pt>
                <c:pt idx="246">
                  <c:v>3.1948172501518202</c:v>
                </c:pt>
                <c:pt idx="247">
                  <c:v>2.969970504847419</c:v>
                </c:pt>
                <c:pt idx="248">
                  <c:v>2.7455218041152172</c:v>
                </c:pt>
                <c:pt idx="249">
                  <c:v>2.5214322753964451</c:v>
                </c:pt>
                <c:pt idx="250">
                  <c:v>2.2976631406091546</c:v>
                </c:pt>
                <c:pt idx="251">
                  <c:v>2.0741757109990071</c:v>
                </c:pt>
                <c:pt idx="252">
                  <c:v>1.8509313796239897</c:v>
                </c:pt>
                <c:pt idx="253">
                  <c:v>1.6278916117445501</c:v>
                </c:pt>
                <c:pt idx="254">
                  <c:v>1.4050179333872406</c:v>
                </c:pt>
                <c:pt idx="255">
                  <c:v>1.1822719183491808</c:v>
                </c:pt>
                <c:pt idx="256">
                  <c:v>0.95961517391569451</c:v>
                </c:pt>
                <c:pt idx="257">
                  <c:v>0.73700932555528764</c:v>
                </c:pt>
                <c:pt idx="258">
                  <c:v>0.51441600086286221</c:v>
                </c:pt>
                <c:pt idx="259">
                  <c:v>0.29179681301622301</c:v>
                </c:pt>
                <c:pt idx="260">
                  <c:v>6.911334401507116E-2</c:v>
                </c:pt>
                <c:pt idx="261">
                  <c:v>-0.15367287203293095</c:v>
                </c:pt>
                <c:pt idx="262">
                  <c:v>-0.37660036530991514</c:v>
                </c:pt>
                <c:pt idx="263">
                  <c:v>-0.59970774610338706</c:v>
                </c:pt>
                <c:pt idx="264">
                  <c:v>-0.8230337197720804</c:v>
                </c:pt>
                <c:pt idx="265">
                  <c:v>-1.0466171005943112</c:v>
                </c:pt>
                <c:pt idx="266">
                  <c:v>-1.2704968242295556</c:v>
                </c:pt>
                <c:pt idx="267">
                  <c:v>-1.4947119585265891</c:v>
                </c:pt>
                <c:pt idx="268">
                  <c:v>-1.7193017124079835</c:v>
                </c:pt>
                <c:pt idx="269">
                  <c:v>-1.9443054425624819</c:v>
                </c:pt>
                <c:pt idx="270">
                  <c:v>-2.1697626576782811</c:v>
                </c:pt>
                <c:pt idx="271">
                  <c:v>-2.3957130199494596</c:v>
                </c:pt>
                <c:pt idx="272">
                  <c:v>-2.6221963435924982</c:v>
                </c:pt>
                <c:pt idx="273">
                  <c:v>-2.849252590108613</c:v>
                </c:pt>
                <c:pt idx="274">
                  <c:v>-3.0769218600375972</c:v>
                </c:pt>
                <c:pt idx="275">
                  <c:v>-3.3052443809494281</c:v>
                </c:pt>
                <c:pt idx="276">
                  <c:v>-3.5342604914295683</c:v>
                </c:pt>
                <c:pt idx="277">
                  <c:v>-3.7640106208234005</c:v>
                </c:pt>
                <c:pt idx="278">
                  <c:v>-3.9945352645145302</c:v>
                </c:pt>
                <c:pt idx="279">
                  <c:v>-4.2258749545277761</c:v>
                </c:pt>
                <c:pt idx="280">
                  <c:v>-4.4580702252615261</c:v>
                </c:pt>
                <c:pt idx="281">
                  <c:v>-4.6911615741744788</c:v>
                </c:pt>
                <c:pt idx="282">
                  <c:v>-4.9251894172734891</c:v>
                </c:pt>
                <c:pt idx="283">
                  <c:v>-5.160194039272767</c:v>
                </c:pt>
                <c:pt idx="284">
                  <c:v>-5.3962155383254808</c:v>
                </c:pt>
                <c:pt idx="285">
                  <c:v>-5.6332937652584514</c:v>
                </c:pt>
                <c:pt idx="286">
                  <c:v>-5.871468257274719</c:v>
                </c:pt>
                <c:pt idx="287">
                  <c:v>-6.110778166130773</c:v>
                </c:pt>
                <c:pt idx="288">
                  <c:v>-6.3512621808326415</c:v>
                </c:pt>
                <c:pt idx="289">
                  <c:v>-6.5929584449431893</c:v>
                </c:pt>
                <c:pt idx="290">
                  <c:v>-6.8359044686382395</c:v>
                </c:pt>
                <c:pt idx="291">
                  <c:v>-7.0801370357020934</c:v>
                </c:pt>
                <c:pt idx="292">
                  <c:v>-7.3256921057046087</c:v>
                </c:pt>
                <c:pt idx="293">
                  <c:v>-7.5726047116565649</c:v>
                </c:pt>
                <c:pt idx="294">
                  <c:v>-7.8209088534989526</c:v>
                </c:pt>
                <c:pt idx="295">
                  <c:v>-8.0706373878343687</c:v>
                </c:pt>
                <c:pt idx="296">
                  <c:v>-8.3218219143716592</c:v>
                </c:pt>
                <c:pt idx="297">
                  <c:v>-8.5744926596067828</c:v>
                </c:pt>
                <c:pt idx="298">
                  <c:v>-8.8286783583215573</c:v>
                </c:pt>
                <c:pt idx="299">
                  <c:v>-9.0844061335339141</c:v>
                </c:pt>
                <c:pt idx="300">
                  <c:v>-9.3417013755822254</c:v>
                </c:pt>
                <c:pt idx="301">
                  <c:v>-9.6005876210752987</c:v>
                </c:pt>
                <c:pt idx="302">
                  <c:v>-9.8610864324771779</c:v>
                </c:pt>
                <c:pt idx="303">
                  <c:v>-10.123217279135343</c:v>
                </c:pt>
                <c:pt idx="304">
                  <c:v>-10.386997420585228</c:v>
                </c:pt>
                <c:pt idx="305">
                  <c:v>-10.652441792990077</c:v>
                </c:pt>
                <c:pt idx="306">
                  <c:v>-10.919562899585317</c:v>
                </c:pt>
                <c:pt idx="307">
                  <c:v>-11.18837070600299</c:v>
                </c:pt>
                <c:pt idx="308">
                  <c:v>-11.45887254134786</c:v>
                </c:pt>
                <c:pt idx="309">
                  <c:v>-11.731073005883205</c:v>
                </c:pt>
                <c:pt idx="310">
                  <c:v>-12.004973886161551</c:v>
                </c:pt>
                <c:pt idx="311">
                  <c:v>-12.280574078403818</c:v>
                </c:pt>
                <c:pt idx="312">
                  <c:v>-12.55786952089003</c:v>
                </c:pt>
                <c:pt idx="313">
                  <c:v>-12.836853136072417</c:v>
                </c:pt>
                <c:pt idx="314">
                  <c:v>-13.117514783067687</c:v>
                </c:pt>
                <c:pt idx="315">
                  <c:v>-13.399841221116574</c:v>
                </c:pt>
                <c:pt idx="316">
                  <c:v>-13.683816084529658</c:v>
                </c:pt>
                <c:pt idx="317">
                  <c:v>-13.969419869559561</c:v>
                </c:pt>
                <c:pt idx="318">
                  <c:v>-14.256629933559239</c:v>
                </c:pt>
                <c:pt idx="319">
                  <c:v>-14.54542050670231</c:v>
                </c:pt>
                <c:pt idx="320">
                  <c:v>-14.835762716453244</c:v>
                </c:pt>
                <c:pt idx="321">
                  <c:v>-15.127624624890728</c:v>
                </c:pt>
                <c:pt idx="322">
                  <c:v>-15.420971278899547</c:v>
                </c:pt>
                <c:pt idx="323">
                  <c:v>-15.715764773164281</c:v>
                </c:pt>
                <c:pt idx="324">
                  <c:v>-16.011964325814919</c:v>
                </c:pt>
                <c:pt idx="325">
                  <c:v>-16.309526366498975</c:v>
                </c:pt>
                <c:pt idx="326">
                  <c:v>-16.608404636582335</c:v>
                </c:pt>
                <c:pt idx="327">
                  <c:v>-16.90855030111404</c:v>
                </c:pt>
                <c:pt idx="328">
                  <c:v>-17.209912072131026</c:v>
                </c:pt>
                <c:pt idx="329">
                  <c:v>-17.512436342823612</c:v>
                </c:pt>
                <c:pt idx="330">
                  <c:v>-17.816067332037527</c:v>
                </c:pt>
                <c:pt idx="331">
                  <c:v>-18.120747238545299</c:v>
                </c:pt>
                <c:pt idx="332">
                  <c:v>-18.426416404489171</c:v>
                </c:pt>
                <c:pt idx="333">
                  <c:v>-18.733013487369032</c:v>
                </c:pt>
                <c:pt idx="334">
                  <c:v>-19.040475639924836</c:v>
                </c:pt>
                <c:pt idx="335">
                  <c:v>-19.348738697251374</c:v>
                </c:pt>
                <c:pt idx="336">
                  <c:v>-19.65773737046695</c:v>
                </c:pt>
                <c:pt idx="337">
                  <c:v>-19.967405446251458</c:v>
                </c:pt>
                <c:pt idx="338">
                  <c:v>-20.277675991565381</c:v>
                </c:pt>
                <c:pt idx="339">
                  <c:v>-20.588481562853879</c:v>
                </c:pt>
                <c:pt idx="340">
                  <c:v>-20.899754419045806</c:v>
                </c:pt>
                <c:pt idx="341">
                  <c:v>-21.211426737651156</c:v>
                </c:pt>
                <c:pt idx="342">
                  <c:v>-21.523430833263145</c:v>
                </c:pt>
                <c:pt idx="343">
                  <c:v>-21.835699377770361</c:v>
                </c:pt>
                <c:pt idx="344">
                  <c:v>-22.148165621582514</c:v>
                </c:pt>
                <c:pt idx="345">
                  <c:v>-22.460763615174649</c:v>
                </c:pt>
                <c:pt idx="346">
                  <c:v>-22.773428430245403</c:v>
                </c:pt>
                <c:pt idx="347">
                  <c:v>-23.08609637978784</c:v>
                </c:pt>
                <c:pt idx="348">
                  <c:v>-23.398705236362446</c:v>
                </c:pt>
                <c:pt idx="349">
                  <c:v>-23.711194447857878</c:v>
                </c:pt>
                <c:pt idx="350">
                  <c:v>-24.023505350017992</c:v>
                </c:pt>
                <c:pt idx="351">
                  <c:v>-24.335581375012467</c:v>
                </c:pt>
                <c:pt idx="352">
                  <c:v>-24.647368255319076</c:v>
                </c:pt>
                <c:pt idx="353">
                  <c:v>-24.958814222188003</c:v>
                </c:pt>
                <c:pt idx="354">
                  <c:v>-25.269870197955644</c:v>
                </c:pt>
                <c:pt idx="355">
                  <c:v>-25.580489981479936</c:v>
                </c:pt>
                <c:pt idx="356">
                  <c:v>-25.890630425976756</c:v>
                </c:pt>
                <c:pt idx="357">
                  <c:v>-26.200251608547592</c:v>
                </c:pt>
                <c:pt idx="358">
                  <c:v>-26.509316990707113</c:v>
                </c:pt>
                <c:pt idx="359">
                  <c:v>-26.817793569240731</c:v>
                </c:pt>
                <c:pt idx="360">
                  <c:v>-27.125652016751506</c:v>
                </c:pt>
                <c:pt idx="361">
                  <c:v>-27.432866811291422</c:v>
                </c:pt>
                <c:pt idx="362">
                  <c:v>-27.739416354513576</c:v>
                </c:pt>
                <c:pt idx="363">
                  <c:v>-28.045283077826806</c:v>
                </c:pt>
                <c:pt idx="364">
                  <c:v>-28.350453536094381</c:v>
                </c:pt>
                <c:pt idx="365">
                  <c:v>-28.654918488469519</c:v>
                </c:pt>
                <c:pt idx="366">
                  <c:v>-28.958672966035127</c:v>
                </c:pt>
                <c:pt idx="367">
                  <c:v>-29.261716325971442</c:v>
                </c:pt>
                <c:pt idx="368">
                  <c:v>-29.564052292061831</c:v>
                </c:pt>
                <c:pt idx="369">
                  <c:v>-29.865688981406443</c:v>
                </c:pt>
                <c:pt idx="370">
                  <c:v>-30.166638917302684</c:v>
                </c:pt>
                <c:pt idx="371">
                  <c:v>-30.466919028317246</c:v>
                </c:pt>
                <c:pt idx="372">
                  <c:v>-30.76655063365456</c:v>
                </c:pt>
                <c:pt idx="373">
                  <c:v>-31.065559414997665</c:v>
                </c:pt>
                <c:pt idx="374">
                  <c:v>-31.363975375066278</c:v>
                </c:pt>
                <c:pt idx="375">
                  <c:v>-31.66183278320252</c:v>
                </c:pt>
                <c:pt idx="376">
                  <c:v>-31.959170108353693</c:v>
                </c:pt>
                <c:pt idx="377">
                  <c:v>-32.25602993987556</c:v>
                </c:pt>
                <c:pt idx="378">
                  <c:v>-32.552458896625829</c:v>
                </c:pt>
                <c:pt idx="379">
                  <c:v>-32.84850752485908</c:v>
                </c:pt>
                <c:pt idx="380">
                  <c:v>-33.144230185462938</c:v>
                </c:pt>
                <c:pt idx="381">
                  <c:v>-33.439684931103614</c:v>
                </c:pt>
                <c:pt idx="382">
                  <c:v>-33.734933373864578</c:v>
                </c:pt>
                <c:pt idx="383">
                  <c:v>-34.030040543971374</c:v>
                </c:pt>
                <c:pt idx="384">
                  <c:v>-34.325074740199128</c:v>
                </c:pt>
                <c:pt idx="385">
                  <c:v>-34.620107372557968</c:v>
                </c:pt>
                <c:pt idx="386">
                  <c:v>-34.915212797838414</c:v>
                </c:pt>
                <c:pt idx="387">
                  <c:v>-35.210468148591147</c:v>
                </c:pt>
                <c:pt idx="388">
                  <c:v>-35.505953156092723</c:v>
                </c:pt>
                <c:pt idx="389">
                  <c:v>-35.801749967832642</c:v>
                </c:pt>
                <c:pt idx="390">
                  <c:v>-36.097942960031794</c:v>
                </c:pt>
                <c:pt idx="391">
                  <c:v>-36.394618545682235</c:v>
                </c:pt>
                <c:pt idx="392">
                  <c:v>-36.691864978571928</c:v>
                </c:pt>
                <c:pt idx="393">
                  <c:v>-36.989772153736872</c:v>
                </c:pt>
                <c:pt idx="394">
                  <c:v>-37.288431404762186</c:v>
                </c:pt>
                <c:pt idx="395">
                  <c:v>-37.587935298333647</c:v>
                </c:pt>
                <c:pt idx="396">
                  <c:v>-37.888377426426956</c:v>
                </c:pt>
                <c:pt idx="397">
                  <c:v>-38.189852196506635</c:v>
                </c:pt>
                <c:pt idx="398">
                  <c:v>-38.492454620098023</c:v>
                </c:pt>
                <c:pt idx="399">
                  <c:v>-38.79628010009187</c:v>
                </c:pt>
                <c:pt idx="400">
                  <c:v>-39.101424217135225</c:v>
                </c:pt>
                <c:pt idx="401">
                  <c:v>-39.407982515465875</c:v>
                </c:pt>
                <c:pt idx="402">
                  <c:v>-39.716050288551109</c:v>
                </c:pt>
                <c:pt idx="403">
                  <c:v>-40.025722364901107</c:v>
                </c:pt>
                <c:pt idx="404">
                  <c:v>-40.337092894431812</c:v>
                </c:pt>
                <c:pt idx="405">
                  <c:v>-40.650255135769086</c:v>
                </c:pt>
                <c:pt idx="406">
                  <c:v>-40.965301244894391</c:v>
                </c:pt>
                <c:pt idx="407">
                  <c:v>-41.282322065547646</c:v>
                </c:pt>
                <c:pt idx="408">
                  <c:v>-41.601406921813322</c:v>
                </c:pt>
                <c:pt idx="409">
                  <c:v>-41.922643413328942</c:v>
                </c:pt>
                <c:pt idx="410">
                  <c:v>-42.246117213564929</c:v>
                </c:pt>
                <c:pt idx="411">
                  <c:v>-42.571911871631656</c:v>
                </c:pt>
                <c:pt idx="412">
                  <c:v>-42.900108618075862</c:v>
                </c:pt>
                <c:pt idx="413">
                  <c:v>-43.230786175128593</c:v>
                </c:pt>
                <c:pt idx="414">
                  <c:v>-43.564020571868085</c:v>
                </c:pt>
                <c:pt idx="415">
                  <c:v>-43.899884964752182</c:v>
                </c:pt>
                <c:pt idx="416">
                  <c:v>-44.238449463970511</c:v>
                </c:pt>
                <c:pt idx="417">
                  <c:v>-44.579780966048048</c:v>
                </c:pt>
                <c:pt idx="418">
                  <c:v>-44.92394299312285</c:v>
                </c:pt>
                <c:pt idx="419">
                  <c:v>-45.270995539296067</c:v>
                </c:pt>
                <c:pt idx="420">
                  <c:v>-45.620994924433475</c:v>
                </c:pt>
                <c:pt idx="421">
                  <c:v>-45.973993655774223</c:v>
                </c:pt>
                <c:pt idx="422">
                  <c:v>-46.330040297675971</c:v>
                </c:pt>
                <c:pt idx="423">
                  <c:v>-46.689179349800668</c:v>
                </c:pt>
                <c:pt idx="424">
                  <c:v>-47.051451134018556</c:v>
                </c:pt>
                <c:pt idx="425">
                  <c:v>-47.416891690281872</c:v>
                </c:pt>
                <c:pt idx="426">
                  <c:v>-47.785532681695251</c:v>
                </c:pt>
                <c:pt idx="427">
                  <c:v>-48.157401308985058</c:v>
                </c:pt>
                <c:pt idx="428">
                  <c:v>-48.53252023454899</c:v>
                </c:pt>
                <c:pt idx="429">
                  <c:v>-48.91090751624894</c:v>
                </c:pt>
                <c:pt idx="430">
                  <c:v>-49.292576551087841</c:v>
                </c:pt>
                <c:pt idx="431">
                  <c:v>-49.677536028903546</c:v>
                </c:pt>
                <c:pt idx="432">
                  <c:v>-50.065789896191369</c:v>
                </c:pt>
                <c:pt idx="433">
                  <c:v>-50.457337330164705</c:v>
                </c:pt>
                <c:pt idx="434">
                  <c:v>-50.852172723145671</c:v>
                </c:pt>
                <c:pt idx="435">
                  <c:v>-51.250285677373675</c:v>
                </c:pt>
                <c:pt idx="436">
                  <c:v>-51.651661010314996</c:v>
                </c:pt>
                <c:pt idx="437">
                  <c:v>-52.05627877054021</c:v>
                </c:pt>
                <c:pt idx="438">
                  <c:v>-52.464114264236954</c:v>
                </c:pt>
                <c:pt idx="439">
                  <c:v>-52.875138092411248</c:v>
                </c:pt>
                <c:pt idx="440">
                  <c:v>-53.289316198818931</c:v>
                </c:pt>
                <c:pt idx="441">
                  <c:v>-53.706609928659724</c:v>
                </c:pt>
                <c:pt idx="442">
                  <c:v>-54.126976098043073</c:v>
                </c:pt>
                <c:pt idx="443">
                  <c:v>-54.550367074219999</c:v>
                </c:pt>
                <c:pt idx="444">
                  <c:v>-54.97673086655184</c:v>
                </c:pt>
                <c:pt idx="445">
                  <c:v>-55.40601122815783</c:v>
                </c:pt>
                <c:pt idx="446">
                  <c:v>-55.83814776815332</c:v>
                </c:pt>
                <c:pt idx="447">
                  <c:v>-56.273076074360581</c:v>
                </c:pt>
                <c:pt idx="448">
                  <c:v>-56.710727846330769</c:v>
                </c:pt>
                <c:pt idx="449">
                  <c:v>-57.151031038483538</c:v>
                </c:pt>
                <c:pt idx="450">
                  <c:v>-57.593910013120819</c:v>
                </c:pt>
                <c:pt idx="451">
                  <c:v>-58.039285703034693</c:v>
                </c:pt>
                <c:pt idx="452">
                  <c:v>-58.487075783380298</c:v>
                </c:pt>
                <c:pt idx="453">
                  <c:v>-58.937194852438274</c:v>
                </c:pt>
                <c:pt idx="454">
                  <c:v>-59.38955462084926</c:v>
                </c:pt>
                <c:pt idx="455">
                  <c:v>-59.844064108854027</c:v>
                </c:pt>
                <c:pt idx="456">
                  <c:v>-60.3006298510291</c:v>
                </c:pt>
                <c:pt idx="457">
                  <c:v>-60.759156107968835</c:v>
                </c:pt>
                <c:pt idx="458">
                  <c:v>-61.21954508431827</c:v>
                </c:pt>
                <c:pt idx="459">
                  <c:v>-61.681697152526951</c:v>
                </c:pt>
                <c:pt idx="460">
                  <c:v>-62.145511081657204</c:v>
                </c:pt>
                <c:pt idx="461">
                  <c:v>-62.610884270546016</c:v>
                </c:pt>
                <c:pt idx="462">
                  <c:v>-63.077712984591187</c:v>
                </c:pt>
                <c:pt idx="463">
                  <c:v>-63.545892595403572</c:v>
                </c:pt>
                <c:pt idx="464">
                  <c:v>-64.0153178225452</c:v>
                </c:pt>
                <c:pt idx="465">
                  <c:v>-64.485882976549334</c:v>
                </c:pt>
                <c:pt idx="466">
                  <c:v>-64.957482202404591</c:v>
                </c:pt>
                <c:pt idx="467">
                  <c:v>-65.430009722664096</c:v>
                </c:pt>
                <c:pt idx="468">
                  <c:v>-65.903360079334945</c:v>
                </c:pt>
                <c:pt idx="469">
                  <c:v>-66.377428373691956</c:v>
                </c:pt>
                <c:pt idx="470">
                  <c:v>-66.852110503150641</c:v>
                </c:pt>
                <c:pt idx="471">
                  <c:v>-67.327303394339083</c:v>
                </c:pt>
                <c:pt idx="472">
                  <c:v>-67.802905231502592</c:v>
                </c:pt>
                <c:pt idx="473">
                  <c:v>-68.278815679384863</c:v>
                </c:pt>
                <c:pt idx="474">
                  <c:v>-68.754936099734806</c:v>
                </c:pt>
                <c:pt idx="475">
                  <c:v>-69.231169760604374</c:v>
                </c:pt>
                <c:pt idx="476">
                  <c:v>-69.707422037619509</c:v>
                </c:pt>
                <c:pt idx="477">
                  <c:v>-70.183600606428001</c:v>
                </c:pt>
                <c:pt idx="478">
                  <c:v>-70.659615625560349</c:v>
                </c:pt>
                <c:pt idx="479">
                  <c:v>-71.135379908970265</c:v>
                </c:pt>
                <c:pt idx="480">
                  <c:v>-71.610809087564704</c:v>
                </c:pt>
                <c:pt idx="481">
                  <c:v>-72.085821759076111</c:v>
                </c:pt>
                <c:pt idx="482">
                  <c:v>-72.560339625689622</c:v>
                </c:pt>
                <c:pt idx="483">
                  <c:v>-73.034287618885656</c:v>
                </c:pt>
                <c:pt idx="484">
                  <c:v>-73.507594011037767</c:v>
                </c:pt>
                <c:pt idx="485">
                  <c:v>-73.980190513363496</c:v>
                </c:pt>
                <c:pt idx="486">
                  <c:v>-74.452012359911166</c:v>
                </c:pt>
                <c:pt idx="487">
                  <c:v>-74.922998377343632</c:v>
                </c:pt>
                <c:pt idx="488">
                  <c:v>-75.393091040365491</c:v>
                </c:pt>
                <c:pt idx="489">
                  <c:v>-75.862236512731059</c:v>
                </c:pt>
                <c:pt idx="490">
                  <c:v>-76.330384673856727</c:v>
                </c:pt>
                <c:pt idx="491">
                  <c:v>-76.797489131160177</c:v>
                </c:pt>
                <c:pt idx="492">
                  <c:v>-77.263507218335789</c:v>
                </c:pt>
                <c:pt idx="493">
                  <c:v>-77.72839997986938</c:v>
                </c:pt>
                <c:pt idx="494">
                  <c:v>-78.19213214218297</c:v>
                </c:pt>
                <c:pt idx="495">
                  <c:v>-78.65467207188658</c:v>
                </c:pt>
                <c:pt idx="496">
                  <c:v>-79.115991721695238</c:v>
                </c:pt>
                <c:pt idx="497">
                  <c:v>-79.57606656464074</c:v>
                </c:pt>
                <c:pt idx="498">
                  <c:v>-80.03487551728054</c:v>
                </c:pt>
                <c:pt idx="499">
                  <c:v>-80.492400852661831</c:v>
                </c:pt>
                <c:pt idx="500">
                  <c:v>-80.9486281038551</c:v>
                </c:pt>
                <c:pt idx="501">
                  <c:v>-81.40354595890976</c:v>
                </c:pt>
                <c:pt idx="502">
                  <c:v>-81.8571461481217</c:v>
                </c:pt>
                <c:pt idx="503">
                  <c:v>-82.30942332452625</c:v>
                </c:pt>
                <c:pt idx="504">
                  <c:v>-82.760374938539471</c:v>
                </c:pt>
                <c:pt idx="505">
                  <c:v>-83.210001107683965</c:v>
                </c:pt>
                <c:pt idx="506">
                  <c:v>-83.658304482322592</c:v>
                </c:pt>
                <c:pt idx="507">
                  <c:v>-84.10529010831371</c:v>
                </c:pt>
                <c:pt idx="508">
                  <c:v>-84.550965287481716</c:v>
                </c:pt>
                <c:pt idx="509">
                  <c:v>-84.995339436761952</c:v>
                </c:pt>
                <c:pt idx="510">
                  <c:v>-85.438423946849497</c:v>
                </c:pt>
                <c:pt idx="511">
                  <c:v>-85.880232041132132</c:v>
                </c:pt>
                <c:pt idx="512">
                  <c:v>-86.320778635646818</c:v>
                </c:pt>
                <c:pt idx="513">
                  <c:v>-86.760080200742479</c:v>
                </c:pt>
                <c:pt idx="514">
                  <c:v>-87.198154625080747</c:v>
                </c:pt>
                <c:pt idx="515">
                  <c:v>-87.635021082545052</c:v>
                </c:pt>
                <c:pt idx="516">
                  <c:v>-88.070699902575399</c:v>
                </c:pt>
                <c:pt idx="517">
                  <c:v>-88.505212444378785</c:v>
                </c:pt>
                <c:pt idx="518">
                  <c:v>-88.938580975414951</c:v>
                </c:pt>
                <c:pt idx="519">
                  <c:v>-89.37082855448979</c:v>
                </c:pt>
                <c:pt idx="520">
                  <c:v>-89.801978919738815</c:v>
                </c:pt>
                <c:pt idx="521">
                  <c:v>-90.23205638172351</c:v>
                </c:pt>
                <c:pt idx="522">
                  <c:v>-90.661085721811872</c:v>
                </c:pt>
                <c:pt idx="523">
                  <c:v>-91.089092095965825</c:v>
                </c:pt>
                <c:pt idx="524">
                  <c:v>-91.516100944011072</c:v>
                </c:pt>
                <c:pt idx="525">
                  <c:v>-91.94213790442015</c:v>
                </c:pt>
                <c:pt idx="526">
                  <c:v>-92.367228734601881</c:v>
                </c:pt>
                <c:pt idx="527">
                  <c:v>-92.791399236655053</c:v>
                </c:pt>
                <c:pt idx="528">
                  <c:v>-93.21467518850838</c:v>
                </c:pt>
                <c:pt idx="529">
                  <c:v>-93.637082280345425</c:v>
                </c:pt>
                <c:pt idx="530">
                  <c:v>-94.058646056183463</c:v>
                </c:pt>
                <c:pt idx="531">
                  <c:v>-94.479391860457</c:v>
                </c:pt>
                <c:pt idx="532">
                  <c:v>-94.89934478943772</c:v>
                </c:pt>
                <c:pt idx="533">
                  <c:v>-95.318529647307045</c:v>
                </c:pt>
                <c:pt idx="534">
                  <c:v>-95.73697090668766</c:v>
                </c:pt>
                <c:pt idx="535">
                  <c:v>-96.154692673428244</c:v>
                </c:pt>
                <c:pt idx="536">
                  <c:v>-96.571718655431766</c:v>
                </c:pt>
                <c:pt idx="537">
                  <c:v>-96.988072135313601</c:v>
                </c:pt>
                <c:pt idx="538">
                  <c:v>-97.403775946670919</c:v>
                </c:pt>
                <c:pt idx="539">
                  <c:v>-97.81885245374707</c:v>
                </c:pt>
                <c:pt idx="540">
                  <c:v>-98.233323534276082</c:v>
                </c:pt>
                <c:pt idx="541">
                  <c:v>-98.647210565294884</c:v>
                </c:pt>
              </c:numCache>
            </c:numRef>
          </c:yVal>
          <c:smooth val="1"/>
        </c:ser>
        <c:ser>
          <c:idx val="2"/>
          <c:order val="2"/>
          <c:tx>
            <c:v>f_LP</c:v>
          </c:tx>
          <c:spPr>
            <a:ln w="38100" cmpd="sng"/>
          </c:spPr>
          <c:marker>
            <c:symbol val="x"/>
            <c:size val="7"/>
            <c:spPr>
              <a:noFill/>
            </c:spPr>
          </c:marker>
          <c:dPt>
            <c:idx val="0"/>
            <c:marker>
              <c:spPr>
                <a:noFill/>
                <a:ln w="19050">
                  <a:solidFill>
                    <a:schemeClr val="tx1"/>
                  </a:solidFill>
                </a:ln>
              </c:spPr>
            </c:marker>
            <c:bubble3D val="0"/>
          </c:dPt>
          <c:dLbls>
            <c:dLbl>
              <c:idx val="0"/>
              <c:layout/>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dLbl>
            <c:dLblPos val="b"/>
            <c:showLegendKey val="0"/>
            <c:showVal val="0"/>
            <c:showCatName val="0"/>
            <c:showSerName val="1"/>
            <c:showPercent val="0"/>
            <c:showBubbleSize val="0"/>
            <c:showLeaderLines val="0"/>
          </c:dLbls>
          <c:xVal>
            <c:numRef>
              <c:f>Loop_Modeling!$O$11</c:f>
              <c:numCache>
                <c:formatCode>0</c:formatCode>
                <c:ptCount val="1"/>
                <c:pt idx="0">
                  <c:v>325.8886929976905</c:v>
                </c:pt>
              </c:numCache>
            </c:numRef>
          </c:xVal>
          <c:yVal>
            <c:numRef>
              <c:f>Loop_Modeling!$BL$11</c:f>
              <c:numCache>
                <c:formatCode>General</c:formatCode>
                <c:ptCount val="1"/>
                <c:pt idx="0">
                  <c:v>29.229349246182437</c:v>
                </c:pt>
              </c:numCache>
            </c:numRef>
          </c:yVal>
          <c:smooth val="0"/>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dLbl>
            <c:txPr>
              <a:bodyPr/>
              <a:lstStyle/>
              <a:p>
                <a:pPr>
                  <a:defRPr b="1"/>
                </a:pPr>
                <a:endParaRPr lang="en-US"/>
              </a:p>
            </c:txPr>
            <c:dLblPos val="t"/>
            <c:showLegendKey val="0"/>
            <c:showVal val="0"/>
            <c:showCatName val="0"/>
            <c:showSerName val="1"/>
            <c:showPercent val="0"/>
            <c:showBubbleSize val="0"/>
            <c:showLeaderLines val="0"/>
          </c:dLbls>
          <c:xVal>
            <c:numRef>
              <c:f>Loop_Modeling!$O$9</c:f>
              <c:numCache>
                <c:formatCode>0</c:formatCode>
                <c:ptCount val="1"/>
                <c:pt idx="0">
                  <c:v>48030.688183089856</c:v>
                </c:pt>
              </c:numCache>
            </c:numRef>
          </c:xVal>
          <c:yVal>
            <c:numRef>
              <c:f>Loop_Modeling!$BL$9</c:f>
              <c:numCache>
                <c:formatCode>General</c:formatCode>
                <c:ptCount val="1"/>
                <c:pt idx="0">
                  <c:v>-29.307680802503519</c:v>
                </c:pt>
              </c:numCache>
            </c:numRef>
          </c:yVal>
          <c:smooth val="1"/>
        </c:ser>
        <c:ser>
          <c:idx val="4"/>
          <c:order val="4"/>
          <c:tx>
            <c:v>f_esr</c:v>
          </c:tx>
          <c:spPr>
            <a:ln>
              <a:noFill/>
            </a:ln>
          </c:spPr>
          <c:marker>
            <c:symbol val="circle"/>
            <c:size val="5"/>
            <c:spPr>
              <a:noFill/>
              <a:ln w="19050">
                <a:solidFill>
                  <a:schemeClr val="tx1"/>
                </a:solidFill>
              </a:ln>
            </c:spPr>
          </c:marker>
          <c:dPt>
            <c:idx val="0"/>
            <c:marker>
              <c:symbol val="circle"/>
              <c:size val="7"/>
            </c:marker>
            <c:bubble3D val="0"/>
          </c:dPt>
          <c:dLbls>
            <c:dLbl>
              <c:idx val="0"/>
              <c:layout>
                <c:manualLayout>
                  <c:x val="-5.990474489899654E-2"/>
                  <c:y val="-1.2457193490087108E-2"/>
                </c:manualLayout>
              </c:layout>
              <c:dLblPos val="r"/>
              <c:showLegendKey val="0"/>
              <c:showVal val="0"/>
              <c:showCatName val="0"/>
              <c:showSerName val="1"/>
              <c:showPercent val="0"/>
              <c:showBubbleSize val="0"/>
            </c:dLbl>
            <c:txPr>
              <a:bodyPr/>
              <a:lstStyle/>
              <a:p>
                <a:pPr>
                  <a:defRPr b="1"/>
                </a:pPr>
                <a:endParaRPr lang="en-US"/>
              </a:p>
            </c:txPr>
            <c:dLblPos val="t"/>
            <c:showLegendKey val="0"/>
            <c:showVal val="0"/>
            <c:showCatName val="0"/>
            <c:showSerName val="1"/>
            <c:showPercent val="0"/>
            <c:showBubbleSize val="0"/>
            <c:showLeaderLines val="0"/>
          </c:dLbls>
          <c:xVal>
            <c:numRef>
              <c:f>Loop_Modeling!$O$10</c:f>
              <c:numCache>
                <c:formatCode>0</c:formatCode>
                <c:ptCount val="1"/>
                <c:pt idx="0">
                  <c:v>795774.71545947669</c:v>
                </c:pt>
              </c:numCache>
            </c:numRef>
          </c:xVal>
          <c:yVal>
            <c:numRef>
              <c:f>Loop_Modeling!$BL$10</c:f>
              <c:numCache>
                <c:formatCode>General</c:formatCode>
                <c:ptCount val="1"/>
                <c:pt idx="0">
                  <c:v>-75.899263501203876</c:v>
                </c:pt>
              </c:numCache>
            </c:numRef>
          </c:yVal>
          <c:smooth val="1"/>
        </c:ser>
        <c:ser>
          <c:idx val="5"/>
          <c:order val="5"/>
          <c:tx>
            <c:v>fz_ea</c:v>
          </c:tx>
          <c:marker>
            <c:symbol val="circle"/>
            <c:size val="8"/>
            <c:spPr>
              <a:noFill/>
              <a:ln w="25400">
                <a:solidFill>
                  <a:srgbClr val="00B0F0"/>
                </a:solidFill>
              </a:ln>
            </c:spPr>
          </c:marker>
          <c:dLbls>
            <c:dLbl>
              <c:idx val="0"/>
              <c:layout/>
              <c:spPr/>
              <c:txPr>
                <a:bodyPr/>
                <a:lstStyle/>
                <a:p>
                  <a:pPr>
                    <a:defRPr b="1"/>
                  </a:pPr>
                  <a:endParaRPr lang="en-US"/>
                </a:p>
              </c:txPr>
              <c:dLblPos val="b"/>
              <c:showLegendKey val="0"/>
              <c:showVal val="0"/>
              <c:showCatName val="0"/>
              <c:showSerName val="1"/>
              <c:showPercent val="0"/>
              <c:showBubbleSize val="0"/>
            </c:dLbl>
            <c:showLegendKey val="0"/>
            <c:showVal val="0"/>
            <c:showCatName val="0"/>
            <c:showSerName val="0"/>
            <c:showPercent val="0"/>
            <c:showBubbleSize val="0"/>
          </c:dLbls>
          <c:xVal>
            <c:numRef>
              <c:f>Loop_Modeling!$O$12</c:f>
              <c:numCache>
                <c:formatCode>General</c:formatCode>
                <c:ptCount val="1"/>
                <c:pt idx="0">
                  <c:v>999.71069963062632</c:v>
                </c:pt>
              </c:numCache>
            </c:numRef>
          </c:xVal>
          <c:yVal>
            <c:numRef>
              <c:f>Loop_Modeling!$BL$12</c:f>
              <c:numCache>
                <c:formatCode>General</c:formatCode>
                <c:ptCount val="1"/>
                <c:pt idx="0">
                  <c:v>14.884630728700923</c:v>
                </c:pt>
              </c:numCache>
            </c:numRef>
          </c:yVal>
          <c:smooth val="1"/>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dLbl>
            <c:txPr>
              <a:bodyPr/>
              <a:lstStyle/>
              <a:p>
                <a:pPr>
                  <a:defRPr b="1"/>
                </a:pPr>
                <a:endParaRPr lang="en-US"/>
              </a:p>
            </c:txPr>
            <c:dLblPos val="b"/>
            <c:showLegendKey val="0"/>
            <c:showVal val="0"/>
            <c:showCatName val="0"/>
            <c:showSerName val="1"/>
            <c:showPercent val="0"/>
            <c:showBubbleSize val="0"/>
            <c:showLeaderLines val="0"/>
          </c:dLbls>
          <c:xVal>
            <c:numRef>
              <c:f>Loop_Modeling!$O$13</c:f>
              <c:numCache>
                <c:formatCode>General</c:formatCode>
                <c:ptCount val="1"/>
                <c:pt idx="0">
                  <c:v>14898.127743275916</c:v>
                </c:pt>
              </c:numCache>
            </c:numRef>
          </c:xVal>
          <c:yVal>
            <c:numRef>
              <c:f>Loop_Modeling!$BL$13</c:f>
              <c:numCache>
                <c:formatCode>General</c:formatCode>
                <c:ptCount val="1"/>
                <c:pt idx="0">
                  <c:v>-13.77308426233281</c:v>
                </c:pt>
              </c:numCache>
            </c:numRef>
          </c:yVal>
          <c:smooth val="1"/>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88.731580770339363</c:v>
                </c:pt>
                <c:pt idx="1">
                  <c:v>88.702062984442819</c:v>
                </c:pt>
                <c:pt idx="2">
                  <c:v>88.671859605564592</c:v>
                </c:pt>
                <c:pt idx="3">
                  <c:v>88.640954804486427</c:v>
                </c:pt>
                <c:pt idx="4">
                  <c:v>88.609332393288355</c:v>
                </c:pt>
                <c:pt idx="5">
                  <c:v>88.576975817705787</c:v>
                </c:pt>
                <c:pt idx="6">
                  <c:v>88.543868149359682</c:v>
                </c:pt>
                <c:pt idx="7">
                  <c:v>88.509992077859465</c:v>
                </c:pt>
                <c:pt idx="8">
                  <c:v>88.475329902780373</c:v>
                </c:pt>
                <c:pt idx="9">
                  <c:v>88.439863525515747</c:v>
                </c:pt>
                <c:pt idx="10">
                  <c:v>88.403574441005915</c:v>
                </c:pt>
                <c:pt idx="11">
                  <c:v>88.366443729345789</c:v>
                </c:pt>
                <c:pt idx="12">
                  <c:v>88.328452047272961</c:v>
                </c:pt>
                <c:pt idx="13">
                  <c:v>88.289579619538969</c:v>
                </c:pt>
                <c:pt idx="14">
                  <c:v>88.249806230166797</c:v>
                </c:pt>
                <c:pt idx="15">
                  <c:v>88.209111213598121</c:v>
                </c:pt>
                <c:pt idx="16">
                  <c:v>88.167473445734117</c:v>
                </c:pt>
                <c:pt idx="17">
                  <c:v>88.124871334874527</c:v>
                </c:pt>
                <c:pt idx="18">
                  <c:v>88.081282812559905</c:v>
                </c:pt>
                <c:pt idx="19">
                  <c:v>88.036685324323003</c:v>
                </c:pt>
                <c:pt idx="20">
                  <c:v>87.991055820355541</c:v>
                </c:pt>
                <c:pt idx="21">
                  <c:v>87.944370746097562</c:v>
                </c:pt>
                <c:pt idx="22">
                  <c:v>87.896606032757418</c:v>
                </c:pt>
                <c:pt idx="23">
                  <c:v>87.84773708777108</c:v>
                </c:pt>
                <c:pt idx="24">
                  <c:v>87.797738785210555</c:v>
                </c:pt>
                <c:pt idx="25">
                  <c:v>87.746585456152019</c:v>
                </c:pt>
                <c:pt idx="26">
                  <c:v>87.694250879015698</c:v>
                </c:pt>
                <c:pt idx="27">
                  <c:v>87.640708269890027</c:v>
                </c:pt>
                <c:pt idx="28">
                  <c:v>87.585930272854355</c:v>
                </c:pt>
                <c:pt idx="29">
                  <c:v>87.529888950315822</c:v>
                </c:pt>
                <c:pt idx="30">
                  <c:v>87.472555773376726</c:v>
                </c:pt>
                <c:pt idx="31">
                  <c:v>87.413901612251195</c:v>
                </c:pt>
                <c:pt idx="32">
                  <c:v>87.353896726750932</c:v>
                </c:pt>
                <c:pt idx="33">
                  <c:v>87.292510756861063</c:v>
                </c:pt>
                <c:pt idx="34">
                  <c:v>87.229712713430573</c:v>
                </c:pt>
                <c:pt idx="35">
                  <c:v>87.165470969001859</c:v>
                </c:pt>
                <c:pt idx="36">
                  <c:v>87.099753248807161</c:v>
                </c:pt>
                <c:pt idx="37">
                  <c:v>87.032526621961736</c:v>
                </c:pt>
                <c:pt idx="38">
                  <c:v>86.963757492885279</c:v>
                </c:pt>
                <c:pt idx="39">
                  <c:v>86.893411592987079</c:v>
                </c:pt>
                <c:pt idx="40">
                  <c:v>86.821453972651398</c:v>
                </c:pt>
                <c:pt idx="41">
                  <c:v>86.747848993563153</c:v>
                </c:pt>
                <c:pt idx="42">
                  <c:v>86.672560321418061</c:v>
                </c:pt>
                <c:pt idx="43">
                  <c:v>86.595550919062418</c:v>
                </c:pt>
                <c:pt idx="44">
                  <c:v>86.516783040113197</c:v>
                </c:pt>
                <c:pt idx="45">
                  <c:v>86.436218223111624</c:v>
                </c:pt>
                <c:pt idx="46">
                  <c:v>86.353817286267613</c:v>
                </c:pt>
                <c:pt idx="47">
                  <c:v>86.269540322856557</c:v>
                </c:pt>
                <c:pt idx="48">
                  <c:v>86.183346697334287</c:v>
                </c:pt>
                <c:pt idx="49">
                  <c:v>86.095195042240377</c:v>
                </c:pt>
                <c:pt idx="50">
                  <c:v>86.005043255965305</c:v>
                </c:pt>
                <c:pt idx="51">
                  <c:v>85.912848501461369</c:v>
                </c:pt>
                <c:pt idx="52">
                  <c:v>85.818567205983754</c:v>
                </c:pt>
                <c:pt idx="53">
                  <c:v>85.722155061952307</c:v>
                </c:pt>
                <c:pt idx="54">
                  <c:v>85.623567029031889</c:v>
                </c:pt>
                <c:pt idx="55">
                  <c:v>85.522757337535083</c:v>
                </c:pt>
                <c:pt idx="56">
                  <c:v>85.419679493257249</c:v>
                </c:pt>
                <c:pt idx="57">
                  <c:v>85.31428628386071</c:v>
                </c:pt>
                <c:pt idx="58">
                  <c:v>85.206529786933558</c:v>
                </c:pt>
                <c:pt idx="59">
                  <c:v>85.096361379853775</c:v>
                </c:pt>
                <c:pt idx="60">
                  <c:v>84.983731751599493</c:v>
                </c:pt>
                <c:pt idx="61">
                  <c:v>84.868590916652408</c:v>
                </c:pt>
                <c:pt idx="62">
                  <c:v>84.750888231151762</c:v>
                </c:pt>
                <c:pt idx="63">
                  <c:v>84.630572411464414</c:v>
                </c:pt>
                <c:pt idx="64">
                  <c:v>84.507591555344021</c:v>
                </c:pt>
                <c:pt idx="65">
                  <c:v>84.381893165865065</c:v>
                </c:pt>
                <c:pt idx="66">
                  <c:v>84.253424178324508</c:v>
                </c:pt>
                <c:pt idx="67">
                  <c:v>84.12213099031429</c:v>
                </c:pt>
                <c:pt idx="68">
                  <c:v>83.987959495179396</c:v>
                </c:pt>
                <c:pt idx="69">
                  <c:v>83.8508551190844</c:v>
                </c:pt>
                <c:pt idx="70">
                  <c:v>83.710762861924664</c:v>
                </c:pt>
                <c:pt idx="71">
                  <c:v>83.567627342324926</c:v>
                </c:pt>
                <c:pt idx="72">
                  <c:v>83.421392846983721</c:v>
                </c:pt>
                <c:pt idx="73">
                  <c:v>83.272003384627695</c:v>
                </c:pt>
                <c:pt idx="74">
                  <c:v>83.11940274485454</c:v>
                </c:pt>
                <c:pt idx="75">
                  <c:v>82.963534562149107</c:v>
                </c:pt>
                <c:pt idx="76">
                  <c:v>82.804342385372848</c:v>
                </c:pt>
                <c:pt idx="77">
                  <c:v>82.64176975302945</c:v>
                </c:pt>
                <c:pt idx="78">
                  <c:v>82.475760274625515</c:v>
                </c:pt>
                <c:pt idx="79">
                  <c:v>82.306257718447611</c:v>
                </c:pt>
                <c:pt idx="80">
                  <c:v>82.13320610608767</c:v>
                </c:pt>
                <c:pt idx="81">
                  <c:v>81.956549814053957</c:v>
                </c:pt>
                <c:pt idx="82">
                  <c:v>81.776233682811579</c:v>
                </c:pt>
                <c:pt idx="83">
                  <c:v>81.592203133595362</c:v>
                </c:pt>
                <c:pt idx="84">
                  <c:v>81.404404293347739</c:v>
                </c:pt>
                <c:pt idx="85">
                  <c:v>81.212784128126231</c:v>
                </c:pt>
                <c:pt idx="86">
                  <c:v>81.017290585328283</c:v>
                </c:pt>
                <c:pt idx="87">
                  <c:v>80.817872745074567</c:v>
                </c:pt>
                <c:pt idx="88">
                  <c:v>80.614480981082906</c:v>
                </c:pt>
                <c:pt idx="89">
                  <c:v>80.407067131357564</c:v>
                </c:pt>
                <c:pt idx="90">
                  <c:v>80.195584679000291</c:v>
                </c:pt>
                <c:pt idx="91">
                  <c:v>79.979988943433568</c:v>
                </c:pt>
                <c:pt idx="92">
                  <c:v>79.760237282302825</c:v>
                </c:pt>
                <c:pt idx="93">
                  <c:v>79.536289304296801</c:v>
                </c:pt>
                <c:pt idx="94">
                  <c:v>79.308107093092588</c:v>
                </c:pt>
                <c:pt idx="95">
                  <c:v>79.075655442593145</c:v>
                </c:pt>
                <c:pt idx="96">
                  <c:v>78.83890210357923</c:v>
                </c:pt>
                <c:pt idx="97">
                  <c:v>78.597818041850658</c:v>
                </c:pt>
                <c:pt idx="98">
                  <c:v>78.352377707866509</c:v>
                </c:pt>
                <c:pt idx="99">
                  <c:v>78.10255931783486</c:v>
                </c:pt>
                <c:pt idx="100">
                  <c:v>77.848345146126746</c:v>
                </c:pt>
                <c:pt idx="101">
                  <c:v>77.589721828803562</c:v>
                </c:pt>
                <c:pt idx="102">
                  <c:v>77.326680677967275</c:v>
                </c:pt>
                <c:pt idx="103">
                  <c:v>77.059218006527729</c:v>
                </c:pt>
                <c:pt idx="104">
                  <c:v>76.787335462893864</c:v>
                </c:pt>
                <c:pt idx="105">
                  <c:v>76.511040374957972</c:v>
                </c:pt>
                <c:pt idx="106">
                  <c:v>76.230346102634954</c:v>
                </c:pt>
                <c:pt idx="107">
                  <c:v>75.945272398069747</c:v>
                </c:pt>
                <c:pt idx="108">
                  <c:v>75.655845772494061</c:v>
                </c:pt>
                <c:pt idx="109">
                  <c:v>75.362099868552988</c:v>
                </c:pt>
                <c:pt idx="110">
                  <c:v>75.06407583677364</c:v>
                </c:pt>
                <c:pt idx="111">
                  <c:v>74.761822714674139</c:v>
                </c:pt>
                <c:pt idx="112">
                  <c:v>74.455397806845241</c:v>
                </c:pt>
                <c:pt idx="113">
                  <c:v>74.144867064165282</c:v>
                </c:pt>
                <c:pt idx="114">
                  <c:v>73.830305460120044</c:v>
                </c:pt>
                <c:pt idx="115">
                  <c:v>73.511797362039474</c:v>
                </c:pt>
                <c:pt idx="116">
                  <c:v>73.189436894862936</c:v>
                </c:pt>
                <c:pt idx="117">
                  <c:v>72.863328294892668</c:v>
                </c:pt>
                <c:pt idx="118">
                  <c:v>72.53358625080844</c:v>
                </c:pt>
                <c:pt idx="119">
                  <c:v>72.200336229068554</c:v>
                </c:pt>
                <c:pt idx="120">
                  <c:v>71.86371478066728</c:v>
                </c:pt>
                <c:pt idx="121">
                  <c:v>71.523869826086013</c:v>
                </c:pt>
                <c:pt idx="122">
                  <c:v>71.180960915160227</c:v>
                </c:pt>
                <c:pt idx="123">
                  <c:v>70.83515945848869</c:v>
                </c:pt>
                <c:pt idx="124">
                  <c:v>70.486648926938173</c:v>
                </c:pt>
                <c:pt idx="125">
                  <c:v>70.135625015759913</c:v>
                </c:pt>
                <c:pt idx="126">
                  <c:v>69.782295769812563</c:v>
                </c:pt>
                <c:pt idx="127">
                  <c:v>69.426881666426027</c:v>
                </c:pt>
                <c:pt idx="128">
                  <c:v>69.069615652480138</c:v>
                </c:pt>
                <c:pt idx="129">
                  <c:v>68.710743132390448</c:v>
                </c:pt>
                <c:pt idx="130">
                  <c:v>68.350521903828337</c:v>
                </c:pt>
                <c:pt idx="131">
                  <c:v>67.989222038183684</c:v>
                </c:pt>
                <c:pt idx="132">
                  <c:v>67.627125703023282</c:v>
                </c:pt>
                <c:pt idx="133">
                  <c:v>67.264526924057222</c:v>
                </c:pt>
                <c:pt idx="134">
                  <c:v>66.901731284460396</c:v>
                </c:pt>
                <c:pt idx="135">
                  <c:v>66.539055559751873</c:v>
                </c:pt>
                <c:pt idx="136">
                  <c:v>66.176827286838559</c:v>
                </c:pt>
                <c:pt idx="137">
                  <c:v>65.815384266280873</c:v>
                </c:pt>
                <c:pt idx="138">
                  <c:v>65.455073997309839</c:v>
                </c:pt>
                <c:pt idx="139">
                  <c:v>65.096253045625218</c:v>
                </c:pt>
                <c:pt idx="140">
                  <c:v>64.73928634455379</c:v>
                </c:pt>
                <c:pt idx="141">
                  <c:v>64.384546430672799</c:v>
                </c:pt>
                <c:pt idx="142">
                  <c:v>64.032412615579076</c:v>
                </c:pt>
                <c:pt idx="143">
                  <c:v>63.683270096039607</c:v>
                </c:pt>
                <c:pt idx="144">
                  <c:v>63.337509005317138</c:v>
                </c:pt>
                <c:pt idx="145">
                  <c:v>62.99552340900933</c:v>
                </c:pt>
                <c:pt idx="146">
                  <c:v>62.657710249269101</c:v>
                </c:pt>
                <c:pt idx="147">
                  <c:v>62.324468241761949</c:v>
                </c:pt>
                <c:pt idx="148">
                  <c:v>61.996196730184707</c:v>
                </c:pt>
                <c:pt idx="149">
                  <c:v>61.673294503582227</c:v>
                </c:pt>
                <c:pt idx="150">
                  <c:v>61.356158582072474</c:v>
                </c:pt>
                <c:pt idx="151">
                  <c:v>61.045182976901103</c:v>
                </c:pt>
                <c:pt idx="152">
                  <c:v>60.740757431013023</c:v>
                </c:pt>
                <c:pt idx="153">
                  <c:v>60.443266146512933</c:v>
                </c:pt>
                <c:pt idx="154">
                  <c:v>60.153086505534802</c:v>
                </c:pt>
                <c:pt idx="155">
                  <c:v>59.870587791100775</c:v>
                </c:pt>
                <c:pt idx="156">
                  <c:v>59.59612991456661</c:v>
                </c:pt>
                <c:pt idx="157">
                  <c:v>59.330062156193797</c:v>
                </c:pt>
                <c:pt idx="158">
                  <c:v>59.072721925285641</c:v>
                </c:pt>
                <c:pt idx="159">
                  <c:v>58.824433546152768</c:v>
                </c:pt>
                <c:pt idx="160">
                  <c:v>58.585507075981013</c:v>
                </c:pt>
                <c:pt idx="161">
                  <c:v>58.356237160400283</c:v>
                </c:pt>
                <c:pt idx="162">
                  <c:v>58.136901932279756</c:v>
                </c:pt>
                <c:pt idx="163">
                  <c:v>57.927761958951393</c:v>
                </c:pt>
                <c:pt idx="164">
                  <c:v>57.729059242715941</c:v>
                </c:pt>
                <c:pt idx="165">
                  <c:v>57.541016279132215</c:v>
                </c:pt>
                <c:pt idx="166">
                  <c:v>57.363835177211413</c:v>
                </c:pt>
                <c:pt idx="167">
                  <c:v>57.197696845270904</c:v>
                </c:pt>
                <c:pt idx="168">
                  <c:v>57.042760245818251</c:v>
                </c:pt>
                <c:pt idx="169">
                  <c:v>56.899161722454387</c:v>
                </c:pt>
                <c:pt idx="170">
                  <c:v>56.767014401440626</c:v>
                </c:pt>
                <c:pt idx="171">
                  <c:v>56.646407670187109</c:v>
                </c:pt>
                <c:pt idx="172">
                  <c:v>56.537406734592849</c:v>
                </c:pt>
                <c:pt idx="173">
                  <c:v>56.440052256829567</c:v>
                </c:pt>
                <c:pt idx="174">
                  <c:v>56.354360074822246</c:v>
                </c:pt>
                <c:pt idx="175">
                  <c:v>56.280321004382678</c:v>
                </c:pt>
                <c:pt idx="176">
                  <c:v>56.217900724629615</c:v>
                </c:pt>
                <c:pt idx="177">
                  <c:v>56.16703974704108</c:v>
                </c:pt>
                <c:pt idx="178">
                  <c:v>56.12765346817303</c:v>
                </c:pt>
                <c:pt idx="179">
                  <c:v>56.099632305792142</c:v>
                </c:pt>
                <c:pt idx="180">
                  <c:v>56.082841917866212</c:v>
                </c:pt>
                <c:pt idx="181">
                  <c:v>56.077123503548854</c:v>
                </c:pt>
                <c:pt idx="182">
                  <c:v>56.082294184985898</c:v>
                </c:pt>
                <c:pt idx="183">
                  <c:v>56.098147468447323</c:v>
                </c:pt>
                <c:pt idx="184">
                  <c:v>56.124453782956586</c:v>
                </c:pt>
                <c:pt idx="185">
                  <c:v>56.160961094244961</c:v>
                </c:pt>
                <c:pt idx="186">
                  <c:v>56.207395591503847</c:v>
                </c:pt>
                <c:pt idx="187">
                  <c:v>56.263462444043334</c:v>
                </c:pt>
                <c:pt idx="188">
                  <c:v>56.32884662459675</c:v>
                </c:pt>
                <c:pt idx="189">
                  <c:v>56.403213795626527</c:v>
                </c:pt>
                <c:pt idx="190">
                  <c:v>56.486211254619931</c:v>
                </c:pt>
                <c:pt idx="191">
                  <c:v>56.57746893398425</c:v>
                </c:pt>
                <c:pt idx="192">
                  <c:v>56.676600450784356</c:v>
                </c:pt>
                <c:pt idx="193">
                  <c:v>56.783204201231619</c:v>
                </c:pt>
                <c:pt idx="194">
                  <c:v>56.896864494489883</c:v>
                </c:pt>
                <c:pt idx="195">
                  <c:v>57.017152720079174</c:v>
                </c:pt>
                <c:pt idx="196">
                  <c:v>57.143628542890021</c:v>
                </c:pt>
                <c:pt idx="197">
                  <c:v>57.275841119599356</c:v>
                </c:pt>
                <c:pt idx="198">
                  <c:v>57.413330330108373</c:v>
                </c:pt>
                <c:pt idx="199">
                  <c:v>57.555628017489383</c:v>
                </c:pt>
                <c:pt idx="200">
                  <c:v>57.702259229876077</c:v>
                </c:pt>
                <c:pt idx="201">
                  <c:v>57.852743457711966</c:v>
                </c:pt>
                <c:pt idx="202">
                  <c:v>58.006595859834334</c:v>
                </c:pt>
                <c:pt idx="203">
                  <c:v>58.163328471985345</c:v>
                </c:pt>
                <c:pt idx="204">
                  <c:v>58.322451391527615</c:v>
                </c:pt>
                <c:pt idx="205">
                  <c:v>58.483473932375055</c:v>
                </c:pt>
                <c:pt idx="206">
                  <c:v>58.645905744464187</c:v>
                </c:pt>
                <c:pt idx="207">
                  <c:v>58.809257892438751</c:v>
                </c:pt>
                <c:pt idx="208">
                  <c:v>58.97304388863158</c:v>
                </c:pt>
                <c:pt idx="209">
                  <c:v>59.136780675877219</c:v>
                </c:pt>
                <c:pt idx="210">
                  <c:v>59.299989556186034</c:v>
                </c:pt>
                <c:pt idx="211">
                  <c:v>59.462197061816767</c:v>
                </c:pt>
                <c:pt idx="212">
                  <c:v>59.622935765849832</c:v>
                </c:pt>
                <c:pt idx="213">
                  <c:v>59.781745029900321</c:v>
                </c:pt>
                <c:pt idx="214">
                  <c:v>59.938171687189275</c:v>
                </c:pt>
                <c:pt idx="215">
                  <c:v>60.091770659757692</c:v>
                </c:pt>
                <c:pt idx="216">
                  <c:v>60.242105509153468</c:v>
                </c:pt>
                <c:pt idx="217">
                  <c:v>60.388748920479138</c:v>
                </c:pt>
                <c:pt idx="218">
                  <c:v>60.531283120196584</c:v>
                </c:pt>
                <c:pt idx="219">
                  <c:v>60.669300228579417</c:v>
                </c:pt>
                <c:pt idx="220">
                  <c:v>60.802402548168779</c:v>
                </c:pt>
                <c:pt idx="221">
                  <c:v>60.930202790008664</c:v>
                </c:pt>
                <c:pt idx="222">
                  <c:v>61.052324239813707</c:v>
                </c:pt>
                <c:pt idx="223">
                  <c:v>61.16840086657615</c:v>
                </c:pt>
                <c:pt idx="224">
                  <c:v>61.278077376402393</c:v>
                </c:pt>
                <c:pt idx="225">
                  <c:v>61.381009214632179</c:v>
                </c:pt>
                <c:pt idx="226">
                  <c:v>61.476862519490801</c:v>
                </c:pt>
                <c:pt idx="227">
                  <c:v>61.565314030701352</c:v>
                </c:pt>
                <c:pt idx="228">
                  <c:v>61.646050956592276</c:v>
                </c:pt>
                <c:pt idx="229">
                  <c:v>61.718770803330074</c:v>
                </c:pt>
                <c:pt idx="230">
                  <c:v>61.783181169937258</c:v>
                </c:pt>
                <c:pt idx="231">
                  <c:v>61.838999512780418</c:v>
                </c:pt>
                <c:pt idx="232">
                  <c:v>61.885952883172358</c:v>
                </c:pt>
                <c:pt idx="233">
                  <c:v>61.923777641697072</c:v>
                </c:pt>
                <c:pt idx="234">
                  <c:v>61.95221915277601</c:v>
                </c:pt>
                <c:pt idx="235">
                  <c:v>61.97103146290489</c:v>
                </c:pt>
                <c:pt idx="236">
                  <c:v>61.979976965866008</c:v>
                </c:pt>
                <c:pt idx="237">
                  <c:v>61.978826058093887</c:v>
                </c:pt>
                <c:pt idx="238">
                  <c:v>61.967356787220019</c:v>
                </c:pt>
                <c:pt idx="239">
                  <c:v>61.945354496679414</c:v>
                </c:pt>
                <c:pt idx="240">
                  <c:v>61.912611469086293</c:v>
                </c:pt>
                <c:pt idx="241">
                  <c:v>61.868926570938314</c:v>
                </c:pt>
                <c:pt idx="242">
                  <c:v>61.814104901025168</c:v>
                </c:pt>
                <c:pt idx="243">
                  <c:v>61.747957444768453</c:v>
                </c:pt>
                <c:pt idx="244">
                  <c:v>61.670300736541797</c:v>
                </c:pt>
                <c:pt idx="245">
                  <c:v>61.580956531863343</c:v>
                </c:pt>
                <c:pt idx="246">
                  <c:v>61.479751491203658</c:v>
                </c:pt>
                <c:pt idx="247">
                  <c:v>61.366516876987944</c:v>
                </c:pt>
                <c:pt idx="248">
                  <c:v>61.241088265237657</c:v>
                </c:pt>
                <c:pt idx="249">
                  <c:v>61.103305273153538</c:v>
                </c:pt>
                <c:pt idx="250">
                  <c:v>60.953011303811252</c:v>
                </c:pt>
                <c:pt idx="251">
                  <c:v>60.790053309017082</c:v>
                </c:pt>
                <c:pt idx="252">
                  <c:v>60.614281571255304</c:v>
                </c:pt>
                <c:pt idx="253">
                  <c:v>60.425549505543415</c:v>
                </c:pt>
                <c:pt idx="254">
                  <c:v>60.223713481914778</c:v>
                </c:pt>
                <c:pt idx="255">
                  <c:v>60.008632669141917</c:v>
                </c:pt>
                <c:pt idx="256">
                  <c:v>59.780168900228091</c:v>
                </c:pt>
                <c:pt idx="257">
                  <c:v>59.538186560098559</c:v>
                </c:pt>
                <c:pt idx="258">
                  <c:v>59.282552495847945</c:v>
                </c:pt>
                <c:pt idx="259">
                  <c:v>59.013135949808238</c:v>
                </c:pt>
                <c:pt idx="260">
                  <c:v>58.729808515632669</c:v>
                </c:pt>
                <c:pt idx="261">
                  <c:v>58.432444117507998</c:v>
                </c:pt>
                <c:pt idx="262">
                  <c:v>58.12091901252915</c:v>
                </c:pt>
                <c:pt idx="263">
                  <c:v>57.795111816200439</c:v>
                </c:pt>
                <c:pt idx="264">
                  <c:v>57.454903550940237</c:v>
                </c:pt>
                <c:pt idx="265">
                  <c:v>57.100177717393997</c:v>
                </c:pt>
                <c:pt idx="266">
                  <c:v>56.730820388269407</c:v>
                </c:pt>
                <c:pt idx="267">
                  <c:v>56.346720324329603</c:v>
                </c:pt>
                <c:pt idx="268">
                  <c:v>55.947769112083854</c:v>
                </c:pt>
                <c:pt idx="269">
                  <c:v>55.533861322618428</c:v>
                </c:pt>
                <c:pt idx="270">
                  <c:v>55.104894690920624</c:v>
                </c:pt>
                <c:pt idx="271">
                  <c:v>54.66077031492361</c:v>
                </c:pt>
                <c:pt idx="272">
                  <c:v>54.201392873410128</c:v>
                </c:pt>
                <c:pt idx="273">
                  <c:v>53.72667086177298</c:v>
                </c:pt>
                <c:pt idx="274">
                  <c:v>53.236516844526392</c:v>
                </c:pt>
                <c:pt idx="275">
                  <c:v>52.730847723311157</c:v>
                </c:pt>
                <c:pt idx="276">
                  <c:v>52.209585019023727</c:v>
                </c:pt>
                <c:pt idx="277">
                  <c:v>51.672655166535968</c:v>
                </c:pt>
                <c:pt idx="278">
                  <c:v>51.119989820351627</c:v>
                </c:pt>
                <c:pt idx="279">
                  <c:v>50.55152616937513</c:v>
                </c:pt>
                <c:pt idx="280">
                  <c:v>49.967207258840212</c:v>
                </c:pt>
                <c:pt idx="281">
                  <c:v>49.366982317286059</c:v>
                </c:pt>
                <c:pt idx="282">
                  <c:v>48.750807086323604</c:v>
                </c:pt>
                <c:pt idx="283">
                  <c:v>48.118644150796648</c:v>
                </c:pt>
                <c:pt idx="284">
                  <c:v>47.470463266803598</c:v>
                </c:pt>
                <c:pt idx="285">
                  <c:v>46.806241684914596</c:v>
                </c:pt>
                <c:pt idx="286">
                  <c:v>46.12596446581729</c:v>
                </c:pt>
                <c:pt idx="287">
                  <c:v>45.429624785503755</c:v>
                </c:pt>
                <c:pt idx="288">
                  <c:v>44.717224227048945</c:v>
                </c:pt>
                <c:pt idx="289">
                  <c:v>43.988773055954233</c:v>
                </c:pt>
                <c:pt idx="290">
                  <c:v>43.244290476001659</c:v>
                </c:pt>
                <c:pt idx="291">
                  <c:v>42.483804862549526</c:v>
                </c:pt>
                <c:pt idx="292">
                  <c:v>41.707353970222449</c:v>
                </c:pt>
                <c:pt idx="293">
                  <c:v>40.91498511200539</c:v>
                </c:pt>
                <c:pt idx="294">
                  <c:v>40.106755306836021</c:v>
                </c:pt>
                <c:pt idx="295">
                  <c:v>39.282731392926479</c:v>
                </c:pt>
                <c:pt idx="296">
                  <c:v>38.442990104205016</c:v>
                </c:pt>
                <c:pt idx="297">
                  <c:v>37.587618107488268</c:v>
                </c:pt>
                <c:pt idx="298">
                  <c:v>36.716711998239248</c:v>
                </c:pt>
                <c:pt idx="299">
                  <c:v>35.83037825306689</c:v>
                </c:pt>
                <c:pt idx="300">
                  <c:v>34.928733137452475</c:v>
                </c:pt>
                <c:pt idx="301">
                  <c:v>34.011902567572299</c:v>
                </c:pt>
                <c:pt idx="302">
                  <c:v>33.080021925485269</c:v>
                </c:pt>
                <c:pt idx="303">
                  <c:v>32.133235827410431</c:v>
                </c:pt>
                <c:pt idx="304">
                  <c:v>31.171697845285031</c:v>
                </c:pt>
                <c:pt idx="305">
                  <c:v>30.195570182292965</c:v>
                </c:pt>
                <c:pt idx="306">
                  <c:v>29.205023303566438</c:v>
                </c:pt>
                <c:pt idx="307">
                  <c:v>28.20023552378586</c:v>
                </c:pt>
                <c:pt idx="308">
                  <c:v>27.1813925539265</c:v>
                </c:pt>
                <c:pt idx="309">
                  <c:v>26.148687009925116</c:v>
                </c:pt>
                <c:pt idx="310">
                  <c:v>25.102317886531214</c:v>
                </c:pt>
                <c:pt idx="311">
                  <c:v>24.042490000106113</c:v>
                </c:pt>
                <c:pt idx="312">
                  <c:v>22.969413404559972</c:v>
                </c:pt>
                <c:pt idx="313">
                  <c:v>21.883302785043746</c:v>
                </c:pt>
                <c:pt idx="314">
                  <c:v>20.784376834350937</c:v>
                </c:pt>
                <c:pt idx="315">
                  <c:v>19.672857617310353</c:v>
                </c:pt>
                <c:pt idx="316">
                  <c:v>18.548969928650333</c:v>
                </c:pt>
                <c:pt idx="317">
                  <c:v>17.412940650028958</c:v>
                </c:pt>
                <c:pt idx="318">
                  <c:v>16.264998111977675</c:v>
                </c:pt>
                <c:pt idx="319">
                  <c:v>15.10537146654193</c:v>
                </c:pt>
                <c:pt idx="320">
                  <c:v>13.934290076344832</c:v>
                </c:pt>
                <c:pt idx="321">
                  <c:v>12.751982925630937</c:v>
                </c:pt>
                <c:pt idx="322">
                  <c:v>11.558678058657662</c:v>
                </c:pt>
                <c:pt idx="323">
                  <c:v>10.354602050474389</c:v>
                </c:pt>
                <c:pt idx="324">
                  <c:v>9.1399795147737422</c:v>
                </c:pt>
                <c:pt idx="325">
                  <c:v>7.9150326530540767</c:v>
                </c:pt>
                <c:pt idx="326">
                  <c:v>6.6799808488328161</c:v>
                </c:pt>
                <c:pt idx="327">
                  <c:v>5.4350403100874134</c:v>
                </c:pt>
                <c:pt idx="328">
                  <c:v>4.1804237625144811</c:v>
                </c:pt>
                <c:pt idx="329">
                  <c:v>2.9163401955383539</c:v>
                </c:pt>
                <c:pt idx="330">
                  <c:v>1.6429946623593017</c:v>
                </c:pt>
                <c:pt idx="331">
                  <c:v>0.36058813462680894</c:v>
                </c:pt>
                <c:pt idx="332">
                  <c:v>-0.93068258834647954</c:v>
                </c:pt>
                <c:pt idx="333">
                  <c:v>-2.2306249166236625</c:v>
                </c:pt>
                <c:pt idx="334">
                  <c:v>-3.5390504543699208</c:v>
                </c:pt>
                <c:pt idx="335">
                  <c:v>-4.8557749343883909</c:v>
                </c:pt>
                <c:pt idx="336">
                  <c:v>-6.1806181051718321</c:v>
                </c:pt>
                <c:pt idx="337">
                  <c:v>-7.5134035737831555</c:v>
                </c:pt>
                <c:pt idx="338">
                  <c:v>-8.8539586083863409</c:v>
                </c:pt>
                <c:pt idx="339">
                  <c:v>-10.202113904734677</c:v>
                </c:pt>
                <c:pt idx="340">
                  <c:v>-11.557703321333927</c:v>
                </c:pt>
                <c:pt idx="341">
                  <c:v>-12.920563588344629</c:v>
                </c:pt>
                <c:pt idx="342">
                  <c:v>-14.290533995556526</c:v>
                </c:pt>
                <c:pt idx="343">
                  <c:v>-15.667456064972699</c:v>
                </c:pt>
                <c:pt idx="344">
                  <c:v>-17.05117321366442</c:v>
                </c:pt>
                <c:pt idx="345">
                  <c:v>-18.441530412589493</c:v>
                </c:pt>
                <c:pt idx="346">
                  <c:v>-19.8383738470393</c:v>
                </c:pt>
                <c:pt idx="347">
                  <c:v>-21.241550584254771</c:v>
                </c:pt>
                <c:pt idx="348">
                  <c:v>-22.650908253565976</c:v>
                </c:pt>
                <c:pt idx="349">
                  <c:v>-24.066294744123255</c:v>
                </c:pt>
                <c:pt idx="350">
                  <c:v>-25.487557924956995</c:v>
                </c:pt>
                <c:pt idx="351">
                  <c:v>-26.914545391684381</c:v>
                </c:pt>
                <c:pt idx="352">
                  <c:v>-28.347104243704422</c:v>
                </c:pt>
                <c:pt idx="353">
                  <c:v>-29.785080895192952</c:v>
                </c:pt>
                <c:pt idx="354">
                  <c:v>-31.228320922627333</c:v>
                </c:pt>
                <c:pt idx="355">
                  <c:v>-32.676668950932672</c:v>
                </c:pt>
                <c:pt idx="356">
                  <c:v>-34.129968579704673</c:v>
                </c:pt>
                <c:pt idx="357">
                  <c:v>-35.58806235025407</c:v>
                </c:pt>
                <c:pt idx="358">
                  <c:v>-37.050791753539897</c:v>
                </c:pt>
                <c:pt idx="359">
                  <c:v>-38.517997278341078</c:v>
                </c:pt>
                <c:pt idx="360">
                  <c:v>-39.989518498325417</c:v>
                </c:pt>
                <c:pt idx="361">
                  <c:v>-41.465194195989419</c:v>
                </c:pt>
                <c:pt idx="362">
                  <c:v>-42.944862520785023</c:v>
                </c:pt>
                <c:pt idx="363">
                  <c:v>-44.428361178138452</c:v>
                </c:pt>
                <c:pt idx="364">
                  <c:v>-45.915527645484765</c:v>
                </c:pt>
                <c:pt idx="365">
                  <c:v>-47.406199410929133</c:v>
                </c:pt>
                <c:pt idx="366">
                  <c:v>-48.900214229700232</c:v>
                </c:pt>
                <c:pt idx="367">
                  <c:v>-50.397410393164222</c:v>
                </c:pt>
                <c:pt idx="368">
                  <c:v>-51.897627004885251</c:v>
                </c:pt>
                <c:pt idx="369">
                  <c:v>-53.400704257978937</c:v>
                </c:pt>
                <c:pt idx="370">
                  <c:v>-54.906483707878849</c:v>
                </c:pt>
                <c:pt idx="371">
                  <c:v>-56.414808534592069</c:v>
                </c:pt>
                <c:pt idx="372">
                  <c:v>-57.925523788556291</c:v>
                </c:pt>
                <c:pt idx="373">
                  <c:v>-59.4384766143353</c:v>
                </c:pt>
                <c:pt idx="374">
                  <c:v>-60.953516446619112</c:v>
                </c:pt>
                <c:pt idx="375">
                  <c:v>-62.470495173274358</c:v>
                </c:pt>
                <c:pt idx="376">
                  <c:v>-63.989267260572163</c:v>
                </c:pt>
                <c:pt idx="377">
                  <c:v>-65.509689836158714</c:v>
                </c:pt>
                <c:pt idx="378">
                  <c:v>-67.031622725839526</c:v>
                </c:pt>
                <c:pt idx="379">
                  <c:v>-68.554928440805227</c:v>
                </c:pt>
                <c:pt idx="380">
                  <c:v>-70.079472112535541</c:v>
                </c:pt>
                <c:pt idx="381">
                  <c:v>-71.605121373255159</c:v>
                </c:pt>
                <c:pt idx="382">
                  <c:v>-73.1317461804868</c:v>
                </c:pt>
                <c:pt idx="383">
                  <c:v>-74.659218584932262</c:v>
                </c:pt>
                <c:pt idx="384">
                  <c:v>-76.187412441606909</c:v>
                </c:pt>
                <c:pt idx="385">
                  <c:v>-77.716203064845146</c:v>
                </c:pt>
                <c:pt idx="386">
                  <c:v>-79.245466828479081</c:v>
                </c:pt>
                <c:pt idx="387">
                  <c:v>-80.775080713161543</c:v>
                </c:pt>
                <c:pt idx="388">
                  <c:v>-82.304921803432677</c:v>
                </c:pt>
                <c:pt idx="389">
                  <c:v>-83.834866737751952</c:v>
                </c:pt>
                <c:pt idx="390">
                  <c:v>-85.364791115266243</c:v>
                </c:pt>
                <c:pt idx="391">
                  <c:v>-86.894568863623803</c:v>
                </c:pt>
                <c:pt idx="392">
                  <c:v>-88.424071572600482</c:v>
                </c:pt>
                <c:pt idx="393">
                  <c:v>-89.95316779873346</c:v>
                </c:pt>
                <c:pt idx="394">
                  <c:v>-91.481722346508505</c:v>
                </c:pt>
                <c:pt idx="395">
                  <c:v>-93.009595531958198</c:v>
                </c:pt>
                <c:pt idx="396">
                  <c:v>-94.536642434751826</c:v>
                </c:pt>
                <c:pt idx="397">
                  <c:v>-96.062712145046561</c:v>
                </c:pt>
                <c:pt idx="398">
                  <c:v>-97.587647011470835</c:v>
                </c:pt>
                <c:pt idx="399">
                  <c:v>-99.111281896662319</c:v>
                </c:pt>
                <c:pt idx="400">
                  <c:v>-100.63344344676247</c:v>
                </c:pt>
                <c:pt idx="401">
                  <c:v>-102.15394938119748</c:v>
                </c:pt>
                <c:pt idx="402">
                  <c:v>-103.6726078089317</c:v>
                </c:pt>
                <c:pt idx="403">
                  <c:v>-105.1892165771845</c:v>
                </c:pt>
                <c:pt idx="404">
                  <c:v>-106.70356265835842</c:v>
                </c:pt>
                <c:pt idx="405">
                  <c:v>-108.21542158061081</c:v>
                </c:pt>
                <c:pt idx="406">
                  <c:v>-109.72455690717312</c:v>
                </c:pt>
                <c:pt idx="407">
                  <c:v>-111.23071976911281</c:v>
                </c:pt>
                <c:pt idx="408">
                  <c:v>-112.73364845582326</c:v>
                </c:pt>
                <c:pt idx="409">
                  <c:v>-114.23306806705969</c:v>
                </c:pt>
                <c:pt idx="410">
                  <c:v>-115.72869022986114</c:v>
                </c:pt>
                <c:pt idx="411">
                  <c:v>-117.22021288320104</c:v>
                </c:pt>
                <c:pt idx="412">
                  <c:v>-118.70732013269129</c:v>
                </c:pt>
                <c:pt idx="413">
                  <c:v>-120.18968217715224</c:v>
                </c:pt>
                <c:pt idx="414">
                  <c:v>-121.66695530834306</c:v>
                </c:pt>
                <c:pt idx="415">
                  <c:v>-123.13878198464526</c:v>
                </c:pt>
                <c:pt idx="416">
                  <c:v>-124.60479097898637</c:v>
                </c:pt>
                <c:pt idx="417">
                  <c:v>-126.06459760083239</c:v>
                </c:pt>
                <c:pt idx="418">
                  <c:v>-127.51780399162418</c:v>
                </c:pt>
                <c:pt idx="419">
                  <c:v>-128.96399949260726</c:v>
                </c:pt>
                <c:pt idx="420">
                  <c:v>-130.40276108363432</c:v>
                </c:pt>
                <c:pt idx="421">
                  <c:v>-131.83365389115946</c:v>
                </c:pt>
                <c:pt idx="422">
                  <c:v>-133.25623176333772</c:v>
                </c:pt>
                <c:pt idx="423">
                  <c:v>-134.67003790986925</c:v>
                </c:pt>
                <c:pt idx="424">
                  <c:v>-136.07460560399096</c:v>
                </c:pt>
                <c:pt idx="425">
                  <c:v>-137.46945894382654</c:v>
                </c:pt>
                <c:pt idx="426">
                  <c:v>-138.85411367013668</c:v>
                </c:pt>
                <c:pt idx="427">
                  <c:v>-140.22807803737265</c:v>
                </c:pt>
                <c:pt idx="428">
                  <c:v>-141.5908537348468</c:v>
                </c:pt>
                <c:pt idx="429">
                  <c:v>-142.94193685474204</c:v>
                </c:pt>
                <c:pt idx="430">
                  <c:v>-144.28081890360266</c:v>
                </c:pt>
                <c:pt idx="431">
                  <c:v>-145.60698785393205</c:v>
                </c:pt>
                <c:pt idx="432">
                  <c:v>-146.91992923243978</c:v>
                </c:pt>
                <c:pt idx="433">
                  <c:v>-148.21912724147955</c:v>
                </c:pt>
                <c:pt idx="434">
                  <c:v>-149.50406591014263</c:v>
                </c:pt>
                <c:pt idx="435">
                  <c:v>-150.77423027146102</c:v>
                </c:pt>
                <c:pt idx="436">
                  <c:v>-152.02910756210463</c:v>
                </c:pt>
                <c:pt idx="437">
                  <c:v>-153.26818844090317</c:v>
                </c:pt>
                <c:pt idx="438">
                  <c:v>-154.49096822246443</c:v>
                </c:pt>
                <c:pt idx="439">
                  <c:v>-155.69694812206936</c:v>
                </c:pt>
                <c:pt idx="440">
                  <c:v>-156.88563650795547</c:v>
                </c:pt>
                <c:pt idx="441">
                  <c:v>-158.05655015699818</c:v>
                </c:pt>
                <c:pt idx="442">
                  <c:v>-159.20921550970405</c:v>
                </c:pt>
                <c:pt idx="443">
                  <c:v>-160.34316992034309</c:v>
                </c:pt>
                <c:pt idx="444">
                  <c:v>-161.45796289793813</c:v>
                </c:pt>
                <c:pt idx="445">
                  <c:v>-162.55315733376077</c:v>
                </c:pt>
                <c:pt idx="446">
                  <c:v>-163.62833071088366</c:v>
                </c:pt>
                <c:pt idx="447">
                  <c:v>-164.68307629129896</c:v>
                </c:pt>
                <c:pt idx="448">
                  <c:v>-165.71700427605327</c:v>
                </c:pt>
                <c:pt idx="449">
                  <c:v>-166.72974293382941</c:v>
                </c:pt>
                <c:pt idx="450">
                  <c:v>-167.72093969341682</c:v>
                </c:pt>
                <c:pt idx="451">
                  <c:v>-168.69026219552546</c:v>
                </c:pt>
                <c:pt idx="452">
                  <c:v>-169.63739929946405</c:v>
                </c:pt>
                <c:pt idx="453">
                  <c:v>-170.56206204029428</c:v>
                </c:pt>
                <c:pt idx="454">
                  <c:v>-171.46398453217338</c:v>
                </c:pt>
                <c:pt idx="455">
                  <c:v>-172.34292481375826</c:v>
                </c:pt>
                <c:pt idx="456">
                  <c:v>-173.19866563170311</c:v>
                </c:pt>
                <c:pt idx="457">
                  <c:v>-174.03101515849536</c:v>
                </c:pt>
                <c:pt idx="458">
                  <c:v>-174.83980764108745</c:v>
                </c:pt>
                <c:pt idx="459">
                  <c:v>-175.62490397703715</c:v>
                </c:pt>
                <c:pt idx="460">
                  <c:v>-176.38619221513329</c:v>
                </c:pt>
                <c:pt idx="461">
                  <c:v>-177.12358797776818</c:v>
                </c:pt>
                <c:pt idx="462">
                  <c:v>-177.83703480262579</c:v>
                </c:pt>
                <c:pt idx="463">
                  <c:v>-178.52650440156671</c:v>
                </c:pt>
                <c:pt idx="464">
                  <c:v>-179.19199683491655</c:v>
                </c:pt>
                <c:pt idx="465">
                  <c:v>-179.83354059971234</c:v>
                </c:pt>
                <c:pt idx="466">
                  <c:v>179.54880736919577</c:v>
                </c:pt>
                <c:pt idx="467">
                  <c:v>178.95496178593072</c:v>
                </c:pt>
                <c:pt idx="468">
                  <c:v>178.38480918863712</c:v>
                </c:pt>
                <c:pt idx="469">
                  <c:v>177.83820820279323</c:v>
                </c:pt>
                <c:pt idx="470">
                  <c:v>177.31498989240404</c:v>
                </c:pt>
                <c:pt idx="471">
                  <c:v>176.81495819830172</c:v>
                </c:pt>
                <c:pt idx="472">
                  <c:v>176.33789046238238</c:v>
                </c:pt>
                <c:pt idx="473">
                  <c:v>175.88353803620294</c:v>
                </c:pt>
                <c:pt idx="474">
                  <c:v>175.45162697194723</c:v>
                </c:pt>
                <c:pt idx="475">
                  <c:v>175.04185879335316</c:v>
                </c:pt>
                <c:pt idx="476">
                  <c:v>174.65391134377944</c:v>
                </c:pt>
                <c:pt idx="477">
                  <c:v>174.28743970815029</c:v>
                </c:pt>
                <c:pt idx="478">
                  <c:v>173.9420772051154</c:v>
                </c:pt>
                <c:pt idx="479">
                  <c:v>173.61743644532814</c:v>
                </c:pt>
                <c:pt idx="480">
                  <c:v>173.31311045133913</c:v>
                </c:pt>
                <c:pt idx="481">
                  <c:v>173.02867383421955</c:v>
                </c:pt>
                <c:pt idx="482">
                  <c:v>172.76368402162677</c:v>
                </c:pt>
                <c:pt idx="483">
                  <c:v>172.51768253169072</c:v>
                </c:pt>
                <c:pt idx="484">
                  <c:v>172.29019628676159</c:v>
                </c:pt>
                <c:pt idx="485">
                  <c:v>172.08073896076908</c:v>
                </c:pt>
                <c:pt idx="486">
                  <c:v>171.88881235370221</c:v>
                </c:pt>
                <c:pt idx="487">
                  <c:v>171.71390778649541</c:v>
                </c:pt>
                <c:pt idx="488">
                  <c:v>171.55550750947279</c:v>
                </c:pt>
                <c:pt idx="489">
                  <c:v>171.41308611738467</c:v>
                </c:pt>
                <c:pt idx="490">
                  <c:v>171.28611196404762</c:v>
                </c:pt>
                <c:pt idx="491">
                  <c:v>171.17404856960354</c:v>
                </c:pt>
                <c:pt idx="492">
                  <c:v>171.07635601351117</c:v>
                </c:pt>
                <c:pt idx="493">
                  <c:v>170.99249230652677</c:v>
                </c:pt>
                <c:pt idx="494">
                  <c:v>170.92191473513975</c:v>
                </c:pt>
                <c:pt idx="495">
                  <c:v>170.86408117220449</c:v>
                </c:pt>
                <c:pt idx="496">
                  <c:v>170.81845134784459</c:v>
                </c:pt>
                <c:pt idx="497">
                  <c:v>170.78448807508403</c:v>
                </c:pt>
                <c:pt idx="498">
                  <c:v>170.76165842509729</c:v>
                </c:pt>
                <c:pt idx="499">
                  <c:v>170.74943484745722</c:v>
                </c:pt>
                <c:pt idx="500">
                  <c:v>170.74729623125535</c:v>
                </c:pt>
                <c:pt idx="501">
                  <c:v>170.75472890353458</c:v>
                </c:pt>
                <c:pt idx="502">
                  <c:v>170.77122756202547</c:v>
                </c:pt>
                <c:pt idx="503">
                  <c:v>170.79629613975462</c:v>
                </c:pt>
                <c:pt idx="504">
                  <c:v>170.82944859969052</c:v>
                </c:pt>
                <c:pt idx="505">
                  <c:v>170.87020965816265</c:v>
                </c:pt>
                <c:pt idx="506">
                  <c:v>170.91811543635833</c:v>
                </c:pt>
                <c:pt idx="507">
                  <c:v>170.97271403977092</c:v>
                </c:pt>
                <c:pt idx="508">
                  <c:v>171.03356606598521</c:v>
                </c:pt>
                <c:pt idx="509">
                  <c:v>171.10024504170144</c:v>
                </c:pt>
                <c:pt idx="510">
                  <c:v>171.17233779035681</c:v>
                </c:pt>
                <c:pt idx="511">
                  <c:v>171.24944473213796</c:v>
                </c:pt>
                <c:pt idx="512">
                  <c:v>171.33118011855831</c:v>
                </c:pt>
                <c:pt idx="513">
                  <c:v>171.41717220412275</c:v>
                </c:pt>
                <c:pt idx="514">
                  <c:v>171.50706335789323</c:v>
                </c:pt>
                <c:pt idx="515">
                  <c:v>171.60051011802352</c:v>
                </c:pt>
                <c:pt idx="516">
                  <c:v>171.69718319253485</c:v>
                </c:pt>
                <c:pt idx="517">
                  <c:v>171.79676740976223</c:v>
                </c:pt>
                <c:pt idx="518">
                  <c:v>171.89896162201515</c:v>
                </c:pt>
                <c:pt idx="519">
                  <c:v>172.00347856608101</c:v>
                </c:pt>
                <c:pt idx="520">
                  <c:v>172.11004468421532</c:v>
                </c:pt>
                <c:pt idx="521">
                  <c:v>172.21839990928399</c:v>
                </c:pt>
                <c:pt idx="522">
                  <c:v>172.32829741766682</c:v>
                </c:pt>
                <c:pt idx="523">
                  <c:v>172.43950335348606</c:v>
                </c:pt>
                <c:pt idx="524">
                  <c:v>172.55179652761967</c:v>
                </c:pt>
                <c:pt idx="525">
                  <c:v>172.66496809485255</c:v>
                </c:pt>
                <c:pt idx="526">
                  <c:v>172.77882121238625</c:v>
                </c:pt>
                <c:pt idx="527">
                  <c:v>172.89317068277606</c:v>
                </c:pt>
                <c:pt idx="528">
                  <c:v>173.00784258420532</c:v>
                </c:pt>
                <c:pt idx="529">
                  <c:v>173.12267389083925</c:v>
                </c:pt>
                <c:pt idx="530">
                  <c:v>173.23751208581254</c:v>
                </c:pt>
                <c:pt idx="531">
                  <c:v>173.35221476923863</c:v>
                </c:pt>
                <c:pt idx="532">
                  <c:v>173.46664926342842</c:v>
                </c:pt>
                <c:pt idx="533">
                  <c:v>173.58069221733879</c:v>
                </c:pt>
                <c:pt idx="534">
                  <c:v>173.69422921207567</c:v>
                </c:pt>
                <c:pt idx="535">
                  <c:v>173.807154369111</c:v>
                </c:pt>
                <c:pt idx="536">
                  <c:v>173.91936996269314</c:v>
                </c:pt>
                <c:pt idx="537">
                  <c:v>174.03078603776899</c:v>
                </c:pt>
                <c:pt idx="538">
                  <c:v>174.14132003457394</c:v>
                </c:pt>
                <c:pt idx="539">
                  <c:v>174.25089642090003</c:v>
                </c:pt>
                <c:pt idx="540">
                  <c:v>174.35944633290492</c:v>
                </c:pt>
                <c:pt idx="541">
                  <c:v>174.46690722519514</c:v>
                </c:pt>
              </c:numCache>
            </c:numRef>
          </c:yVal>
          <c:smooth val="1"/>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layout/>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layout/>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layout/>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Eff_vs_IOUT!$AT$7:$AT$157</c:f>
              <c:numCache>
                <c:formatCode>General</c:formatCode>
                <c:ptCount val="151"/>
                <c:pt idx="0">
                  <c:v>0</c:v>
                </c:pt>
                <c:pt idx="1">
                  <c:v>50.774288646610998</c:v>
                </c:pt>
                <c:pt idx="2">
                  <c:v>66.084395115116109</c:v>
                </c:pt>
                <c:pt idx="3">
                  <c:v>73.46105878355425</c:v>
                </c:pt>
                <c:pt idx="4">
                  <c:v>77.797409950795455</c:v>
                </c:pt>
                <c:pt idx="5">
                  <c:v>80.648975076322685</c:v>
                </c:pt>
                <c:pt idx="6">
                  <c:v>82.664781736210784</c:v>
                </c:pt>
                <c:pt idx="7">
                  <c:v>84.163709975832205</c:v>
                </c:pt>
                <c:pt idx="8">
                  <c:v>85.320725194059236</c:v>
                </c:pt>
                <c:pt idx="9">
                  <c:v>86.239831107508252</c:v>
                </c:pt>
                <c:pt idx="10">
                  <c:v>86.986731324018436</c:v>
                </c:pt>
                <c:pt idx="11">
                  <c:v>87.604972298924011</c:v>
                </c:pt>
                <c:pt idx="12">
                  <c:v>88.124556501264934</c:v>
                </c:pt>
                <c:pt idx="13">
                  <c:v>88.687388616823554</c:v>
                </c:pt>
                <c:pt idx="14">
                  <c:v>89.079556181287728</c:v>
                </c:pt>
                <c:pt idx="15">
                  <c:v>89.421834476797954</c:v>
                </c:pt>
                <c:pt idx="16">
                  <c:v>89.723113210042442</c:v>
                </c:pt>
                <c:pt idx="17">
                  <c:v>89.990290218904761</c:v>
                </c:pt>
                <c:pt idx="18">
                  <c:v>90.228799616430791</c:v>
                </c:pt>
                <c:pt idx="19">
                  <c:v>90.442980371929011</c:v>
                </c:pt>
                <c:pt idx="20">
                  <c:v>90.636338871297667</c:v>
                </c:pt>
                <c:pt idx="21">
                  <c:v>90.811739405719266</c:v>
                </c:pt>
                <c:pt idx="22">
                  <c:v>90.971544657891997</c:v>
                </c:pt>
                <c:pt idx="23">
                  <c:v>91.117720855742462</c:v>
                </c:pt>
                <c:pt idx="24">
                  <c:v>91.251917542872036</c:v>
                </c:pt>
                <c:pt idx="25">
                  <c:v>91.375528837137594</c:v>
                </c:pt>
                <c:pt idx="26">
                  <c:v>91.489741002170675</c:v>
                </c:pt>
                <c:pt idx="27">
                  <c:v>91.595569771163511</c:v>
                </c:pt>
                <c:pt idx="28">
                  <c:v>91.787411447511388</c:v>
                </c:pt>
                <c:pt idx="29">
                  <c:v>91.882364639306928</c:v>
                </c:pt>
                <c:pt idx="30">
                  <c:v>91.971074944354143</c:v>
                </c:pt>
                <c:pt idx="31">
                  <c:v>92.054129875272395</c:v>
                </c:pt>
                <c:pt idx="32">
                  <c:v>92.132045467010798</c:v>
                </c:pt>
                <c:pt idx="33">
                  <c:v>92.205276826090255</c:v>
                </c:pt>
                <c:pt idx="34">
                  <c:v>92.274226865083918</c:v>
                </c:pt>
                <c:pt idx="35">
                  <c:v>92.339253576405085</c:v>
                </c:pt>
                <c:pt idx="36">
                  <c:v>92.400676122663015</c:v>
                </c:pt>
                <c:pt idx="37">
                  <c:v>92.458779962289455</c:v>
                </c:pt>
                <c:pt idx="38">
                  <c:v>92.513821184134414</c:v>
                </c:pt>
                <c:pt idx="39">
                  <c:v>92.566030189885623</c:v>
                </c:pt>
                <c:pt idx="40">
                  <c:v>92.615614835990044</c:v>
                </c:pt>
                <c:pt idx="41">
                  <c:v>92.662763125423396</c:v>
                </c:pt>
                <c:pt idx="42">
                  <c:v>92.707645522795843</c:v>
                </c:pt>
                <c:pt idx="43">
                  <c:v>92.75041695288472</c:v>
                </c:pt>
                <c:pt idx="44">
                  <c:v>92.791218531972248</c:v>
                </c:pt>
                <c:pt idx="45">
                  <c:v>92.830179072756863</c:v>
                </c:pt>
                <c:pt idx="46">
                  <c:v>92.867416396648366</c:v>
                </c:pt>
                <c:pt idx="47">
                  <c:v>92.903038481608718</c:v>
                </c:pt>
                <c:pt idx="48">
                  <c:v>92.937144469090441</c:v>
                </c:pt>
                <c:pt idx="49">
                  <c:v>92.969825549846988</c:v>
                </c:pt>
                <c:pt idx="50">
                  <c:v>93.001165745280474</c:v>
                </c:pt>
                <c:pt idx="51">
                  <c:v>93.03124259842221</c:v>
                </c:pt>
                <c:pt idx="52">
                  <c:v>93.060127786508502</c:v>
                </c:pt>
                <c:pt idx="53">
                  <c:v>93.08788766533867</c:v>
                </c:pt>
                <c:pt idx="54">
                  <c:v>93.114583754116495</c:v>
                </c:pt>
                <c:pt idx="55">
                  <c:v>93.14027316823119</c:v>
                </c:pt>
                <c:pt idx="56">
                  <c:v>93.16500900638475</c:v>
                </c:pt>
                <c:pt idx="57">
                  <c:v>93.188840697587324</c:v>
                </c:pt>
                <c:pt idx="58">
                  <c:v>93.21181431279193</c:v>
                </c:pt>
                <c:pt idx="59">
                  <c:v>93.233972845302176</c:v>
                </c:pt>
                <c:pt idx="60">
                  <c:v>93.255356463543706</c:v>
                </c:pt>
                <c:pt idx="61">
                  <c:v>93.276002739325719</c:v>
                </c:pt>
                <c:pt idx="62">
                  <c:v>93.295946854321159</c:v>
                </c:pt>
                <c:pt idx="63">
                  <c:v>93.315221787152339</c:v>
                </c:pt>
                <c:pt idx="64">
                  <c:v>93.333858483174907</c:v>
                </c:pt>
                <c:pt idx="65">
                  <c:v>93.351886008798061</c:v>
                </c:pt>
                <c:pt idx="66">
                  <c:v>93.369331691960141</c:v>
                </c:pt>
                <c:pt idx="67">
                  <c:v>93.386221250186793</c:v>
                </c:pt>
                <c:pt idx="68">
                  <c:v>93.402578907494131</c:v>
                </c:pt>
                <c:pt idx="69">
                  <c:v>93.418427501254087</c:v>
                </c:pt>
                <c:pt idx="70">
                  <c:v>93.433788580013271</c:v>
                </c:pt>
                <c:pt idx="71">
                  <c:v>93.448682493146606</c:v>
                </c:pt>
                <c:pt idx="72">
                  <c:v>93.463128473129657</c:v>
                </c:pt>
                <c:pt idx="73">
                  <c:v>93.477144711129412</c:v>
                </c:pt>
                <c:pt idx="74">
                  <c:v>93.490748426537763</c:v>
                </c:pt>
                <c:pt idx="75">
                  <c:v>93.503955931006871</c:v>
                </c:pt>
                <c:pt idx="76">
                  <c:v>93.516782687486682</c:v>
                </c:pt>
                <c:pt idx="77">
                  <c:v>93.529243364714162</c:v>
                </c:pt>
                <c:pt idx="78">
                  <c:v>93.541351887557497</c:v>
                </c:pt>
                <c:pt idx="79">
                  <c:v>93.553121483578991</c:v>
                </c:pt>
                <c:pt idx="80">
                  <c:v>93.56456472614336</c:v>
                </c:pt>
                <c:pt idx="81">
                  <c:v>93.575693574367293</c:v>
                </c:pt>
                <c:pt idx="82">
                  <c:v>93.586519410176777</c:v>
                </c:pt>
                <c:pt idx="83">
                  <c:v>93.597053072713564</c:v>
                </c:pt>
                <c:pt idx="84">
                  <c:v>93.60730489030955</c:v>
                </c:pt>
                <c:pt idx="85">
                  <c:v>93.617284710227182</c:v>
                </c:pt>
                <c:pt idx="86">
                  <c:v>93.627001926345883</c:v>
                </c:pt>
                <c:pt idx="87">
                  <c:v>93.636465504958139</c:v>
                </c:pt>
                <c:pt idx="88">
                  <c:v>93.645684008824304</c:v>
                </c:pt>
                <c:pt idx="89">
                  <c:v>93.654665619621412</c:v>
                </c:pt>
                <c:pt idx="90">
                  <c:v>93.663418158909835</c:v>
                </c:pt>
                <c:pt idx="91">
                  <c:v>93.671949107730839</c:v>
                </c:pt>
                <c:pt idx="92">
                  <c:v>93.680265624938158</c:v>
                </c:pt>
                <c:pt idx="93">
                  <c:v>93.688374564357815</c:v>
                </c:pt>
                <c:pt idx="94">
                  <c:v>93.696282490862842</c:v>
                </c:pt>
                <c:pt idx="95">
                  <c:v>93.703995695442018</c:v>
                </c:pt>
                <c:pt idx="96">
                  <c:v>93.711520209335532</c:v>
                </c:pt>
                <c:pt idx="97">
                  <c:v>93.718861817303718</c:v>
                </c:pt>
                <c:pt idx="98">
                  <c:v>93.726026070091081</c:v>
                </c:pt>
                <c:pt idx="99">
                  <c:v>93.733018296141296</c:v>
                </c:pt>
                <c:pt idx="100">
                  <c:v>93.739843612615488</c:v>
                </c:pt>
                <c:pt idx="101">
                  <c:v>93.746506935761602</c:v>
                </c:pt>
                <c:pt idx="102">
                  <c:v>93.753012990679096</c:v>
                </c:pt>
                <c:pt idx="103">
                  <c:v>93.759366320519476</c:v>
                </c:pt>
                <c:pt idx="104">
                  <c:v>93.765571295160569</c:v>
                </c:pt>
                <c:pt idx="105">
                  <c:v>93.771632119389267</c:v>
                </c:pt>
                <c:pt idx="106">
                  <c:v>93.777552840624793</c:v>
                </c:pt>
                <c:pt idx="107">
                  <c:v>93.783337356212527</c:v>
                </c:pt>
                <c:pt idx="108">
                  <c:v>93.788989420315801</c:v>
                </c:pt>
                <c:pt idx="109">
                  <c:v>93.7945126504314</c:v>
                </c:pt>
                <c:pt idx="110">
                  <c:v>93.799910533552506</c:v>
                </c:pt>
                <c:pt idx="111">
                  <c:v>93.805186432001022</c:v>
                </c:pt>
                <c:pt idx="112">
                  <c:v>93.810343588950062</c:v>
                </c:pt>
                <c:pt idx="113">
                  <c:v>93.815385133655298</c:v>
                </c:pt>
                <c:pt idx="114">
                  <c:v>93.820314086413205</c:v>
                </c:pt>
                <c:pt idx="115">
                  <c:v>93.825133363262424</c:v>
                </c:pt>
                <c:pt idx="116">
                  <c:v>93.829845780443947</c:v>
                </c:pt>
                <c:pt idx="117">
                  <c:v>93.834454058634222</c:v>
                </c:pt>
                <c:pt idx="118">
                  <c:v>93.838960826964495</c:v>
                </c:pt>
                <c:pt idx="119">
                  <c:v>93.843368626839208</c:v>
                </c:pt>
                <c:pt idx="120">
                  <c:v>93.847679915564541</c:v>
                </c:pt>
                <c:pt idx="121">
                  <c:v>93.85189706979871</c:v>
                </c:pt>
                <c:pt idx="122">
                  <c:v>93.856022388833452</c:v>
                </c:pt>
                <c:pt idx="123">
                  <c:v>93.860058097716774</c:v>
                </c:pt>
                <c:pt idx="124">
                  <c:v>93.86400635022558</c:v>
                </c:pt>
                <c:pt idx="125">
                  <c:v>93.867869231696631</c:v>
                </c:pt>
                <c:pt idx="126">
                  <c:v>93.871648761723634</c:v>
                </c:pt>
                <c:pt idx="127">
                  <c:v>93.875346896727791</c:v>
                </c:pt>
                <c:pt idx="128">
                  <c:v>93.8789655324086</c:v>
                </c:pt>
                <c:pt idx="129">
                  <c:v>93.882506506081569</c:v>
                </c:pt>
                <c:pt idx="130">
                  <c:v>93.885971598908654</c:v>
                </c:pt>
                <c:pt idx="131">
                  <c:v>93.889362538027271</c:v>
                </c:pt>
                <c:pt idx="132">
                  <c:v>93.892680998583131</c:v>
                </c:pt>
                <c:pt idx="133">
                  <c:v>93.895928605672012</c:v>
                </c:pt>
                <c:pt idx="134">
                  <c:v>93.899106936195125</c:v>
                </c:pt>
                <c:pt idx="135">
                  <c:v>93.902217520632604</c:v>
                </c:pt>
                <c:pt idx="136">
                  <c:v>93.905261844739115</c:v>
                </c:pt>
                <c:pt idx="137">
                  <c:v>93.908241351165927</c:v>
                </c:pt>
                <c:pt idx="138">
                  <c:v>93.911157441012591</c:v>
                </c:pt>
                <c:pt idx="139">
                  <c:v>93.914011475312392</c:v>
                </c:pt>
                <c:pt idx="140">
                  <c:v>93.916804776454157</c:v>
                </c:pt>
                <c:pt idx="141">
                  <c:v>93.919538629544391</c:v>
                </c:pt>
                <c:pt idx="142">
                  <c:v>93.922214283711739</c:v>
                </c:pt>
                <c:pt idx="143">
                  <c:v>93.924832953357466</c:v>
                </c:pt>
                <c:pt idx="144">
                  <c:v>93.927395819353805</c:v>
                </c:pt>
                <c:pt idx="145">
                  <c:v>93.929904030193256</c:v>
                </c:pt>
                <c:pt idx="146">
                  <c:v>93.93235870309087</c:v>
                </c:pt>
                <c:pt idx="147">
                  <c:v>93.934760925041715</c:v>
                </c:pt>
                <c:pt idx="148">
                  <c:v>93.937111753835836</c:v>
                </c:pt>
                <c:pt idx="149">
                  <c:v>93.939412219032576</c:v>
                </c:pt>
                <c:pt idx="150">
                  <c:v>93.941663322896105</c:v>
                </c:pt>
              </c:numCache>
            </c:numRef>
          </c:yVal>
          <c:smooth val="0"/>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Eff_vs_IOUT!$AI$7:$AI$157</c:f>
              <c:numCache>
                <c:formatCode>General</c:formatCode>
                <c:ptCount val="151"/>
                <c:pt idx="0">
                  <c:v>0</c:v>
                </c:pt>
                <c:pt idx="1">
                  <c:v>1.8817417531038552E-3</c:v>
                </c:pt>
                <c:pt idx="2">
                  <c:v>3.7989216009477042E-3</c:v>
                </c:pt>
                <c:pt idx="3">
                  <c:v>5.7448268503949122E-3</c:v>
                </c:pt>
                <c:pt idx="4">
                  <c:v>7.7173876272471371E-3</c:v>
                </c:pt>
                <c:pt idx="5">
                  <c:v>9.7155766104947971E-3</c:v>
                </c:pt>
                <c:pt idx="6">
                  <c:v>1.1738814814627383E-2</c:v>
                </c:pt>
                <c:pt idx="7">
                  <c:v>1.3786762015744858E-2</c:v>
                </c:pt>
                <c:pt idx="8">
                  <c:v>1.5859221259900819E-2</c:v>
                </c:pt>
                <c:pt idx="9">
                  <c:v>1.7956088482303702E-2</c:v>
                </c:pt>
                <c:pt idx="10">
                  <c:v>2.0077323214382409E-2</c:v>
                </c:pt>
                <c:pt idx="11">
                  <c:v>2.2222930322044497E-2</c:v>
                </c:pt>
                <c:pt idx="12">
                  <c:v>2.4392948005233662E-2</c:v>
                </c:pt>
                <c:pt idx="13">
                  <c:v>2.5257213214804897E-2</c:v>
                </c:pt>
                <c:pt idx="14">
                  <c:v>2.7249573352428395E-2</c:v>
                </c:pt>
                <c:pt idx="15">
                  <c:v>2.9247142008952995E-2</c:v>
                </c:pt>
                <c:pt idx="16">
                  <c:v>3.124974236546825E-2</c:v>
                </c:pt>
                <c:pt idx="17">
                  <c:v>3.3257214480318049E-2</c:v>
                </c:pt>
                <c:pt idx="18">
                  <c:v>3.5269412762968994E-2</c:v>
                </c:pt>
                <c:pt idx="19">
                  <c:v>3.7286203947653085E-2</c:v>
                </c:pt>
                <c:pt idx="20">
                  <c:v>3.9307465446388044E-2</c:v>
                </c:pt>
                <c:pt idx="21">
                  <c:v>4.1333083994644526E-2</c:v>
                </c:pt>
                <c:pt idx="22">
                  <c:v>4.3362954526002577E-2</c:v>
                </c:pt>
                <c:pt idx="23">
                  <c:v>4.5396979228291355E-2</c:v>
                </c:pt>
                <c:pt idx="24">
                  <c:v>4.7435066745224859E-2</c:v>
                </c:pt>
                <c:pt idx="25">
                  <c:v>4.9477131495903937E-2</c:v>
                </c:pt>
                <c:pt idx="26">
                  <c:v>5.1523093090709564E-2</c:v>
                </c:pt>
                <c:pt idx="27">
                  <c:v>5.3572875826710477E-2</c:v>
                </c:pt>
                <c:pt idx="28">
                  <c:v>5.3552187871889249E-2</c:v>
                </c:pt>
                <c:pt idx="29">
                  <c:v>5.5462101380925055E-2</c:v>
                </c:pt>
                <c:pt idx="30">
                  <c:v>5.7374145067475638E-2</c:v>
                </c:pt>
                <c:pt idx="31">
                  <c:v>5.9288318931541024E-2</c:v>
                </c:pt>
                <c:pt idx="32">
                  <c:v>6.1204622973121195E-2</c:v>
                </c:pt>
                <c:pt idx="33">
                  <c:v>6.3123057192216156E-2</c:v>
                </c:pt>
                <c:pt idx="34">
                  <c:v>6.5043621588825914E-2</c:v>
                </c:pt>
                <c:pt idx="35">
                  <c:v>6.6966316162950471E-2</c:v>
                </c:pt>
                <c:pt idx="36">
                  <c:v>6.8891140914589824E-2</c:v>
                </c:pt>
                <c:pt idx="37">
                  <c:v>7.0818095843743961E-2</c:v>
                </c:pt>
                <c:pt idx="38">
                  <c:v>7.2747180950412896E-2</c:v>
                </c:pt>
                <c:pt idx="39">
                  <c:v>7.4678396234596628E-2</c:v>
                </c:pt>
                <c:pt idx="40">
                  <c:v>7.661174169629513E-2</c:v>
                </c:pt>
                <c:pt idx="41">
                  <c:v>7.8547217335508457E-2</c:v>
                </c:pt>
                <c:pt idx="42">
                  <c:v>8.0484823152236526E-2</c:v>
                </c:pt>
                <c:pt idx="43">
                  <c:v>8.242455914647942E-2</c:v>
                </c:pt>
                <c:pt idx="44">
                  <c:v>8.4366425318237112E-2</c:v>
                </c:pt>
                <c:pt idx="45">
                  <c:v>8.6310421667509615E-2</c:v>
                </c:pt>
                <c:pt idx="46">
                  <c:v>8.8256548194296874E-2</c:v>
                </c:pt>
                <c:pt idx="47">
                  <c:v>9.0204804898598945E-2</c:v>
                </c:pt>
                <c:pt idx="48">
                  <c:v>9.2155191780415799E-2</c:v>
                </c:pt>
                <c:pt idx="49">
                  <c:v>9.410770883974745E-2</c:v>
                </c:pt>
                <c:pt idx="50">
                  <c:v>9.6062356076593913E-2</c:v>
                </c:pt>
                <c:pt idx="51">
                  <c:v>9.801913349095516E-2</c:v>
                </c:pt>
                <c:pt idx="52">
                  <c:v>9.997804108283119E-2</c:v>
                </c:pt>
                <c:pt idx="53">
                  <c:v>0.101939078852222</c:v>
                </c:pt>
                <c:pt idx="54">
                  <c:v>0.10390224679912764</c:v>
                </c:pt>
                <c:pt idx="55">
                  <c:v>0.10586754492354805</c:v>
                </c:pt>
                <c:pt idx="56">
                  <c:v>0.10783497322548323</c:v>
                </c:pt>
                <c:pt idx="57">
                  <c:v>0.10980453170493323</c:v>
                </c:pt>
                <c:pt idx="58">
                  <c:v>0.11177622036189805</c:v>
                </c:pt>
                <c:pt idx="59">
                  <c:v>0.11375003919637762</c:v>
                </c:pt>
                <c:pt idx="60">
                  <c:v>0.11572598820837199</c:v>
                </c:pt>
                <c:pt idx="61">
                  <c:v>0.11770406739788117</c:v>
                </c:pt>
                <c:pt idx="62">
                  <c:v>0.11968427676490512</c:v>
                </c:pt>
                <c:pt idx="63">
                  <c:v>0.12166661630944388</c:v>
                </c:pt>
                <c:pt idx="64">
                  <c:v>0.12365108603149741</c:v>
                </c:pt>
                <c:pt idx="65">
                  <c:v>0.12563768593106575</c:v>
                </c:pt>
                <c:pt idx="66">
                  <c:v>0.12762641600814886</c:v>
                </c:pt>
                <c:pt idx="67">
                  <c:v>0.1296172762627468</c:v>
                </c:pt>
                <c:pt idx="68">
                  <c:v>0.13161026669485953</c:v>
                </c:pt>
                <c:pt idx="69">
                  <c:v>0.13360538730448704</c:v>
                </c:pt>
                <c:pt idx="70">
                  <c:v>0.13560263809162934</c:v>
                </c:pt>
                <c:pt idx="71">
                  <c:v>0.13760201905628647</c:v>
                </c:pt>
                <c:pt idx="72">
                  <c:v>0.13960353019845834</c:v>
                </c:pt>
                <c:pt idx="73">
                  <c:v>0.14160717151814503</c:v>
                </c:pt>
                <c:pt idx="74">
                  <c:v>0.14361294301534649</c:v>
                </c:pt>
                <c:pt idx="75">
                  <c:v>0.14562084469006276</c:v>
                </c:pt>
                <c:pt idx="76">
                  <c:v>0.14763087654229384</c:v>
                </c:pt>
                <c:pt idx="77">
                  <c:v>0.1496430385720397</c:v>
                </c:pt>
                <c:pt idx="78">
                  <c:v>0.15165733077930035</c:v>
                </c:pt>
                <c:pt idx="79">
                  <c:v>0.15367375316407578</c:v>
                </c:pt>
                <c:pt idx="80">
                  <c:v>0.155692305726366</c:v>
                </c:pt>
                <c:pt idx="81">
                  <c:v>0.15771298846617102</c:v>
                </c:pt>
                <c:pt idx="82">
                  <c:v>0.15973580138349089</c:v>
                </c:pt>
                <c:pt idx="83">
                  <c:v>0.16176074447832545</c:v>
                </c:pt>
                <c:pt idx="84">
                  <c:v>0.16378781775067483</c:v>
                </c:pt>
                <c:pt idx="85">
                  <c:v>0.16581702120053909</c:v>
                </c:pt>
                <c:pt idx="86">
                  <c:v>0.16784835482791802</c:v>
                </c:pt>
                <c:pt idx="87">
                  <c:v>0.16988181863281185</c:v>
                </c:pt>
                <c:pt idx="88">
                  <c:v>0.17191741261522037</c:v>
                </c:pt>
                <c:pt idx="89">
                  <c:v>0.17395513677514379</c:v>
                </c:pt>
                <c:pt idx="90">
                  <c:v>0.17599499111258196</c:v>
                </c:pt>
                <c:pt idx="91">
                  <c:v>0.17803697562753487</c:v>
                </c:pt>
                <c:pt idx="92">
                  <c:v>0.18008109032000263</c:v>
                </c:pt>
                <c:pt idx="93">
                  <c:v>0.18212733518998517</c:v>
                </c:pt>
                <c:pt idx="94">
                  <c:v>0.1841757102374825</c:v>
                </c:pt>
                <c:pt idx="95">
                  <c:v>0.18622621546249465</c:v>
                </c:pt>
                <c:pt idx="96">
                  <c:v>0.18827885086502152</c:v>
                </c:pt>
                <c:pt idx="97">
                  <c:v>0.19033361644506328</c:v>
                </c:pt>
                <c:pt idx="98">
                  <c:v>0.19239051220261977</c:v>
                </c:pt>
                <c:pt idx="99">
                  <c:v>0.19444953813769109</c:v>
                </c:pt>
                <c:pt idx="100">
                  <c:v>0.19651069425027717</c:v>
                </c:pt>
                <c:pt idx="101">
                  <c:v>0.19857398054037806</c:v>
                </c:pt>
                <c:pt idx="102">
                  <c:v>0.20063939700799374</c:v>
                </c:pt>
                <c:pt idx="103">
                  <c:v>0.20270694365312422</c:v>
                </c:pt>
                <c:pt idx="104">
                  <c:v>0.20477662047576947</c:v>
                </c:pt>
                <c:pt idx="105">
                  <c:v>0.20684842747592952</c:v>
                </c:pt>
                <c:pt idx="106">
                  <c:v>0.20892236465360436</c:v>
                </c:pt>
                <c:pt idx="107">
                  <c:v>0.21099843200879401</c:v>
                </c:pt>
                <c:pt idx="108">
                  <c:v>0.21307662954149847</c:v>
                </c:pt>
                <c:pt idx="109">
                  <c:v>0.21515695725171766</c:v>
                </c:pt>
                <c:pt idx="110">
                  <c:v>0.21723941513945172</c:v>
                </c:pt>
                <c:pt idx="111">
                  <c:v>0.21932400320470052</c:v>
                </c:pt>
                <c:pt idx="112">
                  <c:v>0.2214107214474641</c:v>
                </c:pt>
                <c:pt idx="113">
                  <c:v>0.22349956986774255</c:v>
                </c:pt>
                <c:pt idx="114">
                  <c:v>0.2255905484655357</c:v>
                </c:pt>
                <c:pt idx="115">
                  <c:v>0.22768365724084366</c:v>
                </c:pt>
                <c:pt idx="116">
                  <c:v>0.22977889619366651</c:v>
                </c:pt>
                <c:pt idx="117">
                  <c:v>0.23187626532400407</c:v>
                </c:pt>
                <c:pt idx="118">
                  <c:v>0.23397576463185643</c:v>
                </c:pt>
                <c:pt idx="119">
                  <c:v>0.23607739411722353</c:v>
                </c:pt>
                <c:pt idx="120">
                  <c:v>0.23818115378010551</c:v>
                </c:pt>
                <c:pt idx="121">
                  <c:v>0.24028704362050227</c:v>
                </c:pt>
                <c:pt idx="122">
                  <c:v>0.24239506363841382</c:v>
                </c:pt>
                <c:pt idx="123">
                  <c:v>0.24450521383384011</c:v>
                </c:pt>
                <c:pt idx="124">
                  <c:v>0.24661749420678125</c:v>
                </c:pt>
                <c:pt idx="125">
                  <c:v>0.24873190475723714</c:v>
                </c:pt>
                <c:pt idx="126">
                  <c:v>0.25084844548520785</c:v>
                </c:pt>
                <c:pt idx="127">
                  <c:v>0.25296711639069336</c:v>
                </c:pt>
                <c:pt idx="128">
                  <c:v>0.25508791747369364</c:v>
                </c:pt>
                <c:pt idx="129">
                  <c:v>0.25721084873420874</c:v>
                </c:pt>
                <c:pt idx="130">
                  <c:v>0.25933591017223856</c:v>
                </c:pt>
                <c:pt idx="131">
                  <c:v>0.26146310178778331</c:v>
                </c:pt>
                <c:pt idx="132">
                  <c:v>0.26359242358084273</c:v>
                </c:pt>
                <c:pt idx="133">
                  <c:v>0.26572387555141702</c:v>
                </c:pt>
                <c:pt idx="134">
                  <c:v>0.26785745769950603</c:v>
                </c:pt>
                <c:pt idx="135">
                  <c:v>0.26999317002510992</c:v>
                </c:pt>
                <c:pt idx="136">
                  <c:v>0.27213101252822852</c:v>
                </c:pt>
                <c:pt idx="137">
                  <c:v>0.27427098520886189</c:v>
                </c:pt>
                <c:pt idx="138">
                  <c:v>0.27641308806701015</c:v>
                </c:pt>
                <c:pt idx="139">
                  <c:v>0.27855732110267323</c:v>
                </c:pt>
                <c:pt idx="140">
                  <c:v>0.28070368431585097</c:v>
                </c:pt>
                <c:pt idx="141">
                  <c:v>0.28285217770654358</c:v>
                </c:pt>
                <c:pt idx="142">
                  <c:v>0.28500280127475103</c:v>
                </c:pt>
                <c:pt idx="143">
                  <c:v>0.28715555502047319</c:v>
                </c:pt>
                <c:pt idx="144">
                  <c:v>0.28931043894371017</c:v>
                </c:pt>
                <c:pt idx="145">
                  <c:v>0.29146745304446192</c:v>
                </c:pt>
                <c:pt idx="146">
                  <c:v>0.2936265973227285</c:v>
                </c:pt>
                <c:pt idx="147">
                  <c:v>0.29578787177850985</c:v>
                </c:pt>
                <c:pt idx="148">
                  <c:v>0.29795127641180602</c:v>
                </c:pt>
                <c:pt idx="149">
                  <c:v>0.30011681122261696</c:v>
                </c:pt>
                <c:pt idx="150">
                  <c:v>0.30228447621094268</c:v>
                </c:pt>
              </c:numCache>
            </c:numRef>
          </c:yVal>
          <c:smooth val="1"/>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Eff_vs_IOUT!$AN$7:$AN$157</c:f>
              <c:numCache>
                <c:formatCode>General</c:formatCode>
                <c:ptCount val="151"/>
                <c:pt idx="0">
                  <c:v>0.12628</c:v>
                </c:pt>
                <c:pt idx="1">
                  <c:v>0.13561333333333334</c:v>
                </c:pt>
                <c:pt idx="2">
                  <c:v>0.14494666666666667</c:v>
                </c:pt>
                <c:pt idx="3">
                  <c:v>0.15428</c:v>
                </c:pt>
                <c:pt idx="4">
                  <c:v>0.16361333333333333</c:v>
                </c:pt>
                <c:pt idx="5">
                  <c:v>0.17294666666666667</c:v>
                </c:pt>
                <c:pt idx="6">
                  <c:v>0.18228</c:v>
                </c:pt>
                <c:pt idx="7">
                  <c:v>0.19161333333333333</c:v>
                </c:pt>
                <c:pt idx="8">
                  <c:v>0.20094666666666666</c:v>
                </c:pt>
                <c:pt idx="9">
                  <c:v>0.21028000000000002</c:v>
                </c:pt>
                <c:pt idx="10">
                  <c:v>0.21961333333333333</c:v>
                </c:pt>
                <c:pt idx="11">
                  <c:v>0.22894666666666666</c:v>
                </c:pt>
                <c:pt idx="12">
                  <c:v>0.23827999999999999</c:v>
                </c:pt>
                <c:pt idx="13">
                  <c:v>0.24761333333333335</c:v>
                </c:pt>
                <c:pt idx="14">
                  <c:v>0.25694666666666666</c:v>
                </c:pt>
                <c:pt idx="15">
                  <c:v>0.26627999999999996</c:v>
                </c:pt>
                <c:pt idx="16">
                  <c:v>0.27561333333333338</c:v>
                </c:pt>
                <c:pt idx="17">
                  <c:v>0.28494666666666668</c:v>
                </c:pt>
                <c:pt idx="18">
                  <c:v>0.29427999999999999</c:v>
                </c:pt>
                <c:pt idx="19">
                  <c:v>0.30361333333333335</c:v>
                </c:pt>
                <c:pt idx="20">
                  <c:v>0.31294666666666665</c:v>
                </c:pt>
                <c:pt idx="21">
                  <c:v>0.32228000000000001</c:v>
                </c:pt>
                <c:pt idx="22">
                  <c:v>0.33161333333333332</c:v>
                </c:pt>
                <c:pt idx="23">
                  <c:v>0.34094666666666668</c:v>
                </c:pt>
                <c:pt idx="24">
                  <c:v>0.35027999999999998</c:v>
                </c:pt>
                <c:pt idx="25">
                  <c:v>0.35961333333333334</c:v>
                </c:pt>
                <c:pt idx="26">
                  <c:v>0.36894666666666665</c:v>
                </c:pt>
                <c:pt idx="27">
                  <c:v>0.37828000000000001</c:v>
                </c:pt>
                <c:pt idx="28">
                  <c:v>0.38761333333333331</c:v>
                </c:pt>
                <c:pt idx="29">
                  <c:v>0.39694666666666667</c:v>
                </c:pt>
                <c:pt idx="30">
                  <c:v>0.40627999999999997</c:v>
                </c:pt>
                <c:pt idx="31">
                  <c:v>0.41561333333333333</c:v>
                </c:pt>
                <c:pt idx="32">
                  <c:v>0.42494666666666669</c:v>
                </c:pt>
                <c:pt idx="33">
                  <c:v>0.43428</c:v>
                </c:pt>
                <c:pt idx="34">
                  <c:v>0.44361333333333336</c:v>
                </c:pt>
                <c:pt idx="35">
                  <c:v>0.45294666666666666</c:v>
                </c:pt>
                <c:pt idx="36">
                  <c:v>0.46228000000000002</c:v>
                </c:pt>
                <c:pt idx="37">
                  <c:v>0.47161333333333333</c:v>
                </c:pt>
                <c:pt idx="38">
                  <c:v>0.48094666666666669</c:v>
                </c:pt>
                <c:pt idx="39">
                  <c:v>0.49027999999999999</c:v>
                </c:pt>
                <c:pt idx="40">
                  <c:v>0.4996133333333333</c:v>
                </c:pt>
                <c:pt idx="41">
                  <c:v>0.50894666666666666</c:v>
                </c:pt>
                <c:pt idx="42">
                  <c:v>0.51828000000000007</c:v>
                </c:pt>
                <c:pt idx="43">
                  <c:v>0.52761333333333327</c:v>
                </c:pt>
                <c:pt idx="44">
                  <c:v>0.53694666666666668</c:v>
                </c:pt>
                <c:pt idx="45">
                  <c:v>0.5462800000000001</c:v>
                </c:pt>
                <c:pt idx="46">
                  <c:v>0.55561333333333329</c:v>
                </c:pt>
                <c:pt idx="47">
                  <c:v>0.56494666666666671</c:v>
                </c:pt>
                <c:pt idx="48">
                  <c:v>0.5742799999999999</c:v>
                </c:pt>
                <c:pt idx="49">
                  <c:v>0.58361333333333332</c:v>
                </c:pt>
                <c:pt idx="50">
                  <c:v>0.59294666666666673</c:v>
                </c:pt>
                <c:pt idx="51">
                  <c:v>0.60227999999999993</c:v>
                </c:pt>
                <c:pt idx="52">
                  <c:v>0.61161333333333334</c:v>
                </c:pt>
                <c:pt idx="53">
                  <c:v>0.62094666666666665</c:v>
                </c:pt>
                <c:pt idx="54">
                  <c:v>0.63027999999999995</c:v>
                </c:pt>
                <c:pt idx="55">
                  <c:v>0.63961333333333337</c:v>
                </c:pt>
                <c:pt idx="56">
                  <c:v>0.64894666666666656</c:v>
                </c:pt>
                <c:pt idx="57">
                  <c:v>0.65827999999999998</c:v>
                </c:pt>
                <c:pt idx="58">
                  <c:v>0.66761333333333339</c:v>
                </c:pt>
                <c:pt idx="59">
                  <c:v>0.67694666666666659</c:v>
                </c:pt>
                <c:pt idx="60">
                  <c:v>0.68628</c:v>
                </c:pt>
                <c:pt idx="61">
                  <c:v>0.69561333333333342</c:v>
                </c:pt>
                <c:pt idx="62">
                  <c:v>0.70494666666666661</c:v>
                </c:pt>
                <c:pt idx="63">
                  <c:v>0.71428000000000003</c:v>
                </c:pt>
                <c:pt idx="64">
                  <c:v>0.72361333333333344</c:v>
                </c:pt>
                <c:pt idx="65">
                  <c:v>0.73294666666666664</c:v>
                </c:pt>
                <c:pt idx="66">
                  <c:v>0.74228000000000005</c:v>
                </c:pt>
                <c:pt idx="67">
                  <c:v>0.75161333333333347</c:v>
                </c:pt>
                <c:pt idx="68">
                  <c:v>0.76094666666666666</c:v>
                </c:pt>
                <c:pt idx="69">
                  <c:v>0.77028000000000008</c:v>
                </c:pt>
                <c:pt idx="70">
                  <c:v>0.77961333333333327</c:v>
                </c:pt>
                <c:pt idx="71">
                  <c:v>0.78894666666666668</c:v>
                </c:pt>
                <c:pt idx="72">
                  <c:v>0.7982800000000001</c:v>
                </c:pt>
                <c:pt idx="73">
                  <c:v>0.80761333333333329</c:v>
                </c:pt>
                <c:pt idx="74">
                  <c:v>0.81694666666666671</c:v>
                </c:pt>
                <c:pt idx="75">
                  <c:v>0.8262799999999999</c:v>
                </c:pt>
                <c:pt idx="76">
                  <c:v>0.83561333333333332</c:v>
                </c:pt>
                <c:pt idx="77">
                  <c:v>0.84494666666666673</c:v>
                </c:pt>
                <c:pt idx="78">
                  <c:v>0.85427999999999993</c:v>
                </c:pt>
                <c:pt idx="79">
                  <c:v>0.86361333333333334</c:v>
                </c:pt>
                <c:pt idx="80">
                  <c:v>0.87294666666666654</c:v>
                </c:pt>
                <c:pt idx="81">
                  <c:v>0.88227999999999995</c:v>
                </c:pt>
                <c:pt idx="82">
                  <c:v>0.89161333333333337</c:v>
                </c:pt>
                <c:pt idx="83">
                  <c:v>0.90094666666666656</c:v>
                </c:pt>
                <c:pt idx="84">
                  <c:v>0.91027999999999998</c:v>
                </c:pt>
                <c:pt idx="85">
                  <c:v>0.91961333333333317</c:v>
                </c:pt>
                <c:pt idx="86">
                  <c:v>0.92894666666666659</c:v>
                </c:pt>
                <c:pt idx="87">
                  <c:v>0.93828</c:v>
                </c:pt>
                <c:pt idx="88">
                  <c:v>0.9476133333333332</c:v>
                </c:pt>
                <c:pt idx="89">
                  <c:v>0.95694666666666661</c:v>
                </c:pt>
                <c:pt idx="90">
                  <c:v>0.96628000000000003</c:v>
                </c:pt>
                <c:pt idx="91">
                  <c:v>0.97561333333333322</c:v>
                </c:pt>
                <c:pt idx="92">
                  <c:v>0.98494666666666664</c:v>
                </c:pt>
                <c:pt idx="93">
                  <c:v>0.99428000000000005</c:v>
                </c:pt>
                <c:pt idx="94">
                  <c:v>1.0036133333333332</c:v>
                </c:pt>
                <c:pt idx="95">
                  <c:v>1.0129466666666667</c:v>
                </c:pt>
                <c:pt idx="96">
                  <c:v>1.0222799999999999</c:v>
                </c:pt>
                <c:pt idx="97">
                  <c:v>1.0316133333333333</c:v>
                </c:pt>
                <c:pt idx="98">
                  <c:v>1.0409466666666667</c:v>
                </c:pt>
                <c:pt idx="99">
                  <c:v>1.0502799999999999</c:v>
                </c:pt>
                <c:pt idx="100">
                  <c:v>1.0596133333333333</c:v>
                </c:pt>
                <c:pt idx="101">
                  <c:v>1.0689466666666667</c:v>
                </c:pt>
                <c:pt idx="102">
                  <c:v>1.0782799999999999</c:v>
                </c:pt>
                <c:pt idx="103">
                  <c:v>1.0876133333333333</c:v>
                </c:pt>
                <c:pt idx="104">
                  <c:v>1.0969466666666667</c:v>
                </c:pt>
                <c:pt idx="105">
                  <c:v>1.1062799999999999</c:v>
                </c:pt>
                <c:pt idx="106">
                  <c:v>1.1156133333333333</c:v>
                </c:pt>
                <c:pt idx="107">
                  <c:v>1.1249466666666668</c:v>
                </c:pt>
                <c:pt idx="108">
                  <c:v>1.13428</c:v>
                </c:pt>
                <c:pt idx="109">
                  <c:v>1.1436133333333331</c:v>
                </c:pt>
                <c:pt idx="110">
                  <c:v>1.1529466666666666</c:v>
                </c:pt>
                <c:pt idx="111">
                  <c:v>1.16228</c:v>
                </c:pt>
                <c:pt idx="112">
                  <c:v>1.1716133333333332</c:v>
                </c:pt>
                <c:pt idx="113">
                  <c:v>1.1809466666666666</c:v>
                </c:pt>
                <c:pt idx="114">
                  <c:v>1.1902799999999998</c:v>
                </c:pt>
                <c:pt idx="115">
                  <c:v>1.1996133333333332</c:v>
                </c:pt>
                <c:pt idx="116">
                  <c:v>1.2089466666666666</c:v>
                </c:pt>
                <c:pt idx="117">
                  <c:v>1.2182799999999998</c:v>
                </c:pt>
                <c:pt idx="118">
                  <c:v>1.2276133333333332</c:v>
                </c:pt>
                <c:pt idx="119">
                  <c:v>1.2369466666666666</c:v>
                </c:pt>
                <c:pt idx="120">
                  <c:v>1.2462799999999998</c:v>
                </c:pt>
                <c:pt idx="121">
                  <c:v>1.2556133333333332</c:v>
                </c:pt>
                <c:pt idx="122">
                  <c:v>1.2649466666666667</c:v>
                </c:pt>
                <c:pt idx="123">
                  <c:v>1.2742799999999999</c:v>
                </c:pt>
                <c:pt idx="124">
                  <c:v>1.2836133333333333</c:v>
                </c:pt>
                <c:pt idx="125">
                  <c:v>1.2929466666666667</c:v>
                </c:pt>
                <c:pt idx="126">
                  <c:v>1.3022799999999999</c:v>
                </c:pt>
                <c:pt idx="127">
                  <c:v>1.3116133333333333</c:v>
                </c:pt>
                <c:pt idx="128">
                  <c:v>1.3209466666666667</c:v>
                </c:pt>
                <c:pt idx="129">
                  <c:v>1.3302799999999999</c:v>
                </c:pt>
                <c:pt idx="130">
                  <c:v>1.3396133333333333</c:v>
                </c:pt>
                <c:pt idx="131">
                  <c:v>1.3489466666666667</c:v>
                </c:pt>
                <c:pt idx="132">
                  <c:v>1.3582799999999999</c:v>
                </c:pt>
                <c:pt idx="133">
                  <c:v>1.3676133333333333</c:v>
                </c:pt>
                <c:pt idx="134">
                  <c:v>1.3769466666666668</c:v>
                </c:pt>
                <c:pt idx="135">
                  <c:v>1.38628</c:v>
                </c:pt>
                <c:pt idx="136">
                  <c:v>1.3956133333333334</c:v>
                </c:pt>
                <c:pt idx="137">
                  <c:v>1.4049466666666668</c:v>
                </c:pt>
                <c:pt idx="138">
                  <c:v>1.41428</c:v>
                </c:pt>
                <c:pt idx="139">
                  <c:v>1.4236133333333334</c:v>
                </c:pt>
                <c:pt idx="140">
                  <c:v>1.4329466666666666</c:v>
                </c:pt>
                <c:pt idx="141">
                  <c:v>1.44228</c:v>
                </c:pt>
                <c:pt idx="142">
                  <c:v>1.4516133333333334</c:v>
                </c:pt>
                <c:pt idx="143">
                  <c:v>1.4609466666666666</c:v>
                </c:pt>
                <c:pt idx="144">
                  <c:v>1.47028</c:v>
                </c:pt>
                <c:pt idx="145">
                  <c:v>1.4796133333333332</c:v>
                </c:pt>
                <c:pt idx="146">
                  <c:v>1.4889466666666666</c:v>
                </c:pt>
                <c:pt idx="147">
                  <c:v>1.4982800000000001</c:v>
                </c:pt>
                <c:pt idx="148">
                  <c:v>1.5076133333333332</c:v>
                </c:pt>
                <c:pt idx="149">
                  <c:v>1.5169466666666667</c:v>
                </c:pt>
                <c:pt idx="150">
                  <c:v>1.5262799999999999</c:v>
                </c:pt>
              </c:numCache>
            </c:numRef>
          </c:yVal>
          <c:smooth val="1"/>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Eff_vs_IOUT!$AO$7:$AO$157</c:f>
              <c:numCache>
                <c:formatCode>General</c:formatCode>
                <c:ptCount val="151"/>
                <c:pt idx="0">
                  <c:v>0</c:v>
                </c:pt>
                <c:pt idx="1">
                  <c:v>6.5076606479314819E-5</c:v>
                </c:pt>
                <c:pt idx="2">
                  <c:v>2.0102940243861732E-4</c:v>
                </c:pt>
                <c:pt idx="3">
                  <c:v>3.9443300160463875E-4</c:v>
                </c:pt>
                <c:pt idx="4">
                  <c:v>6.4114765558069184E-4</c:v>
                </c:pt>
                <c:pt idx="5">
                  <c:v>9.3911872234761875E-4</c:v>
                </c:pt>
                <c:pt idx="6">
                  <c:v>1.2871882308843978E-3</c:v>
                </c:pt>
                <c:pt idx="7">
                  <c:v>1.6846757333909474E-3</c:v>
                </c:pt>
                <c:pt idx="8">
                  <c:v>2.1311873219744745E-3</c:v>
                </c:pt>
                <c:pt idx="9">
                  <c:v>2.626514867051843E-3</c:v>
                </c:pt>
                <c:pt idx="10">
                  <c:v>3.1705774314808662E-3</c:v>
                </c:pt>
                <c:pt idx="11">
                  <c:v>3.7633847470766543E-3</c:v>
                </c:pt>
                <c:pt idx="12">
                  <c:v>4.4050132137265843E-3</c:v>
                </c:pt>
                <c:pt idx="13">
                  <c:v>2.435136733140649E-3</c:v>
                </c:pt>
                <c:pt idx="14">
                  <c:v>2.7214501086592546E-3</c:v>
                </c:pt>
                <c:pt idx="15">
                  <c:v>3.0181805219800595E-3</c:v>
                </c:pt>
                <c:pt idx="16">
                  <c:v>3.3249743352821676E-3</c:v>
                </c:pt>
                <c:pt idx="17">
                  <c:v>3.6415116652533806E-3</c:v>
                </c:pt>
                <c:pt idx="18">
                  <c:v>3.9675013308268703E-3</c:v>
                </c:pt>
                <c:pt idx="19">
                  <c:v>4.3026768004666384E-3</c:v>
                </c:pt>
                <c:pt idx="20">
                  <c:v>4.6467928982081895E-3</c:v>
                </c:pt>
                <c:pt idx="21">
                  <c:v>4.9996230949927532E-3</c:v>
                </c:pt>
                <c:pt idx="22">
                  <c:v>5.3609572579804716E-3</c:v>
                </c:pt>
                <c:pt idx="23">
                  <c:v>5.7305997628296192E-3</c:v>
                </c:pt>
                <c:pt idx="24">
                  <c:v>6.1083678969682427E-3</c:v>
                </c:pt>
                <c:pt idx="25">
                  <c:v>6.4940904985979885E-3</c:v>
                </c:pt>
                <c:pt idx="26">
                  <c:v>6.8876067884808363E-3</c:v>
                </c:pt>
                <c:pt idx="27">
                  <c:v>7.2887653607542659E-3</c:v>
                </c:pt>
                <c:pt idx="28">
                  <c:v>3.5489825513834324E-3</c:v>
                </c:pt>
                <c:pt idx="29">
                  <c:v>3.6704026697266276E-3</c:v>
                </c:pt>
                <c:pt idx="30">
                  <c:v>3.7960831430994086E-3</c:v>
                </c:pt>
                <c:pt idx="31">
                  <c:v>3.9260239715017756E-3</c:v>
                </c:pt>
                <c:pt idx="32">
                  <c:v>4.0602251549337288E-3</c:v>
                </c:pt>
                <c:pt idx="33">
                  <c:v>4.1986866933952666E-3</c:v>
                </c:pt>
                <c:pt idx="34">
                  <c:v>4.3414085868863916E-3</c:v>
                </c:pt>
                <c:pt idx="35">
                  <c:v>4.4883908354071004E-3</c:v>
                </c:pt>
                <c:pt idx="36">
                  <c:v>4.6396334389573971E-3</c:v>
                </c:pt>
                <c:pt idx="37">
                  <c:v>4.7951363975372785E-3</c:v>
                </c:pt>
                <c:pt idx="38">
                  <c:v>4.9548997111467461E-3</c:v>
                </c:pt>
                <c:pt idx="39">
                  <c:v>5.1189233797858001E-3</c:v>
                </c:pt>
                <c:pt idx="40">
                  <c:v>5.2872074034544395E-3</c:v>
                </c:pt>
                <c:pt idx="41">
                  <c:v>5.4597517821526635E-3</c:v>
                </c:pt>
                <c:pt idx="42">
                  <c:v>5.6365565158804747E-3</c:v>
                </c:pt>
                <c:pt idx="43">
                  <c:v>5.8176216046378687E-3</c:v>
                </c:pt>
                <c:pt idx="44">
                  <c:v>6.0029470484248533E-3</c:v>
                </c:pt>
                <c:pt idx="45">
                  <c:v>6.1925328472414226E-3</c:v>
                </c:pt>
                <c:pt idx="46">
                  <c:v>6.3863790010875738E-3</c:v>
                </c:pt>
                <c:pt idx="47">
                  <c:v>6.5844855099633139E-3</c:v>
                </c:pt>
                <c:pt idx="48">
                  <c:v>6.7868523738686386E-3</c:v>
                </c:pt>
                <c:pt idx="49">
                  <c:v>6.9934795928035514E-3</c:v>
                </c:pt>
                <c:pt idx="50">
                  <c:v>7.2043671667680496E-3</c:v>
                </c:pt>
                <c:pt idx="51">
                  <c:v>7.4195150957621315E-3</c:v>
                </c:pt>
                <c:pt idx="52">
                  <c:v>7.6389233797857989E-3</c:v>
                </c:pt>
                <c:pt idx="53">
                  <c:v>7.8625920188390517E-3</c:v>
                </c:pt>
                <c:pt idx="54">
                  <c:v>8.0905210129218943E-3</c:v>
                </c:pt>
                <c:pt idx="55">
                  <c:v>8.3227103620343197E-3</c:v>
                </c:pt>
                <c:pt idx="56">
                  <c:v>8.5591600661763332E-3</c:v>
                </c:pt>
                <c:pt idx="57">
                  <c:v>8.7998701253479295E-3</c:v>
                </c:pt>
                <c:pt idx="58">
                  <c:v>9.0448405395491122E-3</c:v>
                </c:pt>
                <c:pt idx="59">
                  <c:v>9.2940713087798846E-3</c:v>
                </c:pt>
                <c:pt idx="60">
                  <c:v>9.5475624330402398E-3</c:v>
                </c:pt>
                <c:pt idx="61">
                  <c:v>9.8053139123301762E-3</c:v>
                </c:pt>
                <c:pt idx="62">
                  <c:v>1.0067325746649706E-2</c:v>
                </c:pt>
                <c:pt idx="63">
                  <c:v>1.0333597935998818E-2</c:v>
                </c:pt>
                <c:pt idx="64">
                  <c:v>1.0604130480377512E-2</c:v>
                </c:pt>
                <c:pt idx="65">
                  <c:v>1.0878923379785799E-2</c:v>
                </c:pt>
                <c:pt idx="66">
                  <c:v>1.1157976634223667E-2</c:v>
                </c:pt>
                <c:pt idx="67">
                  <c:v>1.1441290243691123E-2</c:v>
                </c:pt>
                <c:pt idx="68">
                  <c:v>1.1728864208188167E-2</c:v>
                </c:pt>
                <c:pt idx="69">
                  <c:v>1.2020698527714794E-2</c:v>
                </c:pt>
                <c:pt idx="70">
                  <c:v>1.2316793202271005E-2</c:v>
                </c:pt>
                <c:pt idx="71">
                  <c:v>1.2617148231856808E-2</c:v>
                </c:pt>
                <c:pt idx="72">
                  <c:v>1.292176361647219E-2</c:v>
                </c:pt>
                <c:pt idx="73">
                  <c:v>1.3230639356117155E-2</c:v>
                </c:pt>
                <c:pt idx="74">
                  <c:v>1.3543775450791717E-2</c:v>
                </c:pt>
                <c:pt idx="75">
                  <c:v>1.3861171900495855E-2</c:v>
                </c:pt>
                <c:pt idx="76">
                  <c:v>1.4182828705229585E-2</c:v>
                </c:pt>
                <c:pt idx="77">
                  <c:v>1.4508745864992902E-2</c:v>
                </c:pt>
                <c:pt idx="78">
                  <c:v>1.4838923379785799E-2</c:v>
                </c:pt>
                <c:pt idx="79">
                  <c:v>1.5173361249608287E-2</c:v>
                </c:pt>
                <c:pt idx="80">
                  <c:v>1.5512059474460353E-2</c:v>
                </c:pt>
                <c:pt idx="81">
                  <c:v>1.5855018054342019E-2</c:v>
                </c:pt>
                <c:pt idx="82">
                  <c:v>1.6202236989253258E-2</c:v>
                </c:pt>
                <c:pt idx="83">
                  <c:v>1.6553716279194088E-2</c:v>
                </c:pt>
                <c:pt idx="84">
                  <c:v>1.6909455924164499E-2</c:v>
                </c:pt>
                <c:pt idx="85">
                  <c:v>1.7269455924164494E-2</c:v>
                </c:pt>
                <c:pt idx="86">
                  <c:v>1.7633716279194082E-2</c:v>
                </c:pt>
                <c:pt idx="87">
                  <c:v>1.8002236989253257E-2</c:v>
                </c:pt>
                <c:pt idx="88">
                  <c:v>1.8375018054342013E-2</c:v>
                </c:pt>
                <c:pt idx="89">
                  <c:v>1.8752059474460351E-2</c:v>
                </c:pt>
                <c:pt idx="90">
                  <c:v>1.9133361249608287E-2</c:v>
                </c:pt>
                <c:pt idx="91">
                  <c:v>1.9518923379785794E-2</c:v>
                </c:pt>
                <c:pt idx="92">
                  <c:v>1.9908745864992895E-2</c:v>
                </c:pt>
                <c:pt idx="93">
                  <c:v>2.0302828705229588E-2</c:v>
                </c:pt>
                <c:pt idx="94">
                  <c:v>2.0701171900495849E-2</c:v>
                </c:pt>
                <c:pt idx="95">
                  <c:v>2.1103775450791718E-2</c:v>
                </c:pt>
                <c:pt idx="96">
                  <c:v>2.1510639356117151E-2</c:v>
                </c:pt>
                <c:pt idx="97">
                  <c:v>2.192176361647219E-2</c:v>
                </c:pt>
                <c:pt idx="98">
                  <c:v>2.2337148231856806E-2</c:v>
                </c:pt>
                <c:pt idx="99">
                  <c:v>2.2756793202271003E-2</c:v>
                </c:pt>
                <c:pt idx="100">
                  <c:v>2.3180698527714802E-2</c:v>
                </c:pt>
                <c:pt idx="101">
                  <c:v>2.3608864208188161E-2</c:v>
                </c:pt>
                <c:pt idx="102">
                  <c:v>2.4041290243691126E-2</c:v>
                </c:pt>
                <c:pt idx="103">
                  <c:v>2.4477976634223669E-2</c:v>
                </c:pt>
                <c:pt idx="104">
                  <c:v>2.4918923379785803E-2</c:v>
                </c:pt>
                <c:pt idx="105">
                  <c:v>2.5364130480377521E-2</c:v>
                </c:pt>
                <c:pt idx="106">
                  <c:v>2.5813597935998814E-2</c:v>
                </c:pt>
                <c:pt idx="107">
                  <c:v>2.6267325746649705E-2</c:v>
                </c:pt>
                <c:pt idx="108">
                  <c:v>2.6725313912330174E-2</c:v>
                </c:pt>
                <c:pt idx="109">
                  <c:v>2.7187562433040234E-2</c:v>
                </c:pt>
                <c:pt idx="110">
                  <c:v>2.7654071308779879E-2</c:v>
                </c:pt>
                <c:pt idx="111">
                  <c:v>2.8124840539549115E-2</c:v>
                </c:pt>
                <c:pt idx="112">
                  <c:v>2.8599870125347926E-2</c:v>
                </c:pt>
                <c:pt idx="113">
                  <c:v>2.9079160066176325E-2</c:v>
                </c:pt>
                <c:pt idx="114">
                  <c:v>2.9562710362034315E-2</c:v>
                </c:pt>
                <c:pt idx="115">
                  <c:v>3.0050521012921889E-2</c:v>
                </c:pt>
                <c:pt idx="116">
                  <c:v>3.0542592018839056E-2</c:v>
                </c:pt>
                <c:pt idx="117">
                  <c:v>3.1038923379785806E-2</c:v>
                </c:pt>
                <c:pt idx="118">
                  <c:v>3.1539515095762131E-2</c:v>
                </c:pt>
                <c:pt idx="119">
                  <c:v>3.2044367166768048E-2</c:v>
                </c:pt>
                <c:pt idx="120">
                  <c:v>3.2553479592803553E-2</c:v>
                </c:pt>
                <c:pt idx="121">
                  <c:v>3.3066852373868645E-2</c:v>
                </c:pt>
                <c:pt idx="122">
                  <c:v>3.3584485509963319E-2</c:v>
                </c:pt>
                <c:pt idx="123">
                  <c:v>3.4106379001087581E-2</c:v>
                </c:pt>
                <c:pt idx="124">
                  <c:v>3.463253284724143E-2</c:v>
                </c:pt>
                <c:pt idx="125">
                  <c:v>3.5162947048424847E-2</c:v>
                </c:pt>
                <c:pt idx="126">
                  <c:v>3.5697621604637873E-2</c:v>
                </c:pt>
                <c:pt idx="127">
                  <c:v>3.6236556515880466E-2</c:v>
                </c:pt>
                <c:pt idx="128">
                  <c:v>3.6779751782152675E-2</c:v>
                </c:pt>
                <c:pt idx="129">
                  <c:v>3.7327207403454445E-2</c:v>
                </c:pt>
                <c:pt idx="130">
                  <c:v>3.7878923379785802E-2</c:v>
                </c:pt>
                <c:pt idx="131">
                  <c:v>3.8434899711146775E-2</c:v>
                </c:pt>
                <c:pt idx="132">
                  <c:v>3.8995136397537274E-2</c:v>
                </c:pt>
                <c:pt idx="133">
                  <c:v>3.9559633438957409E-2</c:v>
                </c:pt>
                <c:pt idx="134">
                  <c:v>4.0128390835407098E-2</c:v>
                </c:pt>
                <c:pt idx="135">
                  <c:v>4.0701408586886409E-2</c:v>
                </c:pt>
                <c:pt idx="136">
                  <c:v>4.127868669339526E-2</c:v>
                </c:pt>
                <c:pt idx="137">
                  <c:v>4.1860225154933733E-2</c:v>
                </c:pt>
                <c:pt idx="138">
                  <c:v>4.2446023971501781E-2</c:v>
                </c:pt>
                <c:pt idx="139">
                  <c:v>4.3036083143099424E-2</c:v>
                </c:pt>
                <c:pt idx="140">
                  <c:v>4.3630402669726634E-2</c:v>
                </c:pt>
                <c:pt idx="141">
                  <c:v>4.4228982551383446E-2</c:v>
                </c:pt>
                <c:pt idx="142">
                  <c:v>4.4831822788069839E-2</c:v>
                </c:pt>
                <c:pt idx="143">
                  <c:v>4.5438923379785806E-2</c:v>
                </c:pt>
                <c:pt idx="144">
                  <c:v>4.6050284326531361E-2</c:v>
                </c:pt>
                <c:pt idx="145">
                  <c:v>4.6665905628306519E-2</c:v>
                </c:pt>
                <c:pt idx="146">
                  <c:v>4.7285787285111243E-2</c:v>
                </c:pt>
                <c:pt idx="147">
                  <c:v>4.7909929296945562E-2</c:v>
                </c:pt>
                <c:pt idx="148">
                  <c:v>4.8538331663809463E-2</c:v>
                </c:pt>
                <c:pt idx="149">
                  <c:v>4.9170994385702958E-2</c:v>
                </c:pt>
                <c:pt idx="150">
                  <c:v>4.9807917462626021E-2</c:v>
                </c:pt>
              </c:numCache>
            </c:numRef>
          </c:yVal>
          <c:smooth val="1"/>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Eff_vs_IOUT!$AT$7:$AT$157</c:f>
              <c:numCache>
                <c:formatCode>General</c:formatCode>
                <c:ptCount val="151"/>
                <c:pt idx="0">
                  <c:v>0</c:v>
                </c:pt>
                <c:pt idx="1">
                  <c:v>50.774288646610998</c:v>
                </c:pt>
                <c:pt idx="2">
                  <c:v>66.084395115116109</c:v>
                </c:pt>
                <c:pt idx="3">
                  <c:v>73.46105878355425</c:v>
                </c:pt>
                <c:pt idx="4">
                  <c:v>77.797409950795455</c:v>
                </c:pt>
                <c:pt idx="5">
                  <c:v>80.648975076322685</c:v>
                </c:pt>
                <c:pt idx="6">
                  <c:v>82.664781736210784</c:v>
                </c:pt>
                <c:pt idx="7">
                  <c:v>84.163709975832205</c:v>
                </c:pt>
                <c:pt idx="8">
                  <c:v>85.320725194059236</c:v>
                </c:pt>
                <c:pt idx="9">
                  <c:v>86.239831107508252</c:v>
                </c:pt>
                <c:pt idx="10">
                  <c:v>86.986731324018436</c:v>
                </c:pt>
                <c:pt idx="11">
                  <c:v>87.604972298924011</c:v>
                </c:pt>
                <c:pt idx="12">
                  <c:v>88.124556501264934</c:v>
                </c:pt>
                <c:pt idx="13">
                  <c:v>88.687388616823554</c:v>
                </c:pt>
                <c:pt idx="14">
                  <c:v>89.079556181287728</c:v>
                </c:pt>
                <c:pt idx="15">
                  <c:v>89.421834476797954</c:v>
                </c:pt>
                <c:pt idx="16">
                  <c:v>89.723113210042442</c:v>
                </c:pt>
                <c:pt idx="17">
                  <c:v>89.990290218904761</c:v>
                </c:pt>
                <c:pt idx="18">
                  <c:v>90.228799616430791</c:v>
                </c:pt>
                <c:pt idx="19">
                  <c:v>90.442980371929011</c:v>
                </c:pt>
                <c:pt idx="20">
                  <c:v>90.636338871297667</c:v>
                </c:pt>
                <c:pt idx="21">
                  <c:v>90.811739405719266</c:v>
                </c:pt>
                <c:pt idx="22">
                  <c:v>90.971544657891997</c:v>
                </c:pt>
                <c:pt idx="23">
                  <c:v>91.117720855742462</c:v>
                </c:pt>
                <c:pt idx="24">
                  <c:v>91.251917542872036</c:v>
                </c:pt>
                <c:pt idx="25">
                  <c:v>91.375528837137594</c:v>
                </c:pt>
                <c:pt idx="26">
                  <c:v>91.489741002170675</c:v>
                </c:pt>
                <c:pt idx="27">
                  <c:v>91.595569771163511</c:v>
                </c:pt>
                <c:pt idx="28">
                  <c:v>91.787411447511388</c:v>
                </c:pt>
                <c:pt idx="29">
                  <c:v>91.882364639306928</c:v>
                </c:pt>
                <c:pt idx="30">
                  <c:v>91.971074944354143</c:v>
                </c:pt>
                <c:pt idx="31">
                  <c:v>92.054129875272395</c:v>
                </c:pt>
                <c:pt idx="32">
                  <c:v>92.132045467010798</c:v>
                </c:pt>
                <c:pt idx="33">
                  <c:v>92.205276826090255</c:v>
                </c:pt>
                <c:pt idx="34">
                  <c:v>92.274226865083918</c:v>
                </c:pt>
                <c:pt idx="35">
                  <c:v>92.339253576405085</c:v>
                </c:pt>
                <c:pt idx="36">
                  <c:v>92.400676122663015</c:v>
                </c:pt>
                <c:pt idx="37">
                  <c:v>92.458779962289455</c:v>
                </c:pt>
                <c:pt idx="38">
                  <c:v>92.513821184134414</c:v>
                </c:pt>
                <c:pt idx="39">
                  <c:v>92.566030189885623</c:v>
                </c:pt>
                <c:pt idx="40">
                  <c:v>92.615614835990044</c:v>
                </c:pt>
                <c:pt idx="41">
                  <c:v>92.662763125423396</c:v>
                </c:pt>
                <c:pt idx="42">
                  <c:v>92.707645522795843</c:v>
                </c:pt>
                <c:pt idx="43">
                  <c:v>92.75041695288472</c:v>
                </c:pt>
                <c:pt idx="44">
                  <c:v>92.791218531972248</c:v>
                </c:pt>
                <c:pt idx="45">
                  <c:v>92.830179072756863</c:v>
                </c:pt>
                <c:pt idx="46">
                  <c:v>92.867416396648366</c:v>
                </c:pt>
                <c:pt idx="47">
                  <c:v>92.903038481608718</c:v>
                </c:pt>
                <c:pt idx="48">
                  <c:v>92.937144469090441</c:v>
                </c:pt>
                <c:pt idx="49">
                  <c:v>92.969825549846988</c:v>
                </c:pt>
                <c:pt idx="50">
                  <c:v>93.001165745280474</c:v>
                </c:pt>
                <c:pt idx="51">
                  <c:v>93.03124259842221</c:v>
                </c:pt>
                <c:pt idx="52">
                  <c:v>93.060127786508502</c:v>
                </c:pt>
                <c:pt idx="53">
                  <c:v>93.08788766533867</c:v>
                </c:pt>
                <c:pt idx="54">
                  <c:v>93.114583754116495</c:v>
                </c:pt>
                <c:pt idx="55">
                  <c:v>93.14027316823119</c:v>
                </c:pt>
                <c:pt idx="56">
                  <c:v>93.16500900638475</c:v>
                </c:pt>
                <c:pt idx="57">
                  <c:v>93.188840697587324</c:v>
                </c:pt>
                <c:pt idx="58">
                  <c:v>93.21181431279193</c:v>
                </c:pt>
                <c:pt idx="59">
                  <c:v>93.233972845302176</c:v>
                </c:pt>
                <c:pt idx="60">
                  <c:v>93.255356463543706</c:v>
                </c:pt>
                <c:pt idx="61">
                  <c:v>93.276002739325719</c:v>
                </c:pt>
                <c:pt idx="62">
                  <c:v>93.295946854321159</c:v>
                </c:pt>
                <c:pt idx="63">
                  <c:v>93.315221787152339</c:v>
                </c:pt>
                <c:pt idx="64">
                  <c:v>93.333858483174907</c:v>
                </c:pt>
                <c:pt idx="65">
                  <c:v>93.351886008798061</c:v>
                </c:pt>
                <c:pt idx="66">
                  <c:v>93.369331691960141</c:v>
                </c:pt>
                <c:pt idx="67">
                  <c:v>93.386221250186793</c:v>
                </c:pt>
                <c:pt idx="68">
                  <c:v>93.402578907494131</c:v>
                </c:pt>
                <c:pt idx="69">
                  <c:v>93.418427501254087</c:v>
                </c:pt>
                <c:pt idx="70">
                  <c:v>93.433788580013271</c:v>
                </c:pt>
                <c:pt idx="71">
                  <c:v>93.448682493146606</c:v>
                </c:pt>
                <c:pt idx="72">
                  <c:v>93.463128473129657</c:v>
                </c:pt>
                <c:pt idx="73">
                  <c:v>93.477144711129412</c:v>
                </c:pt>
                <c:pt idx="74">
                  <c:v>93.490748426537763</c:v>
                </c:pt>
                <c:pt idx="75">
                  <c:v>93.503955931006871</c:v>
                </c:pt>
                <c:pt idx="76">
                  <c:v>93.516782687486682</c:v>
                </c:pt>
                <c:pt idx="77">
                  <c:v>93.529243364714162</c:v>
                </c:pt>
                <c:pt idx="78">
                  <c:v>93.541351887557497</c:v>
                </c:pt>
                <c:pt idx="79">
                  <c:v>93.553121483578991</c:v>
                </c:pt>
                <c:pt idx="80">
                  <c:v>93.56456472614336</c:v>
                </c:pt>
                <c:pt idx="81">
                  <c:v>93.575693574367293</c:v>
                </c:pt>
                <c:pt idx="82">
                  <c:v>93.586519410176777</c:v>
                </c:pt>
                <c:pt idx="83">
                  <c:v>93.597053072713564</c:v>
                </c:pt>
                <c:pt idx="84">
                  <c:v>93.60730489030955</c:v>
                </c:pt>
                <c:pt idx="85">
                  <c:v>93.617284710227182</c:v>
                </c:pt>
                <c:pt idx="86">
                  <c:v>93.627001926345883</c:v>
                </c:pt>
                <c:pt idx="87">
                  <c:v>93.636465504958139</c:v>
                </c:pt>
                <c:pt idx="88">
                  <c:v>93.645684008824304</c:v>
                </c:pt>
                <c:pt idx="89">
                  <c:v>93.654665619621412</c:v>
                </c:pt>
                <c:pt idx="90">
                  <c:v>93.663418158909835</c:v>
                </c:pt>
                <c:pt idx="91">
                  <c:v>93.671949107730839</c:v>
                </c:pt>
                <c:pt idx="92">
                  <c:v>93.680265624938158</c:v>
                </c:pt>
                <c:pt idx="93">
                  <c:v>93.688374564357815</c:v>
                </c:pt>
                <c:pt idx="94">
                  <c:v>93.696282490862842</c:v>
                </c:pt>
                <c:pt idx="95">
                  <c:v>93.703995695442018</c:v>
                </c:pt>
                <c:pt idx="96">
                  <c:v>93.711520209335532</c:v>
                </c:pt>
                <c:pt idx="97">
                  <c:v>93.718861817303718</c:v>
                </c:pt>
                <c:pt idx="98">
                  <c:v>93.726026070091081</c:v>
                </c:pt>
                <c:pt idx="99">
                  <c:v>93.733018296141296</c:v>
                </c:pt>
                <c:pt idx="100">
                  <c:v>93.739843612615488</c:v>
                </c:pt>
                <c:pt idx="101">
                  <c:v>93.746506935761602</c:v>
                </c:pt>
                <c:pt idx="102">
                  <c:v>93.753012990679096</c:v>
                </c:pt>
                <c:pt idx="103">
                  <c:v>93.759366320519476</c:v>
                </c:pt>
                <c:pt idx="104">
                  <c:v>93.765571295160569</c:v>
                </c:pt>
                <c:pt idx="105">
                  <c:v>93.771632119389267</c:v>
                </c:pt>
                <c:pt idx="106">
                  <c:v>93.777552840624793</c:v>
                </c:pt>
                <c:pt idx="107">
                  <c:v>93.783337356212527</c:v>
                </c:pt>
                <c:pt idx="108">
                  <c:v>93.788989420315801</c:v>
                </c:pt>
                <c:pt idx="109">
                  <c:v>93.7945126504314</c:v>
                </c:pt>
                <c:pt idx="110">
                  <c:v>93.799910533552506</c:v>
                </c:pt>
                <c:pt idx="111">
                  <c:v>93.805186432001022</c:v>
                </c:pt>
                <c:pt idx="112">
                  <c:v>93.810343588950062</c:v>
                </c:pt>
                <c:pt idx="113">
                  <c:v>93.815385133655298</c:v>
                </c:pt>
                <c:pt idx="114">
                  <c:v>93.820314086413205</c:v>
                </c:pt>
                <c:pt idx="115">
                  <c:v>93.825133363262424</c:v>
                </c:pt>
                <c:pt idx="116">
                  <c:v>93.829845780443947</c:v>
                </c:pt>
                <c:pt idx="117">
                  <c:v>93.834454058634222</c:v>
                </c:pt>
                <c:pt idx="118">
                  <c:v>93.838960826964495</c:v>
                </c:pt>
                <c:pt idx="119">
                  <c:v>93.843368626839208</c:v>
                </c:pt>
                <c:pt idx="120">
                  <c:v>93.847679915564541</c:v>
                </c:pt>
                <c:pt idx="121">
                  <c:v>93.85189706979871</c:v>
                </c:pt>
                <c:pt idx="122">
                  <c:v>93.856022388833452</c:v>
                </c:pt>
                <c:pt idx="123">
                  <c:v>93.860058097716774</c:v>
                </c:pt>
                <c:pt idx="124">
                  <c:v>93.86400635022558</c:v>
                </c:pt>
                <c:pt idx="125">
                  <c:v>93.867869231696631</c:v>
                </c:pt>
                <c:pt idx="126">
                  <c:v>93.871648761723634</c:v>
                </c:pt>
                <c:pt idx="127">
                  <c:v>93.875346896727791</c:v>
                </c:pt>
                <c:pt idx="128">
                  <c:v>93.8789655324086</c:v>
                </c:pt>
                <c:pt idx="129">
                  <c:v>93.882506506081569</c:v>
                </c:pt>
                <c:pt idx="130">
                  <c:v>93.885971598908654</c:v>
                </c:pt>
                <c:pt idx="131">
                  <c:v>93.889362538027271</c:v>
                </c:pt>
                <c:pt idx="132">
                  <c:v>93.892680998583131</c:v>
                </c:pt>
                <c:pt idx="133">
                  <c:v>93.895928605672012</c:v>
                </c:pt>
                <c:pt idx="134">
                  <c:v>93.899106936195125</c:v>
                </c:pt>
                <c:pt idx="135">
                  <c:v>93.902217520632604</c:v>
                </c:pt>
                <c:pt idx="136">
                  <c:v>93.905261844739115</c:v>
                </c:pt>
                <c:pt idx="137">
                  <c:v>93.908241351165927</c:v>
                </c:pt>
                <c:pt idx="138">
                  <c:v>93.911157441012591</c:v>
                </c:pt>
                <c:pt idx="139">
                  <c:v>93.914011475312392</c:v>
                </c:pt>
                <c:pt idx="140">
                  <c:v>93.916804776454157</c:v>
                </c:pt>
                <c:pt idx="141">
                  <c:v>93.919538629544391</c:v>
                </c:pt>
                <c:pt idx="142">
                  <c:v>93.922214283711739</c:v>
                </c:pt>
                <c:pt idx="143">
                  <c:v>93.924832953357466</c:v>
                </c:pt>
                <c:pt idx="144">
                  <c:v>93.927395819353805</c:v>
                </c:pt>
                <c:pt idx="145">
                  <c:v>93.929904030193256</c:v>
                </c:pt>
                <c:pt idx="146">
                  <c:v>93.93235870309087</c:v>
                </c:pt>
                <c:pt idx="147">
                  <c:v>93.934760925041715</c:v>
                </c:pt>
                <c:pt idx="148">
                  <c:v>93.937111753835836</c:v>
                </c:pt>
                <c:pt idx="149">
                  <c:v>93.939412219032576</c:v>
                </c:pt>
                <c:pt idx="150">
                  <c:v>93.941663322896105</c:v>
                </c:pt>
              </c:numCache>
            </c:numRef>
          </c:yVal>
          <c:smooth val="0"/>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Eff_vs_IOUT!$AI$7:$AI$157</c:f>
              <c:numCache>
                <c:formatCode>General</c:formatCode>
                <c:ptCount val="151"/>
                <c:pt idx="0">
                  <c:v>0</c:v>
                </c:pt>
                <c:pt idx="1">
                  <c:v>1.8817417531038552E-3</c:v>
                </c:pt>
                <c:pt idx="2">
                  <c:v>3.7989216009477042E-3</c:v>
                </c:pt>
                <c:pt idx="3">
                  <c:v>5.7448268503949122E-3</c:v>
                </c:pt>
                <c:pt idx="4">
                  <c:v>7.7173876272471371E-3</c:v>
                </c:pt>
                <c:pt idx="5">
                  <c:v>9.7155766104947971E-3</c:v>
                </c:pt>
                <c:pt idx="6">
                  <c:v>1.1738814814627383E-2</c:v>
                </c:pt>
                <c:pt idx="7">
                  <c:v>1.3786762015744858E-2</c:v>
                </c:pt>
                <c:pt idx="8">
                  <c:v>1.5859221259900819E-2</c:v>
                </c:pt>
                <c:pt idx="9">
                  <c:v>1.7956088482303702E-2</c:v>
                </c:pt>
                <c:pt idx="10">
                  <c:v>2.0077323214382409E-2</c:v>
                </c:pt>
                <c:pt idx="11">
                  <c:v>2.2222930322044497E-2</c:v>
                </c:pt>
                <c:pt idx="12">
                  <c:v>2.4392948005233662E-2</c:v>
                </c:pt>
                <c:pt idx="13">
                  <c:v>2.5257213214804897E-2</c:v>
                </c:pt>
                <c:pt idx="14">
                  <c:v>2.7249573352428395E-2</c:v>
                </c:pt>
                <c:pt idx="15">
                  <c:v>2.9247142008952995E-2</c:v>
                </c:pt>
                <c:pt idx="16">
                  <c:v>3.124974236546825E-2</c:v>
                </c:pt>
                <c:pt idx="17">
                  <c:v>3.3257214480318049E-2</c:v>
                </c:pt>
                <c:pt idx="18">
                  <c:v>3.5269412762968994E-2</c:v>
                </c:pt>
                <c:pt idx="19">
                  <c:v>3.7286203947653085E-2</c:v>
                </c:pt>
                <c:pt idx="20">
                  <c:v>3.9307465446388044E-2</c:v>
                </c:pt>
                <c:pt idx="21">
                  <c:v>4.1333083994644526E-2</c:v>
                </c:pt>
                <c:pt idx="22">
                  <c:v>4.3362954526002577E-2</c:v>
                </c:pt>
                <c:pt idx="23">
                  <c:v>4.5396979228291355E-2</c:v>
                </c:pt>
                <c:pt idx="24">
                  <c:v>4.7435066745224859E-2</c:v>
                </c:pt>
                <c:pt idx="25">
                  <c:v>4.9477131495903937E-2</c:v>
                </c:pt>
                <c:pt idx="26">
                  <c:v>5.1523093090709564E-2</c:v>
                </c:pt>
                <c:pt idx="27">
                  <c:v>5.3572875826710477E-2</c:v>
                </c:pt>
                <c:pt idx="28">
                  <c:v>5.3552187871889249E-2</c:v>
                </c:pt>
                <c:pt idx="29">
                  <c:v>5.5462101380925055E-2</c:v>
                </c:pt>
                <c:pt idx="30">
                  <c:v>5.7374145067475638E-2</c:v>
                </c:pt>
                <c:pt idx="31">
                  <c:v>5.9288318931541024E-2</c:v>
                </c:pt>
                <c:pt idx="32">
                  <c:v>6.1204622973121195E-2</c:v>
                </c:pt>
                <c:pt idx="33">
                  <c:v>6.3123057192216156E-2</c:v>
                </c:pt>
                <c:pt idx="34">
                  <c:v>6.5043621588825914E-2</c:v>
                </c:pt>
                <c:pt idx="35">
                  <c:v>6.6966316162950471E-2</c:v>
                </c:pt>
                <c:pt idx="36">
                  <c:v>6.8891140914589824E-2</c:v>
                </c:pt>
                <c:pt idx="37">
                  <c:v>7.0818095843743961E-2</c:v>
                </c:pt>
                <c:pt idx="38">
                  <c:v>7.2747180950412896E-2</c:v>
                </c:pt>
                <c:pt idx="39">
                  <c:v>7.4678396234596628E-2</c:v>
                </c:pt>
                <c:pt idx="40">
                  <c:v>7.661174169629513E-2</c:v>
                </c:pt>
                <c:pt idx="41">
                  <c:v>7.8547217335508457E-2</c:v>
                </c:pt>
                <c:pt idx="42">
                  <c:v>8.0484823152236526E-2</c:v>
                </c:pt>
                <c:pt idx="43">
                  <c:v>8.242455914647942E-2</c:v>
                </c:pt>
                <c:pt idx="44">
                  <c:v>8.4366425318237112E-2</c:v>
                </c:pt>
                <c:pt idx="45">
                  <c:v>8.6310421667509615E-2</c:v>
                </c:pt>
                <c:pt idx="46">
                  <c:v>8.8256548194296874E-2</c:v>
                </c:pt>
                <c:pt idx="47">
                  <c:v>9.0204804898598945E-2</c:v>
                </c:pt>
                <c:pt idx="48">
                  <c:v>9.2155191780415799E-2</c:v>
                </c:pt>
                <c:pt idx="49">
                  <c:v>9.410770883974745E-2</c:v>
                </c:pt>
                <c:pt idx="50">
                  <c:v>9.6062356076593913E-2</c:v>
                </c:pt>
                <c:pt idx="51">
                  <c:v>9.801913349095516E-2</c:v>
                </c:pt>
                <c:pt idx="52">
                  <c:v>9.997804108283119E-2</c:v>
                </c:pt>
                <c:pt idx="53">
                  <c:v>0.101939078852222</c:v>
                </c:pt>
                <c:pt idx="54">
                  <c:v>0.10390224679912764</c:v>
                </c:pt>
                <c:pt idx="55">
                  <c:v>0.10586754492354805</c:v>
                </c:pt>
                <c:pt idx="56">
                  <c:v>0.10783497322548323</c:v>
                </c:pt>
                <c:pt idx="57">
                  <c:v>0.10980453170493323</c:v>
                </c:pt>
                <c:pt idx="58">
                  <c:v>0.11177622036189805</c:v>
                </c:pt>
                <c:pt idx="59">
                  <c:v>0.11375003919637762</c:v>
                </c:pt>
                <c:pt idx="60">
                  <c:v>0.11572598820837199</c:v>
                </c:pt>
                <c:pt idx="61">
                  <c:v>0.11770406739788117</c:v>
                </c:pt>
                <c:pt idx="62">
                  <c:v>0.11968427676490512</c:v>
                </c:pt>
                <c:pt idx="63">
                  <c:v>0.12166661630944388</c:v>
                </c:pt>
                <c:pt idx="64">
                  <c:v>0.12365108603149741</c:v>
                </c:pt>
                <c:pt idx="65">
                  <c:v>0.12563768593106575</c:v>
                </c:pt>
                <c:pt idx="66">
                  <c:v>0.12762641600814886</c:v>
                </c:pt>
                <c:pt idx="67">
                  <c:v>0.1296172762627468</c:v>
                </c:pt>
                <c:pt idx="68">
                  <c:v>0.13161026669485953</c:v>
                </c:pt>
                <c:pt idx="69">
                  <c:v>0.13360538730448704</c:v>
                </c:pt>
                <c:pt idx="70">
                  <c:v>0.13560263809162934</c:v>
                </c:pt>
                <c:pt idx="71">
                  <c:v>0.13760201905628647</c:v>
                </c:pt>
                <c:pt idx="72">
                  <c:v>0.13960353019845834</c:v>
                </c:pt>
                <c:pt idx="73">
                  <c:v>0.14160717151814503</c:v>
                </c:pt>
                <c:pt idx="74">
                  <c:v>0.14361294301534649</c:v>
                </c:pt>
                <c:pt idx="75">
                  <c:v>0.14562084469006276</c:v>
                </c:pt>
                <c:pt idx="76">
                  <c:v>0.14763087654229384</c:v>
                </c:pt>
                <c:pt idx="77">
                  <c:v>0.1496430385720397</c:v>
                </c:pt>
                <c:pt idx="78">
                  <c:v>0.15165733077930035</c:v>
                </c:pt>
                <c:pt idx="79">
                  <c:v>0.15367375316407578</c:v>
                </c:pt>
                <c:pt idx="80">
                  <c:v>0.155692305726366</c:v>
                </c:pt>
                <c:pt idx="81">
                  <c:v>0.15771298846617102</c:v>
                </c:pt>
                <c:pt idx="82">
                  <c:v>0.15973580138349089</c:v>
                </c:pt>
                <c:pt idx="83">
                  <c:v>0.16176074447832545</c:v>
                </c:pt>
                <c:pt idx="84">
                  <c:v>0.16378781775067483</c:v>
                </c:pt>
                <c:pt idx="85">
                  <c:v>0.16581702120053909</c:v>
                </c:pt>
                <c:pt idx="86">
                  <c:v>0.16784835482791802</c:v>
                </c:pt>
                <c:pt idx="87">
                  <c:v>0.16988181863281185</c:v>
                </c:pt>
                <c:pt idx="88">
                  <c:v>0.17191741261522037</c:v>
                </c:pt>
                <c:pt idx="89">
                  <c:v>0.17395513677514379</c:v>
                </c:pt>
                <c:pt idx="90">
                  <c:v>0.17599499111258196</c:v>
                </c:pt>
                <c:pt idx="91">
                  <c:v>0.17803697562753487</c:v>
                </c:pt>
                <c:pt idx="92">
                  <c:v>0.18008109032000263</c:v>
                </c:pt>
                <c:pt idx="93">
                  <c:v>0.18212733518998517</c:v>
                </c:pt>
                <c:pt idx="94">
                  <c:v>0.1841757102374825</c:v>
                </c:pt>
                <c:pt idx="95">
                  <c:v>0.18622621546249465</c:v>
                </c:pt>
                <c:pt idx="96">
                  <c:v>0.18827885086502152</c:v>
                </c:pt>
                <c:pt idx="97">
                  <c:v>0.19033361644506328</c:v>
                </c:pt>
                <c:pt idx="98">
                  <c:v>0.19239051220261977</c:v>
                </c:pt>
                <c:pt idx="99">
                  <c:v>0.19444953813769109</c:v>
                </c:pt>
                <c:pt idx="100">
                  <c:v>0.19651069425027717</c:v>
                </c:pt>
                <c:pt idx="101">
                  <c:v>0.19857398054037806</c:v>
                </c:pt>
                <c:pt idx="102">
                  <c:v>0.20063939700799374</c:v>
                </c:pt>
                <c:pt idx="103">
                  <c:v>0.20270694365312422</c:v>
                </c:pt>
                <c:pt idx="104">
                  <c:v>0.20477662047576947</c:v>
                </c:pt>
                <c:pt idx="105">
                  <c:v>0.20684842747592952</c:v>
                </c:pt>
                <c:pt idx="106">
                  <c:v>0.20892236465360436</c:v>
                </c:pt>
                <c:pt idx="107">
                  <c:v>0.21099843200879401</c:v>
                </c:pt>
                <c:pt idx="108">
                  <c:v>0.21307662954149847</c:v>
                </c:pt>
                <c:pt idx="109">
                  <c:v>0.21515695725171766</c:v>
                </c:pt>
                <c:pt idx="110">
                  <c:v>0.21723941513945172</c:v>
                </c:pt>
                <c:pt idx="111">
                  <c:v>0.21932400320470052</c:v>
                </c:pt>
                <c:pt idx="112">
                  <c:v>0.2214107214474641</c:v>
                </c:pt>
                <c:pt idx="113">
                  <c:v>0.22349956986774255</c:v>
                </c:pt>
                <c:pt idx="114">
                  <c:v>0.2255905484655357</c:v>
                </c:pt>
                <c:pt idx="115">
                  <c:v>0.22768365724084366</c:v>
                </c:pt>
                <c:pt idx="116">
                  <c:v>0.22977889619366651</c:v>
                </c:pt>
                <c:pt idx="117">
                  <c:v>0.23187626532400407</c:v>
                </c:pt>
                <c:pt idx="118">
                  <c:v>0.23397576463185643</c:v>
                </c:pt>
                <c:pt idx="119">
                  <c:v>0.23607739411722353</c:v>
                </c:pt>
                <c:pt idx="120">
                  <c:v>0.23818115378010551</c:v>
                </c:pt>
                <c:pt idx="121">
                  <c:v>0.24028704362050227</c:v>
                </c:pt>
                <c:pt idx="122">
                  <c:v>0.24239506363841382</c:v>
                </c:pt>
                <c:pt idx="123">
                  <c:v>0.24450521383384011</c:v>
                </c:pt>
                <c:pt idx="124">
                  <c:v>0.24661749420678125</c:v>
                </c:pt>
                <c:pt idx="125">
                  <c:v>0.24873190475723714</c:v>
                </c:pt>
                <c:pt idx="126">
                  <c:v>0.25084844548520785</c:v>
                </c:pt>
                <c:pt idx="127">
                  <c:v>0.25296711639069336</c:v>
                </c:pt>
                <c:pt idx="128">
                  <c:v>0.25508791747369364</c:v>
                </c:pt>
                <c:pt idx="129">
                  <c:v>0.25721084873420874</c:v>
                </c:pt>
                <c:pt idx="130">
                  <c:v>0.25933591017223856</c:v>
                </c:pt>
                <c:pt idx="131">
                  <c:v>0.26146310178778331</c:v>
                </c:pt>
                <c:pt idx="132">
                  <c:v>0.26359242358084273</c:v>
                </c:pt>
                <c:pt idx="133">
                  <c:v>0.26572387555141702</c:v>
                </c:pt>
                <c:pt idx="134">
                  <c:v>0.26785745769950603</c:v>
                </c:pt>
                <c:pt idx="135">
                  <c:v>0.26999317002510992</c:v>
                </c:pt>
                <c:pt idx="136">
                  <c:v>0.27213101252822852</c:v>
                </c:pt>
                <c:pt idx="137">
                  <c:v>0.27427098520886189</c:v>
                </c:pt>
                <c:pt idx="138">
                  <c:v>0.27641308806701015</c:v>
                </c:pt>
                <c:pt idx="139">
                  <c:v>0.27855732110267323</c:v>
                </c:pt>
                <c:pt idx="140">
                  <c:v>0.28070368431585097</c:v>
                </c:pt>
                <c:pt idx="141">
                  <c:v>0.28285217770654358</c:v>
                </c:pt>
                <c:pt idx="142">
                  <c:v>0.28500280127475103</c:v>
                </c:pt>
                <c:pt idx="143">
                  <c:v>0.28715555502047319</c:v>
                </c:pt>
                <c:pt idx="144">
                  <c:v>0.28931043894371017</c:v>
                </c:pt>
                <c:pt idx="145">
                  <c:v>0.29146745304446192</c:v>
                </c:pt>
                <c:pt idx="146">
                  <c:v>0.2936265973227285</c:v>
                </c:pt>
                <c:pt idx="147">
                  <c:v>0.29578787177850985</c:v>
                </c:pt>
                <c:pt idx="148">
                  <c:v>0.29795127641180602</c:v>
                </c:pt>
                <c:pt idx="149">
                  <c:v>0.30011681122261696</c:v>
                </c:pt>
                <c:pt idx="150">
                  <c:v>0.30228447621094268</c:v>
                </c:pt>
              </c:numCache>
            </c:numRef>
          </c:yVal>
          <c:smooth val="1"/>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1.3333333333333334E-2</c:v>
                </c:pt>
                <c:pt idx="1">
                  <c:v>2.6666666666666668E-2</c:v>
                </c:pt>
                <c:pt idx="2">
                  <c:v>0.04</c:v>
                </c:pt>
                <c:pt idx="3">
                  <c:v>5.3333333333333337E-2</c:v>
                </c:pt>
                <c:pt idx="4">
                  <c:v>6.6666666666666666E-2</c:v>
                </c:pt>
                <c:pt idx="5">
                  <c:v>0.08</c:v>
                </c:pt>
                <c:pt idx="6">
                  <c:v>9.3333333333333338E-2</c:v>
                </c:pt>
                <c:pt idx="7">
                  <c:v>0.10666666666666667</c:v>
                </c:pt>
                <c:pt idx="8">
                  <c:v>0.12000000000000001</c:v>
                </c:pt>
                <c:pt idx="9">
                  <c:v>0.13333333333333333</c:v>
                </c:pt>
                <c:pt idx="10">
                  <c:v>0.14666666666666667</c:v>
                </c:pt>
                <c:pt idx="11">
                  <c:v>0.16</c:v>
                </c:pt>
                <c:pt idx="12">
                  <c:v>0.17333333333333334</c:v>
                </c:pt>
                <c:pt idx="13">
                  <c:v>0.18666666666666668</c:v>
                </c:pt>
                <c:pt idx="14">
                  <c:v>0.2</c:v>
                </c:pt>
                <c:pt idx="15">
                  <c:v>0.21333333333333335</c:v>
                </c:pt>
                <c:pt idx="16">
                  <c:v>0.22666666666666668</c:v>
                </c:pt>
                <c:pt idx="17">
                  <c:v>0.24000000000000002</c:v>
                </c:pt>
                <c:pt idx="18">
                  <c:v>0.25333333333333335</c:v>
                </c:pt>
                <c:pt idx="19">
                  <c:v>0.26666666666666666</c:v>
                </c:pt>
                <c:pt idx="20">
                  <c:v>0.28000000000000003</c:v>
                </c:pt>
                <c:pt idx="21">
                  <c:v>0.29333333333333333</c:v>
                </c:pt>
                <c:pt idx="22">
                  <c:v>0.3066666666666667</c:v>
                </c:pt>
                <c:pt idx="23">
                  <c:v>0.32</c:v>
                </c:pt>
                <c:pt idx="24">
                  <c:v>0.33333333333333337</c:v>
                </c:pt>
                <c:pt idx="25">
                  <c:v>0.34666666666666668</c:v>
                </c:pt>
                <c:pt idx="26">
                  <c:v>0.36000000000000004</c:v>
                </c:pt>
                <c:pt idx="27">
                  <c:v>0.37333333333333335</c:v>
                </c:pt>
                <c:pt idx="28">
                  <c:v>0.38666666666666671</c:v>
                </c:pt>
                <c:pt idx="29">
                  <c:v>0.4</c:v>
                </c:pt>
                <c:pt idx="30">
                  <c:v>0.41333333333333339</c:v>
                </c:pt>
                <c:pt idx="31">
                  <c:v>0.42666666666666669</c:v>
                </c:pt>
                <c:pt idx="32">
                  <c:v>0.44</c:v>
                </c:pt>
                <c:pt idx="33">
                  <c:v>0.45333333333333337</c:v>
                </c:pt>
                <c:pt idx="34">
                  <c:v>0.46666666666666667</c:v>
                </c:pt>
                <c:pt idx="35">
                  <c:v>0.48000000000000004</c:v>
                </c:pt>
                <c:pt idx="36">
                  <c:v>0.49333333333333335</c:v>
                </c:pt>
                <c:pt idx="37">
                  <c:v>0.50666666666666671</c:v>
                </c:pt>
                <c:pt idx="38">
                  <c:v>0.52</c:v>
                </c:pt>
                <c:pt idx="39">
                  <c:v>0.53333333333333333</c:v>
                </c:pt>
                <c:pt idx="40">
                  <c:v>0.54666666666666675</c:v>
                </c:pt>
                <c:pt idx="41">
                  <c:v>0.56000000000000005</c:v>
                </c:pt>
                <c:pt idx="42">
                  <c:v>0.57333333333333336</c:v>
                </c:pt>
                <c:pt idx="43">
                  <c:v>0.58666666666666667</c:v>
                </c:pt>
                <c:pt idx="44">
                  <c:v>0.60000000000000009</c:v>
                </c:pt>
                <c:pt idx="45">
                  <c:v>0.6133333333333334</c:v>
                </c:pt>
                <c:pt idx="46">
                  <c:v>0.62666666666666671</c:v>
                </c:pt>
                <c:pt idx="47">
                  <c:v>0.64</c:v>
                </c:pt>
                <c:pt idx="48">
                  <c:v>0.65333333333333332</c:v>
                </c:pt>
                <c:pt idx="49">
                  <c:v>0.66666666666666674</c:v>
                </c:pt>
                <c:pt idx="50">
                  <c:v>0.68</c:v>
                </c:pt>
                <c:pt idx="51">
                  <c:v>0.69333333333333336</c:v>
                </c:pt>
                <c:pt idx="52">
                  <c:v>0.70666666666666667</c:v>
                </c:pt>
                <c:pt idx="53">
                  <c:v>0.72000000000000008</c:v>
                </c:pt>
                <c:pt idx="54">
                  <c:v>0.73333333333333339</c:v>
                </c:pt>
                <c:pt idx="55">
                  <c:v>0.7466666666666667</c:v>
                </c:pt>
                <c:pt idx="56">
                  <c:v>0.76</c:v>
                </c:pt>
                <c:pt idx="57">
                  <c:v>0.77333333333333343</c:v>
                </c:pt>
                <c:pt idx="58">
                  <c:v>0.78666666666666674</c:v>
                </c:pt>
                <c:pt idx="59">
                  <c:v>0.8</c:v>
                </c:pt>
                <c:pt idx="60">
                  <c:v>0.81333333333333335</c:v>
                </c:pt>
                <c:pt idx="61">
                  <c:v>0.82666666666666677</c:v>
                </c:pt>
                <c:pt idx="62">
                  <c:v>0.84000000000000008</c:v>
                </c:pt>
                <c:pt idx="63">
                  <c:v>0.85333333333333339</c:v>
                </c:pt>
                <c:pt idx="64">
                  <c:v>0.8666666666666667</c:v>
                </c:pt>
                <c:pt idx="65">
                  <c:v>0.88</c:v>
                </c:pt>
                <c:pt idx="66">
                  <c:v>0.89333333333333342</c:v>
                </c:pt>
                <c:pt idx="67">
                  <c:v>0.90666666666666673</c:v>
                </c:pt>
                <c:pt idx="68">
                  <c:v>0.92</c:v>
                </c:pt>
                <c:pt idx="69">
                  <c:v>0.93333333333333335</c:v>
                </c:pt>
                <c:pt idx="70">
                  <c:v>0.94666666666666677</c:v>
                </c:pt>
                <c:pt idx="71">
                  <c:v>0.96000000000000008</c:v>
                </c:pt>
                <c:pt idx="72">
                  <c:v>0.97333333333333338</c:v>
                </c:pt>
                <c:pt idx="73">
                  <c:v>0.98666666666666669</c:v>
                </c:pt>
                <c:pt idx="74">
                  <c:v>1</c:v>
                </c:pt>
                <c:pt idx="75">
                  <c:v>1.0133333333333334</c:v>
                </c:pt>
                <c:pt idx="76">
                  <c:v>1.0266666666666668</c:v>
                </c:pt>
                <c:pt idx="77">
                  <c:v>1.04</c:v>
                </c:pt>
                <c:pt idx="78">
                  <c:v>1.0533333333333335</c:v>
                </c:pt>
                <c:pt idx="79">
                  <c:v>1.0666666666666667</c:v>
                </c:pt>
                <c:pt idx="80">
                  <c:v>1.08</c:v>
                </c:pt>
                <c:pt idx="81">
                  <c:v>1.0933333333333335</c:v>
                </c:pt>
                <c:pt idx="82">
                  <c:v>1.1066666666666667</c:v>
                </c:pt>
                <c:pt idx="83">
                  <c:v>1.1200000000000001</c:v>
                </c:pt>
                <c:pt idx="84">
                  <c:v>1.1333333333333333</c:v>
                </c:pt>
                <c:pt idx="85">
                  <c:v>1.1466666666666667</c:v>
                </c:pt>
                <c:pt idx="86">
                  <c:v>1.1600000000000001</c:v>
                </c:pt>
                <c:pt idx="87">
                  <c:v>1.1733333333333333</c:v>
                </c:pt>
                <c:pt idx="88">
                  <c:v>1.1866666666666668</c:v>
                </c:pt>
                <c:pt idx="89">
                  <c:v>1.2000000000000002</c:v>
                </c:pt>
                <c:pt idx="90">
                  <c:v>1.2133333333333334</c:v>
                </c:pt>
                <c:pt idx="91">
                  <c:v>1.2266666666666668</c:v>
                </c:pt>
                <c:pt idx="92">
                  <c:v>1.24</c:v>
                </c:pt>
                <c:pt idx="93">
                  <c:v>1.2533333333333334</c:v>
                </c:pt>
                <c:pt idx="94">
                  <c:v>1.2666666666666668</c:v>
                </c:pt>
                <c:pt idx="95">
                  <c:v>1.28</c:v>
                </c:pt>
                <c:pt idx="96">
                  <c:v>1.2933333333333334</c:v>
                </c:pt>
                <c:pt idx="97">
                  <c:v>1.3066666666666666</c:v>
                </c:pt>
                <c:pt idx="98">
                  <c:v>1.32</c:v>
                </c:pt>
                <c:pt idx="99">
                  <c:v>1.3333333333333335</c:v>
                </c:pt>
                <c:pt idx="100">
                  <c:v>1.3466666666666667</c:v>
                </c:pt>
                <c:pt idx="101">
                  <c:v>1.36</c:v>
                </c:pt>
                <c:pt idx="102">
                  <c:v>1.3733333333333335</c:v>
                </c:pt>
                <c:pt idx="103">
                  <c:v>1.3866666666666667</c:v>
                </c:pt>
                <c:pt idx="104">
                  <c:v>1.4000000000000001</c:v>
                </c:pt>
                <c:pt idx="105">
                  <c:v>1.4133333333333333</c:v>
                </c:pt>
                <c:pt idx="106">
                  <c:v>1.4266666666666667</c:v>
                </c:pt>
                <c:pt idx="107">
                  <c:v>1.4400000000000002</c:v>
                </c:pt>
                <c:pt idx="108">
                  <c:v>1.4533333333333334</c:v>
                </c:pt>
                <c:pt idx="109">
                  <c:v>1.4666666666666668</c:v>
                </c:pt>
                <c:pt idx="110">
                  <c:v>1.4800000000000002</c:v>
                </c:pt>
                <c:pt idx="111">
                  <c:v>1.4933333333333334</c:v>
                </c:pt>
                <c:pt idx="112">
                  <c:v>1.5066666666666668</c:v>
                </c:pt>
                <c:pt idx="113">
                  <c:v>1.52</c:v>
                </c:pt>
                <c:pt idx="114">
                  <c:v>1.5333333333333334</c:v>
                </c:pt>
                <c:pt idx="115">
                  <c:v>1.5466666666666669</c:v>
                </c:pt>
                <c:pt idx="116">
                  <c:v>1.56</c:v>
                </c:pt>
                <c:pt idx="117">
                  <c:v>1.5733333333333335</c:v>
                </c:pt>
                <c:pt idx="118">
                  <c:v>1.5866666666666667</c:v>
                </c:pt>
                <c:pt idx="119">
                  <c:v>1.6</c:v>
                </c:pt>
                <c:pt idx="120">
                  <c:v>1.6133333333333335</c:v>
                </c:pt>
                <c:pt idx="121">
                  <c:v>1.6266666666666667</c:v>
                </c:pt>
                <c:pt idx="122">
                  <c:v>1.6400000000000001</c:v>
                </c:pt>
                <c:pt idx="123">
                  <c:v>1.6533333333333335</c:v>
                </c:pt>
                <c:pt idx="124">
                  <c:v>1.6666666666666667</c:v>
                </c:pt>
                <c:pt idx="125">
                  <c:v>1.6800000000000002</c:v>
                </c:pt>
                <c:pt idx="126">
                  <c:v>1.6933333333333334</c:v>
                </c:pt>
                <c:pt idx="127">
                  <c:v>1.7066666666666668</c:v>
                </c:pt>
                <c:pt idx="128">
                  <c:v>1.7200000000000002</c:v>
                </c:pt>
                <c:pt idx="129">
                  <c:v>1.7333333333333334</c:v>
                </c:pt>
                <c:pt idx="130">
                  <c:v>1.7466666666666668</c:v>
                </c:pt>
                <c:pt idx="131">
                  <c:v>1.76</c:v>
                </c:pt>
                <c:pt idx="132">
                  <c:v>1.7733333333333334</c:v>
                </c:pt>
                <c:pt idx="133">
                  <c:v>1.7866666666666668</c:v>
                </c:pt>
                <c:pt idx="134">
                  <c:v>1.8</c:v>
                </c:pt>
                <c:pt idx="135">
                  <c:v>1.8133333333333335</c:v>
                </c:pt>
                <c:pt idx="136">
                  <c:v>1.8266666666666669</c:v>
                </c:pt>
                <c:pt idx="137">
                  <c:v>1.84</c:v>
                </c:pt>
                <c:pt idx="138">
                  <c:v>1.8533333333333335</c:v>
                </c:pt>
                <c:pt idx="139">
                  <c:v>1.8666666666666667</c:v>
                </c:pt>
                <c:pt idx="140">
                  <c:v>1.8800000000000001</c:v>
                </c:pt>
                <c:pt idx="141">
                  <c:v>1.8933333333333335</c:v>
                </c:pt>
                <c:pt idx="142">
                  <c:v>1.9066666666666667</c:v>
                </c:pt>
                <c:pt idx="143">
                  <c:v>1.9200000000000002</c:v>
                </c:pt>
                <c:pt idx="144">
                  <c:v>1.9333333333333333</c:v>
                </c:pt>
                <c:pt idx="145">
                  <c:v>1.9466666666666668</c:v>
                </c:pt>
                <c:pt idx="146">
                  <c:v>1.9600000000000002</c:v>
                </c:pt>
                <c:pt idx="147">
                  <c:v>1.9733333333333334</c:v>
                </c:pt>
                <c:pt idx="148">
                  <c:v>1.9866666666666668</c:v>
                </c:pt>
                <c:pt idx="149">
                  <c:v>2</c:v>
                </c:pt>
              </c:numCache>
            </c:numRef>
          </c:xVal>
          <c:yVal>
            <c:numRef>
              <c:f>Eff_vs_IOUT!$AN$8:$AN$157</c:f>
              <c:numCache>
                <c:formatCode>General</c:formatCode>
                <c:ptCount val="150"/>
                <c:pt idx="0">
                  <c:v>0.13561333333333334</c:v>
                </c:pt>
                <c:pt idx="1">
                  <c:v>0.14494666666666667</c:v>
                </c:pt>
                <c:pt idx="2">
                  <c:v>0.15428</c:v>
                </c:pt>
                <c:pt idx="3">
                  <c:v>0.16361333333333333</c:v>
                </c:pt>
                <c:pt idx="4">
                  <c:v>0.17294666666666667</c:v>
                </c:pt>
                <c:pt idx="5">
                  <c:v>0.18228</c:v>
                </c:pt>
                <c:pt idx="6">
                  <c:v>0.19161333333333333</c:v>
                </c:pt>
                <c:pt idx="7">
                  <c:v>0.20094666666666666</c:v>
                </c:pt>
                <c:pt idx="8">
                  <c:v>0.21028000000000002</c:v>
                </c:pt>
                <c:pt idx="9">
                  <c:v>0.21961333333333333</c:v>
                </c:pt>
                <c:pt idx="10">
                  <c:v>0.22894666666666666</c:v>
                </c:pt>
                <c:pt idx="11">
                  <c:v>0.23827999999999999</c:v>
                </c:pt>
                <c:pt idx="12">
                  <c:v>0.24761333333333335</c:v>
                </c:pt>
                <c:pt idx="13">
                  <c:v>0.25694666666666666</c:v>
                </c:pt>
                <c:pt idx="14">
                  <c:v>0.26627999999999996</c:v>
                </c:pt>
                <c:pt idx="15">
                  <c:v>0.27561333333333338</c:v>
                </c:pt>
                <c:pt idx="16">
                  <c:v>0.28494666666666668</c:v>
                </c:pt>
                <c:pt idx="17">
                  <c:v>0.29427999999999999</c:v>
                </c:pt>
                <c:pt idx="18">
                  <c:v>0.30361333333333335</c:v>
                </c:pt>
                <c:pt idx="19">
                  <c:v>0.31294666666666665</c:v>
                </c:pt>
                <c:pt idx="20">
                  <c:v>0.32228000000000001</c:v>
                </c:pt>
                <c:pt idx="21">
                  <c:v>0.33161333333333332</c:v>
                </c:pt>
                <c:pt idx="22">
                  <c:v>0.34094666666666668</c:v>
                </c:pt>
                <c:pt idx="23">
                  <c:v>0.35027999999999998</c:v>
                </c:pt>
                <c:pt idx="24">
                  <c:v>0.35961333333333334</c:v>
                </c:pt>
                <c:pt idx="25">
                  <c:v>0.36894666666666665</c:v>
                </c:pt>
                <c:pt idx="26">
                  <c:v>0.37828000000000001</c:v>
                </c:pt>
                <c:pt idx="27">
                  <c:v>0.38761333333333331</c:v>
                </c:pt>
                <c:pt idx="28">
                  <c:v>0.39694666666666667</c:v>
                </c:pt>
                <c:pt idx="29">
                  <c:v>0.40627999999999997</c:v>
                </c:pt>
                <c:pt idx="30">
                  <c:v>0.41561333333333333</c:v>
                </c:pt>
                <c:pt idx="31">
                  <c:v>0.42494666666666669</c:v>
                </c:pt>
                <c:pt idx="32">
                  <c:v>0.43428</c:v>
                </c:pt>
                <c:pt idx="33">
                  <c:v>0.44361333333333336</c:v>
                </c:pt>
                <c:pt idx="34">
                  <c:v>0.45294666666666666</c:v>
                </c:pt>
                <c:pt idx="35">
                  <c:v>0.46228000000000002</c:v>
                </c:pt>
                <c:pt idx="36">
                  <c:v>0.47161333333333333</c:v>
                </c:pt>
                <c:pt idx="37">
                  <c:v>0.48094666666666669</c:v>
                </c:pt>
                <c:pt idx="38">
                  <c:v>0.49027999999999999</c:v>
                </c:pt>
                <c:pt idx="39">
                  <c:v>0.4996133333333333</c:v>
                </c:pt>
                <c:pt idx="40">
                  <c:v>0.50894666666666666</c:v>
                </c:pt>
                <c:pt idx="41">
                  <c:v>0.51828000000000007</c:v>
                </c:pt>
                <c:pt idx="42">
                  <c:v>0.52761333333333327</c:v>
                </c:pt>
                <c:pt idx="43">
                  <c:v>0.53694666666666668</c:v>
                </c:pt>
                <c:pt idx="44">
                  <c:v>0.5462800000000001</c:v>
                </c:pt>
                <c:pt idx="45">
                  <c:v>0.55561333333333329</c:v>
                </c:pt>
                <c:pt idx="46">
                  <c:v>0.56494666666666671</c:v>
                </c:pt>
                <c:pt idx="47">
                  <c:v>0.5742799999999999</c:v>
                </c:pt>
                <c:pt idx="48">
                  <c:v>0.58361333333333332</c:v>
                </c:pt>
                <c:pt idx="49">
                  <c:v>0.59294666666666673</c:v>
                </c:pt>
                <c:pt idx="50">
                  <c:v>0.60227999999999993</c:v>
                </c:pt>
                <c:pt idx="51">
                  <c:v>0.61161333333333334</c:v>
                </c:pt>
                <c:pt idx="52">
                  <c:v>0.62094666666666665</c:v>
                </c:pt>
                <c:pt idx="53">
                  <c:v>0.63027999999999995</c:v>
                </c:pt>
                <c:pt idx="54">
                  <c:v>0.63961333333333337</c:v>
                </c:pt>
                <c:pt idx="55">
                  <c:v>0.64894666666666656</c:v>
                </c:pt>
                <c:pt idx="56">
                  <c:v>0.65827999999999998</c:v>
                </c:pt>
                <c:pt idx="57">
                  <c:v>0.66761333333333339</c:v>
                </c:pt>
                <c:pt idx="58">
                  <c:v>0.67694666666666659</c:v>
                </c:pt>
                <c:pt idx="59">
                  <c:v>0.68628</c:v>
                </c:pt>
                <c:pt idx="60">
                  <c:v>0.69561333333333342</c:v>
                </c:pt>
                <c:pt idx="61">
                  <c:v>0.70494666666666661</c:v>
                </c:pt>
                <c:pt idx="62">
                  <c:v>0.71428000000000003</c:v>
                </c:pt>
                <c:pt idx="63">
                  <c:v>0.72361333333333344</c:v>
                </c:pt>
                <c:pt idx="64">
                  <c:v>0.73294666666666664</c:v>
                </c:pt>
                <c:pt idx="65">
                  <c:v>0.74228000000000005</c:v>
                </c:pt>
                <c:pt idx="66">
                  <c:v>0.75161333333333347</c:v>
                </c:pt>
                <c:pt idx="67">
                  <c:v>0.76094666666666666</c:v>
                </c:pt>
                <c:pt idx="68">
                  <c:v>0.77028000000000008</c:v>
                </c:pt>
                <c:pt idx="69">
                  <c:v>0.77961333333333327</c:v>
                </c:pt>
                <c:pt idx="70">
                  <c:v>0.78894666666666668</c:v>
                </c:pt>
                <c:pt idx="71">
                  <c:v>0.7982800000000001</c:v>
                </c:pt>
                <c:pt idx="72">
                  <c:v>0.80761333333333329</c:v>
                </c:pt>
                <c:pt idx="73">
                  <c:v>0.81694666666666671</c:v>
                </c:pt>
                <c:pt idx="74">
                  <c:v>0.8262799999999999</c:v>
                </c:pt>
                <c:pt idx="75">
                  <c:v>0.83561333333333332</c:v>
                </c:pt>
                <c:pt idx="76">
                  <c:v>0.84494666666666673</c:v>
                </c:pt>
                <c:pt idx="77">
                  <c:v>0.85427999999999993</c:v>
                </c:pt>
                <c:pt idx="78">
                  <c:v>0.86361333333333334</c:v>
                </c:pt>
                <c:pt idx="79">
                  <c:v>0.87294666666666654</c:v>
                </c:pt>
                <c:pt idx="80">
                  <c:v>0.88227999999999995</c:v>
                </c:pt>
                <c:pt idx="81">
                  <c:v>0.89161333333333337</c:v>
                </c:pt>
                <c:pt idx="82">
                  <c:v>0.90094666666666656</c:v>
                </c:pt>
                <c:pt idx="83">
                  <c:v>0.91027999999999998</c:v>
                </c:pt>
                <c:pt idx="84">
                  <c:v>0.91961333333333317</c:v>
                </c:pt>
                <c:pt idx="85">
                  <c:v>0.92894666666666659</c:v>
                </c:pt>
                <c:pt idx="86">
                  <c:v>0.93828</c:v>
                </c:pt>
                <c:pt idx="87">
                  <c:v>0.9476133333333332</c:v>
                </c:pt>
                <c:pt idx="88">
                  <c:v>0.95694666666666661</c:v>
                </c:pt>
                <c:pt idx="89">
                  <c:v>0.96628000000000003</c:v>
                </c:pt>
                <c:pt idx="90">
                  <c:v>0.97561333333333322</c:v>
                </c:pt>
                <c:pt idx="91">
                  <c:v>0.98494666666666664</c:v>
                </c:pt>
                <c:pt idx="92">
                  <c:v>0.99428000000000005</c:v>
                </c:pt>
                <c:pt idx="93">
                  <c:v>1.0036133333333332</c:v>
                </c:pt>
                <c:pt idx="94">
                  <c:v>1.0129466666666667</c:v>
                </c:pt>
                <c:pt idx="95">
                  <c:v>1.0222799999999999</c:v>
                </c:pt>
                <c:pt idx="96">
                  <c:v>1.0316133333333333</c:v>
                </c:pt>
                <c:pt idx="97">
                  <c:v>1.0409466666666667</c:v>
                </c:pt>
                <c:pt idx="98">
                  <c:v>1.0502799999999999</c:v>
                </c:pt>
                <c:pt idx="99">
                  <c:v>1.0596133333333333</c:v>
                </c:pt>
                <c:pt idx="100">
                  <c:v>1.0689466666666667</c:v>
                </c:pt>
                <c:pt idx="101">
                  <c:v>1.0782799999999999</c:v>
                </c:pt>
                <c:pt idx="102">
                  <c:v>1.0876133333333333</c:v>
                </c:pt>
                <c:pt idx="103">
                  <c:v>1.0969466666666667</c:v>
                </c:pt>
                <c:pt idx="104">
                  <c:v>1.1062799999999999</c:v>
                </c:pt>
                <c:pt idx="105">
                  <c:v>1.1156133333333333</c:v>
                </c:pt>
                <c:pt idx="106">
                  <c:v>1.1249466666666668</c:v>
                </c:pt>
                <c:pt idx="107">
                  <c:v>1.13428</c:v>
                </c:pt>
                <c:pt idx="108">
                  <c:v>1.1436133333333331</c:v>
                </c:pt>
                <c:pt idx="109">
                  <c:v>1.1529466666666666</c:v>
                </c:pt>
                <c:pt idx="110">
                  <c:v>1.16228</c:v>
                </c:pt>
                <c:pt idx="111">
                  <c:v>1.1716133333333332</c:v>
                </c:pt>
                <c:pt idx="112">
                  <c:v>1.1809466666666666</c:v>
                </c:pt>
                <c:pt idx="113">
                  <c:v>1.1902799999999998</c:v>
                </c:pt>
                <c:pt idx="114">
                  <c:v>1.1996133333333332</c:v>
                </c:pt>
                <c:pt idx="115">
                  <c:v>1.2089466666666666</c:v>
                </c:pt>
                <c:pt idx="116">
                  <c:v>1.2182799999999998</c:v>
                </c:pt>
                <c:pt idx="117">
                  <c:v>1.2276133333333332</c:v>
                </c:pt>
                <c:pt idx="118">
                  <c:v>1.2369466666666666</c:v>
                </c:pt>
                <c:pt idx="119">
                  <c:v>1.2462799999999998</c:v>
                </c:pt>
                <c:pt idx="120">
                  <c:v>1.2556133333333332</c:v>
                </c:pt>
                <c:pt idx="121">
                  <c:v>1.2649466666666667</c:v>
                </c:pt>
                <c:pt idx="122">
                  <c:v>1.2742799999999999</c:v>
                </c:pt>
                <c:pt idx="123">
                  <c:v>1.2836133333333333</c:v>
                </c:pt>
                <c:pt idx="124">
                  <c:v>1.2929466666666667</c:v>
                </c:pt>
                <c:pt idx="125">
                  <c:v>1.3022799999999999</c:v>
                </c:pt>
                <c:pt idx="126">
                  <c:v>1.3116133333333333</c:v>
                </c:pt>
                <c:pt idx="127">
                  <c:v>1.3209466666666667</c:v>
                </c:pt>
                <c:pt idx="128">
                  <c:v>1.3302799999999999</c:v>
                </c:pt>
                <c:pt idx="129">
                  <c:v>1.3396133333333333</c:v>
                </c:pt>
                <c:pt idx="130">
                  <c:v>1.3489466666666667</c:v>
                </c:pt>
                <c:pt idx="131">
                  <c:v>1.3582799999999999</c:v>
                </c:pt>
                <c:pt idx="132">
                  <c:v>1.3676133333333333</c:v>
                </c:pt>
                <c:pt idx="133">
                  <c:v>1.3769466666666668</c:v>
                </c:pt>
                <c:pt idx="134">
                  <c:v>1.38628</c:v>
                </c:pt>
                <c:pt idx="135">
                  <c:v>1.3956133333333334</c:v>
                </c:pt>
                <c:pt idx="136">
                  <c:v>1.4049466666666668</c:v>
                </c:pt>
                <c:pt idx="137">
                  <c:v>1.41428</c:v>
                </c:pt>
                <c:pt idx="138">
                  <c:v>1.4236133333333334</c:v>
                </c:pt>
                <c:pt idx="139">
                  <c:v>1.4329466666666666</c:v>
                </c:pt>
                <c:pt idx="140">
                  <c:v>1.44228</c:v>
                </c:pt>
                <c:pt idx="141">
                  <c:v>1.4516133333333334</c:v>
                </c:pt>
                <c:pt idx="142">
                  <c:v>1.4609466666666666</c:v>
                </c:pt>
                <c:pt idx="143">
                  <c:v>1.47028</c:v>
                </c:pt>
                <c:pt idx="144">
                  <c:v>1.4796133333333332</c:v>
                </c:pt>
                <c:pt idx="145">
                  <c:v>1.4889466666666666</c:v>
                </c:pt>
                <c:pt idx="146">
                  <c:v>1.4982800000000001</c:v>
                </c:pt>
                <c:pt idx="147">
                  <c:v>1.5076133333333332</c:v>
                </c:pt>
                <c:pt idx="148">
                  <c:v>1.5169466666666667</c:v>
                </c:pt>
                <c:pt idx="149">
                  <c:v>1.5262799999999999</c:v>
                </c:pt>
              </c:numCache>
            </c:numRef>
          </c:yVal>
          <c:smooth val="1"/>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Eff_vs_IOUT!$AO$7:$AO$157</c:f>
              <c:numCache>
                <c:formatCode>General</c:formatCode>
                <c:ptCount val="151"/>
                <c:pt idx="0">
                  <c:v>0</c:v>
                </c:pt>
                <c:pt idx="1">
                  <c:v>6.5076606479314819E-5</c:v>
                </c:pt>
                <c:pt idx="2">
                  <c:v>2.0102940243861732E-4</c:v>
                </c:pt>
                <c:pt idx="3">
                  <c:v>3.9443300160463875E-4</c:v>
                </c:pt>
                <c:pt idx="4">
                  <c:v>6.4114765558069184E-4</c:v>
                </c:pt>
                <c:pt idx="5">
                  <c:v>9.3911872234761875E-4</c:v>
                </c:pt>
                <c:pt idx="6">
                  <c:v>1.2871882308843978E-3</c:v>
                </c:pt>
                <c:pt idx="7">
                  <c:v>1.6846757333909474E-3</c:v>
                </c:pt>
                <c:pt idx="8">
                  <c:v>2.1311873219744745E-3</c:v>
                </c:pt>
                <c:pt idx="9">
                  <c:v>2.626514867051843E-3</c:v>
                </c:pt>
                <c:pt idx="10">
                  <c:v>3.1705774314808662E-3</c:v>
                </c:pt>
                <c:pt idx="11">
                  <c:v>3.7633847470766543E-3</c:v>
                </c:pt>
                <c:pt idx="12">
                  <c:v>4.4050132137265843E-3</c:v>
                </c:pt>
                <c:pt idx="13">
                  <c:v>2.435136733140649E-3</c:v>
                </c:pt>
                <c:pt idx="14">
                  <c:v>2.7214501086592546E-3</c:v>
                </c:pt>
                <c:pt idx="15">
                  <c:v>3.0181805219800595E-3</c:v>
                </c:pt>
                <c:pt idx="16">
                  <c:v>3.3249743352821676E-3</c:v>
                </c:pt>
                <c:pt idx="17">
                  <c:v>3.6415116652533806E-3</c:v>
                </c:pt>
                <c:pt idx="18">
                  <c:v>3.9675013308268703E-3</c:v>
                </c:pt>
                <c:pt idx="19">
                  <c:v>4.3026768004666384E-3</c:v>
                </c:pt>
                <c:pt idx="20">
                  <c:v>4.6467928982081895E-3</c:v>
                </c:pt>
                <c:pt idx="21">
                  <c:v>4.9996230949927532E-3</c:v>
                </c:pt>
                <c:pt idx="22">
                  <c:v>5.3609572579804716E-3</c:v>
                </c:pt>
                <c:pt idx="23">
                  <c:v>5.7305997628296192E-3</c:v>
                </c:pt>
                <c:pt idx="24">
                  <c:v>6.1083678969682427E-3</c:v>
                </c:pt>
                <c:pt idx="25">
                  <c:v>6.4940904985979885E-3</c:v>
                </c:pt>
                <c:pt idx="26">
                  <c:v>6.8876067884808363E-3</c:v>
                </c:pt>
                <c:pt idx="27">
                  <c:v>7.2887653607542659E-3</c:v>
                </c:pt>
                <c:pt idx="28">
                  <c:v>3.5489825513834324E-3</c:v>
                </c:pt>
                <c:pt idx="29">
                  <c:v>3.6704026697266276E-3</c:v>
                </c:pt>
                <c:pt idx="30">
                  <c:v>3.7960831430994086E-3</c:v>
                </c:pt>
                <c:pt idx="31">
                  <c:v>3.9260239715017756E-3</c:v>
                </c:pt>
                <c:pt idx="32">
                  <c:v>4.0602251549337288E-3</c:v>
                </c:pt>
                <c:pt idx="33">
                  <c:v>4.1986866933952666E-3</c:v>
                </c:pt>
                <c:pt idx="34">
                  <c:v>4.3414085868863916E-3</c:v>
                </c:pt>
                <c:pt idx="35">
                  <c:v>4.4883908354071004E-3</c:v>
                </c:pt>
                <c:pt idx="36">
                  <c:v>4.6396334389573971E-3</c:v>
                </c:pt>
                <c:pt idx="37">
                  <c:v>4.7951363975372785E-3</c:v>
                </c:pt>
                <c:pt idx="38">
                  <c:v>4.9548997111467461E-3</c:v>
                </c:pt>
                <c:pt idx="39">
                  <c:v>5.1189233797858001E-3</c:v>
                </c:pt>
                <c:pt idx="40">
                  <c:v>5.2872074034544395E-3</c:v>
                </c:pt>
                <c:pt idx="41">
                  <c:v>5.4597517821526635E-3</c:v>
                </c:pt>
                <c:pt idx="42">
                  <c:v>5.6365565158804747E-3</c:v>
                </c:pt>
                <c:pt idx="43">
                  <c:v>5.8176216046378687E-3</c:v>
                </c:pt>
                <c:pt idx="44">
                  <c:v>6.0029470484248533E-3</c:v>
                </c:pt>
                <c:pt idx="45">
                  <c:v>6.1925328472414226E-3</c:v>
                </c:pt>
                <c:pt idx="46">
                  <c:v>6.3863790010875738E-3</c:v>
                </c:pt>
                <c:pt idx="47">
                  <c:v>6.5844855099633139E-3</c:v>
                </c:pt>
                <c:pt idx="48">
                  <c:v>6.7868523738686386E-3</c:v>
                </c:pt>
                <c:pt idx="49">
                  <c:v>6.9934795928035514E-3</c:v>
                </c:pt>
                <c:pt idx="50">
                  <c:v>7.2043671667680496E-3</c:v>
                </c:pt>
                <c:pt idx="51">
                  <c:v>7.4195150957621315E-3</c:v>
                </c:pt>
                <c:pt idx="52">
                  <c:v>7.6389233797857989E-3</c:v>
                </c:pt>
                <c:pt idx="53">
                  <c:v>7.8625920188390517E-3</c:v>
                </c:pt>
                <c:pt idx="54">
                  <c:v>8.0905210129218943E-3</c:v>
                </c:pt>
                <c:pt idx="55">
                  <c:v>8.3227103620343197E-3</c:v>
                </c:pt>
                <c:pt idx="56">
                  <c:v>8.5591600661763332E-3</c:v>
                </c:pt>
                <c:pt idx="57">
                  <c:v>8.7998701253479295E-3</c:v>
                </c:pt>
                <c:pt idx="58">
                  <c:v>9.0448405395491122E-3</c:v>
                </c:pt>
                <c:pt idx="59">
                  <c:v>9.2940713087798846E-3</c:v>
                </c:pt>
                <c:pt idx="60">
                  <c:v>9.5475624330402398E-3</c:v>
                </c:pt>
                <c:pt idx="61">
                  <c:v>9.8053139123301762E-3</c:v>
                </c:pt>
                <c:pt idx="62">
                  <c:v>1.0067325746649706E-2</c:v>
                </c:pt>
                <c:pt idx="63">
                  <c:v>1.0333597935998818E-2</c:v>
                </c:pt>
                <c:pt idx="64">
                  <c:v>1.0604130480377512E-2</c:v>
                </c:pt>
                <c:pt idx="65">
                  <c:v>1.0878923379785799E-2</c:v>
                </c:pt>
                <c:pt idx="66">
                  <c:v>1.1157976634223667E-2</c:v>
                </c:pt>
                <c:pt idx="67">
                  <c:v>1.1441290243691123E-2</c:v>
                </c:pt>
                <c:pt idx="68">
                  <c:v>1.1728864208188167E-2</c:v>
                </c:pt>
                <c:pt idx="69">
                  <c:v>1.2020698527714794E-2</c:v>
                </c:pt>
                <c:pt idx="70">
                  <c:v>1.2316793202271005E-2</c:v>
                </c:pt>
                <c:pt idx="71">
                  <c:v>1.2617148231856808E-2</c:v>
                </c:pt>
                <c:pt idx="72">
                  <c:v>1.292176361647219E-2</c:v>
                </c:pt>
                <c:pt idx="73">
                  <c:v>1.3230639356117155E-2</c:v>
                </c:pt>
                <c:pt idx="74">
                  <c:v>1.3543775450791717E-2</c:v>
                </c:pt>
                <c:pt idx="75">
                  <c:v>1.3861171900495855E-2</c:v>
                </c:pt>
                <c:pt idx="76">
                  <c:v>1.4182828705229585E-2</c:v>
                </c:pt>
                <c:pt idx="77">
                  <c:v>1.4508745864992902E-2</c:v>
                </c:pt>
                <c:pt idx="78">
                  <c:v>1.4838923379785799E-2</c:v>
                </c:pt>
                <c:pt idx="79">
                  <c:v>1.5173361249608287E-2</c:v>
                </c:pt>
                <c:pt idx="80">
                  <c:v>1.5512059474460353E-2</c:v>
                </c:pt>
                <c:pt idx="81">
                  <c:v>1.5855018054342019E-2</c:v>
                </c:pt>
                <c:pt idx="82">
                  <c:v>1.6202236989253258E-2</c:v>
                </c:pt>
                <c:pt idx="83">
                  <c:v>1.6553716279194088E-2</c:v>
                </c:pt>
                <c:pt idx="84">
                  <c:v>1.6909455924164499E-2</c:v>
                </c:pt>
                <c:pt idx="85">
                  <c:v>1.7269455924164494E-2</c:v>
                </c:pt>
                <c:pt idx="86">
                  <c:v>1.7633716279194082E-2</c:v>
                </c:pt>
                <c:pt idx="87">
                  <c:v>1.8002236989253257E-2</c:v>
                </c:pt>
                <c:pt idx="88">
                  <c:v>1.8375018054342013E-2</c:v>
                </c:pt>
                <c:pt idx="89">
                  <c:v>1.8752059474460351E-2</c:v>
                </c:pt>
                <c:pt idx="90">
                  <c:v>1.9133361249608287E-2</c:v>
                </c:pt>
                <c:pt idx="91">
                  <c:v>1.9518923379785794E-2</c:v>
                </c:pt>
                <c:pt idx="92">
                  <c:v>1.9908745864992895E-2</c:v>
                </c:pt>
                <c:pt idx="93">
                  <c:v>2.0302828705229588E-2</c:v>
                </c:pt>
                <c:pt idx="94">
                  <c:v>2.0701171900495849E-2</c:v>
                </c:pt>
                <c:pt idx="95">
                  <c:v>2.1103775450791718E-2</c:v>
                </c:pt>
                <c:pt idx="96">
                  <c:v>2.1510639356117151E-2</c:v>
                </c:pt>
                <c:pt idx="97">
                  <c:v>2.192176361647219E-2</c:v>
                </c:pt>
                <c:pt idx="98">
                  <c:v>2.2337148231856806E-2</c:v>
                </c:pt>
                <c:pt idx="99">
                  <c:v>2.2756793202271003E-2</c:v>
                </c:pt>
                <c:pt idx="100">
                  <c:v>2.3180698527714802E-2</c:v>
                </c:pt>
                <c:pt idx="101">
                  <c:v>2.3608864208188161E-2</c:v>
                </c:pt>
                <c:pt idx="102">
                  <c:v>2.4041290243691126E-2</c:v>
                </c:pt>
                <c:pt idx="103">
                  <c:v>2.4477976634223669E-2</c:v>
                </c:pt>
                <c:pt idx="104">
                  <c:v>2.4918923379785803E-2</c:v>
                </c:pt>
                <c:pt idx="105">
                  <c:v>2.5364130480377521E-2</c:v>
                </c:pt>
                <c:pt idx="106">
                  <c:v>2.5813597935998814E-2</c:v>
                </c:pt>
                <c:pt idx="107">
                  <c:v>2.6267325746649705E-2</c:v>
                </c:pt>
                <c:pt idx="108">
                  <c:v>2.6725313912330174E-2</c:v>
                </c:pt>
                <c:pt idx="109">
                  <c:v>2.7187562433040234E-2</c:v>
                </c:pt>
                <c:pt idx="110">
                  <c:v>2.7654071308779879E-2</c:v>
                </c:pt>
                <c:pt idx="111">
                  <c:v>2.8124840539549115E-2</c:v>
                </c:pt>
                <c:pt idx="112">
                  <c:v>2.8599870125347926E-2</c:v>
                </c:pt>
                <c:pt idx="113">
                  <c:v>2.9079160066176325E-2</c:v>
                </c:pt>
                <c:pt idx="114">
                  <c:v>2.9562710362034315E-2</c:v>
                </c:pt>
                <c:pt idx="115">
                  <c:v>3.0050521012921889E-2</c:v>
                </c:pt>
                <c:pt idx="116">
                  <c:v>3.0542592018839056E-2</c:v>
                </c:pt>
                <c:pt idx="117">
                  <c:v>3.1038923379785806E-2</c:v>
                </c:pt>
                <c:pt idx="118">
                  <c:v>3.1539515095762131E-2</c:v>
                </c:pt>
                <c:pt idx="119">
                  <c:v>3.2044367166768048E-2</c:v>
                </c:pt>
                <c:pt idx="120">
                  <c:v>3.2553479592803553E-2</c:v>
                </c:pt>
                <c:pt idx="121">
                  <c:v>3.3066852373868645E-2</c:v>
                </c:pt>
                <c:pt idx="122">
                  <c:v>3.3584485509963319E-2</c:v>
                </c:pt>
                <c:pt idx="123">
                  <c:v>3.4106379001087581E-2</c:v>
                </c:pt>
                <c:pt idx="124">
                  <c:v>3.463253284724143E-2</c:v>
                </c:pt>
                <c:pt idx="125">
                  <c:v>3.5162947048424847E-2</c:v>
                </c:pt>
                <c:pt idx="126">
                  <c:v>3.5697621604637873E-2</c:v>
                </c:pt>
                <c:pt idx="127">
                  <c:v>3.6236556515880466E-2</c:v>
                </c:pt>
                <c:pt idx="128">
                  <c:v>3.6779751782152675E-2</c:v>
                </c:pt>
                <c:pt idx="129">
                  <c:v>3.7327207403454445E-2</c:v>
                </c:pt>
                <c:pt idx="130">
                  <c:v>3.7878923379785802E-2</c:v>
                </c:pt>
                <c:pt idx="131">
                  <c:v>3.8434899711146775E-2</c:v>
                </c:pt>
                <c:pt idx="132">
                  <c:v>3.8995136397537274E-2</c:v>
                </c:pt>
                <c:pt idx="133">
                  <c:v>3.9559633438957409E-2</c:v>
                </c:pt>
                <c:pt idx="134">
                  <c:v>4.0128390835407098E-2</c:v>
                </c:pt>
                <c:pt idx="135">
                  <c:v>4.0701408586886409E-2</c:v>
                </c:pt>
                <c:pt idx="136">
                  <c:v>4.127868669339526E-2</c:v>
                </c:pt>
                <c:pt idx="137">
                  <c:v>4.1860225154933733E-2</c:v>
                </c:pt>
                <c:pt idx="138">
                  <c:v>4.2446023971501781E-2</c:v>
                </c:pt>
                <c:pt idx="139">
                  <c:v>4.3036083143099424E-2</c:v>
                </c:pt>
                <c:pt idx="140">
                  <c:v>4.3630402669726634E-2</c:v>
                </c:pt>
                <c:pt idx="141">
                  <c:v>4.4228982551383446E-2</c:v>
                </c:pt>
                <c:pt idx="142">
                  <c:v>4.4831822788069839E-2</c:v>
                </c:pt>
                <c:pt idx="143">
                  <c:v>4.5438923379785806E-2</c:v>
                </c:pt>
                <c:pt idx="144">
                  <c:v>4.6050284326531361E-2</c:v>
                </c:pt>
                <c:pt idx="145">
                  <c:v>4.6665905628306519E-2</c:v>
                </c:pt>
                <c:pt idx="146">
                  <c:v>4.7285787285111243E-2</c:v>
                </c:pt>
                <c:pt idx="147">
                  <c:v>4.7909929296945562E-2</c:v>
                </c:pt>
                <c:pt idx="148">
                  <c:v>4.8538331663809463E-2</c:v>
                </c:pt>
                <c:pt idx="149">
                  <c:v>4.9170994385702958E-2</c:v>
                </c:pt>
                <c:pt idx="150">
                  <c:v>4.9807917462626021E-2</c:v>
                </c:pt>
              </c:numCache>
            </c:numRef>
          </c:yVal>
          <c:smooth val="1"/>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layout/>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layout/>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layout/>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Eff_vs_IOUT!$AT$7:$AT$157</c:f>
              <c:numCache>
                <c:formatCode>General</c:formatCode>
                <c:ptCount val="151"/>
                <c:pt idx="0">
                  <c:v>0</c:v>
                </c:pt>
                <c:pt idx="1">
                  <c:v>50.774288646610998</c:v>
                </c:pt>
                <c:pt idx="2">
                  <c:v>66.084395115116109</c:v>
                </c:pt>
                <c:pt idx="3">
                  <c:v>73.46105878355425</c:v>
                </c:pt>
                <c:pt idx="4">
                  <c:v>77.797409950795455</c:v>
                </c:pt>
                <c:pt idx="5">
                  <c:v>80.648975076322685</c:v>
                </c:pt>
                <c:pt idx="6">
                  <c:v>82.664781736210784</c:v>
                </c:pt>
                <c:pt idx="7">
                  <c:v>84.163709975832205</c:v>
                </c:pt>
                <c:pt idx="8">
                  <c:v>85.320725194059236</c:v>
                </c:pt>
                <c:pt idx="9">
                  <c:v>86.239831107508252</c:v>
                </c:pt>
                <c:pt idx="10">
                  <c:v>86.986731324018436</c:v>
                </c:pt>
                <c:pt idx="11">
                  <c:v>87.604972298924011</c:v>
                </c:pt>
                <c:pt idx="12">
                  <c:v>88.124556501264934</c:v>
                </c:pt>
                <c:pt idx="13">
                  <c:v>88.687388616823554</c:v>
                </c:pt>
                <c:pt idx="14">
                  <c:v>89.079556181287728</c:v>
                </c:pt>
                <c:pt idx="15">
                  <c:v>89.421834476797954</c:v>
                </c:pt>
                <c:pt idx="16">
                  <c:v>89.723113210042442</c:v>
                </c:pt>
                <c:pt idx="17">
                  <c:v>89.990290218904761</c:v>
                </c:pt>
                <c:pt idx="18">
                  <c:v>90.228799616430791</c:v>
                </c:pt>
                <c:pt idx="19">
                  <c:v>90.442980371929011</c:v>
                </c:pt>
                <c:pt idx="20">
                  <c:v>90.636338871297667</c:v>
                </c:pt>
                <c:pt idx="21">
                  <c:v>90.811739405719266</c:v>
                </c:pt>
                <c:pt idx="22">
                  <c:v>90.971544657891997</c:v>
                </c:pt>
                <c:pt idx="23">
                  <c:v>91.117720855742462</c:v>
                </c:pt>
                <c:pt idx="24">
                  <c:v>91.251917542872036</c:v>
                </c:pt>
                <c:pt idx="25">
                  <c:v>91.375528837137594</c:v>
                </c:pt>
                <c:pt idx="26">
                  <c:v>91.489741002170675</c:v>
                </c:pt>
                <c:pt idx="27">
                  <c:v>91.595569771163511</c:v>
                </c:pt>
                <c:pt idx="28">
                  <c:v>91.787411447511388</c:v>
                </c:pt>
                <c:pt idx="29">
                  <c:v>91.882364639306928</c:v>
                </c:pt>
                <c:pt idx="30">
                  <c:v>91.971074944354143</c:v>
                </c:pt>
                <c:pt idx="31">
                  <c:v>92.054129875272395</c:v>
                </c:pt>
                <c:pt idx="32">
                  <c:v>92.132045467010798</c:v>
                </c:pt>
                <c:pt idx="33">
                  <c:v>92.205276826090255</c:v>
                </c:pt>
                <c:pt idx="34">
                  <c:v>92.274226865083918</c:v>
                </c:pt>
                <c:pt idx="35">
                  <c:v>92.339253576405085</c:v>
                </c:pt>
                <c:pt idx="36">
                  <c:v>92.400676122663015</c:v>
                </c:pt>
                <c:pt idx="37">
                  <c:v>92.458779962289455</c:v>
                </c:pt>
                <c:pt idx="38">
                  <c:v>92.513821184134414</c:v>
                </c:pt>
                <c:pt idx="39">
                  <c:v>92.566030189885623</c:v>
                </c:pt>
                <c:pt idx="40">
                  <c:v>92.615614835990044</c:v>
                </c:pt>
                <c:pt idx="41">
                  <c:v>92.662763125423396</c:v>
                </c:pt>
                <c:pt idx="42">
                  <c:v>92.707645522795843</c:v>
                </c:pt>
                <c:pt idx="43">
                  <c:v>92.75041695288472</c:v>
                </c:pt>
                <c:pt idx="44">
                  <c:v>92.791218531972248</c:v>
                </c:pt>
                <c:pt idx="45">
                  <c:v>92.830179072756863</c:v>
                </c:pt>
                <c:pt idx="46">
                  <c:v>92.867416396648366</c:v>
                </c:pt>
                <c:pt idx="47">
                  <c:v>92.903038481608718</c:v>
                </c:pt>
                <c:pt idx="48">
                  <c:v>92.937144469090441</c:v>
                </c:pt>
                <c:pt idx="49">
                  <c:v>92.969825549846988</c:v>
                </c:pt>
                <c:pt idx="50">
                  <c:v>93.001165745280474</c:v>
                </c:pt>
                <c:pt idx="51">
                  <c:v>93.03124259842221</c:v>
                </c:pt>
                <c:pt idx="52">
                  <c:v>93.060127786508502</c:v>
                </c:pt>
                <c:pt idx="53">
                  <c:v>93.08788766533867</c:v>
                </c:pt>
                <c:pt idx="54">
                  <c:v>93.114583754116495</c:v>
                </c:pt>
                <c:pt idx="55">
                  <c:v>93.14027316823119</c:v>
                </c:pt>
                <c:pt idx="56">
                  <c:v>93.16500900638475</c:v>
                </c:pt>
                <c:pt idx="57">
                  <c:v>93.188840697587324</c:v>
                </c:pt>
                <c:pt idx="58">
                  <c:v>93.21181431279193</c:v>
                </c:pt>
                <c:pt idx="59">
                  <c:v>93.233972845302176</c:v>
                </c:pt>
                <c:pt idx="60">
                  <c:v>93.255356463543706</c:v>
                </c:pt>
                <c:pt idx="61">
                  <c:v>93.276002739325719</c:v>
                </c:pt>
                <c:pt idx="62">
                  <c:v>93.295946854321159</c:v>
                </c:pt>
                <c:pt idx="63">
                  <c:v>93.315221787152339</c:v>
                </c:pt>
                <c:pt idx="64">
                  <c:v>93.333858483174907</c:v>
                </c:pt>
                <c:pt idx="65">
                  <c:v>93.351886008798061</c:v>
                </c:pt>
                <c:pt idx="66">
                  <c:v>93.369331691960141</c:v>
                </c:pt>
                <c:pt idx="67">
                  <c:v>93.386221250186793</c:v>
                </c:pt>
                <c:pt idx="68">
                  <c:v>93.402578907494131</c:v>
                </c:pt>
                <c:pt idx="69">
                  <c:v>93.418427501254087</c:v>
                </c:pt>
                <c:pt idx="70">
                  <c:v>93.433788580013271</c:v>
                </c:pt>
                <c:pt idx="71">
                  <c:v>93.448682493146606</c:v>
                </c:pt>
                <c:pt idx="72">
                  <c:v>93.463128473129657</c:v>
                </c:pt>
                <c:pt idx="73">
                  <c:v>93.477144711129412</c:v>
                </c:pt>
                <c:pt idx="74">
                  <c:v>93.490748426537763</c:v>
                </c:pt>
                <c:pt idx="75">
                  <c:v>93.503955931006871</c:v>
                </c:pt>
                <c:pt idx="76">
                  <c:v>93.516782687486682</c:v>
                </c:pt>
                <c:pt idx="77">
                  <c:v>93.529243364714162</c:v>
                </c:pt>
                <c:pt idx="78">
                  <c:v>93.541351887557497</c:v>
                </c:pt>
                <c:pt idx="79">
                  <c:v>93.553121483578991</c:v>
                </c:pt>
                <c:pt idx="80">
                  <c:v>93.56456472614336</c:v>
                </c:pt>
                <c:pt idx="81">
                  <c:v>93.575693574367293</c:v>
                </c:pt>
                <c:pt idx="82">
                  <c:v>93.586519410176777</c:v>
                </c:pt>
                <c:pt idx="83">
                  <c:v>93.597053072713564</c:v>
                </c:pt>
                <c:pt idx="84">
                  <c:v>93.60730489030955</c:v>
                </c:pt>
                <c:pt idx="85">
                  <c:v>93.617284710227182</c:v>
                </c:pt>
                <c:pt idx="86">
                  <c:v>93.627001926345883</c:v>
                </c:pt>
                <c:pt idx="87">
                  <c:v>93.636465504958139</c:v>
                </c:pt>
                <c:pt idx="88">
                  <c:v>93.645684008824304</c:v>
                </c:pt>
                <c:pt idx="89">
                  <c:v>93.654665619621412</c:v>
                </c:pt>
                <c:pt idx="90">
                  <c:v>93.663418158909835</c:v>
                </c:pt>
                <c:pt idx="91">
                  <c:v>93.671949107730839</c:v>
                </c:pt>
                <c:pt idx="92">
                  <c:v>93.680265624938158</c:v>
                </c:pt>
                <c:pt idx="93">
                  <c:v>93.688374564357815</c:v>
                </c:pt>
                <c:pt idx="94">
                  <c:v>93.696282490862842</c:v>
                </c:pt>
                <c:pt idx="95">
                  <c:v>93.703995695442018</c:v>
                </c:pt>
                <c:pt idx="96">
                  <c:v>93.711520209335532</c:v>
                </c:pt>
                <c:pt idx="97">
                  <c:v>93.718861817303718</c:v>
                </c:pt>
                <c:pt idx="98">
                  <c:v>93.726026070091081</c:v>
                </c:pt>
                <c:pt idx="99">
                  <c:v>93.733018296141296</c:v>
                </c:pt>
                <c:pt idx="100">
                  <c:v>93.739843612615488</c:v>
                </c:pt>
                <c:pt idx="101">
                  <c:v>93.746506935761602</c:v>
                </c:pt>
                <c:pt idx="102">
                  <c:v>93.753012990679096</c:v>
                </c:pt>
                <c:pt idx="103">
                  <c:v>93.759366320519476</c:v>
                </c:pt>
                <c:pt idx="104">
                  <c:v>93.765571295160569</c:v>
                </c:pt>
                <c:pt idx="105">
                  <c:v>93.771632119389267</c:v>
                </c:pt>
                <c:pt idx="106">
                  <c:v>93.777552840624793</c:v>
                </c:pt>
                <c:pt idx="107">
                  <c:v>93.783337356212527</c:v>
                </c:pt>
                <c:pt idx="108">
                  <c:v>93.788989420315801</c:v>
                </c:pt>
                <c:pt idx="109">
                  <c:v>93.7945126504314</c:v>
                </c:pt>
                <c:pt idx="110">
                  <c:v>93.799910533552506</c:v>
                </c:pt>
                <c:pt idx="111">
                  <c:v>93.805186432001022</c:v>
                </c:pt>
                <c:pt idx="112">
                  <c:v>93.810343588950062</c:v>
                </c:pt>
                <c:pt idx="113">
                  <c:v>93.815385133655298</c:v>
                </c:pt>
                <c:pt idx="114">
                  <c:v>93.820314086413205</c:v>
                </c:pt>
                <c:pt idx="115">
                  <c:v>93.825133363262424</c:v>
                </c:pt>
                <c:pt idx="116">
                  <c:v>93.829845780443947</c:v>
                </c:pt>
                <c:pt idx="117">
                  <c:v>93.834454058634222</c:v>
                </c:pt>
                <c:pt idx="118">
                  <c:v>93.838960826964495</c:v>
                </c:pt>
                <c:pt idx="119">
                  <c:v>93.843368626839208</c:v>
                </c:pt>
                <c:pt idx="120">
                  <c:v>93.847679915564541</c:v>
                </c:pt>
                <c:pt idx="121">
                  <c:v>93.85189706979871</c:v>
                </c:pt>
                <c:pt idx="122">
                  <c:v>93.856022388833452</c:v>
                </c:pt>
                <c:pt idx="123">
                  <c:v>93.860058097716774</c:v>
                </c:pt>
                <c:pt idx="124">
                  <c:v>93.86400635022558</c:v>
                </c:pt>
                <c:pt idx="125">
                  <c:v>93.867869231696631</c:v>
                </c:pt>
                <c:pt idx="126">
                  <c:v>93.871648761723634</c:v>
                </c:pt>
                <c:pt idx="127">
                  <c:v>93.875346896727791</c:v>
                </c:pt>
                <c:pt idx="128">
                  <c:v>93.8789655324086</c:v>
                </c:pt>
                <c:pt idx="129">
                  <c:v>93.882506506081569</c:v>
                </c:pt>
                <c:pt idx="130">
                  <c:v>93.885971598908654</c:v>
                </c:pt>
                <c:pt idx="131">
                  <c:v>93.889362538027271</c:v>
                </c:pt>
                <c:pt idx="132">
                  <c:v>93.892680998583131</c:v>
                </c:pt>
                <c:pt idx="133">
                  <c:v>93.895928605672012</c:v>
                </c:pt>
                <c:pt idx="134">
                  <c:v>93.899106936195125</c:v>
                </c:pt>
                <c:pt idx="135">
                  <c:v>93.902217520632604</c:v>
                </c:pt>
                <c:pt idx="136">
                  <c:v>93.905261844739115</c:v>
                </c:pt>
                <c:pt idx="137">
                  <c:v>93.908241351165927</c:v>
                </c:pt>
                <c:pt idx="138">
                  <c:v>93.911157441012591</c:v>
                </c:pt>
                <c:pt idx="139">
                  <c:v>93.914011475312392</c:v>
                </c:pt>
                <c:pt idx="140">
                  <c:v>93.916804776454157</c:v>
                </c:pt>
                <c:pt idx="141">
                  <c:v>93.919538629544391</c:v>
                </c:pt>
                <c:pt idx="142">
                  <c:v>93.922214283711739</c:v>
                </c:pt>
                <c:pt idx="143">
                  <c:v>93.924832953357466</c:v>
                </c:pt>
                <c:pt idx="144">
                  <c:v>93.927395819353805</c:v>
                </c:pt>
                <c:pt idx="145">
                  <c:v>93.929904030193256</c:v>
                </c:pt>
                <c:pt idx="146">
                  <c:v>93.93235870309087</c:v>
                </c:pt>
                <c:pt idx="147">
                  <c:v>93.934760925041715</c:v>
                </c:pt>
                <c:pt idx="148">
                  <c:v>93.937111753835836</c:v>
                </c:pt>
                <c:pt idx="149">
                  <c:v>93.939412219032576</c:v>
                </c:pt>
                <c:pt idx="150">
                  <c:v>93.941663322896105</c:v>
                </c:pt>
              </c:numCache>
            </c:numRef>
          </c:yVal>
          <c:smooth val="0"/>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Eff_vs_IOUT!$AI$7:$AI$157</c:f>
              <c:numCache>
                <c:formatCode>General</c:formatCode>
                <c:ptCount val="151"/>
                <c:pt idx="0">
                  <c:v>0</c:v>
                </c:pt>
                <c:pt idx="1">
                  <c:v>1.8817417531038552E-3</c:v>
                </c:pt>
                <c:pt idx="2">
                  <c:v>3.7989216009477042E-3</c:v>
                </c:pt>
                <c:pt idx="3">
                  <c:v>5.7448268503949122E-3</c:v>
                </c:pt>
                <c:pt idx="4">
                  <c:v>7.7173876272471371E-3</c:v>
                </c:pt>
                <c:pt idx="5">
                  <c:v>9.7155766104947971E-3</c:v>
                </c:pt>
                <c:pt idx="6">
                  <c:v>1.1738814814627383E-2</c:v>
                </c:pt>
                <c:pt idx="7">
                  <c:v>1.3786762015744858E-2</c:v>
                </c:pt>
                <c:pt idx="8">
                  <c:v>1.5859221259900819E-2</c:v>
                </c:pt>
                <c:pt idx="9">
                  <c:v>1.7956088482303702E-2</c:v>
                </c:pt>
                <c:pt idx="10">
                  <c:v>2.0077323214382409E-2</c:v>
                </c:pt>
                <c:pt idx="11">
                  <c:v>2.2222930322044497E-2</c:v>
                </c:pt>
                <c:pt idx="12">
                  <c:v>2.4392948005233662E-2</c:v>
                </c:pt>
                <c:pt idx="13">
                  <c:v>2.5257213214804897E-2</c:v>
                </c:pt>
                <c:pt idx="14">
                  <c:v>2.7249573352428395E-2</c:v>
                </c:pt>
                <c:pt idx="15">
                  <c:v>2.9247142008952995E-2</c:v>
                </c:pt>
                <c:pt idx="16">
                  <c:v>3.124974236546825E-2</c:v>
                </c:pt>
                <c:pt idx="17">
                  <c:v>3.3257214480318049E-2</c:v>
                </c:pt>
                <c:pt idx="18">
                  <c:v>3.5269412762968994E-2</c:v>
                </c:pt>
                <c:pt idx="19">
                  <c:v>3.7286203947653085E-2</c:v>
                </c:pt>
                <c:pt idx="20">
                  <c:v>3.9307465446388044E-2</c:v>
                </c:pt>
                <c:pt idx="21">
                  <c:v>4.1333083994644526E-2</c:v>
                </c:pt>
                <c:pt idx="22">
                  <c:v>4.3362954526002577E-2</c:v>
                </c:pt>
                <c:pt idx="23">
                  <c:v>4.5396979228291355E-2</c:v>
                </c:pt>
                <c:pt idx="24">
                  <c:v>4.7435066745224859E-2</c:v>
                </c:pt>
                <c:pt idx="25">
                  <c:v>4.9477131495903937E-2</c:v>
                </c:pt>
                <c:pt idx="26">
                  <c:v>5.1523093090709564E-2</c:v>
                </c:pt>
                <c:pt idx="27">
                  <c:v>5.3572875826710477E-2</c:v>
                </c:pt>
                <c:pt idx="28">
                  <c:v>5.3552187871889249E-2</c:v>
                </c:pt>
                <c:pt idx="29">
                  <c:v>5.5462101380925055E-2</c:v>
                </c:pt>
                <c:pt idx="30">
                  <c:v>5.7374145067475638E-2</c:v>
                </c:pt>
                <c:pt idx="31">
                  <c:v>5.9288318931541024E-2</c:v>
                </c:pt>
                <c:pt idx="32">
                  <c:v>6.1204622973121195E-2</c:v>
                </c:pt>
                <c:pt idx="33">
                  <c:v>6.3123057192216156E-2</c:v>
                </c:pt>
                <c:pt idx="34">
                  <c:v>6.5043621588825914E-2</c:v>
                </c:pt>
                <c:pt idx="35">
                  <c:v>6.6966316162950471E-2</c:v>
                </c:pt>
                <c:pt idx="36">
                  <c:v>6.8891140914589824E-2</c:v>
                </c:pt>
                <c:pt idx="37">
                  <c:v>7.0818095843743961E-2</c:v>
                </c:pt>
                <c:pt idx="38">
                  <c:v>7.2747180950412896E-2</c:v>
                </c:pt>
                <c:pt idx="39">
                  <c:v>7.4678396234596628E-2</c:v>
                </c:pt>
                <c:pt idx="40">
                  <c:v>7.661174169629513E-2</c:v>
                </c:pt>
                <c:pt idx="41">
                  <c:v>7.8547217335508457E-2</c:v>
                </c:pt>
                <c:pt idx="42">
                  <c:v>8.0484823152236526E-2</c:v>
                </c:pt>
                <c:pt idx="43">
                  <c:v>8.242455914647942E-2</c:v>
                </c:pt>
                <c:pt idx="44">
                  <c:v>8.4366425318237112E-2</c:v>
                </c:pt>
                <c:pt idx="45">
                  <c:v>8.6310421667509615E-2</c:v>
                </c:pt>
                <c:pt idx="46">
                  <c:v>8.8256548194296874E-2</c:v>
                </c:pt>
                <c:pt idx="47">
                  <c:v>9.0204804898598945E-2</c:v>
                </c:pt>
                <c:pt idx="48">
                  <c:v>9.2155191780415799E-2</c:v>
                </c:pt>
                <c:pt idx="49">
                  <c:v>9.410770883974745E-2</c:v>
                </c:pt>
                <c:pt idx="50">
                  <c:v>9.6062356076593913E-2</c:v>
                </c:pt>
                <c:pt idx="51">
                  <c:v>9.801913349095516E-2</c:v>
                </c:pt>
                <c:pt idx="52">
                  <c:v>9.997804108283119E-2</c:v>
                </c:pt>
                <c:pt idx="53">
                  <c:v>0.101939078852222</c:v>
                </c:pt>
                <c:pt idx="54">
                  <c:v>0.10390224679912764</c:v>
                </c:pt>
                <c:pt idx="55">
                  <c:v>0.10586754492354805</c:v>
                </c:pt>
                <c:pt idx="56">
                  <c:v>0.10783497322548323</c:v>
                </c:pt>
                <c:pt idx="57">
                  <c:v>0.10980453170493323</c:v>
                </c:pt>
                <c:pt idx="58">
                  <c:v>0.11177622036189805</c:v>
                </c:pt>
                <c:pt idx="59">
                  <c:v>0.11375003919637762</c:v>
                </c:pt>
                <c:pt idx="60">
                  <c:v>0.11572598820837199</c:v>
                </c:pt>
                <c:pt idx="61">
                  <c:v>0.11770406739788117</c:v>
                </c:pt>
                <c:pt idx="62">
                  <c:v>0.11968427676490512</c:v>
                </c:pt>
                <c:pt idx="63">
                  <c:v>0.12166661630944388</c:v>
                </c:pt>
                <c:pt idx="64">
                  <c:v>0.12365108603149741</c:v>
                </c:pt>
                <c:pt idx="65">
                  <c:v>0.12563768593106575</c:v>
                </c:pt>
                <c:pt idx="66">
                  <c:v>0.12762641600814886</c:v>
                </c:pt>
                <c:pt idx="67">
                  <c:v>0.1296172762627468</c:v>
                </c:pt>
                <c:pt idx="68">
                  <c:v>0.13161026669485953</c:v>
                </c:pt>
                <c:pt idx="69">
                  <c:v>0.13360538730448704</c:v>
                </c:pt>
                <c:pt idx="70">
                  <c:v>0.13560263809162934</c:v>
                </c:pt>
                <c:pt idx="71">
                  <c:v>0.13760201905628647</c:v>
                </c:pt>
                <c:pt idx="72">
                  <c:v>0.13960353019845834</c:v>
                </c:pt>
                <c:pt idx="73">
                  <c:v>0.14160717151814503</c:v>
                </c:pt>
                <c:pt idx="74">
                  <c:v>0.14361294301534649</c:v>
                </c:pt>
                <c:pt idx="75">
                  <c:v>0.14562084469006276</c:v>
                </c:pt>
                <c:pt idx="76">
                  <c:v>0.14763087654229384</c:v>
                </c:pt>
                <c:pt idx="77">
                  <c:v>0.1496430385720397</c:v>
                </c:pt>
                <c:pt idx="78">
                  <c:v>0.15165733077930035</c:v>
                </c:pt>
                <c:pt idx="79">
                  <c:v>0.15367375316407578</c:v>
                </c:pt>
                <c:pt idx="80">
                  <c:v>0.155692305726366</c:v>
                </c:pt>
                <c:pt idx="81">
                  <c:v>0.15771298846617102</c:v>
                </c:pt>
                <c:pt idx="82">
                  <c:v>0.15973580138349089</c:v>
                </c:pt>
                <c:pt idx="83">
                  <c:v>0.16176074447832545</c:v>
                </c:pt>
                <c:pt idx="84">
                  <c:v>0.16378781775067483</c:v>
                </c:pt>
                <c:pt idx="85">
                  <c:v>0.16581702120053909</c:v>
                </c:pt>
                <c:pt idx="86">
                  <c:v>0.16784835482791802</c:v>
                </c:pt>
                <c:pt idx="87">
                  <c:v>0.16988181863281185</c:v>
                </c:pt>
                <c:pt idx="88">
                  <c:v>0.17191741261522037</c:v>
                </c:pt>
                <c:pt idx="89">
                  <c:v>0.17395513677514379</c:v>
                </c:pt>
                <c:pt idx="90">
                  <c:v>0.17599499111258196</c:v>
                </c:pt>
                <c:pt idx="91">
                  <c:v>0.17803697562753487</c:v>
                </c:pt>
                <c:pt idx="92">
                  <c:v>0.18008109032000263</c:v>
                </c:pt>
                <c:pt idx="93">
                  <c:v>0.18212733518998517</c:v>
                </c:pt>
                <c:pt idx="94">
                  <c:v>0.1841757102374825</c:v>
                </c:pt>
                <c:pt idx="95">
                  <c:v>0.18622621546249465</c:v>
                </c:pt>
                <c:pt idx="96">
                  <c:v>0.18827885086502152</c:v>
                </c:pt>
                <c:pt idx="97">
                  <c:v>0.19033361644506328</c:v>
                </c:pt>
                <c:pt idx="98">
                  <c:v>0.19239051220261977</c:v>
                </c:pt>
                <c:pt idx="99">
                  <c:v>0.19444953813769109</c:v>
                </c:pt>
                <c:pt idx="100">
                  <c:v>0.19651069425027717</c:v>
                </c:pt>
                <c:pt idx="101">
                  <c:v>0.19857398054037806</c:v>
                </c:pt>
                <c:pt idx="102">
                  <c:v>0.20063939700799374</c:v>
                </c:pt>
                <c:pt idx="103">
                  <c:v>0.20270694365312422</c:v>
                </c:pt>
                <c:pt idx="104">
                  <c:v>0.20477662047576947</c:v>
                </c:pt>
                <c:pt idx="105">
                  <c:v>0.20684842747592952</c:v>
                </c:pt>
                <c:pt idx="106">
                  <c:v>0.20892236465360436</c:v>
                </c:pt>
                <c:pt idx="107">
                  <c:v>0.21099843200879401</c:v>
                </c:pt>
                <c:pt idx="108">
                  <c:v>0.21307662954149847</c:v>
                </c:pt>
                <c:pt idx="109">
                  <c:v>0.21515695725171766</c:v>
                </c:pt>
                <c:pt idx="110">
                  <c:v>0.21723941513945172</c:v>
                </c:pt>
                <c:pt idx="111">
                  <c:v>0.21932400320470052</c:v>
                </c:pt>
                <c:pt idx="112">
                  <c:v>0.2214107214474641</c:v>
                </c:pt>
                <c:pt idx="113">
                  <c:v>0.22349956986774255</c:v>
                </c:pt>
                <c:pt idx="114">
                  <c:v>0.2255905484655357</c:v>
                </c:pt>
                <c:pt idx="115">
                  <c:v>0.22768365724084366</c:v>
                </c:pt>
                <c:pt idx="116">
                  <c:v>0.22977889619366651</c:v>
                </c:pt>
                <c:pt idx="117">
                  <c:v>0.23187626532400407</c:v>
                </c:pt>
                <c:pt idx="118">
                  <c:v>0.23397576463185643</c:v>
                </c:pt>
                <c:pt idx="119">
                  <c:v>0.23607739411722353</c:v>
                </c:pt>
                <c:pt idx="120">
                  <c:v>0.23818115378010551</c:v>
                </c:pt>
                <c:pt idx="121">
                  <c:v>0.24028704362050227</c:v>
                </c:pt>
                <c:pt idx="122">
                  <c:v>0.24239506363841382</c:v>
                </c:pt>
                <c:pt idx="123">
                  <c:v>0.24450521383384011</c:v>
                </c:pt>
                <c:pt idx="124">
                  <c:v>0.24661749420678125</c:v>
                </c:pt>
                <c:pt idx="125">
                  <c:v>0.24873190475723714</c:v>
                </c:pt>
                <c:pt idx="126">
                  <c:v>0.25084844548520785</c:v>
                </c:pt>
                <c:pt idx="127">
                  <c:v>0.25296711639069336</c:v>
                </c:pt>
                <c:pt idx="128">
                  <c:v>0.25508791747369364</c:v>
                </c:pt>
                <c:pt idx="129">
                  <c:v>0.25721084873420874</c:v>
                </c:pt>
                <c:pt idx="130">
                  <c:v>0.25933591017223856</c:v>
                </c:pt>
                <c:pt idx="131">
                  <c:v>0.26146310178778331</c:v>
                </c:pt>
                <c:pt idx="132">
                  <c:v>0.26359242358084273</c:v>
                </c:pt>
                <c:pt idx="133">
                  <c:v>0.26572387555141702</c:v>
                </c:pt>
                <c:pt idx="134">
                  <c:v>0.26785745769950603</c:v>
                </c:pt>
                <c:pt idx="135">
                  <c:v>0.26999317002510992</c:v>
                </c:pt>
                <c:pt idx="136">
                  <c:v>0.27213101252822852</c:v>
                </c:pt>
                <c:pt idx="137">
                  <c:v>0.27427098520886189</c:v>
                </c:pt>
                <c:pt idx="138">
                  <c:v>0.27641308806701015</c:v>
                </c:pt>
                <c:pt idx="139">
                  <c:v>0.27855732110267323</c:v>
                </c:pt>
                <c:pt idx="140">
                  <c:v>0.28070368431585097</c:v>
                </c:pt>
                <c:pt idx="141">
                  <c:v>0.28285217770654358</c:v>
                </c:pt>
                <c:pt idx="142">
                  <c:v>0.28500280127475103</c:v>
                </c:pt>
                <c:pt idx="143">
                  <c:v>0.28715555502047319</c:v>
                </c:pt>
                <c:pt idx="144">
                  <c:v>0.28931043894371017</c:v>
                </c:pt>
                <c:pt idx="145">
                  <c:v>0.29146745304446192</c:v>
                </c:pt>
                <c:pt idx="146">
                  <c:v>0.2936265973227285</c:v>
                </c:pt>
                <c:pt idx="147">
                  <c:v>0.29578787177850985</c:v>
                </c:pt>
                <c:pt idx="148">
                  <c:v>0.29795127641180602</c:v>
                </c:pt>
                <c:pt idx="149">
                  <c:v>0.30011681122261696</c:v>
                </c:pt>
                <c:pt idx="150">
                  <c:v>0.30228447621094268</c:v>
                </c:pt>
              </c:numCache>
            </c:numRef>
          </c:yVal>
          <c:smooth val="1"/>
        </c:ser>
        <c:ser>
          <c:idx val="2"/>
          <c:order val="2"/>
          <c:tx>
            <c:v>Diode</c:v>
          </c:tx>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Eff_vs_IOUT!$AN$7:$AN$157</c:f>
              <c:numCache>
                <c:formatCode>General</c:formatCode>
                <c:ptCount val="151"/>
                <c:pt idx="0">
                  <c:v>0.12628</c:v>
                </c:pt>
                <c:pt idx="1">
                  <c:v>0.13561333333333334</c:v>
                </c:pt>
                <c:pt idx="2">
                  <c:v>0.14494666666666667</c:v>
                </c:pt>
                <c:pt idx="3">
                  <c:v>0.15428</c:v>
                </c:pt>
                <c:pt idx="4">
                  <c:v>0.16361333333333333</c:v>
                </c:pt>
                <c:pt idx="5">
                  <c:v>0.17294666666666667</c:v>
                </c:pt>
                <c:pt idx="6">
                  <c:v>0.18228</c:v>
                </c:pt>
                <c:pt idx="7">
                  <c:v>0.19161333333333333</c:v>
                </c:pt>
                <c:pt idx="8">
                  <c:v>0.20094666666666666</c:v>
                </c:pt>
                <c:pt idx="9">
                  <c:v>0.21028000000000002</c:v>
                </c:pt>
                <c:pt idx="10">
                  <c:v>0.21961333333333333</c:v>
                </c:pt>
                <c:pt idx="11">
                  <c:v>0.22894666666666666</c:v>
                </c:pt>
                <c:pt idx="12">
                  <c:v>0.23827999999999999</c:v>
                </c:pt>
                <c:pt idx="13">
                  <c:v>0.24761333333333335</c:v>
                </c:pt>
                <c:pt idx="14">
                  <c:v>0.25694666666666666</c:v>
                </c:pt>
                <c:pt idx="15">
                  <c:v>0.26627999999999996</c:v>
                </c:pt>
                <c:pt idx="16">
                  <c:v>0.27561333333333338</c:v>
                </c:pt>
                <c:pt idx="17">
                  <c:v>0.28494666666666668</c:v>
                </c:pt>
                <c:pt idx="18">
                  <c:v>0.29427999999999999</c:v>
                </c:pt>
                <c:pt idx="19">
                  <c:v>0.30361333333333335</c:v>
                </c:pt>
                <c:pt idx="20">
                  <c:v>0.31294666666666665</c:v>
                </c:pt>
                <c:pt idx="21">
                  <c:v>0.32228000000000001</c:v>
                </c:pt>
                <c:pt idx="22">
                  <c:v>0.33161333333333332</c:v>
                </c:pt>
                <c:pt idx="23">
                  <c:v>0.34094666666666668</c:v>
                </c:pt>
                <c:pt idx="24">
                  <c:v>0.35027999999999998</c:v>
                </c:pt>
                <c:pt idx="25">
                  <c:v>0.35961333333333334</c:v>
                </c:pt>
                <c:pt idx="26">
                  <c:v>0.36894666666666665</c:v>
                </c:pt>
                <c:pt idx="27">
                  <c:v>0.37828000000000001</c:v>
                </c:pt>
                <c:pt idx="28">
                  <c:v>0.38761333333333331</c:v>
                </c:pt>
                <c:pt idx="29">
                  <c:v>0.39694666666666667</c:v>
                </c:pt>
                <c:pt idx="30">
                  <c:v>0.40627999999999997</c:v>
                </c:pt>
                <c:pt idx="31">
                  <c:v>0.41561333333333333</c:v>
                </c:pt>
                <c:pt idx="32">
                  <c:v>0.42494666666666669</c:v>
                </c:pt>
                <c:pt idx="33">
                  <c:v>0.43428</c:v>
                </c:pt>
                <c:pt idx="34">
                  <c:v>0.44361333333333336</c:v>
                </c:pt>
                <c:pt idx="35">
                  <c:v>0.45294666666666666</c:v>
                </c:pt>
                <c:pt idx="36">
                  <c:v>0.46228000000000002</c:v>
                </c:pt>
                <c:pt idx="37">
                  <c:v>0.47161333333333333</c:v>
                </c:pt>
                <c:pt idx="38">
                  <c:v>0.48094666666666669</c:v>
                </c:pt>
                <c:pt idx="39">
                  <c:v>0.49027999999999999</c:v>
                </c:pt>
                <c:pt idx="40">
                  <c:v>0.4996133333333333</c:v>
                </c:pt>
                <c:pt idx="41">
                  <c:v>0.50894666666666666</c:v>
                </c:pt>
                <c:pt idx="42">
                  <c:v>0.51828000000000007</c:v>
                </c:pt>
                <c:pt idx="43">
                  <c:v>0.52761333333333327</c:v>
                </c:pt>
                <c:pt idx="44">
                  <c:v>0.53694666666666668</c:v>
                </c:pt>
                <c:pt idx="45">
                  <c:v>0.5462800000000001</c:v>
                </c:pt>
                <c:pt idx="46">
                  <c:v>0.55561333333333329</c:v>
                </c:pt>
                <c:pt idx="47">
                  <c:v>0.56494666666666671</c:v>
                </c:pt>
                <c:pt idx="48">
                  <c:v>0.5742799999999999</c:v>
                </c:pt>
                <c:pt idx="49">
                  <c:v>0.58361333333333332</c:v>
                </c:pt>
                <c:pt idx="50">
                  <c:v>0.59294666666666673</c:v>
                </c:pt>
                <c:pt idx="51">
                  <c:v>0.60227999999999993</c:v>
                </c:pt>
                <c:pt idx="52">
                  <c:v>0.61161333333333334</c:v>
                </c:pt>
                <c:pt idx="53">
                  <c:v>0.62094666666666665</c:v>
                </c:pt>
                <c:pt idx="54">
                  <c:v>0.63027999999999995</c:v>
                </c:pt>
                <c:pt idx="55">
                  <c:v>0.63961333333333337</c:v>
                </c:pt>
                <c:pt idx="56">
                  <c:v>0.64894666666666656</c:v>
                </c:pt>
                <c:pt idx="57">
                  <c:v>0.65827999999999998</c:v>
                </c:pt>
                <c:pt idx="58">
                  <c:v>0.66761333333333339</c:v>
                </c:pt>
                <c:pt idx="59">
                  <c:v>0.67694666666666659</c:v>
                </c:pt>
                <c:pt idx="60">
                  <c:v>0.68628</c:v>
                </c:pt>
                <c:pt idx="61">
                  <c:v>0.69561333333333342</c:v>
                </c:pt>
                <c:pt idx="62">
                  <c:v>0.70494666666666661</c:v>
                </c:pt>
                <c:pt idx="63">
                  <c:v>0.71428000000000003</c:v>
                </c:pt>
                <c:pt idx="64">
                  <c:v>0.72361333333333344</c:v>
                </c:pt>
                <c:pt idx="65">
                  <c:v>0.73294666666666664</c:v>
                </c:pt>
                <c:pt idx="66">
                  <c:v>0.74228000000000005</c:v>
                </c:pt>
                <c:pt idx="67">
                  <c:v>0.75161333333333347</c:v>
                </c:pt>
                <c:pt idx="68">
                  <c:v>0.76094666666666666</c:v>
                </c:pt>
                <c:pt idx="69">
                  <c:v>0.77028000000000008</c:v>
                </c:pt>
                <c:pt idx="70">
                  <c:v>0.77961333333333327</c:v>
                </c:pt>
                <c:pt idx="71">
                  <c:v>0.78894666666666668</c:v>
                </c:pt>
                <c:pt idx="72">
                  <c:v>0.7982800000000001</c:v>
                </c:pt>
                <c:pt idx="73">
                  <c:v>0.80761333333333329</c:v>
                </c:pt>
                <c:pt idx="74">
                  <c:v>0.81694666666666671</c:v>
                </c:pt>
                <c:pt idx="75">
                  <c:v>0.8262799999999999</c:v>
                </c:pt>
                <c:pt idx="76">
                  <c:v>0.83561333333333332</c:v>
                </c:pt>
                <c:pt idx="77">
                  <c:v>0.84494666666666673</c:v>
                </c:pt>
                <c:pt idx="78">
                  <c:v>0.85427999999999993</c:v>
                </c:pt>
                <c:pt idx="79">
                  <c:v>0.86361333333333334</c:v>
                </c:pt>
                <c:pt idx="80">
                  <c:v>0.87294666666666654</c:v>
                </c:pt>
                <c:pt idx="81">
                  <c:v>0.88227999999999995</c:v>
                </c:pt>
                <c:pt idx="82">
                  <c:v>0.89161333333333337</c:v>
                </c:pt>
                <c:pt idx="83">
                  <c:v>0.90094666666666656</c:v>
                </c:pt>
                <c:pt idx="84">
                  <c:v>0.91027999999999998</c:v>
                </c:pt>
                <c:pt idx="85">
                  <c:v>0.91961333333333317</c:v>
                </c:pt>
                <c:pt idx="86">
                  <c:v>0.92894666666666659</c:v>
                </c:pt>
                <c:pt idx="87">
                  <c:v>0.93828</c:v>
                </c:pt>
                <c:pt idx="88">
                  <c:v>0.9476133333333332</c:v>
                </c:pt>
                <c:pt idx="89">
                  <c:v>0.95694666666666661</c:v>
                </c:pt>
                <c:pt idx="90">
                  <c:v>0.96628000000000003</c:v>
                </c:pt>
                <c:pt idx="91">
                  <c:v>0.97561333333333322</c:v>
                </c:pt>
                <c:pt idx="92">
                  <c:v>0.98494666666666664</c:v>
                </c:pt>
                <c:pt idx="93">
                  <c:v>0.99428000000000005</c:v>
                </c:pt>
                <c:pt idx="94">
                  <c:v>1.0036133333333332</c:v>
                </c:pt>
                <c:pt idx="95">
                  <c:v>1.0129466666666667</c:v>
                </c:pt>
                <c:pt idx="96">
                  <c:v>1.0222799999999999</c:v>
                </c:pt>
                <c:pt idx="97">
                  <c:v>1.0316133333333333</c:v>
                </c:pt>
                <c:pt idx="98">
                  <c:v>1.0409466666666667</c:v>
                </c:pt>
                <c:pt idx="99">
                  <c:v>1.0502799999999999</c:v>
                </c:pt>
                <c:pt idx="100">
                  <c:v>1.0596133333333333</c:v>
                </c:pt>
                <c:pt idx="101">
                  <c:v>1.0689466666666667</c:v>
                </c:pt>
                <c:pt idx="102">
                  <c:v>1.0782799999999999</c:v>
                </c:pt>
                <c:pt idx="103">
                  <c:v>1.0876133333333333</c:v>
                </c:pt>
                <c:pt idx="104">
                  <c:v>1.0969466666666667</c:v>
                </c:pt>
                <c:pt idx="105">
                  <c:v>1.1062799999999999</c:v>
                </c:pt>
                <c:pt idx="106">
                  <c:v>1.1156133333333333</c:v>
                </c:pt>
                <c:pt idx="107">
                  <c:v>1.1249466666666668</c:v>
                </c:pt>
                <c:pt idx="108">
                  <c:v>1.13428</c:v>
                </c:pt>
                <c:pt idx="109">
                  <c:v>1.1436133333333331</c:v>
                </c:pt>
                <c:pt idx="110">
                  <c:v>1.1529466666666666</c:v>
                </c:pt>
                <c:pt idx="111">
                  <c:v>1.16228</c:v>
                </c:pt>
                <c:pt idx="112">
                  <c:v>1.1716133333333332</c:v>
                </c:pt>
                <c:pt idx="113">
                  <c:v>1.1809466666666666</c:v>
                </c:pt>
                <c:pt idx="114">
                  <c:v>1.1902799999999998</c:v>
                </c:pt>
                <c:pt idx="115">
                  <c:v>1.1996133333333332</c:v>
                </c:pt>
                <c:pt idx="116">
                  <c:v>1.2089466666666666</c:v>
                </c:pt>
                <c:pt idx="117">
                  <c:v>1.2182799999999998</c:v>
                </c:pt>
                <c:pt idx="118">
                  <c:v>1.2276133333333332</c:v>
                </c:pt>
                <c:pt idx="119">
                  <c:v>1.2369466666666666</c:v>
                </c:pt>
                <c:pt idx="120">
                  <c:v>1.2462799999999998</c:v>
                </c:pt>
                <c:pt idx="121">
                  <c:v>1.2556133333333332</c:v>
                </c:pt>
                <c:pt idx="122">
                  <c:v>1.2649466666666667</c:v>
                </c:pt>
                <c:pt idx="123">
                  <c:v>1.2742799999999999</c:v>
                </c:pt>
                <c:pt idx="124">
                  <c:v>1.2836133333333333</c:v>
                </c:pt>
                <c:pt idx="125">
                  <c:v>1.2929466666666667</c:v>
                </c:pt>
                <c:pt idx="126">
                  <c:v>1.3022799999999999</c:v>
                </c:pt>
                <c:pt idx="127">
                  <c:v>1.3116133333333333</c:v>
                </c:pt>
                <c:pt idx="128">
                  <c:v>1.3209466666666667</c:v>
                </c:pt>
                <c:pt idx="129">
                  <c:v>1.3302799999999999</c:v>
                </c:pt>
                <c:pt idx="130">
                  <c:v>1.3396133333333333</c:v>
                </c:pt>
                <c:pt idx="131">
                  <c:v>1.3489466666666667</c:v>
                </c:pt>
                <c:pt idx="132">
                  <c:v>1.3582799999999999</c:v>
                </c:pt>
                <c:pt idx="133">
                  <c:v>1.3676133333333333</c:v>
                </c:pt>
                <c:pt idx="134">
                  <c:v>1.3769466666666668</c:v>
                </c:pt>
                <c:pt idx="135">
                  <c:v>1.38628</c:v>
                </c:pt>
                <c:pt idx="136">
                  <c:v>1.3956133333333334</c:v>
                </c:pt>
                <c:pt idx="137">
                  <c:v>1.4049466666666668</c:v>
                </c:pt>
                <c:pt idx="138">
                  <c:v>1.41428</c:v>
                </c:pt>
                <c:pt idx="139">
                  <c:v>1.4236133333333334</c:v>
                </c:pt>
                <c:pt idx="140">
                  <c:v>1.4329466666666666</c:v>
                </c:pt>
                <c:pt idx="141">
                  <c:v>1.44228</c:v>
                </c:pt>
                <c:pt idx="142">
                  <c:v>1.4516133333333334</c:v>
                </c:pt>
                <c:pt idx="143">
                  <c:v>1.4609466666666666</c:v>
                </c:pt>
                <c:pt idx="144">
                  <c:v>1.47028</c:v>
                </c:pt>
                <c:pt idx="145">
                  <c:v>1.4796133333333332</c:v>
                </c:pt>
                <c:pt idx="146">
                  <c:v>1.4889466666666666</c:v>
                </c:pt>
                <c:pt idx="147">
                  <c:v>1.4982800000000001</c:v>
                </c:pt>
                <c:pt idx="148">
                  <c:v>1.5076133333333332</c:v>
                </c:pt>
                <c:pt idx="149">
                  <c:v>1.5169466666666667</c:v>
                </c:pt>
                <c:pt idx="150">
                  <c:v>1.5262799999999999</c:v>
                </c:pt>
              </c:numCache>
            </c:numRef>
          </c:yVal>
          <c:smooth val="1"/>
        </c:ser>
        <c:ser>
          <c:idx val="3"/>
          <c:order val="3"/>
          <c:tx>
            <c:v>RCS</c:v>
          </c:tx>
          <c:marker>
            <c:symbol val="none"/>
          </c:marker>
          <c:xVal>
            <c:numRef>
              <c:f>Eff_vs_IOUT!$S$7:$S$157</c:f>
              <c:numCache>
                <c:formatCode>General</c:formatCode>
                <c:ptCount val="151"/>
                <c:pt idx="0">
                  <c:v>0</c:v>
                </c:pt>
                <c:pt idx="1">
                  <c:v>1.3333333333333334E-2</c:v>
                </c:pt>
                <c:pt idx="2">
                  <c:v>2.6666666666666668E-2</c:v>
                </c:pt>
                <c:pt idx="3">
                  <c:v>0.04</c:v>
                </c:pt>
                <c:pt idx="4">
                  <c:v>5.3333333333333337E-2</c:v>
                </c:pt>
                <c:pt idx="5">
                  <c:v>6.6666666666666666E-2</c:v>
                </c:pt>
                <c:pt idx="6">
                  <c:v>0.08</c:v>
                </c:pt>
                <c:pt idx="7">
                  <c:v>9.3333333333333338E-2</c:v>
                </c:pt>
                <c:pt idx="8">
                  <c:v>0.10666666666666667</c:v>
                </c:pt>
                <c:pt idx="9">
                  <c:v>0.12000000000000001</c:v>
                </c:pt>
                <c:pt idx="10">
                  <c:v>0.13333333333333333</c:v>
                </c:pt>
                <c:pt idx="11">
                  <c:v>0.14666666666666667</c:v>
                </c:pt>
                <c:pt idx="12">
                  <c:v>0.16</c:v>
                </c:pt>
                <c:pt idx="13">
                  <c:v>0.17333333333333334</c:v>
                </c:pt>
                <c:pt idx="14">
                  <c:v>0.18666666666666668</c:v>
                </c:pt>
                <c:pt idx="15">
                  <c:v>0.2</c:v>
                </c:pt>
                <c:pt idx="16">
                  <c:v>0.21333333333333335</c:v>
                </c:pt>
                <c:pt idx="17">
                  <c:v>0.22666666666666668</c:v>
                </c:pt>
                <c:pt idx="18">
                  <c:v>0.24000000000000002</c:v>
                </c:pt>
                <c:pt idx="19">
                  <c:v>0.25333333333333335</c:v>
                </c:pt>
                <c:pt idx="20">
                  <c:v>0.26666666666666666</c:v>
                </c:pt>
                <c:pt idx="21">
                  <c:v>0.28000000000000003</c:v>
                </c:pt>
                <c:pt idx="22">
                  <c:v>0.29333333333333333</c:v>
                </c:pt>
                <c:pt idx="23">
                  <c:v>0.3066666666666667</c:v>
                </c:pt>
                <c:pt idx="24">
                  <c:v>0.32</c:v>
                </c:pt>
                <c:pt idx="25">
                  <c:v>0.33333333333333337</c:v>
                </c:pt>
                <c:pt idx="26">
                  <c:v>0.34666666666666668</c:v>
                </c:pt>
                <c:pt idx="27">
                  <c:v>0.36000000000000004</c:v>
                </c:pt>
                <c:pt idx="28">
                  <c:v>0.37333333333333335</c:v>
                </c:pt>
                <c:pt idx="29">
                  <c:v>0.38666666666666671</c:v>
                </c:pt>
                <c:pt idx="30">
                  <c:v>0.4</c:v>
                </c:pt>
                <c:pt idx="31">
                  <c:v>0.41333333333333339</c:v>
                </c:pt>
                <c:pt idx="32">
                  <c:v>0.42666666666666669</c:v>
                </c:pt>
                <c:pt idx="33">
                  <c:v>0.44</c:v>
                </c:pt>
                <c:pt idx="34">
                  <c:v>0.45333333333333337</c:v>
                </c:pt>
                <c:pt idx="35">
                  <c:v>0.46666666666666667</c:v>
                </c:pt>
                <c:pt idx="36">
                  <c:v>0.48000000000000004</c:v>
                </c:pt>
                <c:pt idx="37">
                  <c:v>0.49333333333333335</c:v>
                </c:pt>
                <c:pt idx="38">
                  <c:v>0.50666666666666671</c:v>
                </c:pt>
                <c:pt idx="39">
                  <c:v>0.52</c:v>
                </c:pt>
                <c:pt idx="40">
                  <c:v>0.53333333333333333</c:v>
                </c:pt>
                <c:pt idx="41">
                  <c:v>0.54666666666666675</c:v>
                </c:pt>
                <c:pt idx="42">
                  <c:v>0.56000000000000005</c:v>
                </c:pt>
                <c:pt idx="43">
                  <c:v>0.57333333333333336</c:v>
                </c:pt>
                <c:pt idx="44">
                  <c:v>0.58666666666666667</c:v>
                </c:pt>
                <c:pt idx="45">
                  <c:v>0.60000000000000009</c:v>
                </c:pt>
                <c:pt idx="46">
                  <c:v>0.6133333333333334</c:v>
                </c:pt>
                <c:pt idx="47">
                  <c:v>0.62666666666666671</c:v>
                </c:pt>
                <c:pt idx="48">
                  <c:v>0.64</c:v>
                </c:pt>
                <c:pt idx="49">
                  <c:v>0.65333333333333332</c:v>
                </c:pt>
                <c:pt idx="50">
                  <c:v>0.66666666666666674</c:v>
                </c:pt>
                <c:pt idx="51">
                  <c:v>0.68</c:v>
                </c:pt>
                <c:pt idx="52">
                  <c:v>0.69333333333333336</c:v>
                </c:pt>
                <c:pt idx="53">
                  <c:v>0.70666666666666667</c:v>
                </c:pt>
                <c:pt idx="54">
                  <c:v>0.72000000000000008</c:v>
                </c:pt>
                <c:pt idx="55">
                  <c:v>0.73333333333333339</c:v>
                </c:pt>
                <c:pt idx="56">
                  <c:v>0.7466666666666667</c:v>
                </c:pt>
                <c:pt idx="57">
                  <c:v>0.76</c:v>
                </c:pt>
                <c:pt idx="58">
                  <c:v>0.77333333333333343</c:v>
                </c:pt>
                <c:pt idx="59">
                  <c:v>0.78666666666666674</c:v>
                </c:pt>
                <c:pt idx="60">
                  <c:v>0.8</c:v>
                </c:pt>
                <c:pt idx="61">
                  <c:v>0.81333333333333335</c:v>
                </c:pt>
                <c:pt idx="62">
                  <c:v>0.82666666666666677</c:v>
                </c:pt>
                <c:pt idx="63">
                  <c:v>0.84000000000000008</c:v>
                </c:pt>
                <c:pt idx="64">
                  <c:v>0.85333333333333339</c:v>
                </c:pt>
                <c:pt idx="65">
                  <c:v>0.8666666666666667</c:v>
                </c:pt>
                <c:pt idx="66">
                  <c:v>0.88</c:v>
                </c:pt>
                <c:pt idx="67">
                  <c:v>0.89333333333333342</c:v>
                </c:pt>
                <c:pt idx="68">
                  <c:v>0.90666666666666673</c:v>
                </c:pt>
                <c:pt idx="69">
                  <c:v>0.92</c:v>
                </c:pt>
                <c:pt idx="70">
                  <c:v>0.93333333333333335</c:v>
                </c:pt>
                <c:pt idx="71">
                  <c:v>0.94666666666666677</c:v>
                </c:pt>
                <c:pt idx="72">
                  <c:v>0.96000000000000008</c:v>
                </c:pt>
                <c:pt idx="73">
                  <c:v>0.97333333333333338</c:v>
                </c:pt>
                <c:pt idx="74">
                  <c:v>0.98666666666666669</c:v>
                </c:pt>
                <c:pt idx="75">
                  <c:v>1</c:v>
                </c:pt>
                <c:pt idx="76">
                  <c:v>1.0133333333333334</c:v>
                </c:pt>
                <c:pt idx="77">
                  <c:v>1.0266666666666668</c:v>
                </c:pt>
                <c:pt idx="78">
                  <c:v>1.04</c:v>
                </c:pt>
                <c:pt idx="79">
                  <c:v>1.0533333333333335</c:v>
                </c:pt>
                <c:pt idx="80">
                  <c:v>1.0666666666666667</c:v>
                </c:pt>
                <c:pt idx="81">
                  <c:v>1.08</c:v>
                </c:pt>
                <c:pt idx="82">
                  <c:v>1.0933333333333335</c:v>
                </c:pt>
                <c:pt idx="83">
                  <c:v>1.1066666666666667</c:v>
                </c:pt>
                <c:pt idx="84">
                  <c:v>1.1200000000000001</c:v>
                </c:pt>
                <c:pt idx="85">
                  <c:v>1.1333333333333333</c:v>
                </c:pt>
                <c:pt idx="86">
                  <c:v>1.1466666666666667</c:v>
                </c:pt>
                <c:pt idx="87">
                  <c:v>1.1600000000000001</c:v>
                </c:pt>
                <c:pt idx="88">
                  <c:v>1.1733333333333333</c:v>
                </c:pt>
                <c:pt idx="89">
                  <c:v>1.1866666666666668</c:v>
                </c:pt>
                <c:pt idx="90">
                  <c:v>1.2000000000000002</c:v>
                </c:pt>
                <c:pt idx="91">
                  <c:v>1.2133333333333334</c:v>
                </c:pt>
                <c:pt idx="92">
                  <c:v>1.2266666666666668</c:v>
                </c:pt>
                <c:pt idx="93">
                  <c:v>1.24</c:v>
                </c:pt>
                <c:pt idx="94">
                  <c:v>1.2533333333333334</c:v>
                </c:pt>
                <c:pt idx="95">
                  <c:v>1.2666666666666668</c:v>
                </c:pt>
                <c:pt idx="96">
                  <c:v>1.28</c:v>
                </c:pt>
                <c:pt idx="97">
                  <c:v>1.2933333333333334</c:v>
                </c:pt>
                <c:pt idx="98">
                  <c:v>1.3066666666666666</c:v>
                </c:pt>
                <c:pt idx="99">
                  <c:v>1.32</c:v>
                </c:pt>
                <c:pt idx="100">
                  <c:v>1.3333333333333335</c:v>
                </c:pt>
                <c:pt idx="101">
                  <c:v>1.3466666666666667</c:v>
                </c:pt>
                <c:pt idx="102">
                  <c:v>1.36</c:v>
                </c:pt>
                <c:pt idx="103">
                  <c:v>1.3733333333333335</c:v>
                </c:pt>
                <c:pt idx="104">
                  <c:v>1.3866666666666667</c:v>
                </c:pt>
                <c:pt idx="105">
                  <c:v>1.4000000000000001</c:v>
                </c:pt>
                <c:pt idx="106">
                  <c:v>1.4133333333333333</c:v>
                </c:pt>
                <c:pt idx="107">
                  <c:v>1.4266666666666667</c:v>
                </c:pt>
                <c:pt idx="108">
                  <c:v>1.4400000000000002</c:v>
                </c:pt>
                <c:pt idx="109">
                  <c:v>1.4533333333333334</c:v>
                </c:pt>
                <c:pt idx="110">
                  <c:v>1.4666666666666668</c:v>
                </c:pt>
                <c:pt idx="111">
                  <c:v>1.4800000000000002</c:v>
                </c:pt>
                <c:pt idx="112">
                  <c:v>1.4933333333333334</c:v>
                </c:pt>
                <c:pt idx="113">
                  <c:v>1.5066666666666668</c:v>
                </c:pt>
                <c:pt idx="114">
                  <c:v>1.52</c:v>
                </c:pt>
                <c:pt idx="115">
                  <c:v>1.5333333333333334</c:v>
                </c:pt>
                <c:pt idx="116">
                  <c:v>1.5466666666666669</c:v>
                </c:pt>
                <c:pt idx="117">
                  <c:v>1.56</c:v>
                </c:pt>
                <c:pt idx="118">
                  <c:v>1.5733333333333335</c:v>
                </c:pt>
                <c:pt idx="119">
                  <c:v>1.5866666666666667</c:v>
                </c:pt>
                <c:pt idx="120">
                  <c:v>1.6</c:v>
                </c:pt>
                <c:pt idx="121">
                  <c:v>1.6133333333333335</c:v>
                </c:pt>
                <c:pt idx="122">
                  <c:v>1.6266666666666667</c:v>
                </c:pt>
                <c:pt idx="123">
                  <c:v>1.6400000000000001</c:v>
                </c:pt>
                <c:pt idx="124">
                  <c:v>1.6533333333333335</c:v>
                </c:pt>
                <c:pt idx="125">
                  <c:v>1.6666666666666667</c:v>
                </c:pt>
                <c:pt idx="126">
                  <c:v>1.6800000000000002</c:v>
                </c:pt>
                <c:pt idx="127">
                  <c:v>1.6933333333333334</c:v>
                </c:pt>
                <c:pt idx="128">
                  <c:v>1.7066666666666668</c:v>
                </c:pt>
                <c:pt idx="129">
                  <c:v>1.7200000000000002</c:v>
                </c:pt>
                <c:pt idx="130">
                  <c:v>1.7333333333333334</c:v>
                </c:pt>
                <c:pt idx="131">
                  <c:v>1.7466666666666668</c:v>
                </c:pt>
                <c:pt idx="132">
                  <c:v>1.76</c:v>
                </c:pt>
                <c:pt idx="133">
                  <c:v>1.7733333333333334</c:v>
                </c:pt>
                <c:pt idx="134">
                  <c:v>1.7866666666666668</c:v>
                </c:pt>
                <c:pt idx="135">
                  <c:v>1.8</c:v>
                </c:pt>
                <c:pt idx="136">
                  <c:v>1.8133333333333335</c:v>
                </c:pt>
                <c:pt idx="137">
                  <c:v>1.8266666666666669</c:v>
                </c:pt>
                <c:pt idx="138">
                  <c:v>1.84</c:v>
                </c:pt>
                <c:pt idx="139">
                  <c:v>1.8533333333333335</c:v>
                </c:pt>
                <c:pt idx="140">
                  <c:v>1.8666666666666667</c:v>
                </c:pt>
                <c:pt idx="141">
                  <c:v>1.8800000000000001</c:v>
                </c:pt>
                <c:pt idx="142">
                  <c:v>1.8933333333333335</c:v>
                </c:pt>
                <c:pt idx="143">
                  <c:v>1.9066666666666667</c:v>
                </c:pt>
                <c:pt idx="144">
                  <c:v>1.9200000000000002</c:v>
                </c:pt>
                <c:pt idx="145">
                  <c:v>1.9333333333333333</c:v>
                </c:pt>
                <c:pt idx="146">
                  <c:v>1.9466666666666668</c:v>
                </c:pt>
                <c:pt idx="147">
                  <c:v>1.9600000000000002</c:v>
                </c:pt>
                <c:pt idx="148">
                  <c:v>1.9733333333333334</c:v>
                </c:pt>
                <c:pt idx="149">
                  <c:v>1.9866666666666668</c:v>
                </c:pt>
                <c:pt idx="150">
                  <c:v>2</c:v>
                </c:pt>
              </c:numCache>
            </c:numRef>
          </c:xVal>
          <c:yVal>
            <c:numRef>
              <c:f>Eff_vs_IOUT!$AO$7:$AO$157</c:f>
              <c:numCache>
                <c:formatCode>General</c:formatCode>
                <c:ptCount val="151"/>
                <c:pt idx="0">
                  <c:v>0</c:v>
                </c:pt>
                <c:pt idx="1">
                  <c:v>6.5076606479314819E-5</c:v>
                </c:pt>
                <c:pt idx="2">
                  <c:v>2.0102940243861732E-4</c:v>
                </c:pt>
                <c:pt idx="3">
                  <c:v>3.9443300160463875E-4</c:v>
                </c:pt>
                <c:pt idx="4">
                  <c:v>6.4114765558069184E-4</c:v>
                </c:pt>
                <c:pt idx="5">
                  <c:v>9.3911872234761875E-4</c:v>
                </c:pt>
                <c:pt idx="6">
                  <c:v>1.2871882308843978E-3</c:v>
                </c:pt>
                <c:pt idx="7">
                  <c:v>1.6846757333909474E-3</c:v>
                </c:pt>
                <c:pt idx="8">
                  <c:v>2.1311873219744745E-3</c:v>
                </c:pt>
                <c:pt idx="9">
                  <c:v>2.626514867051843E-3</c:v>
                </c:pt>
                <c:pt idx="10">
                  <c:v>3.1705774314808662E-3</c:v>
                </c:pt>
                <c:pt idx="11">
                  <c:v>3.7633847470766543E-3</c:v>
                </c:pt>
                <c:pt idx="12">
                  <c:v>4.4050132137265843E-3</c:v>
                </c:pt>
                <c:pt idx="13">
                  <c:v>2.435136733140649E-3</c:v>
                </c:pt>
                <c:pt idx="14">
                  <c:v>2.7214501086592546E-3</c:v>
                </c:pt>
                <c:pt idx="15">
                  <c:v>3.0181805219800595E-3</c:v>
                </c:pt>
                <c:pt idx="16">
                  <c:v>3.3249743352821676E-3</c:v>
                </c:pt>
                <c:pt idx="17">
                  <c:v>3.6415116652533806E-3</c:v>
                </c:pt>
                <c:pt idx="18">
                  <c:v>3.9675013308268703E-3</c:v>
                </c:pt>
                <c:pt idx="19">
                  <c:v>4.3026768004666384E-3</c:v>
                </c:pt>
                <c:pt idx="20">
                  <c:v>4.6467928982081895E-3</c:v>
                </c:pt>
                <c:pt idx="21">
                  <c:v>4.9996230949927532E-3</c:v>
                </c:pt>
                <c:pt idx="22">
                  <c:v>5.3609572579804716E-3</c:v>
                </c:pt>
                <c:pt idx="23">
                  <c:v>5.7305997628296192E-3</c:v>
                </c:pt>
                <c:pt idx="24">
                  <c:v>6.1083678969682427E-3</c:v>
                </c:pt>
                <c:pt idx="25">
                  <c:v>6.4940904985979885E-3</c:v>
                </c:pt>
                <c:pt idx="26">
                  <c:v>6.8876067884808363E-3</c:v>
                </c:pt>
                <c:pt idx="27">
                  <c:v>7.2887653607542659E-3</c:v>
                </c:pt>
                <c:pt idx="28">
                  <c:v>3.5489825513834324E-3</c:v>
                </c:pt>
                <c:pt idx="29">
                  <c:v>3.6704026697266276E-3</c:v>
                </c:pt>
                <c:pt idx="30">
                  <c:v>3.7960831430994086E-3</c:v>
                </c:pt>
                <c:pt idx="31">
                  <c:v>3.9260239715017756E-3</c:v>
                </c:pt>
                <c:pt idx="32">
                  <c:v>4.0602251549337288E-3</c:v>
                </c:pt>
                <c:pt idx="33">
                  <c:v>4.1986866933952666E-3</c:v>
                </c:pt>
                <c:pt idx="34">
                  <c:v>4.3414085868863916E-3</c:v>
                </c:pt>
                <c:pt idx="35">
                  <c:v>4.4883908354071004E-3</c:v>
                </c:pt>
                <c:pt idx="36">
                  <c:v>4.6396334389573971E-3</c:v>
                </c:pt>
                <c:pt idx="37">
                  <c:v>4.7951363975372785E-3</c:v>
                </c:pt>
                <c:pt idx="38">
                  <c:v>4.9548997111467461E-3</c:v>
                </c:pt>
                <c:pt idx="39">
                  <c:v>5.1189233797858001E-3</c:v>
                </c:pt>
                <c:pt idx="40">
                  <c:v>5.2872074034544395E-3</c:v>
                </c:pt>
                <c:pt idx="41">
                  <c:v>5.4597517821526635E-3</c:v>
                </c:pt>
                <c:pt idx="42">
                  <c:v>5.6365565158804747E-3</c:v>
                </c:pt>
                <c:pt idx="43">
                  <c:v>5.8176216046378687E-3</c:v>
                </c:pt>
                <c:pt idx="44">
                  <c:v>6.0029470484248533E-3</c:v>
                </c:pt>
                <c:pt idx="45">
                  <c:v>6.1925328472414226E-3</c:v>
                </c:pt>
                <c:pt idx="46">
                  <c:v>6.3863790010875738E-3</c:v>
                </c:pt>
                <c:pt idx="47">
                  <c:v>6.5844855099633139E-3</c:v>
                </c:pt>
                <c:pt idx="48">
                  <c:v>6.7868523738686386E-3</c:v>
                </c:pt>
                <c:pt idx="49">
                  <c:v>6.9934795928035514E-3</c:v>
                </c:pt>
                <c:pt idx="50">
                  <c:v>7.2043671667680496E-3</c:v>
                </c:pt>
                <c:pt idx="51">
                  <c:v>7.4195150957621315E-3</c:v>
                </c:pt>
                <c:pt idx="52">
                  <c:v>7.6389233797857989E-3</c:v>
                </c:pt>
                <c:pt idx="53">
                  <c:v>7.8625920188390517E-3</c:v>
                </c:pt>
                <c:pt idx="54">
                  <c:v>8.0905210129218943E-3</c:v>
                </c:pt>
                <c:pt idx="55">
                  <c:v>8.3227103620343197E-3</c:v>
                </c:pt>
                <c:pt idx="56">
                  <c:v>8.5591600661763332E-3</c:v>
                </c:pt>
                <c:pt idx="57">
                  <c:v>8.7998701253479295E-3</c:v>
                </c:pt>
                <c:pt idx="58">
                  <c:v>9.0448405395491122E-3</c:v>
                </c:pt>
                <c:pt idx="59">
                  <c:v>9.2940713087798846E-3</c:v>
                </c:pt>
                <c:pt idx="60">
                  <c:v>9.5475624330402398E-3</c:v>
                </c:pt>
                <c:pt idx="61">
                  <c:v>9.8053139123301762E-3</c:v>
                </c:pt>
                <c:pt idx="62">
                  <c:v>1.0067325746649706E-2</c:v>
                </c:pt>
                <c:pt idx="63">
                  <c:v>1.0333597935998818E-2</c:v>
                </c:pt>
                <c:pt idx="64">
                  <c:v>1.0604130480377512E-2</c:v>
                </c:pt>
                <c:pt idx="65">
                  <c:v>1.0878923379785799E-2</c:v>
                </c:pt>
                <c:pt idx="66">
                  <c:v>1.1157976634223667E-2</c:v>
                </c:pt>
                <c:pt idx="67">
                  <c:v>1.1441290243691123E-2</c:v>
                </c:pt>
                <c:pt idx="68">
                  <c:v>1.1728864208188167E-2</c:v>
                </c:pt>
                <c:pt idx="69">
                  <c:v>1.2020698527714794E-2</c:v>
                </c:pt>
                <c:pt idx="70">
                  <c:v>1.2316793202271005E-2</c:v>
                </c:pt>
                <c:pt idx="71">
                  <c:v>1.2617148231856808E-2</c:v>
                </c:pt>
                <c:pt idx="72">
                  <c:v>1.292176361647219E-2</c:v>
                </c:pt>
                <c:pt idx="73">
                  <c:v>1.3230639356117155E-2</c:v>
                </c:pt>
                <c:pt idx="74">
                  <c:v>1.3543775450791717E-2</c:v>
                </c:pt>
                <c:pt idx="75">
                  <c:v>1.3861171900495855E-2</c:v>
                </c:pt>
                <c:pt idx="76">
                  <c:v>1.4182828705229585E-2</c:v>
                </c:pt>
                <c:pt idx="77">
                  <c:v>1.4508745864992902E-2</c:v>
                </c:pt>
                <c:pt idx="78">
                  <c:v>1.4838923379785799E-2</c:v>
                </c:pt>
                <c:pt idx="79">
                  <c:v>1.5173361249608287E-2</c:v>
                </c:pt>
                <c:pt idx="80">
                  <c:v>1.5512059474460353E-2</c:v>
                </c:pt>
                <c:pt idx="81">
                  <c:v>1.5855018054342019E-2</c:v>
                </c:pt>
                <c:pt idx="82">
                  <c:v>1.6202236989253258E-2</c:v>
                </c:pt>
                <c:pt idx="83">
                  <c:v>1.6553716279194088E-2</c:v>
                </c:pt>
                <c:pt idx="84">
                  <c:v>1.6909455924164499E-2</c:v>
                </c:pt>
                <c:pt idx="85">
                  <c:v>1.7269455924164494E-2</c:v>
                </c:pt>
                <c:pt idx="86">
                  <c:v>1.7633716279194082E-2</c:v>
                </c:pt>
                <c:pt idx="87">
                  <c:v>1.8002236989253257E-2</c:v>
                </c:pt>
                <c:pt idx="88">
                  <c:v>1.8375018054342013E-2</c:v>
                </c:pt>
                <c:pt idx="89">
                  <c:v>1.8752059474460351E-2</c:v>
                </c:pt>
                <c:pt idx="90">
                  <c:v>1.9133361249608287E-2</c:v>
                </c:pt>
                <c:pt idx="91">
                  <c:v>1.9518923379785794E-2</c:v>
                </c:pt>
                <c:pt idx="92">
                  <c:v>1.9908745864992895E-2</c:v>
                </c:pt>
                <c:pt idx="93">
                  <c:v>2.0302828705229588E-2</c:v>
                </c:pt>
                <c:pt idx="94">
                  <c:v>2.0701171900495849E-2</c:v>
                </c:pt>
                <c:pt idx="95">
                  <c:v>2.1103775450791718E-2</c:v>
                </c:pt>
                <c:pt idx="96">
                  <c:v>2.1510639356117151E-2</c:v>
                </c:pt>
                <c:pt idx="97">
                  <c:v>2.192176361647219E-2</c:v>
                </c:pt>
                <c:pt idx="98">
                  <c:v>2.2337148231856806E-2</c:v>
                </c:pt>
                <c:pt idx="99">
                  <c:v>2.2756793202271003E-2</c:v>
                </c:pt>
                <c:pt idx="100">
                  <c:v>2.3180698527714802E-2</c:v>
                </c:pt>
                <c:pt idx="101">
                  <c:v>2.3608864208188161E-2</c:v>
                </c:pt>
                <c:pt idx="102">
                  <c:v>2.4041290243691126E-2</c:v>
                </c:pt>
                <c:pt idx="103">
                  <c:v>2.4477976634223669E-2</c:v>
                </c:pt>
                <c:pt idx="104">
                  <c:v>2.4918923379785803E-2</c:v>
                </c:pt>
                <c:pt idx="105">
                  <c:v>2.5364130480377521E-2</c:v>
                </c:pt>
                <c:pt idx="106">
                  <c:v>2.5813597935998814E-2</c:v>
                </c:pt>
                <c:pt idx="107">
                  <c:v>2.6267325746649705E-2</c:v>
                </c:pt>
                <c:pt idx="108">
                  <c:v>2.6725313912330174E-2</c:v>
                </c:pt>
                <c:pt idx="109">
                  <c:v>2.7187562433040234E-2</c:v>
                </c:pt>
                <c:pt idx="110">
                  <c:v>2.7654071308779879E-2</c:v>
                </c:pt>
                <c:pt idx="111">
                  <c:v>2.8124840539549115E-2</c:v>
                </c:pt>
                <c:pt idx="112">
                  <c:v>2.8599870125347926E-2</c:v>
                </c:pt>
                <c:pt idx="113">
                  <c:v>2.9079160066176325E-2</c:v>
                </c:pt>
                <c:pt idx="114">
                  <c:v>2.9562710362034315E-2</c:v>
                </c:pt>
                <c:pt idx="115">
                  <c:v>3.0050521012921889E-2</c:v>
                </c:pt>
                <c:pt idx="116">
                  <c:v>3.0542592018839056E-2</c:v>
                </c:pt>
                <c:pt idx="117">
                  <c:v>3.1038923379785806E-2</c:v>
                </c:pt>
                <c:pt idx="118">
                  <c:v>3.1539515095762131E-2</c:v>
                </c:pt>
                <c:pt idx="119">
                  <c:v>3.2044367166768048E-2</c:v>
                </c:pt>
                <c:pt idx="120">
                  <c:v>3.2553479592803553E-2</c:v>
                </c:pt>
                <c:pt idx="121">
                  <c:v>3.3066852373868645E-2</c:v>
                </c:pt>
                <c:pt idx="122">
                  <c:v>3.3584485509963319E-2</c:v>
                </c:pt>
                <c:pt idx="123">
                  <c:v>3.4106379001087581E-2</c:v>
                </c:pt>
                <c:pt idx="124">
                  <c:v>3.463253284724143E-2</c:v>
                </c:pt>
                <c:pt idx="125">
                  <c:v>3.5162947048424847E-2</c:v>
                </c:pt>
                <c:pt idx="126">
                  <c:v>3.5697621604637873E-2</c:v>
                </c:pt>
                <c:pt idx="127">
                  <c:v>3.6236556515880466E-2</c:v>
                </c:pt>
                <c:pt idx="128">
                  <c:v>3.6779751782152675E-2</c:v>
                </c:pt>
                <c:pt idx="129">
                  <c:v>3.7327207403454445E-2</c:v>
                </c:pt>
                <c:pt idx="130">
                  <c:v>3.7878923379785802E-2</c:v>
                </c:pt>
                <c:pt idx="131">
                  <c:v>3.8434899711146775E-2</c:v>
                </c:pt>
                <c:pt idx="132">
                  <c:v>3.8995136397537274E-2</c:v>
                </c:pt>
                <c:pt idx="133">
                  <c:v>3.9559633438957409E-2</c:v>
                </c:pt>
                <c:pt idx="134">
                  <c:v>4.0128390835407098E-2</c:v>
                </c:pt>
                <c:pt idx="135">
                  <c:v>4.0701408586886409E-2</c:v>
                </c:pt>
                <c:pt idx="136">
                  <c:v>4.127868669339526E-2</c:v>
                </c:pt>
                <c:pt idx="137">
                  <c:v>4.1860225154933733E-2</c:v>
                </c:pt>
                <c:pt idx="138">
                  <c:v>4.2446023971501781E-2</c:v>
                </c:pt>
                <c:pt idx="139">
                  <c:v>4.3036083143099424E-2</c:v>
                </c:pt>
                <c:pt idx="140">
                  <c:v>4.3630402669726634E-2</c:v>
                </c:pt>
                <c:pt idx="141">
                  <c:v>4.4228982551383446E-2</c:v>
                </c:pt>
                <c:pt idx="142">
                  <c:v>4.4831822788069839E-2</c:v>
                </c:pt>
                <c:pt idx="143">
                  <c:v>4.5438923379785806E-2</c:v>
                </c:pt>
                <c:pt idx="144">
                  <c:v>4.6050284326531361E-2</c:v>
                </c:pt>
                <c:pt idx="145">
                  <c:v>4.6665905628306519E-2</c:v>
                </c:pt>
                <c:pt idx="146">
                  <c:v>4.7285787285111243E-2</c:v>
                </c:pt>
                <c:pt idx="147">
                  <c:v>4.7909929296945562E-2</c:v>
                </c:pt>
                <c:pt idx="148">
                  <c:v>4.8538331663809463E-2</c:v>
                </c:pt>
                <c:pt idx="149">
                  <c:v>4.9170994385702958E-2</c:v>
                </c:pt>
                <c:pt idx="150">
                  <c:v>4.9807917462626021E-2</c:v>
                </c:pt>
              </c:numCache>
            </c:numRef>
          </c:yVal>
          <c:smooth val="1"/>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31.248953353019246</c:v>
                </c:pt>
                <c:pt idx="1">
                  <c:v>31.248751760758111</c:v>
                </c:pt>
                <c:pt idx="2">
                  <c:v>31.248540677776205</c:v>
                </c:pt>
                <c:pt idx="3">
                  <c:v>31.248319657756252</c:v>
                </c:pt>
                <c:pt idx="4">
                  <c:v>31.248088233439788</c:v>
                </c:pt>
                <c:pt idx="5">
                  <c:v>31.247845915649151</c:v>
                </c:pt>
                <c:pt idx="6">
                  <c:v>31.247592192264349</c:v>
                </c:pt>
                <c:pt idx="7">
                  <c:v>31.247326527152516</c:v>
                </c:pt>
                <c:pt idx="8">
                  <c:v>31.247048359048051</c:v>
                </c:pt>
                <c:pt idx="9">
                  <c:v>31.246757100381217</c:v>
                </c:pt>
                <c:pt idx="10">
                  <c:v>31.246452136052305</c:v>
                </c:pt>
                <c:pt idx="11">
                  <c:v>31.246132822150003</c:v>
                </c:pt>
                <c:pt idx="12">
                  <c:v>31.24579848461055</c:v>
                </c:pt>
                <c:pt idx="13">
                  <c:v>31.245448417815147</c:v>
                </c:pt>
                <c:pt idx="14">
                  <c:v>31.245081883123493</c:v>
                </c:pt>
                <c:pt idx="15">
                  <c:v>31.244698107339751</c:v>
                </c:pt>
                <c:pt idx="16">
                  <c:v>31.244296281108713</c:v>
                </c:pt>
                <c:pt idx="17">
                  <c:v>31.243875557238351</c:v>
                </c:pt>
                <c:pt idx="18">
                  <c:v>31.243435048946345</c:v>
                </c:pt>
                <c:pt idx="19">
                  <c:v>31.242973828026454</c:v>
                </c:pt>
                <c:pt idx="20">
                  <c:v>31.242490922931555</c:v>
                </c:pt>
                <c:pt idx="21">
                  <c:v>31.241985316770059</c:v>
                </c:pt>
                <c:pt idx="22">
                  <c:v>31.24145594521114</c:v>
                </c:pt>
                <c:pt idx="23">
                  <c:v>31.240901694295857</c:v>
                </c:pt>
                <c:pt idx="24">
                  <c:v>31.240321398148883</c:v>
                </c:pt>
                <c:pt idx="25">
                  <c:v>31.239713836588084</c:v>
                </c:pt>
                <c:pt idx="26">
                  <c:v>31.239077732625972</c:v>
                </c:pt>
                <c:pt idx="27">
                  <c:v>31.238411749859782</c:v>
                </c:pt>
                <c:pt idx="28">
                  <c:v>31.237714489744835</c:v>
                </c:pt>
                <c:pt idx="29">
                  <c:v>31.23698448874633</c:v>
                </c:pt>
                <c:pt idx="30">
                  <c:v>31.236220215364476</c:v>
                </c:pt>
                <c:pt idx="31">
                  <c:v>31.235420067028041</c:v>
                </c:pt>
                <c:pt idx="32">
                  <c:v>31.234582366850681</c:v>
                </c:pt>
                <c:pt idx="33">
                  <c:v>31.233705360244194</c:v>
                </c:pt>
                <c:pt idx="34">
                  <c:v>31.23278721138346</c:v>
                </c:pt>
                <c:pt idx="35">
                  <c:v>31.231825999516719</c:v>
                </c:pt>
                <c:pt idx="36">
                  <c:v>31.230819715115061</c:v>
                </c:pt>
                <c:pt idx="37">
                  <c:v>31.229766255855065</c:v>
                </c:pt>
                <c:pt idx="38">
                  <c:v>31.228663422427552</c:v>
                </c:pt>
                <c:pt idx="39">
                  <c:v>31.227508914166574</c:v>
                </c:pt>
                <c:pt idx="40">
                  <c:v>31.226300324490794</c:v>
                </c:pt>
                <c:pt idx="41">
                  <c:v>31.225035136150851</c:v>
                </c:pt>
                <c:pt idx="42">
                  <c:v>31.223710716275562</c:v>
                </c:pt>
                <c:pt idx="43">
                  <c:v>31.222324311208787</c:v>
                </c:pt>
                <c:pt idx="44">
                  <c:v>31.220873041130663</c:v>
                </c:pt>
                <c:pt idx="45">
                  <c:v>31.219353894454059</c:v>
                </c:pt>
                <c:pt idx="46">
                  <c:v>31.217763721989932</c:v>
                </c:pt>
                <c:pt idx="47">
                  <c:v>31.216099230872278</c:v>
                </c:pt>
                <c:pt idx="48">
                  <c:v>31.214356978235859</c:v>
                </c:pt>
                <c:pt idx="49">
                  <c:v>31.212533364637505</c:v>
                </c:pt>
                <c:pt idx="50">
                  <c:v>31.210624627213473</c:v>
                </c:pt>
                <c:pt idx="51">
                  <c:v>31.208626832564633</c:v>
                </c:pt>
                <c:pt idx="52">
                  <c:v>31.206535869360831</c:v>
                </c:pt>
                <c:pt idx="53">
                  <c:v>31.20434744065658</c:v>
                </c:pt>
                <c:pt idx="54">
                  <c:v>31.202057055909602</c:v>
                </c:pt>
                <c:pt idx="55">
                  <c:v>31.1996600226948</c:v>
                </c:pt>
                <c:pt idx="56">
                  <c:v>31.197151438104854</c:v>
                </c:pt>
                <c:pt idx="57">
                  <c:v>31.194526179830202</c:v>
                </c:pt>
                <c:pt idx="58">
                  <c:v>31.191778896911273</c:v>
                </c:pt>
                <c:pt idx="59">
                  <c:v>31.188904000155034</c:v>
                </c:pt>
                <c:pt idx="60">
                  <c:v>31.185895652209442</c:v>
                </c:pt>
                <c:pt idx="61">
                  <c:v>31.182747757289846</c:v>
                </c:pt>
                <c:pt idx="62">
                  <c:v>31.179453950550617</c:v>
                </c:pt>
                <c:pt idx="63">
                  <c:v>31.176007587097917</c:v>
                </c:pt>
                <c:pt idx="64">
                  <c:v>31.172401730638043</c:v>
                </c:pt>
                <c:pt idx="65">
                  <c:v>31.168629141758718</c:v>
                </c:pt>
                <c:pt idx="66">
                  <c:v>31.164682265839826</c:v>
                </c:pt>
                <c:pt idx="67">
                  <c:v>31.160553220592739</c:v>
                </c:pt>
                <c:pt idx="68">
                  <c:v>31.156233783227005</c:v>
                </c:pt>
                <c:pt idx="69">
                  <c:v>31.151715377246305</c:v>
                </c:pt>
                <c:pt idx="70">
                  <c:v>31.146989058875192</c:v>
                </c:pt>
                <c:pt idx="71">
                  <c:v>31.142045503121704</c:v>
                </c:pt>
                <c:pt idx="72">
                  <c:v>31.136874989481203</c:v>
                </c:pt>
                <c:pt idx="73">
                  <c:v>31.131467387290051</c:v>
                </c:pt>
                <c:pt idx="74">
                  <c:v>31.125812140739257</c:v>
                </c:pt>
                <c:pt idx="75">
                  <c:v>31.119898253561328</c:v>
                </c:pt>
                <c:pt idx="76">
                  <c:v>31.113714273405705</c:v>
                </c:pt>
                <c:pt idx="77">
                  <c:v>31.107248275921734</c:v>
                </c:pt>
                <c:pt idx="78">
                  <c:v>31.100487848571191</c:v>
                </c:pt>
                <c:pt idx="79">
                  <c:v>31.093420074195592</c:v>
                </c:pt>
                <c:pt idx="80">
                  <c:v>31.086031514368003</c:v>
                </c:pt>
                <c:pt idx="81">
                  <c:v>31.078308192562744</c:v>
                </c:pt>
                <c:pt idx="82">
                  <c:v>31.070235577180853</c:v>
                </c:pt>
                <c:pt idx="83">
                  <c:v>31.061798564474415</c:v>
                </c:pt>
                <c:pt idx="84">
                  <c:v>31.052981461417186</c:v>
                </c:pt>
                <c:pt idx="85">
                  <c:v>31.043767968575455</c:v>
                </c:pt>
                <c:pt idx="86">
                  <c:v>31.034141163037457</c:v>
                </c:pt>
                <c:pt idx="87">
                  <c:v>31.024083481467592</c:v>
                </c:pt>
                <c:pt idx="88">
                  <c:v>31.013576703356399</c:v>
                </c:pt>
                <c:pt idx="89">
                  <c:v>31.002601934545456</c:v>
                </c:pt>
                <c:pt idx="90">
                  <c:v>30.99113959111201</c:v>
                </c:pt>
                <c:pt idx="91">
                  <c:v>30.979169383707763</c:v>
                </c:pt>
                <c:pt idx="92">
                  <c:v>30.966670302451192</c:v>
                </c:pt>
                <c:pt idx="93">
                  <c:v>30.953620602483063</c:v>
                </c:pt>
                <c:pt idx="94">
                  <c:v>30.939997790301636</c:v>
                </c:pt>
                <c:pt idx="95">
                  <c:v>30.925778611002851</c:v>
                </c:pt>
                <c:pt idx="96">
                  <c:v>30.910939036559</c:v>
                </c:pt>
                <c:pt idx="97">
                  <c:v>30.895454255277969</c:v>
                </c:pt>
                <c:pt idx="98">
                  <c:v>30.879298662593438</c:v>
                </c:pt>
                <c:pt idx="99">
                  <c:v>30.862445853344852</c:v>
                </c:pt>
                <c:pt idx="100">
                  <c:v>30.844868615713814</c:v>
                </c:pt>
                <c:pt idx="101">
                  <c:v>30.826538926991486</c:v>
                </c:pt>
                <c:pt idx="102">
                  <c:v>30.807427951358761</c:v>
                </c:pt>
                <c:pt idx="103">
                  <c:v>30.78750603986748</c:v>
                </c:pt>
                <c:pt idx="104">
                  <c:v>30.766742732817015</c:v>
                </c:pt>
                <c:pt idx="105">
                  <c:v>30.745106764725708</c:v>
                </c:pt>
                <c:pt idx="106">
                  <c:v>30.722566072099976</c:v>
                </c:pt>
                <c:pt idx="107">
                  <c:v>30.699087804207007</c:v>
                </c:pt>
                <c:pt idx="108">
                  <c:v>30.674638337058184</c:v>
                </c:pt>
                <c:pt idx="109">
                  <c:v>30.649183290808924</c:v>
                </c:pt>
                <c:pt idx="110">
                  <c:v>30.622687550779631</c:v>
                </c:pt>
                <c:pt idx="111">
                  <c:v>30.595115292296434</c:v>
                </c:pt>
                <c:pt idx="112">
                  <c:v>30.566430009544362</c:v>
                </c:pt>
                <c:pt idx="113">
                  <c:v>30.536594548616183</c:v>
                </c:pt>
                <c:pt idx="114">
                  <c:v>30.505571144927654</c:v>
                </c:pt>
                <c:pt idx="115">
                  <c:v>30.473321465154768</c:v>
                </c:pt>
                <c:pt idx="116">
                  <c:v>30.439806653831276</c:v>
                </c:pt>
                <c:pt idx="117">
                  <c:v>30.404987384722158</c:v>
                </c:pt>
                <c:pt idx="118">
                  <c:v>30.368823917065196</c:v>
                </c:pt>
                <c:pt idx="119">
                  <c:v>30.331276156743883</c:v>
                </c:pt>
                <c:pt idx="120">
                  <c:v>30.292303722423682</c:v>
                </c:pt>
                <c:pt idx="121">
                  <c:v>30.251866016648794</c:v>
                </c:pt>
                <c:pt idx="122">
                  <c:v>30.209922301857972</c:v>
                </c:pt>
                <c:pt idx="123">
                  <c:v>30.166431781236881</c:v>
                </c:pt>
                <c:pt idx="124">
                  <c:v>30.121353684280166</c:v>
                </c:pt>
                <c:pt idx="125">
                  <c:v>30.074647356888697</c:v>
                </c:pt>
                <c:pt idx="126">
                  <c:v>30.026272355779092</c:v>
                </c:pt>
                <c:pt idx="127">
                  <c:v>29.97618854693112</c:v>
                </c:pt>
                <c:pt idx="128">
                  <c:v>29.924356207746058</c:v>
                </c:pt>
                <c:pt idx="129">
                  <c:v>29.870736132536145</c:v>
                </c:pt>
                <c:pt idx="130">
                  <c:v>29.815289740913112</c:v>
                </c:pt>
                <c:pt idx="131">
                  <c:v>29.757979188589982</c:v>
                </c:pt>
                <c:pt idx="132">
                  <c:v>29.698767480061687</c:v>
                </c:pt>
                <c:pt idx="133">
                  <c:v>29.637618582580206</c:v>
                </c:pt>
                <c:pt idx="134">
                  <c:v>29.57449754079699</c:v>
                </c:pt>
                <c:pt idx="135">
                  <c:v>29.509370591403542</c:v>
                </c:pt>
                <c:pt idx="136">
                  <c:v>29.442205277066492</c:v>
                </c:pt>
                <c:pt idx="137">
                  <c:v>29.37297055892461</c:v>
                </c:pt>
                <c:pt idx="138">
                  <c:v>29.301636926892517</c:v>
                </c:pt>
                <c:pt idx="139">
                  <c:v>29.228176507000875</c:v>
                </c:pt>
                <c:pt idx="140">
                  <c:v>29.152563164997876</c:v>
                </c:pt>
                <c:pt idx="141">
                  <c:v>29.07477260543763</c:v>
                </c:pt>
                <c:pt idx="142">
                  <c:v>28.994782465494108</c:v>
                </c:pt>
                <c:pt idx="143">
                  <c:v>28.912572402760258</c:v>
                </c:pt>
                <c:pt idx="144">
                  <c:v>28.828124176322724</c:v>
                </c:pt>
                <c:pt idx="145">
                  <c:v>28.741421720442844</c:v>
                </c:pt>
                <c:pt idx="146">
                  <c:v>28.652451210224829</c:v>
                </c:pt>
                <c:pt idx="147">
                  <c:v>28.561201118709789</c:v>
                </c:pt>
                <c:pt idx="148">
                  <c:v>28.467662264901392</c:v>
                </c:pt>
                <c:pt idx="149">
                  <c:v>28.371827852301781</c:v>
                </c:pt>
                <c:pt idx="150">
                  <c:v>28.273693497617906</c:v>
                </c:pt>
                <c:pt idx="151">
                  <c:v>28.173257249381848</c:v>
                </c:pt>
                <c:pt idx="152">
                  <c:v>28.070519596319336</c:v>
                </c:pt>
                <c:pt idx="153">
                  <c:v>27.9654834653915</c:v>
                </c:pt>
                <c:pt idx="154">
                  <c:v>27.858154209527555</c:v>
                </c:pt>
                <c:pt idx="155">
                  <c:v>27.748539585159531</c:v>
                </c:pt>
                <c:pt idx="156">
                  <c:v>27.636649719760214</c:v>
                </c:pt>
                <c:pt idx="157">
                  <c:v>27.522497069672692</c:v>
                </c:pt>
                <c:pt idx="158">
                  <c:v>27.406096368605738</c:v>
                </c:pt>
                <c:pt idx="159">
                  <c:v>27.28746456724247</c:v>
                </c:pt>
                <c:pt idx="160">
                  <c:v>27.166620764487025</c:v>
                </c:pt>
                <c:pt idx="161">
                  <c:v>27.043586130931008</c:v>
                </c:pt>
                <c:pt idx="162">
                  <c:v>26.918383825181039</c:v>
                </c:pt>
                <c:pt idx="163">
                  <c:v>26.79103890373332</c:v>
                </c:pt>
                <c:pt idx="164">
                  <c:v>26.661578225117889</c:v>
                </c:pt>
                <c:pt idx="165">
                  <c:v>26.530030349062017</c:v>
                </c:pt>
                <c:pt idx="166">
                  <c:v>26.396425431441173</c:v>
                </c:pt>
                <c:pt idx="167">
                  <c:v>26.260795115792405</c:v>
                </c:pt>
                <c:pt idx="168">
                  <c:v>26.123172422166419</c:v>
                </c:pt>
                <c:pt idx="169">
                  <c:v>25.983591634081669</c:v>
                </c:pt>
                <c:pt idx="170">
                  <c:v>25.842088184329835</c:v>
                </c:pt>
                <c:pt idx="171">
                  <c:v>25.698698540354275</c:v>
                </c:pt>
                <c:pt idx="172">
                  <c:v>25.553460089892699</c:v>
                </c:pt>
                <c:pt idx="173">
                  <c:v>25.406411027537693</c:v>
                </c:pt>
                <c:pt idx="174">
                  <c:v>25.257590242827423</c:v>
                </c:pt>
                <c:pt idx="175">
                  <c:v>25.107037210429954</c:v>
                </c:pt>
                <c:pt idx="176">
                  <c:v>24.95479188294032</c:v>
                </c:pt>
                <c:pt idx="177">
                  <c:v>24.800894586753085</c:v>
                </c:pt>
                <c:pt idx="178">
                  <c:v>24.645385921424172</c:v>
                </c:pt>
                <c:pt idx="179">
                  <c:v>24.488306662881037</c:v>
                </c:pt>
                <c:pt idx="180">
                  <c:v>24.329697670788327</c:v>
                </c:pt>
                <c:pt idx="181">
                  <c:v>24.169599800322924</c:v>
                </c:pt>
                <c:pt idx="182">
                  <c:v>24.008053818563823</c:v>
                </c:pt>
                <c:pt idx="183">
                  <c:v>23.845100325651906</c:v>
                </c:pt>
                <c:pt idx="184">
                  <c:v>23.680779680830035</c:v>
                </c:pt>
                <c:pt idx="185">
                  <c:v>23.515131933429178</c:v>
                </c:pt>
                <c:pt idx="186">
                  <c:v>23.348196758828941</c:v>
                </c:pt>
                <c:pt idx="187">
                  <c:v>23.180013399379519</c:v>
                </c:pt>
                <c:pt idx="188">
                  <c:v>23.010620610242366</c:v>
                </c:pt>
                <c:pt idx="189">
                  <c:v>22.840056610075784</c:v>
                </c:pt>
                <c:pt idx="190">
                  <c:v>22.668359036461982</c:v>
                </c:pt>
                <c:pt idx="191">
                  <c:v>22.495564905953643</c:v>
                </c:pt>
                <c:pt idx="192">
                  <c:v>22.321710578594104</c:v>
                </c:pt>
                <c:pt idx="193">
                  <c:v>22.146831726749191</c:v>
                </c:pt>
                <c:pt idx="194">
                  <c:v>21.970963308076321</c:v>
                </c:pt>
                <c:pt idx="195">
                  <c:v>21.79413954244432</c:v>
                </c:pt>
                <c:pt idx="196">
                  <c:v>21.616393892607867</c:v>
                </c:pt>
                <c:pt idx="197">
                  <c:v>21.437759048437712</c:v>
                </c:pt>
                <c:pt idx="198">
                  <c:v>21.258266914500169</c:v>
                </c:pt>
                <c:pt idx="199">
                  <c:v>21.077948600781426</c:v>
                </c:pt>
                <c:pt idx="200">
                  <c:v>20.896834416349943</c:v>
                </c:pt>
                <c:pt idx="201">
                  <c:v>20.714953865752278</c:v>
                </c:pt>
                <c:pt idx="202">
                  <c:v>20.532335647942467</c:v>
                </c:pt>
                <c:pt idx="203">
                  <c:v>20.349007657546775</c:v>
                </c:pt>
                <c:pt idx="204">
                  <c:v>20.164996988273476</c:v>
                </c:pt>
                <c:pt idx="205">
                  <c:v>19.980329938282694</c:v>
                </c:pt>
                <c:pt idx="206">
                  <c:v>19.795032017336897</c:v>
                </c:pt>
                <c:pt idx="207">
                  <c:v>19.609127955562798</c:v>
                </c:pt>
                <c:pt idx="208">
                  <c:v>19.422641713661257</c:v>
                </c:pt>
                <c:pt idx="209">
                  <c:v>19.235596494410174</c:v>
                </c:pt>
                <c:pt idx="210">
                  <c:v>19.048014755315354</c:v>
                </c:pt>
                <c:pt idx="211">
                  <c:v>18.859918222270007</c:v>
                </c:pt>
                <c:pt idx="212">
                  <c:v>18.671327904095453</c:v>
                </c:pt>
                <c:pt idx="213">
                  <c:v>18.482264107840646</c:v>
                </c:pt>
                <c:pt idx="214">
                  <c:v>18.292746454728807</c:v>
                </c:pt>
                <c:pt idx="215">
                  <c:v>18.102793896647064</c:v>
                </c:pt>
                <c:pt idx="216">
                  <c:v>17.912424733081579</c:v>
                </c:pt>
                <c:pt idx="217">
                  <c:v>17.721656628410351</c:v>
                </c:pt>
                <c:pt idx="218">
                  <c:v>17.530506629471784</c:v>
                </c:pt>
                <c:pt idx="219">
                  <c:v>17.338991183334379</c:v>
                </c:pt>
                <c:pt idx="220">
                  <c:v>17.147126155200695</c:v>
                </c:pt>
                <c:pt idx="221">
                  <c:v>16.954926846382982</c:v>
                </c:pt>
                <c:pt idx="222">
                  <c:v>16.762408012297037</c:v>
                </c:pt>
                <c:pt idx="223">
                  <c:v>16.569583880422972</c:v>
                </c:pt>
                <c:pt idx="224">
                  <c:v>16.376468168190573</c:v>
                </c:pt>
                <c:pt idx="225">
                  <c:v>16.183074100748954</c:v>
                </c:pt>
                <c:pt idx="226">
                  <c:v>15.989414428586715</c:v>
                </c:pt>
                <c:pt idx="227">
                  <c:v>15.795501444973311</c:v>
                </c:pt>
                <c:pt idx="228">
                  <c:v>15.601347003195363</c:v>
                </c:pt>
                <c:pt idx="229">
                  <c:v>15.406962533565382</c:v>
                </c:pt>
                <c:pt idx="230">
                  <c:v>15.212359060186371</c:v>
                </c:pt>
                <c:pt idx="231">
                  <c:v>15.017547217455363</c:v>
                </c:pt>
                <c:pt idx="232">
                  <c:v>14.822537266295354</c:v>
                </c:pt>
                <c:pt idx="233">
                  <c:v>14.62733911010438</c:v>
                </c:pt>
                <c:pt idx="234">
                  <c:v>14.431962310417594</c:v>
                </c:pt>
                <c:pt idx="235">
                  <c:v>14.236416102275411</c:v>
                </c:pt>
                <c:pt idx="236">
                  <c:v>14.040709409296708</c:v>
                </c:pt>
                <c:pt idx="237">
                  <c:v>13.844850858456621</c:v>
                </c:pt>
                <c:pt idx="238">
                  <c:v>13.648848794569375</c:v>
                </c:pt>
                <c:pt idx="239">
                  <c:v>13.452711294480292</c:v>
                </c:pt>
                <c:pt idx="240">
                  <c:v>13.256446180970505</c:v>
                </c:pt>
                <c:pt idx="241">
                  <c:v>13.060061036379761</c:v>
                </c:pt>
                <c:pt idx="242">
                  <c:v>12.863563215954992</c:v>
                </c:pt>
                <c:pt idx="243">
                  <c:v>12.666959860931923</c:v>
                </c:pt>
                <c:pt idx="244">
                  <c:v>12.470257911358198</c:v>
                </c:pt>
                <c:pt idx="245">
                  <c:v>12.273464118668114</c:v>
                </c:pt>
                <c:pt idx="246">
                  <c:v>12.076585058018951</c:v>
                </c:pt>
                <c:pt idx="247">
                  <c:v>11.879627140399995</c:v>
                </c:pt>
                <c:pt idx="248">
                  <c:v>11.68259662452555</c:v>
                </c:pt>
                <c:pt idx="249">
                  <c:v>11.485499628524163</c:v>
                </c:pt>
                <c:pt idx="250">
                  <c:v>11.28834214143615</c:v>
                </c:pt>
                <c:pt idx="251">
                  <c:v>11.091130034532831</c:v>
                </c:pt>
                <c:pt idx="252">
                  <c:v>10.893869072470057</c:v>
                </c:pt>
                <c:pt idx="253">
                  <c:v>10.696564924289035</c:v>
                </c:pt>
                <c:pt idx="254">
                  <c:v>10.499223174279999</c:v>
                </c:pt>
                <c:pt idx="255">
                  <c:v>10.301849332719147</c:v>
                </c:pt>
                <c:pt idx="256">
                  <c:v>10.104448846496881</c:v>
                </c:pt>
                <c:pt idx="257">
                  <c:v>9.9070271096476112</c:v>
                </c:pt>
                <c:pt idx="258">
                  <c:v>9.7095894737979691</c:v>
                </c:pt>
                <c:pt idx="259">
                  <c:v>9.5121412585459044</c:v>
                </c:pt>
                <c:pt idx="260">
                  <c:v>9.3146877617862316</c:v>
                </c:pt>
                <c:pt idx="261">
                  <c:v>9.1172342699951887</c:v>
                </c:pt>
                <c:pt idx="262">
                  <c:v>8.9197860684899339</c:v>
                </c:pt>
                <c:pt idx="263">
                  <c:v>8.7223484516757459</c:v>
                </c:pt>
                <c:pt idx="264">
                  <c:v>8.524926733295251</c:v>
                </c:pt>
                <c:pt idx="265">
                  <c:v>8.3275262566937425</c:v>
                </c:pt>
                <c:pt idx="266">
                  <c:v>8.1301524051144582</c:v>
                </c:pt>
                <c:pt idx="267">
                  <c:v>7.9328106120363788</c:v>
                </c:pt>
                <c:pt idx="268">
                  <c:v>7.7355063715689223</c:v>
                </c:pt>
                <c:pt idx="269">
                  <c:v>7.5382452489162146</c:v>
                </c:pt>
                <c:pt idx="270">
                  <c:v>7.3410328909234437</c:v>
                </c:pt>
                <c:pt idx="271">
                  <c:v>7.1438750367179669</c:v>
                </c:pt>
                <c:pt idx="272">
                  <c:v>6.9467775284567868</c:v>
                </c:pt>
                <c:pt idx="273">
                  <c:v>6.7497463221933183</c:v>
                </c:pt>
                <c:pt idx="274">
                  <c:v>6.5527874988726236</c:v>
                </c:pt>
                <c:pt idx="275">
                  <c:v>6.355907275466965</c:v>
                </c:pt>
                <c:pt idx="276">
                  <c:v>6.1591120162621458</c:v>
                </c:pt>
                <c:pt idx="277">
                  <c:v>5.9624082443021074</c:v>
                </c:pt>
                <c:pt idx="278">
                  <c:v>5.7658026530023276</c:v>
                </c:pt>
                <c:pt idx="279">
                  <c:v>5.5693021179387276</c:v>
                </c:pt>
                <c:pt idx="280">
                  <c:v>5.3729137088185492</c:v>
                </c:pt>
                <c:pt idx="281">
                  <c:v>5.1766447016403969</c:v>
                </c:pt>
                <c:pt idx="282">
                  <c:v>4.9805025910462319</c:v>
                </c:pt>
                <c:pt idx="283">
                  <c:v>4.7844951028700509</c:v>
                </c:pt>
                <c:pt idx="284">
                  <c:v>4.5886302068849467</c:v>
                </c:pt>
                <c:pt idx="285">
                  <c:v>4.392916129748123</c:v>
                </c:pt>
                <c:pt idx="286">
                  <c:v>4.1973613681443416</c:v>
                </c:pt>
                <c:pt idx="287">
                  <c:v>4.0019747021224878</c:v>
                </c:pt>
                <c:pt idx="288">
                  <c:v>3.8067652086221737</c:v>
                </c:pt>
                <c:pt idx="289">
                  <c:v>3.6117422751818342</c:v>
                </c:pt>
                <c:pt idx="290">
                  <c:v>3.4169156138189183</c:v>
                </c:pt>
                <c:pt idx="291">
                  <c:v>3.2222952750698552</c:v>
                </c:pt>
                <c:pt idx="292">
                  <c:v>3.0278916621743224</c:v>
                </c:pt>
                <c:pt idx="293">
                  <c:v>2.8337155453858682</c:v>
                </c:pt>
                <c:pt idx="294">
                  <c:v>2.639778076386492</c:v>
                </c:pt>
                <c:pt idx="295">
                  <c:v>2.4460908027808621</c:v>
                </c:pt>
                <c:pt idx="296">
                  <c:v>2.2526656826396239</c:v>
                </c:pt>
                <c:pt idx="297">
                  <c:v>2.0595150990596549</c:v>
                </c:pt>
                <c:pt idx="298">
                  <c:v>1.8666518747022487</c:v>
                </c:pt>
                <c:pt idx="299">
                  <c:v>1.6740892862667209</c:v>
                </c:pt>
                <c:pt idx="300">
                  <c:v>1.4818410788519301</c:v>
                </c:pt>
                <c:pt idx="301">
                  <c:v>1.2899214801513301</c:v>
                </c:pt>
                <c:pt idx="302">
                  <c:v>1.098345214423109</c:v>
                </c:pt>
                <c:pt idx="303">
                  <c:v>0.90712751616907517</c:v>
                </c:pt>
                <c:pt idx="304">
                  <c:v>0.71628414345092062</c:v>
                </c:pt>
                <c:pt idx="305">
                  <c:v>0.52583139076478613</c:v>
                </c:pt>
                <c:pt idx="306">
                  <c:v>0.33578610138736176</c:v>
                </c:pt>
                <c:pt idx="307">
                  <c:v>0.14616567910138797</c:v>
                </c:pt>
                <c:pt idx="308">
                  <c:v>-4.3011900802538479E-2</c:v>
                </c:pt>
                <c:pt idx="309">
                  <c:v>-0.23172808135605308</c:v>
                </c:pt>
                <c:pt idx="310">
                  <c:v>-0.4199637146934081</c:v>
                </c:pt>
                <c:pt idx="311">
                  <c:v>-0.60769905390819123</c:v>
                </c:pt>
                <c:pt idx="312">
                  <c:v>-0.79491374612170473</c:v>
                </c:pt>
                <c:pt idx="313">
                  <c:v>-0.98158682690602583</c:v>
                </c:pt>
                <c:pt idx="314">
                  <c:v>-1.1676967162148377</c:v>
                </c:pt>
                <c:pt idx="315">
                  <c:v>-1.353221215982858</c:v>
                </c:pt>
                <c:pt idx="316">
                  <c:v>-1.5381375095637286</c:v>
                </c:pt>
                <c:pt idx="317">
                  <c:v>-1.7224221631841612</c:v>
                </c:pt>
                <c:pt idx="318">
                  <c:v>-1.9060511296006364</c:v>
                </c:pt>
                <c:pt idx="319">
                  <c:v>-2.088999754151621</c:v>
                </c:pt>
                <c:pt idx="320">
                  <c:v>-2.2712427834058122</c:v>
                </c:pt>
                <c:pt idx="321">
                  <c:v>-2.4527543766124413</c:v>
                </c:pt>
                <c:pt idx="322">
                  <c:v>-2.6335081201643415</c:v>
                </c:pt>
                <c:pt idx="323">
                  <c:v>-2.8134770452897495</c:v>
                </c:pt>
                <c:pt idx="324">
                  <c:v>-2.9926336491897616</c:v>
                </c:pt>
                <c:pt idx="325">
                  <c:v>-3.1709499198396589</c:v>
                </c:pt>
                <c:pt idx="326">
                  <c:v>-3.3483973646723579</c:v>
                </c:pt>
                <c:pt idx="327">
                  <c:v>-3.5249470433592647</c:v>
                </c:pt>
                <c:pt idx="328">
                  <c:v>-3.7005696048972792</c:v>
                </c:pt>
                <c:pt idx="329">
                  <c:v>-3.8752353292066193</c:v>
                </c:pt>
                <c:pt idx="330">
                  <c:v>-4.0489141734295595</c:v>
                </c:pt>
                <c:pt idx="331">
                  <c:v>-4.2215758231127074</c:v>
                </c:pt>
                <c:pt idx="332">
                  <c:v>-4.3931897484340796</c:v>
                </c:pt>
                <c:pt idx="333">
                  <c:v>-4.563725265622681</c:v>
                </c:pt>
                <c:pt idx="334">
                  <c:v>-4.7331516036905246</c:v>
                </c:pt>
                <c:pt idx="335">
                  <c:v>-4.9014379765758873</c:v>
                </c:pt>
                <c:pt idx="336">
                  <c:v>-5.0685536607633477</c:v>
                </c:pt>
                <c:pt idx="337">
                  <c:v>-5.2344680784168354</c:v>
                </c:pt>
                <c:pt idx="338">
                  <c:v>-5.3991508860219444</c:v>
                </c:pt>
                <c:pt idx="339">
                  <c:v>-5.5625720684966034</c:v>
                </c:pt>
                <c:pt idx="340">
                  <c:v>-5.7247020386837217</c:v>
                </c:pt>
                <c:pt idx="341">
                  <c:v>-5.885511742096055</c:v>
                </c:pt>
                <c:pt idx="342">
                  <c:v>-6.0449727667305773</c:v>
                </c:pt>
                <c:pt idx="343">
                  <c:v>-6.2030574577214797</c:v>
                </c:pt>
                <c:pt idx="344">
                  <c:v>-6.3597390365459674</c:v>
                </c:pt>
                <c:pt idx="345">
                  <c:v>-6.5149917244421731</c:v>
                </c:pt>
                <c:pt idx="346">
                  <c:v>-6.6687908696431206</c:v>
                </c:pt>
                <c:pt idx="347">
                  <c:v>-6.8211130779744718</c:v>
                </c:pt>
                <c:pt idx="348">
                  <c:v>-6.9719363463098141</c:v>
                </c:pt>
                <c:pt idx="349">
                  <c:v>-7.1212401983214431</c:v>
                </c:pt>
                <c:pt idx="350">
                  <c:v>-7.2690058219152345</c:v>
                </c:pt>
                <c:pt idx="351">
                  <c:v>-7.4152162076886796</c:v>
                </c:pt>
                <c:pt idx="352">
                  <c:v>-7.5598562877071487</c:v>
                </c:pt>
                <c:pt idx="353">
                  <c:v>-7.7029130738551119</c:v>
                </c:pt>
                <c:pt idx="354">
                  <c:v>-7.8443757949837911</c:v>
                </c:pt>
                <c:pt idx="355">
                  <c:v>-7.9842360320514398</c:v>
                </c:pt>
                <c:pt idx="356">
                  <c:v>-8.1224878504329521</c:v>
                </c:pt>
                <c:pt idx="357">
                  <c:v>-8.2591279285619965</c:v>
                </c:pt>
                <c:pt idx="358">
                  <c:v>-8.3941556820688152</c:v>
                </c:pt>
                <c:pt idx="359">
                  <c:v>-8.5275733825799378</c:v>
                </c:pt>
                <c:pt idx="360">
                  <c:v>-8.6593862703624271</c:v>
                </c:pt>
                <c:pt idx="361">
                  <c:v>-8.7896026600194315</c:v>
                </c:pt>
                <c:pt idx="362">
                  <c:v>-8.9182340384762711</c:v>
                </c:pt>
                <c:pt idx="363">
                  <c:v>-9.0452951545380671</c:v>
                </c:pt>
                <c:pt idx="364">
                  <c:v>-9.17080409935215</c:v>
                </c:pt>
                <c:pt idx="365">
                  <c:v>-9.2947823771623721</c:v>
                </c:pt>
                <c:pt idx="366">
                  <c:v>-9.4172549658126226</c:v>
                </c:pt>
                <c:pt idx="367">
                  <c:v>-9.5382503665203249</c:v>
                </c:pt>
                <c:pt idx="368">
                  <c:v>-9.6578006425245526</c:v>
                </c:pt>
                <c:pt idx="369">
                  <c:v>-9.775941446282344</c:v>
                </c:pt>
                <c:pt idx="370">
                  <c:v>-9.8927120349779383</c:v>
                </c:pt>
                <c:pt idx="371">
                  <c:v>-10.00815527418334</c:v>
                </c:pt>
                <c:pt idx="372">
                  <c:v>-10.122317629595043</c:v>
                </c:pt>
                <c:pt idx="373">
                  <c:v>-10.235249146851402</c:v>
                </c:pt>
                <c:pt idx="374">
                  <c:v>-10.347003419509571</c:v>
                </c:pt>
                <c:pt idx="375">
                  <c:v>-10.457637545337832</c:v>
                </c:pt>
                <c:pt idx="376">
                  <c:v>-10.567212071143095</c:v>
                </c:pt>
                <c:pt idx="377">
                  <c:v>-10.675790926419475</c:v>
                </c:pt>
                <c:pt idx="378">
                  <c:v>-10.783441346155353</c:v>
                </c:pt>
                <c:pt idx="379">
                  <c:v>-10.890233783187584</c:v>
                </c:pt>
                <c:pt idx="380">
                  <c:v>-10.996241810529519</c:v>
                </c:pt>
                <c:pt idx="381">
                  <c:v>-11.101542014133681</c:v>
                </c:pt>
                <c:pt idx="382">
                  <c:v>-11.206213876574871</c:v>
                </c:pt>
                <c:pt idx="383">
                  <c:v>-11.310339652156197</c:v>
                </c:pt>
                <c:pt idx="384">
                  <c:v>-11.414004233951275</c:v>
                </c:pt>
                <c:pt idx="385">
                  <c:v>-11.517295013300604</c:v>
                </c:pt>
                <c:pt idx="386">
                  <c:v>-11.62030173227636</c:v>
                </c:pt>
                <c:pt idx="387">
                  <c:v>-11.723116329624299</c:v>
                </c:pt>
                <c:pt idx="388">
                  <c:v>-11.825832780679304</c:v>
                </c:pt>
                <c:pt idx="389">
                  <c:v>-11.928546931736715</c:v>
                </c:pt>
                <c:pt idx="390">
                  <c:v>-12.031356329344797</c:v>
                </c:pt>
                <c:pt idx="391">
                  <c:v>-12.134360044965382</c:v>
                </c:pt>
                <c:pt idx="392">
                  <c:v>-12.237658495431017</c:v>
                </c:pt>
                <c:pt idx="393">
                  <c:v>-12.34135325960828</c:v>
                </c:pt>
                <c:pt idx="394">
                  <c:v>-12.445546891661149</c:v>
                </c:pt>
                <c:pt idx="395">
                  <c:v>-12.550342731290504</c:v>
                </c:pt>
                <c:pt idx="396">
                  <c:v>-12.655844711317512</c:v>
                </c:pt>
                <c:pt idx="397">
                  <c:v>-12.762157162963202</c:v>
                </c:pt>
                <c:pt idx="398">
                  <c:v>-12.869384619175223</c:v>
                </c:pt>
                <c:pt idx="399">
                  <c:v>-12.977631616346672</c:v>
                </c:pt>
                <c:pt idx="400">
                  <c:v>-13.087002494772131</c:v>
                </c:pt>
                <c:pt idx="401">
                  <c:v>-13.197601198191066</c:v>
                </c:pt>
                <c:pt idx="402">
                  <c:v>-13.30953107277313</c:v>
                </c:pt>
                <c:pt idx="403">
                  <c:v>-13.422894665911532</c:v>
                </c:pt>
                <c:pt idx="404">
                  <c:v>-13.537793525198513</c:v>
                </c:pt>
                <c:pt idx="405">
                  <c:v>-13.65432799797339</c:v>
                </c:pt>
                <c:pt idx="406">
                  <c:v>-13.772597031843985</c:v>
                </c:pt>
                <c:pt idx="407">
                  <c:v>-13.892697976599289</c:v>
                </c:pt>
                <c:pt idx="408">
                  <c:v>-14.014726387942243</c:v>
                </c:pt>
                <c:pt idx="409">
                  <c:v>-14.138775833485834</c:v>
                </c:pt>
                <c:pt idx="410">
                  <c:v>-14.264937701465248</c:v>
                </c:pt>
                <c:pt idx="411">
                  <c:v>-14.393301012628623</c:v>
                </c:pt>
                <c:pt idx="412">
                  <c:v>-14.523952235772754</c:v>
                </c:pt>
                <c:pt idx="413">
                  <c:v>-14.656975107394402</c:v>
                </c:pt>
                <c:pt idx="414">
                  <c:v>-14.792450455924911</c:v>
                </c:pt>
                <c:pt idx="415">
                  <c:v>-14.930456031012696</c:v>
                </c:pt>
                <c:pt idx="416">
                  <c:v>-15.071066338308468</c:v>
                </c:pt>
                <c:pt idx="417">
                  <c:v>-15.214352480195252</c:v>
                </c:pt>
                <c:pt idx="418">
                  <c:v>-15.360382002891743</c:v>
                </c:pt>
                <c:pt idx="419">
                  <c:v>-15.509218750336128</c:v>
                </c:pt>
                <c:pt idx="420">
                  <c:v>-15.660922725237864</c:v>
                </c:pt>
                <c:pt idx="421">
                  <c:v>-15.815549957660567</c:v>
                </c:pt>
                <c:pt idx="422">
                  <c:v>-15.973152381473483</c:v>
                </c:pt>
                <c:pt idx="423">
                  <c:v>-16.133777718985243</c:v>
                </c:pt>
                <c:pt idx="424">
                  <c:v>-16.297469374042851</c:v>
                </c:pt>
                <c:pt idx="425">
                  <c:v>-16.464266333858667</c:v>
                </c:pt>
                <c:pt idx="426">
                  <c:v>-16.634203079797384</c:v>
                </c:pt>
                <c:pt idx="427">
                  <c:v>-16.807309507335539</c:v>
                </c:pt>
                <c:pt idx="428">
                  <c:v>-16.983610855380171</c:v>
                </c:pt>
                <c:pt idx="429">
                  <c:v>-17.16312764512012</c:v>
                </c:pt>
                <c:pt idx="430">
                  <c:v>-17.345875628554627</c:v>
                </c:pt>
                <c:pt idx="431">
                  <c:v>-17.531865746842868</c:v>
                </c:pt>
                <c:pt idx="432">
                  <c:v>-17.721104098591077</c:v>
                </c:pt>
                <c:pt idx="433">
                  <c:v>-17.913591918193919</c:v>
                </c:pt>
                <c:pt idx="434">
                  <c:v>-18.109325564330053</c:v>
                </c:pt>
                <c:pt idx="435">
                  <c:v>-18.308296518704573</c:v>
                </c:pt>
                <c:pt idx="436">
                  <c:v>-18.510491395129186</c:v>
                </c:pt>
                <c:pt idx="437">
                  <c:v>-18.715891959012307</c:v>
                </c:pt>
                <c:pt idx="438">
                  <c:v>-18.924475157333664</c:v>
                </c:pt>
                <c:pt idx="439">
                  <c:v>-19.136213159160977</c:v>
                </c:pt>
                <c:pt idx="440">
                  <c:v>-19.351073406757905</c:v>
                </c:pt>
                <c:pt idx="441">
                  <c:v>-19.569018677318766</c:v>
                </c:pt>
                <c:pt idx="442">
                  <c:v>-19.790007155346803</c:v>
                </c:pt>
                <c:pt idx="443">
                  <c:v>-20.013992515674744</c:v>
                </c:pt>
                <c:pt idx="444">
                  <c:v>-20.240924017102479</c:v>
                </c:pt>
                <c:pt idx="445">
                  <c:v>-20.47074660659927</c:v>
                </c:pt>
                <c:pt idx="446">
                  <c:v>-20.703401033988232</c:v>
                </c:pt>
                <c:pt idx="447">
                  <c:v>-20.938823976996535</c:v>
                </c:pt>
                <c:pt idx="448">
                  <c:v>-21.176948176517485</c:v>
                </c:pt>
                <c:pt idx="449">
                  <c:v>-21.417702581892293</c:v>
                </c:pt>
                <c:pt idx="450">
                  <c:v>-21.66101250597416</c:v>
                </c:pt>
                <c:pt idx="451">
                  <c:v>-21.90679978969786</c:v>
                </c:pt>
                <c:pt idx="452">
                  <c:v>-22.15498297582764</c:v>
                </c:pt>
                <c:pt idx="453">
                  <c:v>-22.405477491515413</c:v>
                </c:pt>
                <c:pt idx="454">
                  <c:v>-22.658195839250364</c:v>
                </c:pt>
                <c:pt idx="455">
                  <c:v>-22.913047795741335</c:v>
                </c:pt>
                <c:pt idx="456">
                  <c:v>-23.169940618222121</c:v>
                </c:pt>
                <c:pt idx="457">
                  <c:v>-23.4287792576343</c:v>
                </c:pt>
                <c:pt idx="458">
                  <c:v>-23.689466578095391</c:v>
                </c:pt>
                <c:pt idx="459">
                  <c:v>-23.951903582025768</c:v>
                </c:pt>
                <c:pt idx="460">
                  <c:v>-24.215989640268035</c:v>
                </c:pt>
                <c:pt idx="461">
                  <c:v>-24.481622726504227</c:v>
                </c:pt>
                <c:pt idx="462">
                  <c:v>-24.748699655240543</c:v>
                </c:pt>
                <c:pt idx="463">
                  <c:v>-25.017116322606377</c:v>
                </c:pt>
                <c:pt idx="464">
                  <c:v>-25.286767949188167</c:v>
                </c:pt>
                <c:pt idx="465">
                  <c:v>-25.557549324097021</c:v>
                </c:pt>
                <c:pt idx="466">
                  <c:v>-25.829355049453756</c:v>
                </c:pt>
                <c:pt idx="467">
                  <c:v>-26.102079784455356</c:v>
                </c:pt>
                <c:pt idx="468">
                  <c:v>-26.375618488179025</c:v>
                </c:pt>
                <c:pt idx="469">
                  <c:v>-26.649866660269467</c:v>
                </c:pt>
                <c:pt idx="470">
                  <c:v>-26.924720578648078</c:v>
                </c:pt>
                <c:pt idx="471">
                  <c:v>-27.200077533382462</c:v>
                </c:pt>
                <c:pt idx="472">
                  <c:v>-27.47583605585428</c:v>
                </c:pt>
                <c:pt idx="473">
                  <c:v>-27.751896142369294</c:v>
                </c:pt>
                <c:pt idx="474">
                  <c:v>-28.028159471360826</c:v>
                </c:pt>
                <c:pt idx="475">
                  <c:v>-28.30452961335336</c:v>
                </c:pt>
                <c:pt idx="476">
                  <c:v>-28.580912232869228</c:v>
                </c:pt>
                <c:pt idx="477">
                  <c:v>-28.857215281484507</c:v>
                </c:pt>
                <c:pt idx="478">
                  <c:v>-29.133349181270294</c:v>
                </c:pt>
                <c:pt idx="479">
                  <c:v>-29.409226997888233</c:v>
                </c:pt>
                <c:pt idx="480">
                  <c:v>-29.68476460265034</c:v>
                </c:pt>
                <c:pt idx="481">
                  <c:v>-29.95988082289805</c:v>
                </c:pt>
                <c:pt idx="482">
                  <c:v>-30.234497580112439</c:v>
                </c:pt>
                <c:pt idx="483">
                  <c:v>-30.508540015220319</c:v>
                </c:pt>
                <c:pt idx="484">
                  <c:v>-30.781936600632697</c:v>
                </c:pt>
                <c:pt idx="485">
                  <c:v>-31.054619238617676</c:v>
                </c:pt>
                <c:pt idx="486">
                  <c:v>-31.326523345690511</c:v>
                </c:pt>
                <c:pt idx="487">
                  <c:v>-31.59758792278231</c:v>
                </c:pt>
                <c:pt idx="488">
                  <c:v>-31.867755611035093</c:v>
                </c:pt>
                <c:pt idx="489">
                  <c:v>-32.136972733160789</c:v>
                </c:pt>
                <c:pt idx="490">
                  <c:v>-32.405189320389574</c:v>
                </c:pt>
                <c:pt idx="491">
                  <c:v>-32.672359125129731</c:v>
                </c:pt>
                <c:pt idx="492">
                  <c:v>-32.938439619549179</c:v>
                </c:pt>
                <c:pt idx="493">
                  <c:v>-33.203391980382627</c:v>
                </c:pt>
                <c:pt idx="494">
                  <c:v>-33.467181060356111</c:v>
                </c:pt>
                <c:pt idx="495">
                  <c:v>-33.729775346705594</c:v>
                </c:pt>
                <c:pt idx="496">
                  <c:v>-33.991146907348977</c:v>
                </c:pt>
                <c:pt idx="497">
                  <c:v>-34.251271325341243</c:v>
                </c:pt>
                <c:pt idx="498">
                  <c:v>-34.510127622316176</c:v>
                </c:pt>
                <c:pt idx="499">
                  <c:v>-34.767698171672713</c:v>
                </c:pt>
                <c:pt idx="500">
                  <c:v>-35.023968602320522</c:v>
                </c:pt>
                <c:pt idx="501">
                  <c:v>-35.278927693838483</c:v>
                </c:pt>
                <c:pt idx="502">
                  <c:v>-35.532567263936009</c:v>
                </c:pt>
                <c:pt idx="503">
                  <c:v>-35.784882049130573</c:v>
                </c:pt>
                <c:pt idx="504">
                  <c:v>-36.035869579566317</c:v>
                </c:pt>
                <c:pt idx="505">
                  <c:v>-36.285530048907788</c:v>
                </c:pt>
                <c:pt idx="506">
                  <c:v>-36.533866180235449</c:v>
                </c:pt>
                <c:pt idx="507">
                  <c:v>-36.780883088854445</c:v>
                </c:pt>
                <c:pt idx="508">
                  <c:v>-37.026588142912395</c:v>
                </c:pt>
                <c:pt idx="509">
                  <c:v>-37.270990822684567</c:v>
                </c:pt>
                <c:pt idx="510">
                  <c:v>-37.514102579356972</c:v>
                </c:pt>
                <c:pt idx="511">
                  <c:v>-37.755936694087204</c:v>
                </c:pt>
                <c:pt idx="512">
                  <c:v>-37.996508138083257</c:v>
                </c:pt>
                <c:pt idx="513">
                  <c:v>-38.235833434383359</c:v>
                </c:pt>
                <c:pt idx="514">
                  <c:v>-38.473930521967937</c:v>
                </c:pt>
                <c:pt idx="515">
                  <c:v>-38.710818622775946</c:v>
                </c:pt>
                <c:pt idx="516">
                  <c:v>-38.946518112140637</c:v>
                </c:pt>
                <c:pt idx="517">
                  <c:v>-39.181050393097756</c:v>
                </c:pt>
                <c:pt idx="518">
                  <c:v>-39.414437774963893</c:v>
                </c:pt>
                <c:pt idx="519">
                  <c:v>-39.646703356518671</c:v>
                </c:pt>
                <c:pt idx="520">
                  <c:v>-39.877870914072858</c:v>
                </c:pt>
                <c:pt idx="521">
                  <c:v>-40.107964794645653</c:v>
                </c:pt>
                <c:pt idx="522">
                  <c:v>-40.337009814422331</c:v>
                </c:pt>
                <c:pt idx="523">
                  <c:v>-40.565031162615725</c:v>
                </c:pt>
                <c:pt idx="524">
                  <c:v>-40.792054310806293</c:v>
                </c:pt>
                <c:pt idx="525">
                  <c:v>-41.018104927792436</c:v>
                </c:pt>
                <c:pt idx="526">
                  <c:v>-41.243208799944505</c:v>
                </c:pt>
                <c:pt idx="527">
                  <c:v>-41.467391757019563</c:v>
                </c:pt>
                <c:pt idx="528">
                  <c:v>-41.690679603359968</c:v>
                </c:pt>
                <c:pt idx="529">
                  <c:v>-41.913098054374835</c:v>
                </c:pt>
                <c:pt idx="530">
                  <c:v>-42.134672678171356</c:v>
                </c:pt>
                <c:pt idx="531">
                  <c:v>-42.35542884219042</c:v>
                </c:pt>
                <c:pt idx="532">
                  <c:v>-42.575391664674484</c:v>
                </c:pt>
                <c:pt idx="533">
                  <c:v>-42.794585970787445</c:v>
                </c:pt>
                <c:pt idx="534">
                  <c:v>-43.013036253190052</c:v>
                </c:pt>
                <c:pt idx="535">
                  <c:v>-43.230766636867422</c:v>
                </c:pt>
                <c:pt idx="536">
                  <c:v>-43.44780084799779</c:v>
                </c:pt>
                <c:pt idx="537">
                  <c:v>-43.664162186649435</c:v>
                </c:pt>
                <c:pt idx="538">
                  <c:v>-43.879873503086998</c:v>
                </c:pt>
                <c:pt idx="539">
                  <c:v>-44.094957177471336</c:v>
                </c:pt>
                <c:pt idx="540">
                  <c:v>-44.309435102737716</c:v>
                </c:pt>
                <c:pt idx="541">
                  <c:v>-44.523328670440215</c:v>
                </c:pt>
              </c:numCache>
            </c:numRef>
          </c:yVal>
          <c:smooth val="1"/>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-1.8155179320173958</c:v>
                </c:pt>
                <c:pt idx="1">
                  <c:v>-1.8577782964053244</c:v>
                </c:pt>
                <c:pt idx="2">
                  <c:v>-1.9010209959485613</c:v>
                </c:pt>
                <c:pt idx="3">
                  <c:v>-1.9452687668293491</c:v>
                </c:pt>
                <c:pt idx="4">
                  <c:v>-1.9905448644545993</c:v>
                </c:pt>
                <c:pt idx="5">
                  <c:v>-2.0368730748118473</c:v>
                </c:pt>
                <c:pt idx="6">
                  <c:v>-2.084277726037175</c:v>
                </c:pt>
                <c:pt idx="7">
                  <c:v>-2.132783700196454</c:v>
                </c:pt>
                <c:pt idx="8">
                  <c:v>-2.1824164452809902</c:v>
                </c:pt>
                <c:pt idx="9">
                  <c:v>-2.2332019874180933</c:v>
                </c:pt>
                <c:pt idx="10">
                  <c:v>-2.2851669432974098</c:v>
                </c:pt>
                <c:pt idx="11">
                  <c:v>-2.3383385328128359</c:v>
                </c:pt>
                <c:pt idx="12">
                  <c:v>-2.3927445919199397</c:v>
                </c:pt>
                <c:pt idx="13">
                  <c:v>-2.4484135857086189</c:v>
                </c:pt>
                <c:pt idx="14">
                  <c:v>-2.5053746216896156</c:v>
                </c:pt>
                <c:pt idx="15">
                  <c:v>-2.5636574632939402</c:v>
                </c:pt>
                <c:pt idx="16">
                  <c:v>-2.623292543583136</c:v>
                </c:pt>
                <c:pt idx="17">
                  <c:v>-2.6843109791680577</c:v>
                </c:pt>
                <c:pt idx="18">
                  <c:v>-2.7467445843333818</c:v>
                </c:pt>
                <c:pt idx="19">
                  <c:v>-2.8106258853642072</c:v>
                </c:pt>
                <c:pt idx="20">
                  <c:v>-2.8759881350706569</c:v>
                </c:pt>
                <c:pt idx="21">
                  <c:v>-2.9428653275056571</c:v>
                </c:pt>
                <c:pt idx="22">
                  <c:v>-3.0112922128700812</c:v>
                </c:pt>
                <c:pt idx="23">
                  <c:v>-3.0813043125991268</c:v>
                </c:pt>
                <c:pt idx="24">
                  <c:v>-3.15293793462219</c:v>
                </c:pt>
                <c:pt idx="25">
                  <c:v>-3.2262301887883802</c:v>
                </c:pt>
                <c:pt idx="26">
                  <c:v>-3.3012190024478301</c:v>
                </c:pt>
                <c:pt idx="27">
                  <c:v>-3.3779431361789047</c:v>
                </c:pt>
                <c:pt idx="28">
                  <c:v>-3.4564421996491705</c:v>
                </c:pt>
                <c:pt idx="29">
                  <c:v>-3.5367566675976256</c:v>
                </c:pt>
                <c:pt idx="30">
                  <c:v>-3.618927895923528</c:v>
                </c:pt>
                <c:pt idx="31">
                  <c:v>-3.7029981378664516</c:v>
                </c:pt>
                <c:pt idx="32">
                  <c:v>-3.7890105602594102</c:v>
                </c:pt>
                <c:pt idx="33">
                  <c:v>-3.8770092598373287</c:v>
                </c:pt>
                <c:pt idx="34">
                  <c:v>-3.9670392795783869</c:v>
                </c:pt>
                <c:pt idx="35">
                  <c:v>-4.0591466250565631</c:v>
                </c:pt>
                <c:pt idx="36">
                  <c:v>-4.1533782807799025</c:v>
                </c:pt>
                <c:pt idx="37">
                  <c:v>-4.2497822264874303</c:v>
                </c:pt>
                <c:pt idx="38">
                  <c:v>-4.348407453375394</c:v>
                </c:pt>
                <c:pt idx="39">
                  <c:v>-4.4493039802201775</c:v>
                </c:pt>
                <c:pt idx="40">
                  <c:v>-4.5525228693635889</c:v>
                </c:pt>
                <c:pt idx="41">
                  <c:v>-4.6581162425229383</c:v>
                </c:pt>
                <c:pt idx="42">
                  <c:v>-4.7661372963842705</c:v>
                </c:pt>
                <c:pt idx="43">
                  <c:v>-4.8766403179357303</c:v>
                </c:pt>
                <c:pt idx="44">
                  <c:v>-4.9896806994927259</c:v>
                </c:pt>
                <c:pt idx="45">
                  <c:v>-5.1053149533640472</c:v>
                </c:pt>
                <c:pt idx="46">
                  <c:v>-5.2236007261035295</c:v>
                </c:pt>
                <c:pt idx="47">
                  <c:v>-5.3445968122879774</c:v>
                </c:pt>
                <c:pt idx="48">
                  <c:v>-5.4683631677574116</c:v>
                </c:pt>
                <c:pt idx="49">
                  <c:v>-5.5949609222492604</c:v>
                </c:pt>
                <c:pt idx="50">
                  <c:v>-5.7244523913529894</c:v>
                </c:pt>
                <c:pt idx="51">
                  <c:v>-5.8569010877063583</c:v>
                </c:pt>
                <c:pt idx="52">
                  <c:v>-5.9923717313490945</c:v>
                </c:pt>
                <c:pt idx="53">
                  <c:v>-6.1309302591436206</c:v>
                </c:pt>
                <c:pt idx="54">
                  <c:v>-6.2726438331674972</c:v>
                </c:pt>
                <c:pt idx="55">
                  <c:v>-6.4175808479731398</c:v>
                </c:pt>
                <c:pt idx="56">
                  <c:v>-6.5658109366065487</c:v>
                </c:pt>
                <c:pt idx="57">
                  <c:v>-6.717404975268412</c:v>
                </c:pt>
                <c:pt idx="58">
                  <c:v>-6.8724350864918931</c:v>
                </c:pt>
                <c:pt idx="59">
                  <c:v>-7.030974640706634</c:v>
                </c:pt>
                <c:pt idx="60">
                  <c:v>-7.1930982560474419</c:v>
                </c:pt>
                <c:pt idx="61">
                  <c:v>-7.3588817962599018</c:v>
                </c:pt>
                <c:pt idx="62">
                  <c:v>-7.5284023665439168</c:v>
                </c:pt>
                <c:pt idx="63">
                  <c:v>-7.701738307168851</c:v>
                </c:pt>
                <c:pt idx="64">
                  <c:v>-7.8789691846839762</c:v>
                </c:pt>
                <c:pt idx="65">
                  <c:v>-8.0601757805365679</c:v>
                </c:pt>
                <c:pt idx="66">
                  <c:v>-8.2454400769018594</c:v>
                </c:pt>
                <c:pt idx="67">
                  <c:v>-8.4348452395173048</c:v>
                </c:pt>
                <c:pt idx="68">
                  <c:v>-8.6284755973023266</c:v>
                </c:pt>
                <c:pt idx="69">
                  <c:v>-8.8264166185356103</c:v>
                </c:pt>
                <c:pt idx="70">
                  <c:v>-9.0287548833482525</c:v>
                </c:pt>
                <c:pt idx="71">
                  <c:v>-9.235578052282424</c:v>
                </c:pt>
                <c:pt idx="72">
                  <c:v>-9.4469748306509356</c:v>
                </c:pt>
                <c:pt idx="73">
                  <c:v>-9.6630349284241213</c:v>
                </c:pt>
                <c:pt idx="74">
                  <c:v>-9.8838490153569296</c:v>
                </c:pt>
                <c:pt idx="75">
                  <c:v>-10.109508671060112</c:v>
                </c:pt>
                <c:pt idx="76">
                  <c:v>-10.340106329704641</c:v>
                </c:pt>
                <c:pt idx="77">
                  <c:v>-10.575735219043175</c:v>
                </c:pt>
                <c:pt idx="78">
                  <c:v>-10.816489293415541</c:v>
                </c:pt>
                <c:pt idx="79">
                  <c:v>-11.062463160401633</c:v>
                </c:pt>
                <c:pt idx="80">
                  <c:v>-11.31375200077194</c:v>
                </c:pt>
                <c:pt idx="81">
                  <c:v>-11.570451481380028</c:v>
                </c:pt>
                <c:pt idx="82">
                  <c:v>-11.832657660632911</c:v>
                </c:pt>
                <c:pt idx="83">
                  <c:v>-12.10046688617288</c:v>
                </c:pt>
                <c:pt idx="84">
                  <c:v>-12.3739756843949</c:v>
                </c:pt>
                <c:pt idx="85">
                  <c:v>-12.653280641427372</c:v>
                </c:pt>
                <c:pt idx="86">
                  <c:v>-12.938478275200392</c:v>
                </c:pt>
                <c:pt idx="87">
                  <c:v>-13.229664898228368</c:v>
                </c:pt>
                <c:pt idx="88">
                  <c:v>-13.526936470740996</c:v>
                </c:pt>
                <c:pt idx="89">
                  <c:v>-13.830388443801295</c:v>
                </c:pt>
                <c:pt idx="90">
                  <c:v>-14.140115592064499</c:v>
                </c:pt>
                <c:pt idx="91">
                  <c:v>-14.456211835843879</c:v>
                </c:pt>
                <c:pt idx="92">
                  <c:v>-14.778770052171208</c:v>
                </c:pt>
                <c:pt idx="93">
                  <c:v>-15.107881874561924</c:v>
                </c:pt>
                <c:pt idx="94">
                  <c:v>-15.443637481225791</c:v>
                </c:pt>
                <c:pt idx="95">
                  <c:v>-15.786125371496334</c:v>
                </c:pt>
                <c:pt idx="96">
                  <c:v>-16.135432130295598</c:v>
                </c:pt>
                <c:pt idx="97">
                  <c:v>-16.491642180493777</c:v>
                </c:pt>
                <c:pt idx="98">
                  <c:v>-16.85483752308005</c:v>
                </c:pt>
                <c:pt idx="99">
                  <c:v>-17.225097465120722</c:v>
                </c:pt>
                <c:pt idx="100">
                  <c:v>-17.602498335545754</c:v>
                </c:pt>
                <c:pt idx="101">
                  <c:v>-17.987113188887474</c:v>
                </c:pt>
                <c:pt idx="102">
                  <c:v>-18.379011497170548</c:v>
                </c:pt>
                <c:pt idx="103">
                  <c:v>-18.778258830254906</c:v>
                </c:pt>
                <c:pt idx="104">
                  <c:v>-19.184916525023763</c:v>
                </c:pt>
                <c:pt idx="105">
                  <c:v>-19.599041343928864</c:v>
                </c:pt>
                <c:pt idx="106">
                  <c:v>-20.020685123514916</c:v>
                </c:pt>
                <c:pt idx="107">
                  <c:v>-20.449894413677722</c:v>
                </c:pt>
                <c:pt idx="108">
                  <c:v>-20.886710108542367</c:v>
                </c:pt>
                <c:pt idx="109">
                  <c:v>-21.331167069992794</c:v>
                </c:pt>
                <c:pt idx="110">
                  <c:v>-21.7832937450294</c:v>
                </c:pt>
                <c:pt idx="111">
                  <c:v>-22.243111778292914</c:v>
                </c:pt>
                <c:pt idx="112">
                  <c:v>-22.710635621250454</c:v>
                </c:pt>
                <c:pt idx="113">
                  <c:v>-23.185872139702919</c:v>
                </c:pt>
                <c:pt idx="114">
                  <c:v>-23.668820221446975</c:v>
                </c:pt>
                <c:pt idx="115">
                  <c:v>-24.159470386082361</c:v>
                </c:pt>
                <c:pt idx="116">
                  <c:v>-24.657804399135671</c:v>
                </c:pt>
                <c:pt idx="117">
                  <c:v>-25.163794892820952</c:v>
                </c:pt>
                <c:pt idx="118">
                  <c:v>-25.677404995926207</c:v>
                </c:pt>
                <c:pt idx="119">
                  <c:v>-26.19858797545794</c:v>
                </c:pt>
                <c:pt idx="120">
                  <c:v>-26.727286892812522</c:v>
                </c:pt>
                <c:pt idx="121">
                  <c:v>-27.263434277371697</c:v>
                </c:pt>
                <c:pt idx="122">
                  <c:v>-27.806951820516211</c:v>
                </c:pt>
                <c:pt idx="123">
                  <c:v>-28.357750093142187</c:v>
                </c:pt>
                <c:pt idx="124">
                  <c:v>-28.915728289820514</c:v>
                </c:pt>
                <c:pt idx="125">
                  <c:v>-29.480774002771636</c:v>
                </c:pt>
                <c:pt idx="126">
                  <c:v>-30.052763028834029</c:v>
                </c:pt>
                <c:pt idx="127">
                  <c:v>-30.631559212557377</c:v>
                </c:pt>
                <c:pt idx="128">
                  <c:v>-31.217014328500401</c:v>
                </c:pt>
                <c:pt idx="129">
                  <c:v>-31.808968005691884</c:v>
                </c:pt>
                <c:pt idx="130">
                  <c:v>-32.407247697060193</c:v>
                </c:pt>
                <c:pt idx="131">
                  <c:v>-33.011668696461101</c:v>
                </c:pt>
                <c:pt idx="132">
                  <c:v>-33.622034205673963</c:v>
                </c:pt>
                <c:pt idx="133">
                  <c:v>-34.238135453480176</c:v>
                </c:pt>
                <c:pt idx="134">
                  <c:v>-34.859751868598302</c:v>
                </c:pt>
                <c:pt idx="135">
                  <c:v>-35.486651307895364</c:v>
                </c:pt>
                <c:pt idx="136">
                  <c:v>-36.118590340893739</c:v>
                </c:pt>
                <c:pt idx="137">
                  <c:v>-36.75531459114908</c:v>
                </c:pt>
                <c:pt idx="138">
                  <c:v>-37.396559134609788</c:v>
                </c:pt>
                <c:pt idx="139">
                  <c:v>-38.042048954581269</c:v>
                </c:pt>
                <c:pt idx="140">
                  <c:v>-38.691499452388157</c:v>
                </c:pt>
                <c:pt idx="141">
                  <c:v>-39.344617012318452</c:v>
                </c:pt>
                <c:pt idx="142">
                  <c:v>-40.001099618885881</c:v>
                </c:pt>
                <c:pt idx="143">
                  <c:v>-40.660637523922851</c:v>
                </c:pt>
                <c:pt idx="144">
                  <c:v>-41.322913960493203</c:v>
                </c:pt>
                <c:pt idx="145">
                  <c:v>-41.987605900112278</c:v>
                </c:pt>
                <c:pt idx="146">
                  <c:v>-42.654384849281058</c:v>
                </c:pt>
                <c:pt idx="147">
                  <c:v>-43.322917680909597</c:v>
                </c:pt>
                <c:pt idx="148">
                  <c:v>-43.992867495797604</c:v>
                </c:pt>
                <c:pt idx="149">
                  <c:v>-44.663894509000109</c:v>
                </c:pt>
                <c:pt idx="150">
                  <c:v>-45.335656955610915</c:v>
                </c:pt>
                <c:pt idx="151">
                  <c:v>-46.007812010268424</c:v>
                </c:pt>
                <c:pt idx="152">
                  <c:v>-46.680016714526246</c:v>
                </c:pt>
                <c:pt idx="153">
                  <c:v>-47.351928906139662</c:v>
                </c:pt>
                <c:pt idx="154">
                  <c:v>-48.023208144292283</c:v>
                </c:pt>
                <c:pt idx="155">
                  <c:v>-48.693516624841628</c:v>
                </c:pt>
                <c:pt idx="156">
                  <c:v>-49.362520079779543</c:v>
                </c:pt>
                <c:pt idx="157">
                  <c:v>-50.029888655296027</c:v>
                </c:pt>
                <c:pt idx="158">
                  <c:v>-50.695297763081307</c:v>
                </c:pt>
                <c:pt idx="159">
                  <c:v>-51.358428899825526</c:v>
                </c:pt>
                <c:pt idx="160">
                  <c:v>-52.018970430230596</c:v>
                </c:pt>
                <c:pt idx="161">
                  <c:v>-52.676618329274021</c:v>
                </c:pt>
                <c:pt idx="162">
                  <c:v>-53.331076879916999</c:v>
                </c:pt>
                <c:pt idx="163">
                  <c:v>-53.98205932293061</c:v>
                </c:pt>
                <c:pt idx="164">
                  <c:v>-54.629288456033073</c:v>
                </c:pt>
                <c:pt idx="165">
                  <c:v>-55.272497180055097</c:v>
                </c:pt>
                <c:pt idx="166">
                  <c:v>-55.911428990378511</c:v>
                </c:pt>
                <c:pt idx="167">
                  <c:v>-56.545838412432673</c:v>
                </c:pt>
                <c:pt idx="168">
                  <c:v>-57.175491380548934</c:v>
                </c:pt>
                <c:pt idx="169">
                  <c:v>-57.80016555999115</c:v>
                </c:pt>
                <c:pt idx="170">
                  <c:v>-58.419650612451356</c:v>
                </c:pt>
                <c:pt idx="171">
                  <c:v>-59.033748405769764</c:v>
                </c:pt>
                <c:pt idx="172">
                  <c:v>-59.642273169052928</c:v>
                </c:pt>
                <c:pt idx="173">
                  <c:v>-60.245051594755665</c:v>
                </c:pt>
                <c:pt idx="174">
                  <c:v>-60.841922889639434</c:v>
                </c:pt>
                <c:pt idx="175">
                  <c:v>-61.43273877682455</c:v>
                </c:pt>
                <c:pt idx="176">
                  <c:v>-62.017363451416308</c:v>
                </c:pt>
                <c:pt idx="177">
                  <c:v>-62.595673492405894</c:v>
                </c:pt>
                <c:pt idx="178">
                  <c:v>-63.167557733720848</c:v>
                </c:pt>
                <c:pt idx="179">
                  <c:v>-63.7329170974376</c:v>
                </c:pt>
                <c:pt idx="180">
                  <c:v>-64.291664392257331</c:v>
                </c:pt>
                <c:pt idx="181">
                  <c:v>-64.843724080406915</c:v>
                </c:pt>
                <c:pt idx="182">
                  <c:v>-65.389032016143616</c:v>
                </c:pt>
                <c:pt idx="183">
                  <c:v>-65.927535159030953</c:v>
                </c:pt>
                <c:pt idx="184">
                  <c:v>-66.459191265108473</c:v>
                </c:pt>
                <c:pt idx="185">
                  <c:v>-66.983968559010947</c:v>
                </c:pt>
                <c:pt idx="186">
                  <c:v>-67.501845390000085</c:v>
                </c:pt>
                <c:pt idx="187">
                  <c:v>-68.012809874759199</c:v>
                </c:pt>
                <c:pt idx="188">
                  <c:v>-68.516859529670214</c:v>
                </c:pt>
                <c:pt idx="189">
                  <c:v>-69.014000895158389</c:v>
                </c:pt>
                <c:pt idx="190">
                  <c:v>-69.504249154526789</c:v>
                </c:pt>
                <c:pt idx="191">
                  <c:v>-69.987627749550811</c:v>
                </c:pt>
                <c:pt idx="192">
                  <c:v>-70.464167994936773</c:v>
                </c:pt>
                <c:pt idx="193">
                  <c:v>-70.9339086935761</c:v>
                </c:pt>
                <c:pt idx="194">
                  <c:v>-71.396895754365815</c:v>
                </c:pt>
                <c:pt idx="195">
                  <c:v>-71.853181814193917</c:v>
                </c:pt>
                <c:pt idx="196">
                  <c:v>-72.302825865528277</c:v>
                </c:pt>
                <c:pt idx="197">
                  <c:v>-72.74589289088523</c:v>
                </c:pt>
                <c:pt idx="198">
                  <c:v>-73.182453505303343</c:v>
                </c:pt>
                <c:pt idx="199">
                  <c:v>-73.612583607800488</c:v>
                </c:pt>
                <c:pt idx="200">
                  <c:v>-74.036364042651073</c:v>
                </c:pt>
                <c:pt idx="201">
                  <c:v>-74.453880271189647</c:v>
                </c:pt>
                <c:pt idx="202">
                  <c:v>-74.865222054724768</c:v>
                </c:pt>
                <c:pt idx="203">
                  <c:v>-75.270483149029431</c:v>
                </c:pt>
                <c:pt idx="204">
                  <c:v>-75.669761010769463</c:v>
                </c:pt>
                <c:pt idx="205">
                  <c:v>-76.063156516134995</c:v>
                </c:pt>
                <c:pt idx="206">
                  <c:v>-76.450773691847516</c:v>
                </c:pt>
                <c:pt idx="207">
                  <c:v>-76.832719458637129</c:v>
                </c:pt>
                <c:pt idx="208">
                  <c:v>-77.209103387209367</c:v>
                </c:pt>
                <c:pt idx="209">
                  <c:v>-77.580037466659064</c:v>
                </c:pt>
                <c:pt idx="210">
                  <c:v>-77.945635885225499</c:v>
                </c:pt>
                <c:pt idx="211">
                  <c:v>-78.306014823239934</c:v>
                </c:pt>
                <c:pt idx="212">
                  <c:v>-78.66129225806381</c:v>
                </c:pt>
                <c:pt idx="213">
                  <c:v>-79.011587780785334</c:v>
                </c:pt>
                <c:pt idx="214">
                  <c:v>-79.357022424405244</c:v>
                </c:pt>
                <c:pt idx="215">
                  <c:v>-79.697718503216478</c:v>
                </c:pt>
                <c:pt idx="216">
                  <c:v>-80.033799463061939</c:v>
                </c:pt>
                <c:pt idx="217">
                  <c:v>-80.365389742133502</c:v>
                </c:pt>
                <c:pt idx="218">
                  <c:v>-80.69261464196471</c:v>
                </c:pt>
                <c:pt idx="219">
                  <c:v>-81.015600208257965</c:v>
                </c:pt>
                <c:pt idx="220">
                  <c:v>-81.33447312117913</c:v>
                </c:pt>
                <c:pt idx="221">
                  <c:v>-81.649360594750831</c:v>
                </c:pt>
                <c:pt idx="222">
                  <c:v>-81.960390284971709</c:v>
                </c:pt>
                <c:pt idx="223">
                  <c:v>-82.267690206291789</c:v>
                </c:pt>
                <c:pt idx="224">
                  <c:v>-82.571388656074831</c:v>
                </c:pt>
                <c:pt idx="225">
                  <c:v>-82.871614146684891</c:v>
                </c:pt>
                <c:pt idx="226">
                  <c:v>-83.168495344839556</c:v>
                </c:pt>
                <c:pt idx="227">
                  <c:v>-83.46216101787725</c:v>
                </c:pt>
                <c:pt idx="228">
                  <c:v>-83.752739986598215</c:v>
                </c:pt>
                <c:pt idx="229">
                  <c:v>-84.040361084345932</c:v>
                </c:pt>
                <c:pt idx="230">
                  <c:v>-84.325153122001822</c:v>
                </c:pt>
                <c:pt idx="231">
                  <c:v>-84.607244858583655</c:v>
                </c:pt>
                <c:pt idx="232">
                  <c:v>-84.886764977140786</c:v>
                </c:pt>
                <c:pt idx="233">
                  <c:v>-85.16384206565688</c:v>
                </c:pt>
                <c:pt idx="234">
                  <c:v>-85.438604602675795</c:v>
                </c:pt>
                <c:pt idx="235">
                  <c:v>-85.71118094738209</c:v>
                </c:pt>
                <c:pt idx="236">
                  <c:v>-85.981699333875582</c:v>
                </c:pt>
                <c:pt idx="237">
                  <c:v>-86.250287869391002</c:v>
                </c:pt>
                <c:pt idx="238">
                  <c:v>-86.517074536225707</c:v>
                </c:pt>
                <c:pt idx="239">
                  <c:v>-86.7821871971463</c:v>
                </c:pt>
                <c:pt idx="240">
                  <c:v>-87.045753604057452</c:v>
                </c:pt>
                <c:pt idx="241">
                  <c:v>-87.307901409725901</c:v>
                </c:pt>
                <c:pt idx="242">
                  <c:v>-87.568758182359716</c:v>
                </c:pt>
                <c:pt idx="243">
                  <c:v>-87.828451422855323</c:v>
                </c:pt>
                <c:pt idx="244">
                  <c:v>-88.08710858453145</c:v>
                </c:pt>
                <c:pt idx="245">
                  <c:v>-88.344857095178043</c:v>
                </c:pt>
                <c:pt idx="246">
                  <c:v>-88.601824381255781</c:v>
                </c:pt>
                <c:pt idx="247">
                  <c:v>-88.85813789408995</c:v>
                </c:pt>
                <c:pt idx="248">
                  <c:v>-89.113925137908623</c:v>
                </c:pt>
                <c:pt idx="249">
                  <c:v>-89.369313699582307</c:v>
                </c:pt>
                <c:pt idx="250">
                  <c:v>-89.624431279927393</c:v>
                </c:pt>
                <c:pt idx="251">
                  <c:v>-89.879405726442457</c:v>
                </c:pt>
                <c:pt idx="252">
                  <c:v>-90.13436506735006</c:v>
                </c:pt>
                <c:pt idx="253">
                  <c:v>-90.389437546823601</c:v>
                </c:pt>
                <c:pt idx="254">
                  <c:v>-90.644751661279443</c:v>
                </c:pt>
                <c:pt idx="255">
                  <c:v>-90.900436196622977</c:v>
                </c:pt>
                <c:pt idx="256">
                  <c:v>-91.156620266334272</c:v>
                </c:pt>
                <c:pt idx="257">
                  <c:v>-91.413433350289012</c:v>
                </c:pt>
                <c:pt idx="258">
                  <c:v>-91.671005334205589</c:v>
                </c:pt>
                <c:pt idx="259">
                  <c:v>-91.929466549616095</c:v>
                </c:pt>
                <c:pt idx="260">
                  <c:v>-92.188947814257546</c:v>
                </c:pt>
                <c:pt idx="261">
                  <c:v>-92.449580472781633</c:v>
                </c:pt>
                <c:pt idx="262">
                  <c:v>-92.711496437680907</c:v>
                </c:pt>
                <c:pt idx="263">
                  <c:v>-92.974828230330033</c:v>
                </c:pt>
                <c:pt idx="264">
                  <c:v>-93.239709022039193</c:v>
                </c:pt>
                <c:pt idx="265">
                  <c:v>-93.50627267501639</c:v>
                </c:pt>
                <c:pt idx="266">
                  <c:v>-93.774653783133232</c:v>
                </c:pt>
                <c:pt idx="267">
                  <c:v>-94.044987712387453</c:v>
                </c:pt>
                <c:pt idx="268">
                  <c:v>-94.317410640952133</c:v>
                </c:pt>
                <c:pt idx="269">
                  <c:v>-94.592059598698597</c:v>
                </c:pt>
                <c:pt idx="270">
                  <c:v>-94.869072506077671</c:v>
                </c:pt>
                <c:pt idx="271">
                  <c:v>-95.148588212238465</c:v>
                </c:pt>
                <c:pt idx="272">
                  <c:v>-95.430746532259903</c:v>
                </c:pt>
                <c:pt idx="273">
                  <c:v>-95.715688283365466</c:v>
                </c:pt>
                <c:pt idx="274">
                  <c:v>-96.003555319986447</c:v>
                </c:pt>
                <c:pt idx="275">
                  <c:v>-96.294490567532549</c:v>
                </c:pt>
                <c:pt idx="276">
                  <c:v>-96.588638054721315</c:v>
                </c:pt>
                <c:pt idx="277">
                  <c:v>-96.88614294431359</c:v>
                </c:pt>
                <c:pt idx="278">
                  <c:v>-97.187151562092339</c:v>
                </c:pt>
                <c:pt idx="279">
                  <c:v>-97.491811423914612</c:v>
                </c:pt>
                <c:pt idx="280">
                  <c:v>-97.800271260660267</c:v>
                </c:pt>
                <c:pt idx="281">
                  <c:v>-98.112681040888347</c:v>
                </c:pt>
                <c:pt idx="282">
                  <c:v>-98.429191991007244</c:v>
                </c:pt>
                <c:pt idx="283">
                  <c:v>-98.749956612751546</c:v>
                </c:pt>
                <c:pt idx="284">
                  <c:v>-99.07512869774969</c:v>
                </c:pt>
                <c:pt idx="285">
                  <c:v>-99.404863338957441</c:v>
                </c:pt>
                <c:pt idx="286">
                  <c:v>-99.739316938718503</c:v>
                </c:pt>
                <c:pt idx="287">
                  <c:v>-100.07864721320604</c:v>
                </c:pt>
                <c:pt idx="288">
                  <c:v>-100.42301319298353</c:v>
                </c:pt>
                <c:pt idx="289">
                  <c:v>-100.77257521941652</c:v>
                </c:pt>
                <c:pt idx="290">
                  <c:v>-101.12749493665119</c:v>
                </c:pt>
                <c:pt idx="291">
                  <c:v>-101.48793527886527</c:v>
                </c:pt>
                <c:pt idx="292">
                  <c:v>-101.8540604524881</c:v>
                </c:pt>
                <c:pt idx="293">
                  <c:v>-102.22603591306857</c:v>
                </c:pt>
                <c:pt idx="294">
                  <c:v>-102.60402833646668</c:v>
                </c:pt>
                <c:pt idx="295">
                  <c:v>-102.98820558402551</c:v>
                </c:pt>
                <c:pt idx="296">
                  <c:v>-103.37873666137698</c:v>
                </c:pt>
                <c:pt idx="297">
                  <c:v>-103.77579167051945</c:v>
                </c:pt>
                <c:pt idx="298">
                  <c:v>-104.17954175480068</c:v>
                </c:pt>
                <c:pt idx="299">
                  <c:v>-104.59015903642826</c:v>
                </c:pt>
                <c:pt idx="300">
                  <c:v>-105.00781654612666</c:v>
                </c:pt>
                <c:pt idx="301">
                  <c:v>-105.43268814455055</c:v>
                </c:pt>
                <c:pt idx="302">
                  <c:v>-105.8649484350654</c:v>
                </c:pt>
                <c:pt idx="303">
                  <c:v>-106.304772667501</c:v>
                </c:pt>
                <c:pt idx="304">
                  <c:v>-106.75233663248591</c:v>
                </c:pt>
                <c:pt idx="305">
                  <c:v>-107.207816545976</c:v>
                </c:pt>
                <c:pt idx="306">
                  <c:v>-107.67138892359247</c:v>
                </c:pt>
                <c:pt idx="307">
                  <c:v>-108.14323044439909</c:v>
                </c:pt>
                <c:pt idx="308">
                  <c:v>-108.62351780375751</c:v>
                </c:pt>
                <c:pt idx="309">
                  <c:v>-109.11242755492064</c:v>
                </c:pt>
                <c:pt idx="310">
                  <c:v>-109.61013593904271</c:v>
                </c:pt>
                <c:pt idx="311">
                  <c:v>-110.1168187033128</c:v>
                </c:pt>
                <c:pt idx="312">
                  <c:v>-110.63265090695155</c:v>
                </c:pt>
                <c:pt idx="313">
                  <c:v>-111.15780671484542</c:v>
                </c:pt>
                <c:pt idx="314">
                  <c:v>-111.69245917863971</c:v>
                </c:pt>
                <c:pt idx="315">
                  <c:v>-112.2367800051602</c:v>
                </c:pt>
                <c:pt idx="316">
                  <c:v>-112.79093931209081</c:v>
                </c:pt>
                <c:pt idx="317">
                  <c:v>-113.35510537089985</c:v>
                </c:pt>
                <c:pt idx="318">
                  <c:v>-113.92944433707811</c:v>
                </c:pt>
                <c:pt idx="319">
                  <c:v>-114.51411996783355</c:v>
                </c:pt>
                <c:pt idx="320">
                  <c:v>-115.10929332747408</c:v>
                </c:pt>
                <c:pt idx="321">
                  <c:v>-115.71512248080835</c:v>
                </c:pt>
                <c:pt idx="322">
                  <c:v>-116.33176217499614</c:v>
                </c:pt>
                <c:pt idx="323">
                  <c:v>-116.95936351039435</c:v>
                </c:pt>
                <c:pt idx="324">
                  <c:v>-117.59807360106799</c:v>
                </c:pt>
                <c:pt idx="325">
                  <c:v>-118.24803522575688</c:v>
                </c:pt>
                <c:pt idx="326">
                  <c:v>-118.9093864702313</c:v>
                </c:pt>
                <c:pt idx="327">
                  <c:v>-119.58226036211045</c:v>
                </c:pt>
                <c:pt idx="328">
                  <c:v>-120.26678449936159</c:v>
                </c:pt>
                <c:pt idx="329">
                  <c:v>-120.96308067385621</c:v>
                </c:pt>
                <c:pt idx="330">
                  <c:v>-121.67126449150624</c:v>
                </c:pt>
                <c:pt idx="331">
                  <c:v>-122.39144499067274</c:v>
                </c:pt>
                <c:pt idx="332">
                  <c:v>-123.12372426068217</c:v>
                </c:pt>
                <c:pt idx="333">
                  <c:v>-123.86819706245691</c:v>
                </c:pt>
                <c:pt idx="334">
                  <c:v>-124.6249504533988</c:v>
                </c:pt>
                <c:pt idx="335">
                  <c:v>-125.39406341882651</c:v>
                </c:pt>
                <c:pt idx="336">
                  <c:v>-126.17560651238647</c:v>
                </c:pt>
                <c:pt idx="337">
                  <c:v>-126.9696415079916</c:v>
                </c:pt>
                <c:pt idx="338">
                  <c:v>-127.77622106593995</c:v>
                </c:pt>
                <c:pt idx="339">
                  <c:v>-128.59538841595321</c:v>
                </c:pt>
                <c:pt idx="340">
                  <c:v>-129.42717705994755</c:v>
                </c:pt>
                <c:pt idx="341">
                  <c:v>-130.27161049738191</c:v>
                </c:pt>
                <c:pt idx="342">
                  <c:v>-131.12870197604315</c:v>
                </c:pt>
                <c:pt idx="343">
                  <c:v>-131.99845427110913</c:v>
                </c:pt>
                <c:pt idx="344">
                  <c:v>-132.88085949527266</c:v>
                </c:pt>
                <c:pt idx="345">
                  <c:v>-133.77589894262027</c:v>
                </c:pt>
                <c:pt idx="346">
                  <c:v>-134.68354296882677</c:v>
                </c:pt>
                <c:pt idx="347">
                  <c:v>-135.60375091005011</c:v>
                </c:pt>
                <c:pt idx="348">
                  <c:v>-136.53647104270607</c:v>
                </c:pt>
                <c:pt idx="349">
                  <c:v>-137.48164058602953</c:v>
                </c:pt>
                <c:pt idx="350">
                  <c:v>-138.4391857490387</c:v>
                </c:pt>
                <c:pt idx="351">
                  <c:v>-139.40902182316984</c:v>
                </c:pt>
                <c:pt idx="352">
                  <c:v>-140.39105332146707</c:v>
                </c:pt>
                <c:pt idx="353">
                  <c:v>-141.38517416479229</c:v>
                </c:pt>
                <c:pt idx="354">
                  <c:v>-142.3912679150659</c:v>
                </c:pt>
                <c:pt idx="355">
                  <c:v>-143.40920805506039</c:v>
                </c:pt>
                <c:pt idx="356">
                  <c:v>-144.43885831377179</c:v>
                </c:pt>
                <c:pt idx="357">
                  <c:v>-145.48007303585871</c:v>
                </c:pt>
                <c:pt idx="358">
                  <c:v>-146.5326975931126</c:v>
                </c:pt>
                <c:pt idx="359">
                  <c:v>-147.59656883538418</c:v>
                </c:pt>
                <c:pt idx="360">
                  <c:v>-148.67151557785843</c:v>
                </c:pt>
                <c:pt idx="361">
                  <c:v>-149.75735912106069</c:v>
                </c:pt>
                <c:pt idx="362">
                  <c:v>-150.85391379947572</c:v>
                </c:pt>
                <c:pt idx="363">
                  <c:v>-151.96098755421528</c:v>
                </c:pt>
                <c:pt idx="364">
                  <c:v>-153.07838252473545</c:v>
                </c:pt>
                <c:pt idx="365">
                  <c:v>-154.20589565424893</c:v>
                </c:pt>
                <c:pt idx="366">
                  <c:v>-155.34331930316037</c:v>
                </c:pt>
                <c:pt idx="367">
                  <c:v>-156.49044186459795</c:v>
                </c:pt>
                <c:pt idx="368">
                  <c:v>-157.64704837594653</c:v>
                </c:pt>
                <c:pt idx="369">
                  <c:v>-158.81292112017169</c:v>
                </c:pt>
                <c:pt idx="370">
                  <c:v>-159.98784021069812</c:v>
                </c:pt>
                <c:pt idx="371">
                  <c:v>-161.17158415366055</c:v>
                </c:pt>
                <c:pt idx="372">
                  <c:v>-162.36393038147449</c:v>
                </c:pt>
                <c:pt idx="373">
                  <c:v>-163.56465575187562</c:v>
                </c:pt>
                <c:pt idx="374">
                  <c:v>-164.77353700687937</c:v>
                </c:pt>
                <c:pt idx="375">
                  <c:v>-165.9903511864608</c:v>
                </c:pt>
                <c:pt idx="376">
                  <c:v>-167.21487599218921</c:v>
                </c:pt>
                <c:pt idx="377">
                  <c:v>-168.44689009654257</c:v>
                </c:pt>
                <c:pt idx="378">
                  <c:v>-169.68617339417895</c:v>
                </c:pt>
                <c:pt idx="379">
                  <c:v>-170.93250719203414</c:v>
                </c:pt>
                <c:pt idx="380">
                  <c:v>-172.18567433575615</c:v>
                </c:pt>
                <c:pt idx="381">
                  <c:v>-173.44545927065434</c:v>
                </c:pt>
                <c:pt idx="382">
                  <c:v>-174.7116480360302</c:v>
                </c:pt>
                <c:pt idx="383">
                  <c:v>-175.98402819246462</c:v>
                </c:pt>
                <c:pt idx="384">
                  <c:v>-177.26238868234162</c:v>
                </c:pt>
                <c:pt idx="385">
                  <c:v>-178.54651962459053</c:v>
                </c:pt>
                <c:pt idx="386">
                  <c:v>-179.83621204532523</c:v>
                </c:pt>
                <c:pt idx="387">
                  <c:v>178.86874245327618</c:v>
                </c:pt>
                <c:pt idx="388">
                  <c:v>177.56855208287089</c:v>
                </c:pt>
                <c:pt idx="389">
                  <c:v>176.26342531403412</c:v>
                </c:pt>
                <c:pt idx="390">
                  <c:v>174.9535713723769</c:v>
                </c:pt>
                <c:pt idx="391">
                  <c:v>173.63920078102328</c:v>
                </c:pt>
                <c:pt idx="392">
                  <c:v>172.32052594431559</c:v>
                </c:pt>
                <c:pt idx="393">
                  <c:v>170.9977617671959</c:v>
                </c:pt>
                <c:pt idx="394">
                  <c:v>169.67112630437217</c:v>
                </c:pt>
                <c:pt idx="395">
                  <c:v>168.340841433072</c:v>
                </c:pt>
                <c:pt idx="396">
                  <c:v>167.00713354297545</c:v>
                </c:pt>
                <c:pt idx="397">
                  <c:v>165.67023423673999</c:v>
                </c:pt>
                <c:pt idx="398">
                  <c:v>164.33038103443968</c:v>
                </c:pt>
                <c:pt idx="399">
                  <c:v>162.98781807520109</c:v>
                </c:pt>
                <c:pt idx="400">
                  <c:v>161.64279680934911</c:v>
                </c:pt>
                <c:pt idx="401">
                  <c:v>160.29557667446164</c:v>
                </c:pt>
                <c:pt idx="402">
                  <c:v>158.94642574888456</c:v>
                </c:pt>
                <c:pt idx="403">
                  <c:v>157.59562137646827</c:v>
                </c:pt>
                <c:pt idx="404">
                  <c:v>156.24345075653815</c:v>
                </c:pt>
                <c:pt idx="405">
                  <c:v>154.8902114934408</c:v>
                </c:pt>
                <c:pt idx="406">
                  <c:v>153.53621210034612</c:v>
                </c:pt>
                <c:pt idx="407">
                  <c:v>152.18177245240372</c:v>
                </c:pt>
                <c:pt idx="408">
                  <c:v>150.82722418477556</c:v>
                </c:pt>
                <c:pt idx="409">
                  <c:v>149.47291103154024</c:v>
                </c:pt>
                <c:pt idx="410">
                  <c:v>148.11918910195527</c:v>
                </c:pt>
                <c:pt idx="411">
                  <c:v>146.76642709106972</c:v>
                </c:pt>
                <c:pt idx="412">
                  <c:v>145.41500642220493</c:v>
                </c:pt>
                <c:pt idx="413">
                  <c:v>144.06532131934529</c:v>
                </c:pt>
                <c:pt idx="414">
                  <c:v>142.71777880800428</c:v>
                </c:pt>
                <c:pt idx="415">
                  <c:v>141.37279864364405</c:v>
                </c:pt>
                <c:pt idx="416">
                  <c:v>140.03081316723598</c:v>
                </c:pt>
                <c:pt idx="417">
                  <c:v>138.69226708802137</c:v>
                </c:pt>
                <c:pt idx="418">
                  <c:v>137.35761719398516</c:v>
                </c:pt>
                <c:pt idx="419">
                  <c:v>136.02733199099467</c:v>
                </c:pt>
                <c:pt idx="420">
                  <c:v>134.701891271926</c:v>
                </c:pt>
                <c:pt idx="421">
                  <c:v>133.38178561747173</c:v>
                </c:pt>
                <c:pt idx="422">
                  <c:v>132.06751583063112</c:v>
                </c:pt>
                <c:pt idx="423">
                  <c:v>130.75959230716779</c:v>
                </c:pt>
                <c:pt idx="424">
                  <c:v>129.45853434455626</c:v>
                </c:pt>
                <c:pt idx="425">
                  <c:v>128.16486939214036</c:v>
                </c:pt>
                <c:pt idx="426">
                  <c:v>126.87913224539808</c:v>
                </c:pt>
                <c:pt idx="427">
                  <c:v>125.60186418735059</c:v>
                </c:pt>
                <c:pt idx="428">
                  <c:v>124.33361208024512</c:v>
                </c:pt>
                <c:pt idx="429">
                  <c:v>123.07492741074337</c:v>
                </c:pt>
                <c:pt idx="430">
                  <c:v>121.82636529191916</c:v>
                </c:pt>
                <c:pt idx="431">
                  <c:v>120.58848342540226</c:v>
                </c:pt>
                <c:pt idx="432">
                  <c:v>119.36184102707963</c:v>
                </c:pt>
                <c:pt idx="433">
                  <c:v>118.14699771977986</c:v>
                </c:pt>
                <c:pt idx="434">
                  <c:v>116.94451239643725</c:v>
                </c:pt>
                <c:pt idx="435">
                  <c:v>115.75494205725144</c:v>
                </c:pt>
                <c:pt idx="436">
                  <c:v>114.57884062442898</c:v>
                </c:pt>
                <c:pt idx="437">
                  <c:v>113.41675773814617</c:v>
                </c:pt>
                <c:pt idx="438">
                  <c:v>112.26923753743955</c:v>
                </c:pt>
                <c:pt idx="439">
                  <c:v>111.13681742981866</c:v>
                </c:pt>
                <c:pt idx="440">
                  <c:v>110.02002685346908</c:v>
                </c:pt>
                <c:pt idx="441">
                  <c:v>108.91938603601672</c:v>
                </c:pt>
                <c:pt idx="442">
                  <c:v>107.83540475392152</c:v>
                </c:pt>
                <c:pt idx="443">
                  <c:v>106.76858109665747</c:v>
                </c:pt>
                <c:pt idx="444">
                  <c:v>105.71940023994662</c:v>
                </c:pt>
                <c:pt idx="445">
                  <c:v>104.68833323238407</c:v>
                </c:pt>
                <c:pt idx="446">
                  <c:v>103.67583579989139</c:v>
                </c:pt>
                <c:pt idx="447">
                  <c:v>102.68234717248006</c:v>
                </c:pt>
                <c:pt idx="448">
                  <c:v>101.70828893786179</c:v>
                </c:pt>
                <c:pt idx="449">
                  <c:v>100.75406392646953</c:v>
                </c:pt>
                <c:pt idx="450">
                  <c:v>99.820055132437858</c:v>
                </c:pt>
                <c:pt idx="451">
                  <c:v>98.906624675081943</c:v>
                </c:pt>
                <c:pt idx="452">
                  <c:v>98.014112805347409</c:v>
                </c:pt>
                <c:pt idx="453">
                  <c:v>97.142836961615075</c:v>
                </c:pt>
                <c:pt idx="454">
                  <c:v>96.29309087914271</c:v>
                </c:pt>
                <c:pt idx="455">
                  <c:v>95.465143757267541</c:v>
                </c:pt>
                <c:pt idx="456">
                  <c:v>94.659239488333725</c:v>
                </c:pt>
                <c:pt idx="457">
                  <c:v>93.875595952096631</c:v>
                </c:pt>
                <c:pt idx="458">
                  <c:v>93.114404379145668</c:v>
                </c:pt>
                <c:pt idx="459">
                  <c:v>92.375828786629697</c:v>
                </c:pt>
                <c:pt idx="460">
                  <c:v>91.660005489307508</c:v>
                </c:pt>
                <c:pt idx="461">
                  <c:v>90.967042688660968</c:v>
                </c:pt>
                <c:pt idx="462">
                  <c:v>90.29702014250087</c:v>
                </c:pt>
                <c:pt idx="463">
                  <c:v>89.649988917185112</c:v>
                </c:pt>
                <c:pt idx="464">
                  <c:v>89.025971224241232</c:v>
                </c:pt>
                <c:pt idx="465">
                  <c:v>88.424960342840123</c:v>
                </c:pt>
                <c:pt idx="466">
                  <c:v>87.846920629224073</c:v>
                </c:pt>
                <c:pt idx="467">
                  <c:v>87.291787613832412</c:v>
                </c:pt>
                <c:pt idx="468">
                  <c:v>86.759468186501408</c:v>
                </c:pt>
                <c:pt idx="469">
                  <c:v>86.249840869739273</c:v>
                </c:pt>
                <c:pt idx="470">
                  <c:v>85.762756179697021</c:v>
                </c:pt>
                <c:pt idx="471">
                  <c:v>85.298037074061256</c:v>
                </c:pt>
                <c:pt idx="472">
                  <c:v>84.855479485701125</c:v>
                </c:pt>
                <c:pt idx="473">
                  <c:v>84.434852940493627</c:v>
                </c:pt>
                <c:pt idx="474">
                  <c:v>84.035901257339489</c:v>
                </c:pt>
                <c:pt idx="475">
                  <c:v>83.658343327962712</c:v>
                </c:pt>
                <c:pt idx="476">
                  <c:v>83.301873973674873</c:v>
                </c:pt>
                <c:pt idx="477">
                  <c:v>82.966164875844427</c:v>
                </c:pt>
                <c:pt idx="478">
                  <c:v>82.650865576410823</c:v>
                </c:pt>
                <c:pt idx="479">
                  <c:v>82.355604544348608</c:v>
                </c:pt>
                <c:pt idx="480">
                  <c:v>82.079990303581056</c:v>
                </c:pt>
                <c:pt idx="481">
                  <c:v>81.823612617460142</c:v>
                </c:pt>
                <c:pt idx="482">
                  <c:v>81.586043724528011</c:v>
                </c:pt>
                <c:pt idx="483">
                  <c:v>81.366839619939995</c:v>
                </c:pt>
                <c:pt idx="484">
                  <c:v>81.165541376594092</c:v>
                </c:pt>
                <c:pt idx="485">
                  <c:v>80.981676499717466</c:v>
                </c:pt>
                <c:pt idx="486">
                  <c:v>80.814760308423331</c:v>
                </c:pt>
                <c:pt idx="487">
                  <c:v>80.664297337525028</c:v>
                </c:pt>
                <c:pt idx="488">
                  <c:v>80.529782752762799</c:v>
                </c:pt>
                <c:pt idx="489">
                  <c:v>80.410703772479721</c:v>
                </c:pt>
                <c:pt idx="490">
                  <c:v>80.306541088759516</c:v>
                </c:pt>
                <c:pt idx="491">
                  <c:v>80.216770281045967</c:v>
                </c:pt>
                <c:pt idx="492">
                  <c:v>80.140863215358436</c:v>
                </c:pt>
                <c:pt idx="493">
                  <c:v>80.078289422363554</c:v>
                </c:pt>
                <c:pt idx="494">
                  <c:v>80.028517447770653</c:v>
                </c:pt>
                <c:pt idx="495">
                  <c:v>79.991016168795625</c:v>
                </c:pt>
                <c:pt idx="496">
                  <c:v>79.965256070770664</c:v>
                </c:pt>
                <c:pt idx="497">
                  <c:v>79.950710478357735</c:v>
                </c:pt>
                <c:pt idx="498">
                  <c:v>79.946856736260159</c:v>
                </c:pt>
                <c:pt idx="499">
                  <c:v>79.95317733481231</c:v>
                </c:pt>
                <c:pt idx="500">
                  <c:v>79.969160976326165</c:v>
                </c:pt>
                <c:pt idx="501">
                  <c:v>79.994303578635794</c:v>
                </c:pt>
                <c:pt idx="502">
                  <c:v>80.028109212833527</c:v>
                </c:pt>
                <c:pt idx="503">
                  <c:v>80.070090972768796</c:v>
                </c:pt>
                <c:pt idx="504">
                  <c:v>80.11977177447686</c:v>
                </c:pt>
                <c:pt idx="505">
                  <c:v>80.176685084275732</c:v>
                </c:pt>
                <c:pt idx="506">
                  <c:v>80.240375574837543</c:v>
                </c:pt>
                <c:pt idx="507">
                  <c:v>80.310399709110911</c:v>
                </c:pt>
                <c:pt idx="508">
                  <c:v>80.386326252480856</c:v>
                </c:pt>
                <c:pt idx="509">
                  <c:v>80.467736714071108</c:v>
                </c:pt>
                <c:pt idx="510">
                  <c:v>80.554225718548878</c:v>
                </c:pt>
                <c:pt idx="511">
                  <c:v>80.64540131022801</c:v>
                </c:pt>
                <c:pt idx="512">
                  <c:v>80.740885191645845</c:v>
                </c:pt>
                <c:pt idx="513">
                  <c:v>80.840312899138581</c:v>
                </c:pt>
                <c:pt idx="514">
                  <c:v>80.943333918231033</c:v>
                </c:pt>
                <c:pt idx="515">
                  <c:v>81.049611741909217</c:v>
                </c:pt>
                <c:pt idx="516">
                  <c:v>81.158823875051638</c:v>
                </c:pt>
                <c:pt idx="517">
                  <c:v>81.270661788448905</c:v>
                </c:pt>
                <c:pt idx="518">
                  <c:v>81.384830825958275</c:v>
                </c:pt>
                <c:pt idx="519">
                  <c:v>81.501050068422288</c:v>
                </c:pt>
                <c:pt idx="520">
                  <c:v>81.619052157998496</c:v>
                </c:pt>
                <c:pt idx="521">
                  <c:v>81.738583086565754</c:v>
                </c:pt>
                <c:pt idx="522">
                  <c:v>81.859401951819038</c:v>
                </c:pt>
                <c:pt idx="523">
                  <c:v>81.981280684617488</c:v>
                </c:pt>
                <c:pt idx="524">
                  <c:v>82.104003751047202</c:v>
                </c:pt>
                <c:pt idx="525">
                  <c:v>82.227367832553512</c:v>
                </c:pt>
                <c:pt idx="526">
                  <c:v>82.351181487364784</c:v>
                </c:pt>
                <c:pt idx="527">
                  <c:v>82.475264796278026</c:v>
                </c:pt>
                <c:pt idx="528">
                  <c:v>82.59944899571768</c:v>
                </c:pt>
                <c:pt idx="529">
                  <c:v>82.72357610081103</c:v>
                </c:pt>
                <c:pt idx="530">
                  <c:v>82.847498521036442</c:v>
                </c:pt>
                <c:pt idx="531">
                  <c:v>82.971078670833094</c:v>
                </c:pt>
                <c:pt idx="532">
                  <c:v>83.094188577361507</c:v>
                </c:pt>
                <c:pt idx="533">
                  <c:v>83.216709487436546</c:v>
                </c:pt>
                <c:pt idx="534">
                  <c:v>83.338531475459334</c:v>
                </c:pt>
                <c:pt idx="535">
                  <c:v>83.459553054007415</c:v>
                </c:pt>
                <c:pt idx="536">
                  <c:v>83.579680788565554</c:v>
                </c:pt>
                <c:pt idx="537">
                  <c:v>83.69882891771536</c:v>
                </c:pt>
                <c:pt idx="538">
                  <c:v>83.816918979941789</c:v>
                </c:pt>
                <c:pt idx="539">
                  <c:v>83.933879448067586</c:v>
                </c:pt>
                <c:pt idx="540">
                  <c:v>84.049645372179398</c:v>
                </c:pt>
                <c:pt idx="541">
                  <c:v>84.164158031780886</c:v>
                </c:pt>
              </c:numCache>
            </c:numRef>
          </c:yVal>
          <c:smooth val="1"/>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30.611562688707224</c:v>
                </c:pt>
                <c:pt idx="1">
                  <c:v>30.411584034531991</c:v>
                </c:pt>
                <c:pt idx="2">
                  <c:v>30.211606386240998</c:v>
                </c:pt>
                <c:pt idx="3">
                  <c:v>30.011629791229247</c:v>
                </c:pt>
                <c:pt idx="4">
                  <c:v>29.811654299124108</c:v>
                </c:pt>
                <c:pt idx="5">
                  <c:v>29.611679961890964</c:v>
                </c:pt>
                <c:pt idx="6">
                  <c:v>29.411706833942706</c:v>
                </c:pt>
                <c:pt idx="7">
                  <c:v>29.211734972255478</c:v>
                </c:pt>
                <c:pt idx="8">
                  <c:v>29.011764436488832</c:v>
                </c:pt>
                <c:pt idx="9">
                  <c:v>28.811795289112577</c:v>
                </c:pt>
                <c:pt idx="10">
                  <c:v>28.61182759553866</c:v>
                </c:pt>
                <c:pt idx="11">
                  <c:v>28.411861424259772</c:v>
                </c:pt>
                <c:pt idx="12">
                  <c:v>28.211896846994442</c:v>
                </c:pt>
                <c:pt idx="13">
                  <c:v>28.011933938838638</c:v>
                </c:pt>
                <c:pt idx="14">
                  <c:v>27.811972778425023</c:v>
                </c:pt>
                <c:pt idx="15">
                  <c:v>27.612013448089062</c:v>
                </c:pt>
                <c:pt idx="16">
                  <c:v>27.412056034043424</c:v>
                </c:pt>
                <c:pt idx="17">
                  <c:v>27.212100626560392</c:v>
                </c:pt>
                <c:pt idx="18">
                  <c:v>27.012147320162722</c:v>
                </c:pt>
                <c:pt idx="19">
                  <c:v>26.81219621382381</c:v>
                </c:pt>
                <c:pt idx="20">
                  <c:v>26.612247411176835</c:v>
                </c:pt>
                <c:pt idx="21">
                  <c:v>26.412301020734063</c:v>
                </c:pt>
                <c:pt idx="22">
                  <c:v>26.212357156116198</c:v>
                </c:pt>
                <c:pt idx="23">
                  <c:v>26.012415936292612</c:v>
                </c:pt>
                <c:pt idx="24">
                  <c:v>25.812477485833071</c:v>
                </c:pt>
                <c:pt idx="25">
                  <c:v>25.612541935170622</c:v>
                </c:pt>
                <c:pt idx="26">
                  <c:v>25.412609420877537</c:v>
                </c:pt>
                <c:pt idx="27">
                  <c:v>25.212680085953604</c:v>
                </c:pt>
                <c:pt idx="28">
                  <c:v>25.012754080128691</c:v>
                </c:pt>
                <c:pt idx="29">
                  <c:v>24.812831560178317</c:v>
                </c:pt>
                <c:pt idx="30">
                  <c:v>24.612912690255335</c:v>
                </c:pt>
                <c:pt idx="31">
                  <c:v>24.412997642236057</c:v>
                </c:pt>
                <c:pt idx="32">
                  <c:v>24.213086596083059</c:v>
                </c:pt>
                <c:pt idx="33">
                  <c:v>24.01317974022529</c:v>
                </c:pt>
                <c:pt idx="34">
                  <c:v>23.813277271955243</c:v>
                </c:pt>
                <c:pt idx="35">
                  <c:v>23.613379397845264</c:v>
                </c:pt>
                <c:pt idx="36">
                  <c:v>23.41348633418302</c:v>
                </c:pt>
                <c:pt idx="37">
                  <c:v>23.21359830742745</c:v>
                </c:pt>
                <c:pt idx="38">
                  <c:v>23.013715554686065</c:v>
                </c:pt>
                <c:pt idx="39">
                  <c:v>22.813838324214544</c:v>
                </c:pt>
                <c:pt idx="40">
                  <c:v>22.613966875939354</c:v>
                </c:pt>
                <c:pt idx="41">
                  <c:v>22.414101482005137</c:v>
                </c:pt>
                <c:pt idx="42">
                  <c:v>22.214242427347472</c:v>
                </c:pt>
                <c:pt idx="43">
                  <c:v>22.014390010292168</c:v>
                </c:pt>
                <c:pt idx="44">
                  <c:v>21.814544543183136</c:v>
                </c:pt>
                <c:pt idx="45">
                  <c:v>21.614706353038109</c:v>
                </c:pt>
                <c:pt idx="46">
                  <c:v>21.414875782236788</c:v>
                </c:pt>
                <c:pt idx="47">
                  <c:v>21.215053189239352</c:v>
                </c:pt>
                <c:pt idx="48">
                  <c:v>21.015238949338965</c:v>
                </c:pt>
                <c:pt idx="49">
                  <c:v>20.815433455449664</c:v>
                </c:pt>
                <c:pt idx="50">
                  <c:v>20.615637118929946</c:v>
                </c:pt>
                <c:pt idx="51">
                  <c:v>20.415850370445689</c:v>
                </c:pt>
                <c:pt idx="52">
                  <c:v>20.216073660871373</c:v>
                </c:pt>
                <c:pt idx="53">
                  <c:v>20.016307462235204</c:v>
                </c:pt>
                <c:pt idx="54">
                  <c:v>19.816552268705994</c:v>
                </c:pt>
                <c:pt idx="55">
                  <c:v>19.61680859762691</c:v>
                </c:pt>
                <c:pt idx="56">
                  <c:v>19.417076990596502</c:v>
                </c:pt>
                <c:pt idx="57">
                  <c:v>19.217358014599611</c:v>
                </c:pt>
                <c:pt idx="58">
                  <c:v>19.017652263190399</c:v>
                </c:pt>
                <c:pt idx="59">
                  <c:v>18.81796035773019</c:v>
                </c:pt>
                <c:pt idx="60">
                  <c:v>18.618282948681731</c:v>
                </c:pt>
                <c:pt idx="61">
                  <c:v>18.418620716963318</c:v>
                </c:pt>
                <c:pt idx="62">
                  <c:v>18.218974375364954</c:v>
                </c:pt>
                <c:pt idx="63">
                  <c:v>18.019344670029117</c:v>
                </c:pt>
                <c:pt idx="64">
                  <c:v>17.819732381999863</c:v>
                </c:pt>
                <c:pt idx="65">
                  <c:v>17.620138328842128</c:v>
                </c:pt>
                <c:pt idx="66">
                  <c:v>17.420563366335497</c:v>
                </c:pt>
                <c:pt idx="67">
                  <c:v>17.221008390244442</c:v>
                </c:pt>
                <c:pt idx="68">
                  <c:v>17.021474338170005</c:v>
                </c:pt>
                <c:pt idx="69">
                  <c:v>16.821962191484555</c:v>
                </c:pt>
                <c:pt idx="70">
                  <c:v>16.622472977355031</c:v>
                </c:pt>
                <c:pt idx="71">
                  <c:v>16.423007770857382</c:v>
                </c:pt>
                <c:pt idx="72">
                  <c:v>16.223567697186358</c:v>
                </c:pt>
                <c:pt idx="73">
                  <c:v>16.024153933965174</c:v>
                </c:pt>
                <c:pt idx="74">
                  <c:v>15.824767713658785</c:v>
                </c:pt>
                <c:pt idx="75">
                  <c:v>15.62541032609545</c:v>
                </c:pt>
                <c:pt idx="76">
                  <c:v>15.42608312110119</c:v>
                </c:pt>
                <c:pt idx="77">
                  <c:v>15.226787511251638</c:v>
                </c:pt>
                <c:pt idx="78">
                  <c:v>15.027524974746662</c:v>
                </c:pt>
                <c:pt idx="79">
                  <c:v>14.828297058412197</c:v>
                </c:pt>
                <c:pt idx="80">
                  <c:v>14.629105380835284</c:v>
                </c:pt>
                <c:pt idx="81">
                  <c:v>14.429951635637153</c:v>
                </c:pt>
                <c:pt idx="82">
                  <c:v>14.230837594890115</c:v>
                </c:pt>
                <c:pt idx="83">
                  <c:v>14.031765112684544</c:v>
                </c:pt>
                <c:pt idx="84">
                  <c:v>13.832736128851337</c:v>
                </c:pt>
                <c:pt idx="85">
                  <c:v>13.633752672845995</c:v>
                </c:pt>
                <c:pt idx="86">
                  <c:v>13.434816867801395</c:v>
                </c:pt>
                <c:pt idx="87">
                  <c:v>13.235930934755043</c:v>
                </c:pt>
                <c:pt idx="88">
                  <c:v>13.037097197057705</c:v>
                </c:pt>
                <c:pt idx="89">
                  <c:v>12.838318084970661</c:v>
                </c:pt>
                <c:pt idx="90">
                  <c:v>12.639596140458185</c:v>
                </c:pt>
                <c:pt idx="91">
                  <c:v>12.440934022182685</c:v>
                </c:pt>
                <c:pt idx="92">
                  <c:v>12.24233451070986</c:v>
                </c:pt>
                <c:pt idx="93">
                  <c:v>12.043800513931446</c:v>
                </c:pt>
                <c:pt idx="94">
                  <c:v>11.845335072713148</c:v>
                </c:pt>
                <c:pt idx="95">
                  <c:v>11.646941366775591</c:v>
                </c:pt>
                <c:pt idx="96">
                  <c:v>11.448622720816253</c:v>
                </c:pt>
                <c:pt idx="97">
                  <c:v>11.250382610880209</c:v>
                </c:pt>
                <c:pt idx="98">
                  <c:v>11.052224670987986</c:v>
                </c:pt>
                <c:pt idx="99">
                  <c:v>10.854152700028459</c:v>
                </c:pt>
                <c:pt idx="100">
                  <c:v>10.656170668925192</c:v>
                </c:pt>
                <c:pt idx="101">
                  <c:v>10.458282728084068</c:v>
                </c:pt>
                <c:pt idx="102">
                  <c:v>10.26049321513057</c:v>
                </c:pt>
                <c:pt idx="103">
                  <c:v>10.062806662944663</c:v>
                </c:pt>
                <c:pt idx="104">
                  <c:v>9.8652278080011655</c:v>
                </c:pt>
                <c:pt idx="105">
                  <c:v>9.6677615990233718</c:v>
                </c:pt>
                <c:pt idx="106">
                  <c:v>9.4704132059577404</c:v>
                </c:pt>
                <c:pt idx="107">
                  <c:v>9.2731880292765645</c:v>
                </c:pt>
                <c:pt idx="108">
                  <c:v>9.0760917096155982</c:v>
                </c:pt>
                <c:pt idx="109">
                  <c:v>8.8791301377536254</c:v>
                </c:pt>
                <c:pt idx="110">
                  <c:v>8.682309464939415</c:v>
                </c:pt>
                <c:pt idx="111">
                  <c:v>8.4856361135718927</c:v>
                </c:pt>
                <c:pt idx="112">
                  <c:v>8.2891167882387649</c:v>
                </c:pt>
                <c:pt idx="113">
                  <c:v>8.0927584871163614</c:v>
                </c:pt>
                <c:pt idx="114">
                  <c:v>7.8965685137353319</c:v>
                </c:pt>
                <c:pt idx="115">
                  <c:v>7.7005544891140234</c:v>
                </c:pt>
                <c:pt idx="116">
                  <c:v>7.5047243642596682</c:v>
                </c:pt>
                <c:pt idx="117">
                  <c:v>7.3090864330384751</c:v>
                </c:pt>
                <c:pt idx="118">
                  <c:v>7.1136493454124405</c:v>
                </c:pt>
                <c:pt idx="119">
                  <c:v>6.9184221210393551</c:v>
                </c:pt>
                <c:pt idx="120">
                  <c:v>6.7234141632319648</c:v>
                </c:pt>
                <c:pt idx="121">
                  <c:v>6.5286352732680761</c:v>
                </c:pt>
                <c:pt idx="122">
                  <c:v>6.3340956650440496</c:v>
                </c:pt>
                <c:pt idx="123">
                  <c:v>6.1398059800591733</c:v>
                </c:pt>
                <c:pt idx="124">
                  <c:v>5.9457773027167251</c:v>
                </c:pt>
                <c:pt idx="125">
                  <c:v>5.7520211759265818</c:v>
                </c:pt>
                <c:pt idx="126">
                  <c:v>5.5585496169866051</c:v>
                </c:pt>
                <c:pt idx="127">
                  <c:v>5.3653751337221998</c:v>
                </c:pt>
                <c:pt idx="128">
                  <c:v>5.1725107408552082</c:v>
                </c:pt>
                <c:pt idx="129">
                  <c:v>4.9799699765721819</c:v>
                </c:pt>
                <c:pt idx="130">
                  <c:v>4.7877669192558461</c:v>
                </c:pt>
                <c:pt idx="131">
                  <c:v>4.595916204341373</c:v>
                </c:pt>
                <c:pt idx="132">
                  <c:v>4.4044330412513704</c:v>
                </c:pt>
                <c:pt idx="133">
                  <c:v>4.2133332303602833</c:v>
                </c:pt>
                <c:pt idx="134">
                  <c:v>4.022633179932984</c:v>
                </c:pt>
                <c:pt idx="135">
                  <c:v>3.8323499229750824</c:v>
                </c:pt>
                <c:pt idx="136">
                  <c:v>3.642501133928719</c:v>
                </c:pt>
                <c:pt idx="137">
                  <c:v>3.453105145138085</c:v>
                </c:pt>
                <c:pt idx="138">
                  <c:v>3.2641809630044434</c:v>
                </c:pt>
                <c:pt idx="139">
                  <c:v>3.0757482837417598</c:v>
                </c:pt>
                <c:pt idx="140">
                  <c:v>2.8878275086370837</c:v>
                </c:pt>
                <c:pt idx="141">
                  <c:v>2.7004397587116418</c:v>
                </c:pt>
                <c:pt idx="142">
                  <c:v>2.5136068886713208</c:v>
                </c:pt>
                <c:pt idx="143">
                  <c:v>2.3273515000259826</c:v>
                </c:pt>
                <c:pt idx="144">
                  <c:v>2.1416969532496353</c:v>
                </c:pt>
                <c:pt idx="145">
                  <c:v>1.956667378843697</c:v>
                </c:pt>
                <c:pt idx="146">
                  <c:v>1.7722876871599067</c:v>
                </c:pt>
                <c:pt idx="147">
                  <c:v>1.5885835768266294</c:v>
                </c:pt>
                <c:pt idx="148">
                  <c:v>1.4055815416183433</c:v>
                </c:pt>
                <c:pt idx="149">
                  <c:v>1.2233088755982466</c:v>
                </c:pt>
                <c:pt idx="150">
                  <c:v>1.0417936763548965</c:v>
                </c:pt>
                <c:pt idx="151">
                  <c:v>0.86106484615050827</c:v>
                </c:pt>
                <c:pt idx="152">
                  <c:v>0.68115209078678718</c:v>
                </c:pt>
                <c:pt idx="153">
                  <c:v>0.50208591599519414</c:v>
                </c:pt>
                <c:pt idx="154">
                  <c:v>0.32389762114567056</c:v>
                </c:pt>
                <c:pt idx="155">
                  <c:v>0.14661929007317256</c:v>
                </c:pt>
                <c:pt idx="156">
                  <c:v>-2.9716221188585121E-2</c:v>
                </c:pt>
                <c:pt idx="157">
                  <c:v>-0.20507529997224325</c:v>
                </c:pt>
                <c:pt idx="158">
                  <c:v>-0.379423596048439</c:v>
                </c:pt>
                <c:pt idx="159">
                  <c:v>-0.55272604440723827</c:v>
                </c:pt>
                <c:pt idx="160">
                  <c:v>-0.72494689194820583</c:v>
                </c:pt>
                <c:pt idx="161">
                  <c:v>-0.89604972827010365</c:v>
                </c:pt>
                <c:pt idx="162">
                  <c:v>-1.0659975207404977</c:v>
                </c:pt>
                <c:pt idx="163">
                  <c:v>-1.2347526540137652</c:v>
                </c:pt>
                <c:pt idx="164">
                  <c:v>-1.4022769741482359</c:v>
                </c:pt>
                <c:pt idx="165">
                  <c:v>-1.5685318374563153</c:v>
                </c:pt>
                <c:pt idx="166">
                  <c:v>-1.7334781641966623</c:v>
                </c:pt>
                <c:pt idx="167">
                  <c:v>-1.897076497194095</c:v>
                </c:pt>
                <c:pt idx="168">
                  <c:v>-2.0592870654419952</c:v>
                </c:pt>
                <c:pt idx="169">
                  <c:v>-2.2200698527103855</c:v>
                </c:pt>
                <c:pt idx="170">
                  <c:v>-2.3793846711463651</c:v>
                </c:pt>
                <c:pt idx="171">
                  <c:v>-2.5371912398149981</c:v>
                </c:pt>
                <c:pt idx="172">
                  <c:v>-2.6934492680859261</c:v>
                </c:pt>
                <c:pt idx="173">
                  <c:v>-2.8481185437257004</c:v>
                </c:pt>
                <c:pt idx="174">
                  <c:v>-3.0011590255088292</c:v>
                </c:pt>
                <c:pt idx="175">
                  <c:v>-3.1525309401100636</c:v>
                </c:pt>
                <c:pt idx="176">
                  <c:v>-3.3021948829890695</c:v>
                </c:pt>
                <c:pt idx="177">
                  <c:v>-3.4501119229266712</c:v>
                </c:pt>
                <c:pt idx="178">
                  <c:v>-3.5962437098180851</c:v>
                </c:pt>
                <c:pt idx="179">
                  <c:v>-3.7405525852764838</c:v>
                </c:pt>
                <c:pt idx="180">
                  <c:v>-3.8830016955483231</c:v>
                </c:pt>
                <c:pt idx="181">
                  <c:v>-4.0235551061921067</c:v>
                </c:pt>
                <c:pt idx="182">
                  <c:v>-4.162177917925959</c:v>
                </c:pt>
                <c:pt idx="183">
                  <c:v>-4.2988363830046135</c:v>
                </c:pt>
                <c:pt idx="184">
                  <c:v>-4.4334980214494282</c:v>
                </c:pt>
                <c:pt idx="185">
                  <c:v>-4.5661317364209593</c:v>
                </c:pt>
                <c:pt idx="186">
                  <c:v>-4.6967079279962505</c:v>
                </c:pt>
                <c:pt idx="187">
                  <c:v>-4.8251986045941528</c:v>
                </c:pt>
                <c:pt idx="188">
                  <c:v>-4.9515774912799211</c:v>
                </c:pt>
                <c:pt idx="189">
                  <c:v>-5.0758201341760945</c:v>
                </c:pt>
                <c:pt idx="190">
                  <c:v>-5.197904000213307</c:v>
                </c:pt>
                <c:pt idx="191">
                  <c:v>-5.3178085714694472</c:v>
                </c:pt>
                <c:pt idx="192">
                  <c:v>-5.4355154333693232</c:v>
                </c:pt>
                <c:pt idx="193">
                  <c:v>-5.5510083560521526</c:v>
                </c:pt>
                <c:pt idx="194">
                  <c:v>-5.6642733682571151</c:v>
                </c:pt>
                <c:pt idx="195">
                  <c:v>-5.7752988231302247</c:v>
                </c:pt>
                <c:pt idx="196">
                  <c:v>-5.8840754554167853</c:v>
                </c:pt>
                <c:pt idx="197">
                  <c:v>-5.990596429573003</c:v>
                </c:pt>
                <c:pt idx="198">
                  <c:v>-6.0948573784059406</c:v>
                </c:pt>
                <c:pt idx="199">
                  <c:v>-6.1968564319338979</c:v>
                </c:pt>
                <c:pt idx="200">
                  <c:v>-6.2965942362449656</c:v>
                </c:pt>
                <c:pt idx="201">
                  <c:v>-6.3940739622226079</c:v>
                </c:pt>
                <c:pt idx="202">
                  <c:v>-6.4893013040992189</c:v>
                </c:pt>
                <c:pt idx="203">
                  <c:v>-6.5822844678910357</c:v>
                </c:pt>
                <c:pt idx="204">
                  <c:v>-6.6730341498615111</c:v>
                </c:pt>
                <c:pt idx="205">
                  <c:v>-6.7615635052488852</c:v>
                </c:pt>
                <c:pt idx="206">
                  <c:v>-6.8478881075809914</c:v>
                </c:pt>
                <c:pt idx="207">
                  <c:v>-6.9320258989831789</c:v>
                </c:pt>
                <c:pt idx="208">
                  <c:v>-7.0139971319583738</c:v>
                </c:pt>
                <c:pt idx="209">
                  <c:v>-7.0938243031911528</c:v>
                </c:pt>
                <c:pt idx="210">
                  <c:v>-7.1715320799847024</c:v>
                </c:pt>
                <c:pt idx="211">
                  <c:v>-7.2471472199953881</c:v>
                </c:pt>
                <c:pt idx="212">
                  <c:v>-7.3206984849696148</c:v>
                </c:pt>
                <c:pt idx="213">
                  <c:v>-7.3922165492253766</c:v>
                </c:pt>
                <c:pt idx="214">
                  <c:v>-7.4617339036412034</c:v>
                </c:pt>
                <c:pt idx="215">
                  <c:v>-7.5292847559328422</c:v>
                </c:pt>
                <c:pt idx="216">
                  <c:v>-7.5949049280017231</c:v>
                </c:pt>
                <c:pt idx="217">
                  <c:v>-7.6586317511361548</c:v>
                </c:pt>
                <c:pt idx="218">
                  <c:v>-7.7205039598335921</c:v>
                </c:pt>
                <c:pt idx="219">
                  <c:v>-7.7805615849924168</c:v>
                </c:pt>
                <c:pt idx="220">
                  <c:v>-7.8388458471949818</c:v>
                </c:pt>
                <c:pt idx="221">
                  <c:v>-7.8953990507683489</c:v>
                </c:pt>
                <c:pt idx="222">
                  <c:v>-7.9502644792722865</c:v>
                </c:pt>
                <c:pt idx="223">
                  <c:v>-8.0034862930182182</c:v>
                </c:pt>
                <c:pt idx="224">
                  <c:v>-8.05510942917779</c:v>
                </c:pt>
                <c:pt idx="225">
                  <c:v>-8.1051795049866708</c:v>
                </c:pt>
                <c:pt idx="226">
                  <c:v>-8.1537427244992706</c:v>
                </c:pt>
                <c:pt idx="227">
                  <c:v>-8.2008457892967073</c:v>
                </c:pt>
                <c:pt idx="228">
                  <c:v>-8.246535813495349</c:v>
                </c:pt>
                <c:pt idx="229">
                  <c:v>-8.290860243350199</c:v>
                </c:pt>
                <c:pt idx="230">
                  <c:v>-8.3338667816981342</c:v>
                </c:pt>
                <c:pt idx="231">
                  <c:v>-8.3756033174301585</c:v>
                </c:pt>
                <c:pt idx="232">
                  <c:v>-8.416117860138284</c:v>
                </c:pt>
                <c:pt idx="233">
                  <c:v>-8.4554584800321031</c:v>
                </c:pt>
                <c:pt idx="234">
                  <c:v>-8.4936732531805159</c:v>
                </c:pt>
                <c:pt idx="235">
                  <c:v>-8.5308102120903442</c:v>
                </c:pt>
                <c:pt idx="236">
                  <c:v>-8.5669173015971563</c:v>
                </c:pt>
                <c:pt idx="237">
                  <c:v>-8.6020423400108594</c:v>
                </c:pt>
                <c:pt idx="238">
                  <c:v>-8.6362329854247193</c:v>
                </c:pt>
                <c:pt idx="239">
                  <c:v>-8.6695367070714706</c:v>
                </c:pt>
                <c:pt idx="240">
                  <c:v>-8.70200076158401</c:v>
                </c:pt>
                <c:pt idx="241">
                  <c:v>-8.7336721739963572</c:v>
                </c:pt>
                <c:pt idx="242">
                  <c:v>-8.764597723303762</c:v>
                </c:pt>
                <c:pt idx="243">
                  <c:v>-8.7948239323819379</c:v>
                </c:pt>
                <c:pt idx="244">
                  <c:v>-8.8243970620545813</c:v>
                </c:pt>
                <c:pt idx="245">
                  <c:v>-8.8533631090861871</c:v>
                </c:pt>
                <c:pt idx="246">
                  <c:v>-8.8817678078671278</c:v>
                </c:pt>
                <c:pt idx="247">
                  <c:v>-8.9096566355525812</c:v>
                </c:pt>
                <c:pt idx="248">
                  <c:v>-8.9370748204103538</c:v>
                </c:pt>
                <c:pt idx="249">
                  <c:v>-8.9640673531277386</c:v>
                </c:pt>
                <c:pt idx="250">
                  <c:v>-8.9906790008270114</c:v>
                </c:pt>
                <c:pt idx="251">
                  <c:v>-9.0169543235338345</c:v>
                </c:pt>
                <c:pt idx="252">
                  <c:v>-9.0429376928460758</c:v>
                </c:pt>
                <c:pt idx="253">
                  <c:v>-9.0686733125444814</c:v>
                </c:pt>
                <c:pt idx="254">
                  <c:v>-9.0942052408927552</c:v>
                </c:pt>
                <c:pt idx="255">
                  <c:v>-9.1195774143699655</c:v>
                </c:pt>
                <c:pt idx="256">
                  <c:v>-9.1448336725811892</c:v>
                </c:pt>
                <c:pt idx="257">
                  <c:v>-9.1700177840923196</c:v>
                </c:pt>
                <c:pt idx="258">
                  <c:v>-9.1951734729351049</c:v>
                </c:pt>
                <c:pt idx="259">
                  <c:v>-9.2203444455296832</c:v>
                </c:pt>
                <c:pt idx="260">
                  <c:v>-9.2455744177711612</c:v>
                </c:pt>
                <c:pt idx="261">
                  <c:v>-9.2709071420281202</c:v>
                </c:pt>
                <c:pt idx="262">
                  <c:v>-9.2963864337998512</c:v>
                </c:pt>
                <c:pt idx="263">
                  <c:v>-9.3220561977791334</c:v>
                </c:pt>
                <c:pt idx="264">
                  <c:v>-9.3479604530673335</c:v>
                </c:pt>
                <c:pt idx="265">
                  <c:v>-9.3741433572880553</c:v>
                </c:pt>
                <c:pt idx="266">
                  <c:v>-9.4006492293440118</c:v>
                </c:pt>
                <c:pt idx="267">
                  <c:v>-9.4275225705629691</c:v>
                </c:pt>
                <c:pt idx="268">
                  <c:v>-9.4548080839769035</c:v>
                </c:pt>
                <c:pt idx="269">
                  <c:v>-9.4825506914786928</c:v>
                </c:pt>
                <c:pt idx="270">
                  <c:v>-9.5107955486017239</c:v>
                </c:pt>
                <c:pt idx="271">
                  <c:v>-9.5395880566674265</c:v>
                </c:pt>
                <c:pt idx="272">
                  <c:v>-9.5689738720492894</c:v>
                </c:pt>
                <c:pt idx="273">
                  <c:v>-9.5989989123019299</c:v>
                </c:pt>
                <c:pt idx="274">
                  <c:v>-9.6297093589102207</c:v>
                </c:pt>
                <c:pt idx="275">
                  <c:v>-9.6611516564164006</c:v>
                </c:pt>
                <c:pt idx="276">
                  <c:v>-9.6933725076917217</c:v>
                </c:pt>
                <c:pt idx="277">
                  <c:v>-9.7264188651255026</c:v>
                </c:pt>
                <c:pt idx="278">
                  <c:v>-9.7603379175168641</c:v>
                </c:pt>
                <c:pt idx="279">
                  <c:v>-9.7951770724664993</c:v>
                </c:pt>
                <c:pt idx="280">
                  <c:v>-9.8309839340800789</c:v>
                </c:pt>
                <c:pt idx="281">
                  <c:v>-9.8678062758148695</c:v>
                </c:pt>
                <c:pt idx="282">
                  <c:v>-9.9056920083197202</c:v>
                </c:pt>
                <c:pt idx="283">
                  <c:v>-9.9446891421428205</c:v>
                </c:pt>
                <c:pt idx="284">
                  <c:v>-9.9848457452104249</c:v>
                </c:pt>
                <c:pt idx="285">
                  <c:v>-10.026209895006577</c:v>
                </c:pt>
                <c:pt idx="286">
                  <c:v>-10.068829625419069</c:v>
                </c:pt>
                <c:pt idx="287">
                  <c:v>-10.112752868253256</c:v>
                </c:pt>
                <c:pt idx="288">
                  <c:v>-10.158027389454825</c:v>
                </c:pt>
                <c:pt idx="289">
                  <c:v>-10.204700720125022</c:v>
                </c:pt>
                <c:pt idx="290">
                  <c:v>-10.252820082457157</c:v>
                </c:pt>
                <c:pt idx="291">
                  <c:v>-10.302432310771945</c:v>
                </c:pt>
                <c:pt idx="292">
                  <c:v>-10.353583767878931</c:v>
                </c:pt>
                <c:pt idx="293">
                  <c:v>-10.406320257042429</c:v>
                </c:pt>
                <c:pt idx="294">
                  <c:v>-10.460686929885448</c:v>
                </c:pt>
                <c:pt idx="295">
                  <c:v>-10.516728190615236</c:v>
                </c:pt>
                <c:pt idx="296">
                  <c:v>-10.574487597011293</c:v>
                </c:pt>
                <c:pt idx="297">
                  <c:v>-10.634007758666433</c:v>
                </c:pt>
                <c:pt idx="298">
                  <c:v>-10.695330233023794</c:v>
                </c:pt>
                <c:pt idx="299">
                  <c:v>-10.758495419800633</c:v>
                </c:pt>
                <c:pt idx="300">
                  <c:v>-10.823542454434143</c:v>
                </c:pt>
                <c:pt idx="301">
                  <c:v>-10.890509101226639</c:v>
                </c:pt>
                <c:pt idx="302">
                  <c:v>-10.959431646900288</c:v>
                </c:pt>
                <c:pt idx="303">
                  <c:v>-11.030344795304423</c:v>
                </c:pt>
                <c:pt idx="304">
                  <c:v>-11.103281564036148</c:v>
                </c:pt>
                <c:pt idx="305">
                  <c:v>-11.178273183754845</c:v>
                </c:pt>
                <c:pt idx="306">
                  <c:v>-11.255349000972672</c:v>
                </c:pt>
                <c:pt idx="307">
                  <c:v>-11.334536385104377</c:v>
                </c:pt>
                <c:pt idx="308">
                  <c:v>-11.415860640545333</c:v>
                </c:pt>
                <c:pt idx="309">
                  <c:v>-11.499344924527152</c:v>
                </c:pt>
                <c:pt idx="310">
                  <c:v>-11.58501017146815</c:v>
                </c:pt>
                <c:pt idx="311">
                  <c:v>-11.672875024495632</c:v>
                </c:pt>
                <c:pt idx="312">
                  <c:v>-11.762955774768329</c:v>
                </c:pt>
                <c:pt idx="313">
                  <c:v>-11.855266309166391</c:v>
                </c:pt>
                <c:pt idx="314">
                  <c:v>-11.949818066852863</c:v>
                </c:pt>
                <c:pt idx="315">
                  <c:v>-12.046620005133715</c:v>
                </c:pt>
                <c:pt idx="316">
                  <c:v>-12.145678574965915</c:v>
                </c:pt>
                <c:pt idx="317">
                  <c:v>-12.246997706375378</c:v>
                </c:pt>
                <c:pt idx="318">
                  <c:v>-12.350578803958586</c:v>
                </c:pt>
                <c:pt idx="319">
                  <c:v>-12.456420752550692</c:v>
                </c:pt>
                <c:pt idx="320">
                  <c:v>-12.564519933047436</c:v>
                </c:pt>
                <c:pt idx="321">
                  <c:v>-12.674870248278268</c:v>
                </c:pt>
                <c:pt idx="322">
                  <c:v>-12.787463158735196</c:v>
                </c:pt>
                <c:pt idx="323">
                  <c:v>-12.902287727874528</c:v>
                </c:pt>
                <c:pt idx="324">
                  <c:v>-13.01933067662514</c:v>
                </c:pt>
                <c:pt idx="325">
                  <c:v>-13.138576446659338</c:v>
                </c:pt>
                <c:pt idx="326">
                  <c:v>-13.260007271909991</c:v>
                </c:pt>
                <c:pt idx="327">
                  <c:v>-13.383603257754771</c:v>
                </c:pt>
                <c:pt idx="328">
                  <c:v>-13.509342467233726</c:v>
                </c:pt>
                <c:pt idx="329">
                  <c:v>-13.637201013616998</c:v>
                </c:pt>
                <c:pt idx="330">
                  <c:v>-13.767153158607959</c:v>
                </c:pt>
                <c:pt idx="331">
                  <c:v>-13.899171415432573</c:v>
                </c:pt>
                <c:pt idx="332">
                  <c:v>-14.03322665605508</c:v>
                </c:pt>
                <c:pt idx="333">
                  <c:v>-14.169288221746353</c:v>
                </c:pt>
                <c:pt idx="334">
                  <c:v>-14.307324036234284</c:v>
                </c:pt>
                <c:pt idx="335">
                  <c:v>-14.44730072067552</c:v>
                </c:pt>
                <c:pt idx="336">
                  <c:v>-14.589183709703573</c:v>
                </c:pt>
                <c:pt idx="337">
                  <c:v>-14.732937367834626</c:v>
                </c:pt>
                <c:pt idx="338">
                  <c:v>-14.878525105543428</c:v>
                </c:pt>
                <c:pt idx="339">
                  <c:v>-15.025909494357272</c:v>
                </c:pt>
                <c:pt idx="340">
                  <c:v>-15.175052380362079</c:v>
                </c:pt>
                <c:pt idx="341">
                  <c:v>-15.325914995555106</c:v>
                </c:pt>
                <c:pt idx="342">
                  <c:v>-15.478458066532561</c:v>
                </c:pt>
                <c:pt idx="343">
                  <c:v>-15.632641920048878</c:v>
                </c:pt>
                <c:pt idx="344">
                  <c:v>-15.788426585036543</c:v>
                </c:pt>
                <c:pt idx="345">
                  <c:v>-15.94577189073248</c:v>
                </c:pt>
                <c:pt idx="346">
                  <c:v>-16.104637560602278</c:v>
                </c:pt>
                <c:pt idx="347">
                  <c:v>-16.264983301813373</c:v>
                </c:pt>
                <c:pt idx="348">
                  <c:v>-16.426768890052635</c:v>
                </c:pt>
                <c:pt idx="349">
                  <c:v>-16.589954249536433</c:v>
                </c:pt>
                <c:pt idx="350">
                  <c:v>-16.754499528102752</c:v>
                </c:pt>
                <c:pt idx="351">
                  <c:v>-16.92036516732378</c:v>
                </c:pt>
                <c:pt idx="352">
                  <c:v>-17.08751196761192</c:v>
                </c:pt>
                <c:pt idx="353">
                  <c:v>-17.255901148332896</c:v>
                </c:pt>
                <c:pt idx="354">
                  <c:v>-17.42549440297185</c:v>
                </c:pt>
                <c:pt idx="355">
                  <c:v>-17.596253949428494</c:v>
                </c:pt>
                <c:pt idx="356">
                  <c:v>-17.768142575543806</c:v>
                </c:pt>
                <c:pt idx="357">
                  <c:v>-17.941123679985594</c:v>
                </c:pt>
                <c:pt idx="358">
                  <c:v>-18.115161308638296</c:v>
                </c:pt>
                <c:pt idx="359">
                  <c:v>-18.29022018666079</c:v>
                </c:pt>
                <c:pt idx="360">
                  <c:v>-18.466265746389077</c:v>
                </c:pt>
                <c:pt idx="361">
                  <c:v>-18.643264151271989</c:v>
                </c:pt>
                <c:pt idx="362">
                  <c:v>-18.821182316037294</c:v>
                </c:pt>
                <c:pt idx="363">
                  <c:v>-18.999987923288735</c:v>
                </c:pt>
                <c:pt idx="364">
                  <c:v>-19.179649436742217</c:v>
                </c:pt>
                <c:pt idx="365">
                  <c:v>-19.360136111307142</c:v>
                </c:pt>
                <c:pt idx="366">
                  <c:v>-19.5414180002225</c:v>
                </c:pt>
                <c:pt idx="367">
                  <c:v>-19.723465959451119</c:v>
                </c:pt>
                <c:pt idx="368">
                  <c:v>-19.906251649537275</c:v>
                </c:pt>
                <c:pt idx="369">
                  <c:v>-20.089747535124101</c:v>
                </c:pt>
                <c:pt idx="370">
                  <c:v>-20.273926882324751</c:v>
                </c:pt>
                <c:pt idx="371">
                  <c:v>-20.458763754133926</c:v>
                </c:pt>
                <c:pt idx="372">
                  <c:v>-20.644233004059522</c:v>
                </c:pt>
                <c:pt idx="373">
                  <c:v>-20.830310268146274</c:v>
                </c:pt>
                <c:pt idx="374">
                  <c:v>-21.016971955556709</c:v>
                </c:pt>
                <c:pt idx="375">
                  <c:v>-21.204195237864699</c:v>
                </c:pt>
                <c:pt idx="376">
                  <c:v>-21.391958037210607</c:v>
                </c:pt>
                <c:pt idx="377">
                  <c:v>-21.580239013456076</c:v>
                </c:pt>
                <c:pt idx="378">
                  <c:v>-21.76901755047048</c:v>
                </c:pt>
                <c:pt idx="379">
                  <c:v>-21.958273741671487</c:v>
                </c:pt>
                <c:pt idx="380">
                  <c:v>-22.147988374933433</c:v>
                </c:pt>
                <c:pt idx="381">
                  <c:v>-22.338142916969915</c:v>
                </c:pt>
                <c:pt idx="382">
                  <c:v>-22.5287194972897</c:v>
                </c:pt>
                <c:pt idx="383">
                  <c:v>-22.71970089181519</c:v>
                </c:pt>
                <c:pt idx="384">
                  <c:v>-22.91107050624786</c:v>
                </c:pt>
                <c:pt idx="385">
                  <c:v>-23.102812359257385</c:v>
                </c:pt>
                <c:pt idx="386">
                  <c:v>-23.29491106556204</c:v>
                </c:pt>
                <c:pt idx="387">
                  <c:v>-23.487351818966861</c:v>
                </c:pt>
                <c:pt idx="388">
                  <c:v>-23.680120375413413</c:v>
                </c:pt>
                <c:pt idx="389">
                  <c:v>-23.873203036095912</c:v>
                </c:pt>
                <c:pt idx="390">
                  <c:v>-24.066586630687002</c:v>
                </c:pt>
                <c:pt idx="391">
                  <c:v>-24.260258500716855</c:v>
                </c:pt>
                <c:pt idx="392">
                  <c:v>-24.454206483140936</c:v>
                </c:pt>
                <c:pt idx="393">
                  <c:v>-24.648418894128611</c:v>
                </c:pt>
                <c:pt idx="394">
                  <c:v>-24.842884513101037</c:v>
                </c:pt>
                <c:pt idx="395">
                  <c:v>-25.037592567043106</c:v>
                </c:pt>
                <c:pt idx="396">
                  <c:v>-25.232532715109475</c:v>
                </c:pt>
                <c:pt idx="397">
                  <c:v>-25.427695033543433</c:v>
                </c:pt>
                <c:pt idx="398">
                  <c:v>-25.623070000922773</c:v>
                </c:pt>
                <c:pt idx="399">
                  <c:v>-25.818648483745214</c:v>
                </c:pt>
                <c:pt idx="400">
                  <c:v>-26.014421722363124</c:v>
                </c:pt>
                <c:pt idx="401">
                  <c:v>-26.210381317274791</c:v>
                </c:pt>
                <c:pt idx="402">
                  <c:v>-26.40651921577799</c:v>
                </c:pt>
                <c:pt idx="403">
                  <c:v>-26.602827698989579</c:v>
                </c:pt>
                <c:pt idx="404">
                  <c:v>-26.79929936923331</c:v>
                </c:pt>
                <c:pt idx="405">
                  <c:v>-26.995927137795693</c:v>
                </c:pt>
                <c:pt idx="406">
                  <c:v>-27.192704213050401</c:v>
                </c:pt>
                <c:pt idx="407">
                  <c:v>-27.389624088948366</c:v>
                </c:pt>
                <c:pt idx="408">
                  <c:v>-27.586680533871078</c:v>
                </c:pt>
                <c:pt idx="409">
                  <c:v>-27.783867579843111</c:v>
                </c:pt>
                <c:pt idx="410">
                  <c:v>-27.981179512099679</c:v>
                </c:pt>
                <c:pt idx="411">
                  <c:v>-28.178610859003037</c:v>
                </c:pt>
                <c:pt idx="412">
                  <c:v>-28.376156382303101</c:v>
                </c:pt>
                <c:pt idx="413">
                  <c:v>-28.573811067734184</c:v>
                </c:pt>
                <c:pt idx="414">
                  <c:v>-28.77157011594317</c:v>
                </c:pt>
                <c:pt idx="415">
                  <c:v>-28.969428933739486</c:v>
                </c:pt>
                <c:pt idx="416">
                  <c:v>-29.167383125662035</c:v>
                </c:pt>
                <c:pt idx="417">
                  <c:v>-29.365428485852789</c:v>
                </c:pt>
                <c:pt idx="418">
                  <c:v>-29.563560990231114</c:v>
                </c:pt>
                <c:pt idx="419">
                  <c:v>-29.761776788959942</c:v>
                </c:pt>
                <c:pt idx="420">
                  <c:v>-29.960072199195608</c:v>
                </c:pt>
                <c:pt idx="421">
                  <c:v>-30.158443698113647</c:v>
                </c:pt>
                <c:pt idx="422">
                  <c:v>-30.356887916202492</c:v>
                </c:pt>
                <c:pt idx="423">
                  <c:v>-30.555401630815432</c:v>
                </c:pt>
                <c:pt idx="424">
                  <c:v>-30.753981759975701</c:v>
                </c:pt>
                <c:pt idx="425">
                  <c:v>-30.952625356423219</c:v>
                </c:pt>
                <c:pt idx="426">
                  <c:v>-31.151329601897871</c:v>
                </c:pt>
                <c:pt idx="427">
                  <c:v>-31.35009180164953</c:v>
                </c:pt>
                <c:pt idx="428">
                  <c:v>-31.548909379168819</c:v>
                </c:pt>
                <c:pt idx="429">
                  <c:v>-31.747779871128824</c:v>
                </c:pt>
                <c:pt idx="430">
                  <c:v>-31.946700922533214</c:v>
                </c:pt>
                <c:pt idx="431">
                  <c:v>-32.145670282060685</c:v>
                </c:pt>
                <c:pt idx="432">
                  <c:v>-32.344685797600285</c:v>
                </c:pt>
                <c:pt idx="433">
                  <c:v>-32.543745411970797</c:v>
                </c:pt>
                <c:pt idx="434">
                  <c:v>-32.742847158815607</c:v>
                </c:pt>
                <c:pt idx="435">
                  <c:v>-32.941989158669116</c:v>
                </c:pt>
                <c:pt idx="436">
                  <c:v>-33.141169615185795</c:v>
                </c:pt>
                <c:pt idx="437">
                  <c:v>-33.340386811527893</c:v>
                </c:pt>
                <c:pt idx="438">
                  <c:v>-33.539639106903294</c:v>
                </c:pt>
                <c:pt idx="439">
                  <c:v>-33.73892493325026</c:v>
                </c:pt>
                <c:pt idx="440">
                  <c:v>-33.938242792061018</c:v>
                </c:pt>
                <c:pt idx="441">
                  <c:v>-34.137591251340936</c:v>
                </c:pt>
                <c:pt idx="442">
                  <c:v>-34.336968942696267</c:v>
                </c:pt>
                <c:pt idx="443">
                  <c:v>-34.536374558545234</c:v>
                </c:pt>
                <c:pt idx="444">
                  <c:v>-34.735806849449347</c:v>
                </c:pt>
                <c:pt idx="445">
                  <c:v>-34.935264621558574</c:v>
                </c:pt>
                <c:pt idx="446">
                  <c:v>-35.134746734165077</c:v>
                </c:pt>
                <c:pt idx="447">
                  <c:v>-35.334252097364043</c:v>
                </c:pt>
                <c:pt idx="448">
                  <c:v>-35.533779669813313</c:v>
                </c:pt>
                <c:pt idx="449">
                  <c:v>-35.733328456591266</c:v>
                </c:pt>
                <c:pt idx="450">
                  <c:v>-35.93289750714667</c:v>
                </c:pt>
                <c:pt idx="451">
                  <c:v>-36.132485913336822</c:v>
                </c:pt>
                <c:pt idx="452">
                  <c:v>-36.332092807552655</c:v>
                </c:pt>
                <c:pt idx="453">
                  <c:v>-36.531717360922876</c:v>
                </c:pt>
                <c:pt idx="454">
                  <c:v>-36.731358781598914</c:v>
                </c:pt>
                <c:pt idx="455">
                  <c:v>-36.931016313112686</c:v>
                </c:pt>
                <c:pt idx="456">
                  <c:v>-37.130689232806986</c:v>
                </c:pt>
                <c:pt idx="457">
                  <c:v>-37.330376850334531</c:v>
                </c:pt>
                <c:pt idx="458">
                  <c:v>-37.530078506222885</c:v>
                </c:pt>
                <c:pt idx="459">
                  <c:v>-37.72979357050118</c:v>
                </c:pt>
                <c:pt idx="460">
                  <c:v>-37.929521441389163</c:v>
                </c:pt>
                <c:pt idx="461">
                  <c:v>-38.129261544041789</c:v>
                </c:pt>
                <c:pt idx="462">
                  <c:v>-38.329013329350644</c:v>
                </c:pt>
                <c:pt idx="463">
                  <c:v>-38.528776272797188</c:v>
                </c:pt>
                <c:pt idx="464">
                  <c:v>-38.728549873357032</c:v>
                </c:pt>
                <c:pt idx="465">
                  <c:v>-38.928333652452309</c:v>
                </c:pt>
                <c:pt idx="466">
                  <c:v>-39.128127152950832</c:v>
                </c:pt>
                <c:pt idx="467">
                  <c:v>-39.327929938208733</c:v>
                </c:pt>
                <c:pt idx="468">
                  <c:v>-39.527741591155923</c:v>
                </c:pt>
                <c:pt idx="469">
                  <c:v>-39.727561713422482</c:v>
                </c:pt>
                <c:pt idx="470">
                  <c:v>-39.92738992450257</c:v>
                </c:pt>
                <c:pt idx="471">
                  <c:v>-40.127225860956628</c:v>
                </c:pt>
                <c:pt idx="472">
                  <c:v>-40.327069175648319</c:v>
                </c:pt>
                <c:pt idx="473">
                  <c:v>-40.526919537015559</c:v>
                </c:pt>
                <c:pt idx="474">
                  <c:v>-40.726776628373983</c:v>
                </c:pt>
                <c:pt idx="475">
                  <c:v>-40.926640147251007</c:v>
                </c:pt>
                <c:pt idx="476">
                  <c:v>-41.12650980475027</c:v>
                </c:pt>
                <c:pt idx="477">
                  <c:v>-41.326385324943509</c:v>
                </c:pt>
                <c:pt idx="478">
                  <c:v>-41.526266444290044</c:v>
                </c:pt>
                <c:pt idx="479">
                  <c:v>-41.726152911082011</c:v>
                </c:pt>
                <c:pt idx="480">
                  <c:v>-41.926044484914357</c:v>
                </c:pt>
                <c:pt idx="481">
                  <c:v>-42.12594093617809</c:v>
                </c:pt>
                <c:pt idx="482">
                  <c:v>-42.325842045577183</c:v>
                </c:pt>
                <c:pt idx="483">
                  <c:v>-42.525747603665316</c:v>
                </c:pt>
                <c:pt idx="484">
                  <c:v>-42.725657410405077</c:v>
                </c:pt>
                <c:pt idx="485">
                  <c:v>-42.925571274745835</c:v>
                </c:pt>
                <c:pt idx="486">
                  <c:v>-43.125489014220662</c:v>
                </c:pt>
                <c:pt idx="487">
                  <c:v>-43.325410454561307</c:v>
                </c:pt>
                <c:pt idx="488">
                  <c:v>-43.525335429330418</c:v>
                </c:pt>
                <c:pt idx="489">
                  <c:v>-43.725263779570291</c:v>
                </c:pt>
                <c:pt idx="490">
                  <c:v>-43.925195353467153</c:v>
                </c:pt>
                <c:pt idx="491">
                  <c:v>-44.125130006030425</c:v>
                </c:pt>
                <c:pt idx="492">
                  <c:v>-44.325067598786617</c:v>
                </c:pt>
                <c:pt idx="493">
                  <c:v>-44.525007999486746</c:v>
                </c:pt>
                <c:pt idx="494">
                  <c:v>-44.724951081826838</c:v>
                </c:pt>
                <c:pt idx="495">
                  <c:v>-44.924896725180972</c:v>
                </c:pt>
                <c:pt idx="496">
                  <c:v>-45.124844814346218</c:v>
                </c:pt>
                <c:pt idx="497">
                  <c:v>-45.324795239299512</c:v>
                </c:pt>
                <c:pt idx="498">
                  <c:v>-45.524747894964364</c:v>
                </c:pt>
                <c:pt idx="499">
                  <c:v>-45.724702680989118</c:v>
                </c:pt>
                <c:pt idx="500">
                  <c:v>-45.924659501534599</c:v>
                </c:pt>
                <c:pt idx="501">
                  <c:v>-46.124618265071291</c:v>
                </c:pt>
                <c:pt idx="502">
                  <c:v>-46.324578884185698</c:v>
                </c:pt>
                <c:pt idx="503">
                  <c:v>-46.52454127539567</c:v>
                </c:pt>
                <c:pt idx="504">
                  <c:v>-46.724505358973147</c:v>
                </c:pt>
                <c:pt idx="505">
                  <c:v>-46.924471058776184</c:v>
                </c:pt>
                <c:pt idx="506">
                  <c:v>-47.124438302087135</c:v>
                </c:pt>
                <c:pt idx="507">
                  <c:v>-47.324407019459272</c:v>
                </c:pt>
                <c:pt idx="508">
                  <c:v>-47.524377144569321</c:v>
                </c:pt>
                <c:pt idx="509">
                  <c:v>-47.724348614077378</c:v>
                </c:pt>
                <c:pt idx="510">
                  <c:v>-47.924321367492517</c:v>
                </c:pt>
                <c:pt idx="511">
                  <c:v>-48.124295347044921</c:v>
                </c:pt>
                <c:pt idx="512">
                  <c:v>-48.32427049756356</c:v>
                </c:pt>
                <c:pt idx="513">
                  <c:v>-48.52424676635912</c:v>
                </c:pt>
                <c:pt idx="514">
                  <c:v>-48.724224103112796</c:v>
                </c:pt>
                <c:pt idx="515">
                  <c:v>-48.924202459769084</c:v>
                </c:pt>
                <c:pt idx="516">
                  <c:v>-49.124181790434747</c:v>
                </c:pt>
                <c:pt idx="517">
                  <c:v>-49.324162051281036</c:v>
                </c:pt>
                <c:pt idx="518">
                  <c:v>-49.52414320045105</c:v>
                </c:pt>
                <c:pt idx="519">
                  <c:v>-49.724125197971119</c:v>
                </c:pt>
                <c:pt idx="520">
                  <c:v>-49.924108005665957</c:v>
                </c:pt>
                <c:pt idx="521">
                  <c:v>-50.124091587077871</c:v>
                </c:pt>
                <c:pt idx="522">
                  <c:v>-50.324075907389542</c:v>
                </c:pt>
                <c:pt idx="523">
                  <c:v>-50.524060933350114</c:v>
                </c:pt>
                <c:pt idx="524">
                  <c:v>-50.724046633204793</c:v>
                </c:pt>
                <c:pt idx="525">
                  <c:v>-50.924032976627728</c:v>
                </c:pt>
                <c:pt idx="526">
                  <c:v>-51.12401993465739</c:v>
                </c:pt>
                <c:pt idx="527">
                  <c:v>-51.324007479635512</c:v>
                </c:pt>
                <c:pt idx="528">
                  <c:v>-51.523995585148413</c:v>
                </c:pt>
                <c:pt idx="529">
                  <c:v>-51.723984225970582</c:v>
                </c:pt>
                <c:pt idx="530">
                  <c:v>-51.9239733780121</c:v>
                </c:pt>
                <c:pt idx="531">
                  <c:v>-52.123963018266593</c:v>
                </c:pt>
                <c:pt idx="532">
                  <c:v>-52.323953124763236</c:v>
                </c:pt>
                <c:pt idx="533">
                  <c:v>-52.5239436765196</c:v>
                </c:pt>
                <c:pt idx="534">
                  <c:v>-52.723934653497587</c:v>
                </c:pt>
                <c:pt idx="535">
                  <c:v>-52.923926036560843</c:v>
                </c:pt>
                <c:pt idx="536">
                  <c:v>-53.123917807433983</c:v>
                </c:pt>
                <c:pt idx="537">
                  <c:v>-53.323909948664188</c:v>
                </c:pt>
                <c:pt idx="538">
                  <c:v>-53.52390244358395</c:v>
                </c:pt>
                <c:pt idx="539">
                  <c:v>-53.723895276275698</c:v>
                </c:pt>
                <c:pt idx="540">
                  <c:v>-53.923888431538359</c:v>
                </c:pt>
                <c:pt idx="541">
                  <c:v>-54.123881894854662</c:v>
                </c:pt>
              </c:numCache>
            </c:numRef>
          </c:yVal>
          <c:smooth val="1"/>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90.547098702356749</c:v>
                </c:pt>
                <c:pt idx="1">
                  <c:v>90.559841280848147</c:v>
                </c:pt>
                <c:pt idx="2">
                  <c:v>90.572880601513134</c:v>
                </c:pt>
                <c:pt idx="3">
                  <c:v>90.586223571315756</c:v>
                </c:pt>
                <c:pt idx="4">
                  <c:v>90.599877257742932</c:v>
                </c:pt>
                <c:pt idx="5">
                  <c:v>90.613848892517638</c:v>
                </c:pt>
                <c:pt idx="6">
                  <c:v>90.628145875396839</c:v>
                </c:pt>
                <c:pt idx="7">
                  <c:v>90.642775778055935</c:v>
                </c:pt>
                <c:pt idx="8">
                  <c:v>90.657746348061366</c:v>
                </c:pt>
                <c:pt idx="9">
                  <c:v>90.673065512933832</c:v>
                </c:pt>
                <c:pt idx="10">
                  <c:v>90.688741384303313</c:v>
                </c:pt>
                <c:pt idx="11">
                  <c:v>90.704782262158602</c:v>
                </c:pt>
                <c:pt idx="12">
                  <c:v>90.721196639192897</c:v>
                </c:pt>
                <c:pt idx="13">
                  <c:v>90.737993205247577</c:v>
                </c:pt>
                <c:pt idx="14">
                  <c:v>90.755180851856394</c:v>
                </c:pt>
                <c:pt idx="15">
                  <c:v>90.772768676892056</c:v>
                </c:pt>
                <c:pt idx="16">
                  <c:v>90.790765989317251</c:v>
                </c:pt>
                <c:pt idx="17">
                  <c:v>90.809182314042587</c:v>
                </c:pt>
                <c:pt idx="18">
                  <c:v>90.828027396893276</c:v>
                </c:pt>
                <c:pt idx="19">
                  <c:v>90.847311209687206</c:v>
                </c:pt>
                <c:pt idx="20">
                  <c:v>90.867043955426197</c:v>
                </c:pt>
                <c:pt idx="21">
                  <c:v>90.887236073603205</c:v>
                </c:pt>
                <c:pt idx="22">
                  <c:v>90.907898245627479</c:v>
                </c:pt>
                <c:pt idx="23">
                  <c:v>90.929041400370195</c:v>
                </c:pt>
                <c:pt idx="24">
                  <c:v>90.950676719832728</c:v>
                </c:pt>
                <c:pt idx="25">
                  <c:v>90.972815644940383</c:v>
                </c:pt>
                <c:pt idx="26">
                  <c:v>90.995469881463535</c:v>
                </c:pt>
                <c:pt idx="27">
                  <c:v>91.018651406068912</c:v>
                </c:pt>
                <c:pt idx="28">
                  <c:v>91.042372472503516</c:v>
                </c:pt>
                <c:pt idx="29">
                  <c:v>91.066645617913437</c:v>
                </c:pt>
                <c:pt idx="30">
                  <c:v>91.091483669300246</c:v>
                </c:pt>
                <c:pt idx="31">
                  <c:v>91.116899750117639</c:v>
                </c:pt>
                <c:pt idx="32">
                  <c:v>91.142907287010345</c:v>
                </c:pt>
                <c:pt idx="33">
                  <c:v>91.169520016698385</c:v>
                </c:pt>
                <c:pt idx="34">
                  <c:v>91.196751993008959</c:v>
                </c:pt>
                <c:pt idx="35">
                  <c:v>91.224617594058415</c:v>
                </c:pt>
                <c:pt idx="36">
                  <c:v>91.25313152958708</c:v>
                </c:pt>
                <c:pt idx="37">
                  <c:v>91.282308848449162</c:v>
                </c:pt>
                <c:pt idx="38">
                  <c:v>91.312164946260665</c:v>
                </c:pt>
                <c:pt idx="39">
                  <c:v>91.342715573207258</c:v>
                </c:pt>
                <c:pt idx="40">
                  <c:v>91.373976842014983</c:v>
                </c:pt>
                <c:pt idx="41">
                  <c:v>91.405965236086089</c:v>
                </c:pt>
                <c:pt idx="42">
                  <c:v>91.438697617802333</c:v>
                </c:pt>
                <c:pt idx="43">
                  <c:v>91.472191236998157</c:v>
                </c:pt>
                <c:pt idx="44">
                  <c:v>91.50646373960592</c:v>
                </c:pt>
                <c:pt idx="45">
                  <c:v>91.541533176475667</c:v>
                </c:pt>
                <c:pt idx="46">
                  <c:v>91.57741801237114</c:v>
                </c:pt>
                <c:pt idx="47">
                  <c:v>91.614137135144546</c:v>
                </c:pt>
                <c:pt idx="48">
                  <c:v>91.651709865091689</c:v>
                </c:pt>
                <c:pt idx="49">
                  <c:v>91.690155964489634</c:v>
                </c:pt>
                <c:pt idx="50">
                  <c:v>91.729495647318288</c:v>
                </c:pt>
                <c:pt idx="51">
                  <c:v>91.769749589167731</c:v>
                </c:pt>
                <c:pt idx="52">
                  <c:v>91.810938937332836</c:v>
                </c:pt>
                <c:pt idx="53">
                  <c:v>91.853085321095918</c:v>
                </c:pt>
                <c:pt idx="54">
                  <c:v>91.896210862199396</c:v>
                </c:pt>
                <c:pt idx="55">
                  <c:v>91.94033818550821</c:v>
                </c:pt>
                <c:pt idx="56">
                  <c:v>91.985490429863788</c:v>
                </c:pt>
                <c:pt idx="57">
                  <c:v>92.031691259129104</c:v>
                </c:pt>
                <c:pt idx="58">
                  <c:v>92.078964873425448</c:v>
                </c:pt>
                <c:pt idx="59">
                  <c:v>92.127336020560406</c:v>
                </c:pt>
                <c:pt idx="60">
                  <c:v>92.176830007646942</c:v>
                </c:pt>
                <c:pt idx="61">
                  <c:v>92.227472712912288</c:v>
                </c:pt>
                <c:pt idx="62">
                  <c:v>92.279290597695692</c:v>
                </c:pt>
                <c:pt idx="63">
                  <c:v>92.332310718633266</c:v>
                </c:pt>
                <c:pt idx="64">
                  <c:v>92.386560740027974</c:v>
                </c:pt>
                <c:pt idx="65">
                  <c:v>92.442068946401605</c:v>
                </c:pt>
                <c:pt idx="66">
                  <c:v>92.498864255226366</c:v>
                </c:pt>
                <c:pt idx="67">
                  <c:v>92.556976229831591</c:v>
                </c:pt>
                <c:pt idx="68">
                  <c:v>92.616435092481709</c:v>
                </c:pt>
                <c:pt idx="69">
                  <c:v>92.677271737620018</c:v>
                </c:pt>
                <c:pt idx="70">
                  <c:v>92.73951774527292</c:v>
                </c:pt>
                <c:pt idx="71">
                  <c:v>92.803205394607346</c:v>
                </c:pt>
                <c:pt idx="72">
                  <c:v>92.868367677634623</c:v>
                </c:pt>
                <c:pt idx="73">
                  <c:v>92.93503831305182</c:v>
                </c:pt>
                <c:pt idx="74">
                  <c:v>93.003251760211469</c:v>
                </c:pt>
                <c:pt idx="75">
                  <c:v>93.073043233209219</c:v>
                </c:pt>
                <c:pt idx="76">
                  <c:v>93.144448715077473</c:v>
                </c:pt>
                <c:pt idx="77">
                  <c:v>93.217504972072575</c:v>
                </c:pt>
                <c:pt idx="78">
                  <c:v>93.292249568041044</c:v>
                </c:pt>
                <c:pt idx="79">
                  <c:v>93.36872087884926</c:v>
                </c:pt>
                <c:pt idx="80">
                  <c:v>93.446958106859597</c:v>
                </c:pt>
                <c:pt idx="81">
                  <c:v>93.52700129543399</c:v>
                </c:pt>
                <c:pt idx="82">
                  <c:v>93.608891343444483</c:v>
                </c:pt>
                <c:pt idx="83">
                  <c:v>93.692670019768229</c:v>
                </c:pt>
                <c:pt idx="84">
                  <c:v>93.778379977742603</c:v>
                </c:pt>
                <c:pt idx="85">
                  <c:v>93.866064769553574</c:v>
                </c:pt>
                <c:pt idx="86">
                  <c:v>93.955768860528693</c:v>
                </c:pt>
                <c:pt idx="87">
                  <c:v>94.04753764330296</c:v>
                </c:pt>
                <c:pt idx="88">
                  <c:v>94.141417451823884</c:v>
                </c:pt>
                <c:pt idx="89">
                  <c:v>94.237455575158847</c:v>
                </c:pt>
                <c:pt idx="90">
                  <c:v>94.335700271064781</c:v>
                </c:pt>
                <c:pt idx="91">
                  <c:v>94.436200779277456</c:v>
                </c:pt>
                <c:pt idx="92">
                  <c:v>94.539007334474022</c:v>
                </c:pt>
                <c:pt idx="93">
                  <c:v>94.644171178858741</c:v>
                </c:pt>
                <c:pt idx="94">
                  <c:v>94.751744574318394</c:v>
                </c:pt>
                <c:pt idx="95">
                  <c:v>94.861780814089428</c:v>
                </c:pt>
                <c:pt idx="96">
                  <c:v>94.974334233874842</c:v>
                </c:pt>
                <c:pt idx="97">
                  <c:v>95.089460222344414</c:v>
                </c:pt>
                <c:pt idx="98">
                  <c:v>95.207215230946559</c:v>
                </c:pt>
                <c:pt idx="99">
                  <c:v>95.327656782955629</c:v>
                </c:pt>
                <c:pt idx="100">
                  <c:v>95.450843481672464</c:v>
                </c:pt>
                <c:pt idx="101">
                  <c:v>95.576835017691053</c:v>
                </c:pt>
                <c:pt idx="102">
                  <c:v>95.705692175137798</c:v>
                </c:pt>
                <c:pt idx="103">
                  <c:v>95.83747683678267</c:v>
                </c:pt>
                <c:pt idx="104">
                  <c:v>95.972251987917616</c:v>
                </c:pt>
                <c:pt idx="105">
                  <c:v>96.110081718886875</c:v>
                </c:pt>
                <c:pt idx="106">
                  <c:v>96.251031226149863</c:v>
                </c:pt>
                <c:pt idx="107">
                  <c:v>96.395166811747458</c:v>
                </c:pt>
                <c:pt idx="108">
                  <c:v>96.542555881036407</c:v>
                </c:pt>
                <c:pt idx="109">
                  <c:v>96.69326693854579</c:v>
                </c:pt>
                <c:pt idx="110">
                  <c:v>96.847369581803022</c:v>
                </c:pt>
                <c:pt idx="111">
                  <c:v>97.00493449296701</c:v>
                </c:pt>
                <c:pt idx="112">
                  <c:v>97.166033428095716</c:v>
                </c:pt>
                <c:pt idx="113">
                  <c:v>97.330739203868163</c:v>
                </c:pt>
                <c:pt idx="114">
                  <c:v>97.499125681567008</c:v>
                </c:pt>
                <c:pt idx="115">
                  <c:v>97.671267748121835</c:v>
                </c:pt>
                <c:pt idx="116">
                  <c:v>97.847241293998636</c:v>
                </c:pt>
                <c:pt idx="117">
                  <c:v>98.027123187713642</c:v>
                </c:pt>
                <c:pt idx="118">
                  <c:v>98.21099124673465</c:v>
                </c:pt>
                <c:pt idx="119">
                  <c:v>98.39892420452648</c:v>
                </c:pt>
                <c:pt idx="120">
                  <c:v>98.591001673479781</c:v>
                </c:pt>
                <c:pt idx="121">
                  <c:v>98.787304103457686</c:v>
                </c:pt>
                <c:pt idx="122">
                  <c:v>98.987912735676446</c:v>
                </c:pt>
                <c:pt idx="123">
                  <c:v>99.192909551630834</c:v>
                </c:pt>
                <c:pt idx="124">
                  <c:v>99.40237721675868</c:v>
                </c:pt>
                <c:pt idx="125">
                  <c:v>99.616399018531553</c:v>
                </c:pt>
                <c:pt idx="126">
                  <c:v>99.835058798646614</c:v>
                </c:pt>
                <c:pt idx="127">
                  <c:v>100.05844087898338</c:v>
                </c:pt>
                <c:pt idx="128">
                  <c:v>100.28662998098052</c:v>
                </c:pt>
                <c:pt idx="129">
                  <c:v>100.5197111380823</c:v>
                </c:pt>
                <c:pt idx="130">
                  <c:v>100.75776960088855</c:v>
                </c:pt>
                <c:pt idx="131">
                  <c:v>101.00089073464481</c:v>
                </c:pt>
                <c:pt idx="132">
                  <c:v>101.24915990869718</c:v>
                </c:pt>
                <c:pt idx="133">
                  <c:v>101.50266237753735</c:v>
                </c:pt>
                <c:pt idx="134">
                  <c:v>101.76148315305873</c:v>
                </c:pt>
                <c:pt idx="135">
                  <c:v>102.02570686764722</c:v>
                </c:pt>
                <c:pt idx="136">
                  <c:v>102.29541762773226</c:v>
                </c:pt>
                <c:pt idx="137">
                  <c:v>102.57069885743</c:v>
                </c:pt>
                <c:pt idx="138">
                  <c:v>102.85163313191956</c:v>
                </c:pt>
                <c:pt idx="139">
                  <c:v>103.13830200020648</c:v>
                </c:pt>
                <c:pt idx="140">
                  <c:v>103.43078579694195</c:v>
                </c:pt>
                <c:pt idx="141">
                  <c:v>103.72916344299131</c:v>
                </c:pt>
                <c:pt idx="142">
                  <c:v>104.03351223446498</c:v>
                </c:pt>
                <c:pt idx="143">
                  <c:v>104.34390761996248</c:v>
                </c:pt>
                <c:pt idx="144">
                  <c:v>104.66042296581035</c:v>
                </c:pt>
                <c:pt idx="145">
                  <c:v>104.98312930912167</c:v>
                </c:pt>
                <c:pt idx="146">
                  <c:v>105.31209509855022</c:v>
                </c:pt>
                <c:pt idx="147">
                  <c:v>105.64738592267156</c:v>
                </c:pt>
                <c:pt idx="148">
                  <c:v>105.98906422598223</c:v>
                </c:pt>
                <c:pt idx="149">
                  <c:v>106.33718901258241</c:v>
                </c:pt>
                <c:pt idx="150">
                  <c:v>106.69181553768334</c:v>
                </c:pt>
                <c:pt idx="151">
                  <c:v>107.05299498716953</c:v>
                </c:pt>
                <c:pt idx="152">
                  <c:v>107.42077414553926</c:v>
                </c:pt>
                <c:pt idx="153">
                  <c:v>107.79519505265263</c:v>
                </c:pt>
                <c:pt idx="154">
                  <c:v>108.17629464982711</c:v>
                </c:pt>
                <c:pt idx="155">
                  <c:v>108.56410441594235</c:v>
                </c:pt>
                <c:pt idx="156">
                  <c:v>108.95864999434612</c:v>
                </c:pt>
                <c:pt idx="157">
                  <c:v>109.35995081148992</c:v>
                </c:pt>
                <c:pt idx="158">
                  <c:v>109.76801968836685</c:v>
                </c:pt>
                <c:pt idx="159">
                  <c:v>110.18286244597823</c:v>
                </c:pt>
                <c:pt idx="160">
                  <c:v>110.60447750621157</c:v>
                </c:pt>
                <c:pt idx="161">
                  <c:v>111.03285548967438</c:v>
                </c:pt>
                <c:pt idx="162">
                  <c:v>111.4679788121968</c:v>
                </c:pt>
                <c:pt idx="163">
                  <c:v>111.90982128188185</c:v>
                </c:pt>
                <c:pt idx="164">
                  <c:v>112.35834769874907</c:v>
                </c:pt>
                <c:pt idx="165">
                  <c:v>112.81351345918732</c:v>
                </c:pt>
                <c:pt idx="166">
                  <c:v>113.27526416758991</c:v>
                </c:pt>
                <c:pt idx="167">
                  <c:v>113.74353525770364</c:v>
                </c:pt>
                <c:pt idx="168">
                  <c:v>114.21825162636708</c:v>
                </c:pt>
                <c:pt idx="169">
                  <c:v>114.69932728244547</c:v>
                </c:pt>
                <c:pt idx="170">
                  <c:v>115.18666501389205</c:v>
                </c:pt>
                <c:pt idx="171">
                  <c:v>115.68015607595682</c:v>
                </c:pt>
                <c:pt idx="172">
                  <c:v>116.17967990364573</c:v>
                </c:pt>
                <c:pt idx="173">
                  <c:v>116.68510385158517</c:v>
                </c:pt>
                <c:pt idx="174">
                  <c:v>117.19628296446177</c:v>
                </c:pt>
                <c:pt idx="175">
                  <c:v>117.71305978120712</c:v>
                </c:pt>
                <c:pt idx="176">
                  <c:v>118.23526417604586</c:v>
                </c:pt>
                <c:pt idx="177">
                  <c:v>118.76271323944697</c:v>
                </c:pt>
                <c:pt idx="178">
                  <c:v>119.29521120189385</c:v>
                </c:pt>
                <c:pt idx="179">
                  <c:v>119.83254940322976</c:v>
                </c:pt>
                <c:pt idx="180">
                  <c:v>120.37450631012355</c:v>
                </c:pt>
                <c:pt idx="181">
                  <c:v>120.92084758395576</c:v>
                </c:pt>
                <c:pt idx="182">
                  <c:v>121.4713262011295</c:v>
                </c:pt>
                <c:pt idx="183">
                  <c:v>122.02568262747829</c:v>
                </c:pt>
                <c:pt idx="184">
                  <c:v>122.58364504806507</c:v>
                </c:pt>
                <c:pt idx="185">
                  <c:v>123.1449296532559</c:v>
                </c:pt>
                <c:pt idx="186">
                  <c:v>123.70924098150394</c:v>
                </c:pt>
                <c:pt idx="187">
                  <c:v>124.27627231880254</c:v>
                </c:pt>
                <c:pt idx="188">
                  <c:v>124.84570615426694</c:v>
                </c:pt>
                <c:pt idx="189">
                  <c:v>125.41721469078492</c:v>
                </c:pt>
                <c:pt idx="190">
                  <c:v>125.99046040914672</c:v>
                </c:pt>
                <c:pt idx="191">
                  <c:v>126.56509668353507</c:v>
                </c:pt>
                <c:pt idx="192">
                  <c:v>127.14076844572112</c:v>
                </c:pt>
                <c:pt idx="193">
                  <c:v>127.71711289480774</c:v>
                </c:pt>
                <c:pt idx="194">
                  <c:v>128.29376024885568</c:v>
                </c:pt>
                <c:pt idx="195">
                  <c:v>128.8703345342731</c:v>
                </c:pt>
                <c:pt idx="196">
                  <c:v>129.44645440841833</c:v>
                </c:pt>
                <c:pt idx="197">
                  <c:v>130.02173401048464</c:v>
                </c:pt>
                <c:pt idx="198">
                  <c:v>130.59578383541171</c:v>
                </c:pt>
                <c:pt idx="199">
                  <c:v>131.16821162528984</c:v>
                </c:pt>
                <c:pt idx="200">
                  <c:v>131.73862327252709</c:v>
                </c:pt>
                <c:pt idx="201">
                  <c:v>132.30662372890163</c:v>
                </c:pt>
                <c:pt idx="202">
                  <c:v>132.87181791455905</c:v>
                </c:pt>
                <c:pt idx="203">
                  <c:v>133.43381162101474</c:v>
                </c:pt>
                <c:pt idx="204">
                  <c:v>133.9922124022971</c:v>
                </c:pt>
                <c:pt idx="205">
                  <c:v>134.54663044851003</c:v>
                </c:pt>
                <c:pt idx="206">
                  <c:v>135.09667943631166</c:v>
                </c:pt>
                <c:pt idx="207">
                  <c:v>135.64197735107587</c:v>
                </c:pt>
                <c:pt idx="208">
                  <c:v>136.18214727584089</c:v>
                </c:pt>
                <c:pt idx="209">
                  <c:v>136.71681814253631</c:v>
                </c:pt>
                <c:pt idx="210">
                  <c:v>137.24562544141145</c:v>
                </c:pt>
                <c:pt idx="211">
                  <c:v>137.76821188505676</c:v>
                </c:pt>
                <c:pt idx="212">
                  <c:v>138.28422802391361</c:v>
                </c:pt>
                <c:pt idx="213">
                  <c:v>138.79333281068557</c:v>
                </c:pt>
                <c:pt idx="214">
                  <c:v>139.2951941115945</c:v>
                </c:pt>
                <c:pt idx="215">
                  <c:v>139.78948916297415</c:v>
                </c:pt>
                <c:pt idx="216">
                  <c:v>140.27590497221541</c:v>
                </c:pt>
                <c:pt idx="217">
                  <c:v>140.7541386626126</c:v>
                </c:pt>
                <c:pt idx="218">
                  <c:v>141.2238977621613</c:v>
                </c:pt>
                <c:pt idx="219">
                  <c:v>141.68490043683735</c:v>
                </c:pt>
                <c:pt idx="220">
                  <c:v>142.13687566934797</c:v>
                </c:pt>
                <c:pt idx="221">
                  <c:v>142.57956338475955</c:v>
                </c:pt>
                <c:pt idx="222">
                  <c:v>143.01271452478531</c:v>
                </c:pt>
                <c:pt idx="223">
                  <c:v>143.4360910728679</c:v>
                </c:pt>
                <c:pt idx="224">
                  <c:v>143.84946603247712</c:v>
                </c:pt>
                <c:pt idx="225">
                  <c:v>144.25262336131706</c:v>
                </c:pt>
                <c:pt idx="226">
                  <c:v>144.64535786433035</c:v>
                </c:pt>
                <c:pt idx="227">
                  <c:v>145.02747504857851</c:v>
                </c:pt>
                <c:pt idx="228">
                  <c:v>145.39879094319053</c:v>
                </c:pt>
                <c:pt idx="229">
                  <c:v>145.75913188767592</c:v>
                </c:pt>
                <c:pt idx="230">
                  <c:v>146.10833429193909</c:v>
                </c:pt>
                <c:pt idx="231">
                  <c:v>146.446244371364</c:v>
                </c:pt>
                <c:pt idx="232">
                  <c:v>146.77271786031312</c:v>
                </c:pt>
                <c:pt idx="233">
                  <c:v>147.08761970735398</c:v>
                </c:pt>
                <c:pt idx="234">
                  <c:v>147.39082375545175</c:v>
                </c:pt>
                <c:pt idx="235">
                  <c:v>147.68221241028692</c:v>
                </c:pt>
                <c:pt idx="236">
                  <c:v>147.96167629974161</c:v>
                </c:pt>
                <c:pt idx="237">
                  <c:v>148.22911392748489</c:v>
                </c:pt>
                <c:pt idx="238">
                  <c:v>148.48443132344565</c:v>
                </c:pt>
                <c:pt idx="239">
                  <c:v>148.72754169382571</c:v>
                </c:pt>
                <c:pt idx="240">
                  <c:v>148.95836507314377</c:v>
                </c:pt>
                <c:pt idx="241">
                  <c:v>149.17682798066411</c:v>
                </c:pt>
                <c:pt idx="242">
                  <c:v>149.38286308338479</c:v>
                </c:pt>
                <c:pt idx="243">
                  <c:v>149.57640886762377</c:v>
                </c:pt>
                <c:pt idx="244">
                  <c:v>149.7574093210732</c:v>
                </c:pt>
                <c:pt idx="245">
                  <c:v>149.92581362704135</c:v>
                </c:pt>
                <c:pt idx="246">
                  <c:v>150.08157587245944</c:v>
                </c:pt>
                <c:pt idx="247">
                  <c:v>150.22465477107787</c:v>
                </c:pt>
                <c:pt idx="248">
                  <c:v>150.35501340314622</c:v>
                </c:pt>
                <c:pt idx="249">
                  <c:v>150.47261897273575</c:v>
                </c:pt>
                <c:pt idx="250">
                  <c:v>150.57744258373862</c:v>
                </c:pt>
                <c:pt idx="251">
                  <c:v>150.66945903545954</c:v>
                </c:pt>
                <c:pt idx="252">
                  <c:v>150.74864663860532</c:v>
                </c:pt>
                <c:pt idx="253">
                  <c:v>150.81498705236706</c:v>
                </c:pt>
                <c:pt idx="254">
                  <c:v>150.86846514319424</c:v>
                </c:pt>
                <c:pt idx="255">
                  <c:v>150.90906886576485</c:v>
                </c:pt>
                <c:pt idx="256">
                  <c:v>150.93678916656236</c:v>
                </c:pt>
                <c:pt idx="257">
                  <c:v>150.95161991038762</c:v>
                </c:pt>
                <c:pt idx="258">
                  <c:v>150.95355783005351</c:v>
                </c:pt>
                <c:pt idx="259">
                  <c:v>150.94260249942437</c:v>
                </c:pt>
                <c:pt idx="260">
                  <c:v>150.91875632989024</c:v>
                </c:pt>
                <c:pt idx="261">
                  <c:v>150.88202459028963</c:v>
                </c:pt>
                <c:pt idx="262">
                  <c:v>150.83241545021005</c:v>
                </c:pt>
                <c:pt idx="263">
                  <c:v>150.76994004653051</c:v>
                </c:pt>
                <c:pt idx="264">
                  <c:v>150.69461257297948</c:v>
                </c:pt>
                <c:pt idx="265">
                  <c:v>150.60645039241038</c:v>
                </c:pt>
                <c:pt idx="266">
                  <c:v>150.5054741714026</c:v>
                </c:pt>
                <c:pt idx="267">
                  <c:v>150.39170803671709</c:v>
                </c:pt>
                <c:pt idx="268">
                  <c:v>150.26517975303594</c:v>
                </c:pt>
                <c:pt idx="269">
                  <c:v>150.12592092131703</c:v>
                </c:pt>
                <c:pt idx="270">
                  <c:v>149.9739671969983</c:v>
                </c:pt>
                <c:pt idx="271">
                  <c:v>149.80935852716212</c:v>
                </c:pt>
                <c:pt idx="272">
                  <c:v>149.63213940567002</c:v>
                </c:pt>
                <c:pt idx="273">
                  <c:v>149.44235914513843</c:v>
                </c:pt>
                <c:pt idx="274">
                  <c:v>149.24007216451284</c:v>
                </c:pt>
                <c:pt idx="275">
                  <c:v>149.02533829084368</c:v>
                </c:pt>
                <c:pt idx="276">
                  <c:v>148.79822307374502</c:v>
                </c:pt>
                <c:pt idx="277">
                  <c:v>148.55879811084958</c:v>
                </c:pt>
                <c:pt idx="278">
                  <c:v>148.30714138244394</c:v>
                </c:pt>
                <c:pt idx="279">
                  <c:v>148.04333759328972</c:v>
                </c:pt>
                <c:pt idx="280">
                  <c:v>147.76747851950043</c:v>
                </c:pt>
                <c:pt idx="281">
                  <c:v>147.47966335817441</c:v>
                </c:pt>
                <c:pt idx="282">
                  <c:v>147.17999907733088</c:v>
                </c:pt>
                <c:pt idx="283">
                  <c:v>146.86860076354819</c:v>
                </c:pt>
                <c:pt idx="284">
                  <c:v>146.54559196455324</c:v>
                </c:pt>
                <c:pt idx="285">
                  <c:v>146.21110502387205</c:v>
                </c:pt>
                <c:pt idx="286">
                  <c:v>145.86528140453581</c:v>
                </c:pt>
                <c:pt idx="287">
                  <c:v>145.50827199870974</c:v>
                </c:pt>
                <c:pt idx="288">
                  <c:v>145.14023742003246</c:v>
                </c:pt>
                <c:pt idx="289">
                  <c:v>144.76134827537084</c:v>
                </c:pt>
                <c:pt idx="290">
                  <c:v>144.37178541265283</c:v>
                </c:pt>
                <c:pt idx="291">
                  <c:v>143.97174014141484</c:v>
                </c:pt>
                <c:pt idx="292">
                  <c:v>143.56141442271056</c:v>
                </c:pt>
                <c:pt idx="293">
                  <c:v>143.14102102507397</c:v>
                </c:pt>
                <c:pt idx="294">
                  <c:v>142.71078364330276</c:v>
                </c:pt>
                <c:pt idx="295">
                  <c:v>142.27093697695202</c:v>
                </c:pt>
                <c:pt idx="296">
                  <c:v>141.82172676558199</c:v>
                </c:pt>
                <c:pt idx="297">
                  <c:v>141.36340977800768</c:v>
                </c:pt>
                <c:pt idx="298">
                  <c:v>140.89625375303996</c:v>
                </c:pt>
                <c:pt idx="299">
                  <c:v>140.42053728949512</c:v>
                </c:pt>
                <c:pt idx="300">
                  <c:v>139.93654968357919</c:v>
                </c:pt>
                <c:pt idx="301">
                  <c:v>139.44459071212285</c:v>
                </c:pt>
                <c:pt idx="302">
                  <c:v>138.94497036055074</c:v>
                </c:pt>
                <c:pt idx="303">
                  <c:v>138.43800849491146</c:v>
                </c:pt>
                <c:pt idx="304">
                  <c:v>137.92403447777099</c:v>
                </c:pt>
                <c:pt idx="305">
                  <c:v>137.40338672826897</c:v>
                </c:pt>
                <c:pt idx="306">
                  <c:v>136.87641222715891</c:v>
                </c:pt>
                <c:pt idx="307">
                  <c:v>136.34346596818486</c:v>
                </c:pt>
                <c:pt idx="308">
                  <c:v>135.80491035768404</c:v>
                </c:pt>
                <c:pt idx="309">
                  <c:v>135.26111456484566</c:v>
                </c:pt>
                <c:pt idx="310">
                  <c:v>134.7124538255739</c:v>
                </c:pt>
                <c:pt idx="311">
                  <c:v>134.15930870341893</c:v>
                </c:pt>
                <c:pt idx="312">
                  <c:v>133.60206431151153</c:v>
                </c:pt>
                <c:pt idx="313">
                  <c:v>133.04110949988916</c:v>
                </c:pt>
                <c:pt idx="314">
                  <c:v>132.47683601299067</c:v>
                </c:pt>
                <c:pt idx="315">
                  <c:v>131.90963762247054</c:v>
                </c:pt>
                <c:pt idx="316">
                  <c:v>131.33990924074112</c:v>
                </c:pt>
                <c:pt idx="317">
                  <c:v>130.76804602092878</c:v>
                </c:pt>
                <c:pt idx="318">
                  <c:v>130.19444244905574</c:v>
                </c:pt>
                <c:pt idx="319">
                  <c:v>129.61949143437548</c:v>
                </c:pt>
                <c:pt idx="320">
                  <c:v>129.04358340381893</c:v>
                </c:pt>
                <c:pt idx="321">
                  <c:v>128.46710540643926</c:v>
                </c:pt>
                <c:pt idx="322">
                  <c:v>127.89044023365376</c:v>
                </c:pt>
                <c:pt idx="323">
                  <c:v>127.31396556086875</c:v>
                </c:pt>
                <c:pt idx="324">
                  <c:v>126.73805311584172</c:v>
                </c:pt>
                <c:pt idx="325">
                  <c:v>126.16306787881101</c:v>
                </c:pt>
                <c:pt idx="326">
                  <c:v>125.58936731906412</c:v>
                </c:pt>
                <c:pt idx="327">
                  <c:v>125.01730067219783</c:v>
                </c:pt>
                <c:pt idx="328">
                  <c:v>124.44720826187609</c:v>
                </c:pt>
                <c:pt idx="329">
                  <c:v>123.87942086939458</c:v>
                </c:pt>
                <c:pt idx="330">
                  <c:v>123.31425915386555</c:v>
                </c:pt>
                <c:pt idx="331">
                  <c:v>122.75203312529955</c:v>
                </c:pt>
                <c:pt idx="332">
                  <c:v>122.1930416723357</c:v>
                </c:pt>
                <c:pt idx="333">
                  <c:v>121.63757214583325</c:v>
                </c:pt>
                <c:pt idx="334">
                  <c:v>121.08589999902891</c:v>
                </c:pt>
                <c:pt idx="335">
                  <c:v>120.5382884844381</c:v>
                </c:pt>
                <c:pt idx="336">
                  <c:v>119.99498840721465</c:v>
                </c:pt>
                <c:pt idx="337">
                  <c:v>119.45623793420846</c:v>
                </c:pt>
                <c:pt idx="338">
                  <c:v>118.92226245755364</c:v>
                </c:pt>
                <c:pt idx="339">
                  <c:v>118.39327451121852</c:v>
                </c:pt>
                <c:pt idx="340">
                  <c:v>117.86947373861365</c:v>
                </c:pt>
                <c:pt idx="341">
                  <c:v>117.35104690903722</c:v>
                </c:pt>
                <c:pt idx="342">
                  <c:v>116.8381679804866</c:v>
                </c:pt>
                <c:pt idx="343">
                  <c:v>116.33099820613644</c:v>
                </c:pt>
                <c:pt idx="344">
                  <c:v>115.82968628160819</c:v>
                </c:pt>
                <c:pt idx="345">
                  <c:v>115.3343685300308</c:v>
                </c:pt>
                <c:pt idx="346">
                  <c:v>114.84516912178745</c:v>
                </c:pt>
                <c:pt idx="347">
                  <c:v>114.36220032579538</c:v>
                </c:pt>
                <c:pt idx="348">
                  <c:v>113.88556278914011</c:v>
                </c:pt>
                <c:pt idx="349">
                  <c:v>113.41534584190627</c:v>
                </c:pt>
                <c:pt idx="350">
                  <c:v>112.95162782408168</c:v>
                </c:pt>
                <c:pt idx="351">
                  <c:v>112.49447643148547</c:v>
                </c:pt>
                <c:pt idx="352">
                  <c:v>112.04394907776266</c:v>
                </c:pt>
                <c:pt idx="353">
                  <c:v>111.60009326959933</c:v>
                </c:pt>
                <c:pt idx="354">
                  <c:v>111.16294699243861</c:v>
                </c:pt>
                <c:pt idx="355">
                  <c:v>110.73253910412772</c:v>
                </c:pt>
                <c:pt idx="356">
                  <c:v>110.30888973406714</c:v>
                </c:pt>
                <c:pt idx="357">
                  <c:v>109.8920106856046</c:v>
                </c:pt>
                <c:pt idx="358">
                  <c:v>109.48190583957268</c:v>
                </c:pt>
                <c:pt idx="359">
                  <c:v>109.07857155704311</c:v>
                </c:pt>
                <c:pt idx="360">
                  <c:v>108.68199707953299</c:v>
                </c:pt>
                <c:pt idx="361">
                  <c:v>108.29216492507125</c:v>
                </c:pt>
                <c:pt idx="362">
                  <c:v>107.9090512786907</c:v>
                </c:pt>
                <c:pt idx="363">
                  <c:v>107.53262637607675</c:v>
                </c:pt>
                <c:pt idx="364">
                  <c:v>107.16285487925066</c:v>
                </c:pt>
                <c:pt idx="365">
                  <c:v>106.79969624331974</c:v>
                </c:pt>
                <c:pt idx="366">
                  <c:v>106.44310507346022</c:v>
                </c:pt>
                <c:pt idx="367">
                  <c:v>106.09303147143385</c:v>
                </c:pt>
                <c:pt idx="368">
                  <c:v>105.74942137106129</c:v>
                </c:pt>
                <c:pt idx="369">
                  <c:v>105.41221686219286</c:v>
                </c:pt>
                <c:pt idx="370">
                  <c:v>105.08135650281922</c:v>
                </c:pt>
                <c:pt idx="371">
                  <c:v>104.75677561906845</c:v>
                </c:pt>
                <c:pt idx="372">
                  <c:v>104.43840659291821</c:v>
                </c:pt>
                <c:pt idx="373">
                  <c:v>104.12617913754028</c:v>
                </c:pt>
                <c:pt idx="374">
                  <c:v>103.82002056026018</c:v>
                </c:pt>
                <c:pt idx="375">
                  <c:v>103.51985601318643</c:v>
                </c:pt>
                <c:pt idx="376">
                  <c:v>103.225608731617</c:v>
                </c:pt>
                <c:pt idx="377">
                  <c:v>102.93720026038375</c:v>
                </c:pt>
                <c:pt idx="378">
                  <c:v>102.65455066833944</c:v>
                </c:pt>
                <c:pt idx="379">
                  <c:v>102.37757875122888</c:v>
                </c:pt>
                <c:pt idx="380">
                  <c:v>102.10620222322063</c:v>
                </c:pt>
                <c:pt idx="381">
                  <c:v>101.84033789739915</c:v>
                </c:pt>
                <c:pt idx="382">
                  <c:v>101.57990185554335</c:v>
                </c:pt>
                <c:pt idx="383">
                  <c:v>101.3248096075324</c:v>
                </c:pt>
                <c:pt idx="384">
                  <c:v>101.07497624073473</c:v>
                </c:pt>
                <c:pt idx="385">
                  <c:v>100.8303165597454</c:v>
                </c:pt>
                <c:pt idx="386">
                  <c:v>100.59074521684613</c:v>
                </c:pt>
                <c:pt idx="387">
                  <c:v>100.3561768335623</c:v>
                </c:pt>
                <c:pt idx="388">
                  <c:v>100.12652611369641</c:v>
                </c:pt>
                <c:pt idx="389">
                  <c:v>99.901707948213897</c:v>
                </c:pt>
                <c:pt idx="390">
                  <c:v>99.681637512356872</c:v>
                </c:pt>
                <c:pt idx="391">
                  <c:v>99.46623035535292</c:v>
                </c:pt>
                <c:pt idx="392">
                  <c:v>99.255402483083927</c:v>
                </c:pt>
                <c:pt idx="393">
                  <c:v>99.049070434070643</c:v>
                </c:pt>
                <c:pt idx="394">
                  <c:v>98.847151349119301</c:v>
                </c:pt>
                <c:pt idx="395">
                  <c:v>98.649563034969788</c:v>
                </c:pt>
                <c:pt idx="396">
                  <c:v>98.456224022272735</c:v>
                </c:pt>
                <c:pt idx="397">
                  <c:v>98.267053618213438</c:v>
                </c:pt>
                <c:pt idx="398">
                  <c:v>98.081971954089468</c:v>
                </c:pt>
                <c:pt idx="399">
                  <c:v>97.90090002813659</c:v>
                </c:pt>
                <c:pt idx="400">
                  <c:v>97.723759743888408</c:v>
                </c:pt>
                <c:pt idx="401">
                  <c:v>97.550473944340894</c:v>
                </c:pt>
                <c:pt idx="402">
                  <c:v>97.38096644218372</c:v>
                </c:pt>
                <c:pt idx="403">
                  <c:v>97.215162046347203</c:v>
                </c:pt>
                <c:pt idx="404">
                  <c:v>97.05298658510344</c:v>
                </c:pt>
                <c:pt idx="405">
                  <c:v>96.894366925948361</c:v>
                </c:pt>
                <c:pt idx="406">
                  <c:v>96.739230992480756</c:v>
                </c:pt>
                <c:pt idx="407">
                  <c:v>96.58750777848347</c:v>
                </c:pt>
                <c:pt idx="408">
                  <c:v>96.439127359401198</c:v>
                </c:pt>
                <c:pt idx="409">
                  <c:v>96.294020901400074</c:v>
                </c:pt>
                <c:pt idx="410">
                  <c:v>96.152120668183557</c:v>
                </c:pt>
                <c:pt idx="411">
                  <c:v>96.013360025729227</c:v>
                </c:pt>
                <c:pt idx="412">
                  <c:v>95.877673445103767</c:v>
                </c:pt>
                <c:pt idx="413">
                  <c:v>95.744996503502492</c:v>
                </c:pt>
                <c:pt idx="414">
                  <c:v>95.615265883652611</c:v>
                </c:pt>
                <c:pt idx="415">
                  <c:v>95.488419371710691</c:v>
                </c:pt>
                <c:pt idx="416">
                  <c:v>95.364395853777609</c:v>
                </c:pt>
                <c:pt idx="417">
                  <c:v>95.243135311146247</c:v>
                </c:pt>
                <c:pt idx="418">
                  <c:v>95.124578814390659</c:v>
                </c:pt>
                <c:pt idx="419">
                  <c:v>95.008668516398075</c:v>
                </c:pt>
                <c:pt idx="420">
                  <c:v>94.895347644439624</c:v>
                </c:pt>
                <c:pt idx="421">
                  <c:v>94.784560491368836</c:v>
                </c:pt>
                <c:pt idx="422">
                  <c:v>94.676252406031153</c:v>
                </c:pt>
                <c:pt idx="423">
                  <c:v>94.570369782962885</c:v>
                </c:pt>
                <c:pt idx="424">
                  <c:v>94.46686005145277</c:v>
                </c:pt>
                <c:pt idx="425">
                  <c:v>94.365671664033101</c:v>
                </c:pt>
                <c:pt idx="426">
                  <c:v>94.266754084465177</c:v>
                </c:pt>
                <c:pt idx="427">
                  <c:v>94.170057775276831</c:v>
                </c:pt>
                <c:pt idx="428">
                  <c:v>94.075534184908079</c:v>
                </c:pt>
                <c:pt idx="429">
                  <c:v>93.983135734514619</c:v>
                </c:pt>
                <c:pt idx="430">
                  <c:v>93.892815804478118</c:v>
                </c:pt>
                <c:pt idx="431">
                  <c:v>93.804528720665672</c:v>
                </c:pt>
                <c:pt idx="432">
                  <c:v>93.718229740480524</c:v>
                </c:pt>
                <c:pt idx="433">
                  <c:v>93.633875038740555</c:v>
                </c:pt>
                <c:pt idx="434">
                  <c:v>93.551421693420139</c:v>
                </c:pt>
                <c:pt idx="435">
                  <c:v>93.470827671287452</c:v>
                </c:pt>
                <c:pt idx="436">
                  <c:v>93.392051813466267</c:v>
                </c:pt>
                <c:pt idx="437">
                  <c:v>93.315053820950581</c:v>
                </c:pt>
                <c:pt idx="438">
                  <c:v>93.239794240095975</c:v>
                </c:pt>
                <c:pt idx="439">
                  <c:v>93.166234448111936</c:v>
                </c:pt>
                <c:pt idx="440">
                  <c:v>93.094336638575413</c:v>
                </c:pt>
                <c:pt idx="441">
                  <c:v>93.024063806985026</c:v>
                </c:pt>
                <c:pt idx="442">
                  <c:v>92.955379736374397</c:v>
                </c:pt>
                <c:pt idx="443">
                  <c:v>92.8882489829994</c:v>
                </c:pt>
                <c:pt idx="444">
                  <c:v>92.822636862115175</c:v>
                </c:pt>
                <c:pt idx="445">
                  <c:v>92.758509433855195</c:v>
                </c:pt>
                <c:pt idx="446">
                  <c:v>92.695833489224896</c:v>
                </c:pt>
                <c:pt idx="447">
                  <c:v>92.634576536220948</c:v>
                </c:pt>
                <c:pt idx="448">
                  <c:v>92.57470678608496</c:v>
                </c:pt>
                <c:pt idx="449">
                  <c:v>92.516193139701045</c:v>
                </c:pt>
                <c:pt idx="450">
                  <c:v>92.459005174145318</c:v>
                </c:pt>
                <c:pt idx="451">
                  <c:v>92.403113129392551</c:v>
                </c:pt>
                <c:pt idx="452">
                  <c:v>92.348487895188512</c:v>
                </c:pt>
                <c:pt idx="453">
                  <c:v>92.295100998090675</c:v>
                </c:pt>
                <c:pt idx="454">
                  <c:v>92.242924588683948</c:v>
                </c:pt>
                <c:pt idx="455">
                  <c:v>92.191931428974172</c:v>
                </c:pt>
                <c:pt idx="456">
                  <c:v>92.142094879963153</c:v>
                </c:pt>
                <c:pt idx="457">
                  <c:v>92.093388889408004</c:v>
                </c:pt>
                <c:pt idx="458">
                  <c:v>92.045787979766857</c:v>
                </c:pt>
                <c:pt idx="459">
                  <c:v>91.999267236333125</c:v>
                </c:pt>
                <c:pt idx="460">
                  <c:v>91.953802295559157</c:v>
                </c:pt>
                <c:pt idx="461">
                  <c:v>91.909369333570851</c:v>
                </c:pt>
                <c:pt idx="462">
                  <c:v>91.865945054873308</c:v>
                </c:pt>
                <c:pt idx="463">
                  <c:v>91.823506681248162</c:v>
                </c:pt>
                <c:pt idx="464">
                  <c:v>91.782031940842231</c:v>
                </c:pt>
                <c:pt idx="465">
                  <c:v>91.741499057447541</c:v>
                </c:pt>
                <c:pt idx="466">
                  <c:v>91.701886739971712</c:v>
                </c:pt>
                <c:pt idx="467">
                  <c:v>91.663174172098294</c:v>
                </c:pt>
                <c:pt idx="468">
                  <c:v>91.625341002135727</c:v>
                </c:pt>
                <c:pt idx="469">
                  <c:v>91.588367333053952</c:v>
                </c:pt>
                <c:pt idx="470">
                  <c:v>91.55223371270705</c:v>
                </c:pt>
                <c:pt idx="471">
                  <c:v>91.516921124240454</c:v>
                </c:pt>
                <c:pt idx="472">
                  <c:v>91.482410976681237</c:v>
                </c:pt>
                <c:pt idx="473">
                  <c:v>91.448685095709308</c:v>
                </c:pt>
                <c:pt idx="474">
                  <c:v>91.415725714607746</c:v>
                </c:pt>
                <c:pt idx="475">
                  <c:v>91.383515465390445</c:v>
                </c:pt>
                <c:pt idx="476">
                  <c:v>91.352037370104568</c:v>
                </c:pt>
                <c:pt idx="477">
                  <c:v>91.321274832305861</c:v>
                </c:pt>
                <c:pt idx="478">
                  <c:v>91.291211628704573</c:v>
                </c:pt>
                <c:pt idx="479">
                  <c:v>91.261831900979558</c:v>
                </c:pt>
                <c:pt idx="480">
                  <c:v>91.233120147758086</c:v>
                </c:pt>
                <c:pt idx="481">
                  <c:v>91.205061216759375</c:v>
                </c:pt>
                <c:pt idx="482">
                  <c:v>91.17764029709879</c:v>
                </c:pt>
                <c:pt idx="483">
                  <c:v>91.150842911750743</c:v>
                </c:pt>
                <c:pt idx="484">
                  <c:v>91.124654910167507</c:v>
                </c:pt>
                <c:pt idx="485">
                  <c:v>91.099062461051588</c:v>
                </c:pt>
                <c:pt idx="486">
                  <c:v>91.074052045278876</c:v>
                </c:pt>
                <c:pt idx="487">
                  <c:v>91.049610448970398</c:v>
                </c:pt>
                <c:pt idx="488">
                  <c:v>91.025724756709977</c:v>
                </c:pt>
                <c:pt idx="489">
                  <c:v>91.002382344904959</c:v>
                </c:pt>
                <c:pt idx="490">
                  <c:v>90.979570875288104</c:v>
                </c:pt>
                <c:pt idx="491">
                  <c:v>90.957278288557575</c:v>
                </c:pt>
                <c:pt idx="492">
                  <c:v>90.935492798152723</c:v>
                </c:pt>
                <c:pt idx="493">
                  <c:v>90.914202884163245</c:v>
                </c:pt>
                <c:pt idx="494">
                  <c:v>90.893397287369112</c:v>
                </c:pt>
                <c:pt idx="495">
                  <c:v>90.873065003408911</c:v>
                </c:pt>
                <c:pt idx="496">
                  <c:v>90.853195277073993</c:v>
                </c:pt>
                <c:pt idx="497">
                  <c:v>90.833777596726279</c:v>
                </c:pt>
                <c:pt idx="498">
                  <c:v>90.814801688837122</c:v>
                </c:pt>
                <c:pt idx="499">
                  <c:v>90.7962575126449</c:v>
                </c:pt>
                <c:pt idx="500">
                  <c:v>90.778135254929182</c:v>
                </c:pt>
                <c:pt idx="501">
                  <c:v>90.76042532489879</c:v>
                </c:pt>
                <c:pt idx="502">
                  <c:v>90.743118349191931</c:v>
                </c:pt>
                <c:pt idx="503">
                  <c:v>90.726205166985807</c:v>
                </c:pt>
                <c:pt idx="504">
                  <c:v>90.709676825213648</c:v>
                </c:pt>
                <c:pt idx="505">
                  <c:v>90.693524573886947</c:v>
                </c:pt>
                <c:pt idx="506">
                  <c:v>90.677739861520777</c:v>
                </c:pt>
                <c:pt idx="507">
                  <c:v>90.66231433066001</c:v>
                </c:pt>
                <c:pt idx="508">
                  <c:v>90.647239813504356</c:v>
                </c:pt>
                <c:pt idx="509">
                  <c:v>90.632508327630362</c:v>
                </c:pt>
                <c:pt idx="510">
                  <c:v>90.618112071807928</c:v>
                </c:pt>
                <c:pt idx="511">
                  <c:v>90.60404342190995</c:v>
                </c:pt>
                <c:pt idx="512">
                  <c:v>90.590294926912506</c:v>
                </c:pt>
                <c:pt idx="513">
                  <c:v>90.57685930498414</c:v>
                </c:pt>
                <c:pt idx="514">
                  <c:v>90.563729439662211</c:v>
                </c:pt>
                <c:pt idx="515">
                  <c:v>90.550898376114304</c:v>
                </c:pt>
                <c:pt idx="516">
                  <c:v>90.538359317483213</c:v>
                </c:pt>
                <c:pt idx="517">
                  <c:v>90.526105621313306</c:v>
                </c:pt>
                <c:pt idx="518">
                  <c:v>90.514130796056904</c:v>
                </c:pt>
                <c:pt idx="519">
                  <c:v>90.502428497658727</c:v>
                </c:pt>
                <c:pt idx="520">
                  <c:v>90.490992526216843</c:v>
                </c:pt>
                <c:pt idx="521">
                  <c:v>90.479816822718249</c:v>
                </c:pt>
                <c:pt idx="522">
                  <c:v>90.468895465847766</c:v>
                </c:pt>
                <c:pt idx="523">
                  <c:v>90.458222668868558</c:v>
                </c:pt>
                <c:pt idx="524">
                  <c:v>90.44779277657247</c:v>
                </c:pt>
                <c:pt idx="525">
                  <c:v>90.437600262299043</c:v>
                </c:pt>
                <c:pt idx="526">
                  <c:v>90.427639725021464</c:v>
                </c:pt>
                <c:pt idx="527">
                  <c:v>90.417905886498019</c:v>
                </c:pt>
                <c:pt idx="528">
                  <c:v>90.408393588487627</c:v>
                </c:pt>
                <c:pt idx="529">
                  <c:v>90.399097790028208</c:v>
                </c:pt>
                <c:pt idx="530">
                  <c:v>90.390013564776083</c:v>
                </c:pt>
                <c:pt idx="531">
                  <c:v>90.38113609840552</c:v>
                </c:pt>
                <c:pt idx="532">
                  <c:v>90.372460686066944</c:v>
                </c:pt>
                <c:pt idx="533">
                  <c:v>90.363982729902219</c:v>
                </c:pt>
                <c:pt idx="534">
                  <c:v>90.355697736616321</c:v>
                </c:pt>
                <c:pt idx="535">
                  <c:v>90.34760131510356</c:v>
                </c:pt>
                <c:pt idx="536">
                  <c:v>90.339689174127585</c:v>
                </c:pt>
                <c:pt idx="537">
                  <c:v>90.33195712005363</c:v>
                </c:pt>
                <c:pt idx="538">
                  <c:v>90.324401054632133</c:v>
                </c:pt>
                <c:pt idx="539">
                  <c:v>90.317016972832462</c:v>
                </c:pt>
                <c:pt idx="540">
                  <c:v>90.309800960725511</c:v>
                </c:pt>
                <c:pt idx="541">
                  <c:v>90.302749193414272</c:v>
                </c:pt>
              </c:numCache>
            </c:numRef>
          </c:yVal>
          <c:smooth val="1"/>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layout/>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61.860516041726477</c:v>
                </c:pt>
                <c:pt idx="1">
                  <c:v>61.660335795290067</c:v>
                </c:pt>
                <c:pt idx="2">
                  <c:v>61.460147064017235</c:v>
                </c:pt>
                <c:pt idx="3">
                  <c:v>61.259949448985495</c:v>
                </c:pt>
                <c:pt idx="4">
                  <c:v>61.05974253256386</c:v>
                </c:pt>
                <c:pt idx="5">
                  <c:v>60.859525877540079</c:v>
                </c:pt>
                <c:pt idx="6">
                  <c:v>60.659299026207066</c:v>
                </c:pt>
                <c:pt idx="7">
                  <c:v>60.459061499407973</c:v>
                </c:pt>
                <c:pt idx="8">
                  <c:v>60.258812795536869</c:v>
                </c:pt>
                <c:pt idx="9">
                  <c:v>60.058552389493805</c:v>
                </c:pt>
                <c:pt idx="10">
                  <c:v>59.858279731590962</c:v>
                </c:pt>
                <c:pt idx="11">
                  <c:v>59.657994246409771</c:v>
                </c:pt>
                <c:pt idx="12">
                  <c:v>59.457695331604995</c:v>
                </c:pt>
                <c:pt idx="13">
                  <c:v>59.257382356653785</c:v>
                </c:pt>
                <c:pt idx="14">
                  <c:v>59.05705466154852</c:v>
                </c:pt>
                <c:pt idx="15">
                  <c:v>58.856711555428809</c:v>
                </c:pt>
                <c:pt idx="16">
                  <c:v>58.656352315152134</c:v>
                </c:pt>
                <c:pt idx="17">
                  <c:v>58.455976183798739</c:v>
                </c:pt>
                <c:pt idx="18">
                  <c:v>58.255582369109071</c:v>
                </c:pt>
                <c:pt idx="19">
                  <c:v>58.055170041850268</c:v>
                </c:pt>
                <c:pt idx="20">
                  <c:v>57.854738334108397</c:v>
                </c:pt>
                <c:pt idx="21">
                  <c:v>57.654286337504118</c:v>
                </c:pt>
                <c:pt idx="22">
                  <c:v>57.453813101327341</c:v>
                </c:pt>
                <c:pt idx="23">
                  <c:v>57.253317630588462</c:v>
                </c:pt>
                <c:pt idx="24">
                  <c:v>57.05279888398195</c:v>
                </c:pt>
                <c:pt idx="25">
                  <c:v>56.852255771758699</c:v>
                </c:pt>
                <c:pt idx="26">
                  <c:v>56.651687153503509</c:v>
                </c:pt>
                <c:pt idx="27">
                  <c:v>56.451091835813386</c:v>
                </c:pt>
                <c:pt idx="28">
                  <c:v>56.250468569873519</c:v>
                </c:pt>
                <c:pt idx="29">
                  <c:v>56.049816048924662</c:v>
                </c:pt>
                <c:pt idx="30">
                  <c:v>55.849132905619797</c:v>
                </c:pt>
                <c:pt idx="31">
                  <c:v>55.648417709264102</c:v>
                </c:pt>
                <c:pt idx="32">
                  <c:v>55.44766896293374</c:v>
                </c:pt>
                <c:pt idx="33">
                  <c:v>55.246885100469491</c:v>
                </c:pt>
                <c:pt idx="34">
                  <c:v>55.046064483338711</c:v>
                </c:pt>
                <c:pt idx="35">
                  <c:v>54.84520539736198</c:v>
                </c:pt>
                <c:pt idx="36">
                  <c:v>54.644306049298081</c:v>
                </c:pt>
                <c:pt idx="37">
                  <c:v>54.443364563282515</c:v>
                </c:pt>
                <c:pt idx="38">
                  <c:v>54.242378977113617</c:v>
                </c:pt>
                <c:pt idx="39">
                  <c:v>54.041347238381114</c:v>
                </c:pt>
                <c:pt idx="40">
                  <c:v>53.840267200430148</c:v>
                </c:pt>
                <c:pt idx="41">
                  <c:v>53.63913661815598</c:v>
                </c:pt>
                <c:pt idx="42">
                  <c:v>53.437953143623034</c:v>
                </c:pt>
                <c:pt idx="43">
                  <c:v>53.236714321500962</c:v>
                </c:pt>
                <c:pt idx="44">
                  <c:v>53.035417584313791</c:v>
                </c:pt>
                <c:pt idx="45">
                  <c:v>52.834060247492175</c:v>
                </c:pt>
                <c:pt idx="46">
                  <c:v>52.632639504226717</c:v>
                </c:pt>
                <c:pt idx="47">
                  <c:v>52.43115242011163</c:v>
                </c:pt>
                <c:pt idx="48">
                  <c:v>52.229595927574827</c:v>
                </c:pt>
                <c:pt idx="49">
                  <c:v>52.027966820087158</c:v>
                </c:pt>
                <c:pt idx="50">
                  <c:v>51.826261746143423</c:v>
                </c:pt>
                <c:pt idx="51">
                  <c:v>51.624477203010308</c:v>
                </c:pt>
                <c:pt idx="52">
                  <c:v>51.422609530232208</c:v>
                </c:pt>
                <c:pt idx="53">
                  <c:v>51.220654902891781</c:v>
                </c:pt>
                <c:pt idx="54">
                  <c:v>51.018609324615589</c:v>
                </c:pt>
                <c:pt idx="55">
                  <c:v>50.816468620321714</c:v>
                </c:pt>
                <c:pt idx="56">
                  <c:v>50.614228428701367</c:v>
                </c:pt>
                <c:pt idx="57">
                  <c:v>50.411884194429824</c:v>
                </c:pt>
                <c:pt idx="58">
                  <c:v>50.209431160101666</c:v>
                </c:pt>
                <c:pt idx="59">
                  <c:v>50.00686435788522</c:v>
                </c:pt>
                <c:pt idx="60">
                  <c:v>49.804178600891177</c:v>
                </c:pt>
                <c:pt idx="61">
                  <c:v>49.601368474253164</c:v>
                </c:pt>
                <c:pt idx="62">
                  <c:v>49.398428325915575</c:v>
                </c:pt>
                <c:pt idx="63">
                  <c:v>49.195352257127027</c:v>
                </c:pt>
                <c:pt idx="64">
                  <c:v>48.992134112637913</c:v>
                </c:pt>
                <c:pt idx="65">
                  <c:v>48.788767470600845</c:v>
                </c:pt>
                <c:pt idx="66">
                  <c:v>48.585245632175315</c:v>
                </c:pt>
                <c:pt idx="67">
                  <c:v>48.381561610837167</c:v>
                </c:pt>
                <c:pt idx="68">
                  <c:v>48.177708121397025</c:v>
                </c:pt>
                <c:pt idx="69">
                  <c:v>47.973677568730849</c:v>
                </c:pt>
                <c:pt idx="70">
                  <c:v>47.769462036230223</c:v>
                </c:pt>
                <c:pt idx="71">
                  <c:v>47.565053273979075</c:v>
                </c:pt>
                <c:pt idx="72">
                  <c:v>47.360442686667568</c:v>
                </c:pt>
                <c:pt idx="73">
                  <c:v>47.155621321255225</c:v>
                </c:pt>
                <c:pt idx="74">
                  <c:v>46.950579854398036</c:v>
                </c:pt>
                <c:pt idx="75">
                  <c:v>46.745308579656751</c:v>
                </c:pt>
                <c:pt idx="76">
                  <c:v>46.539797394506913</c:v>
                </c:pt>
                <c:pt idx="77">
                  <c:v>46.334035787173391</c:v>
                </c:pt>
                <c:pt idx="78">
                  <c:v>46.128012823317874</c:v>
                </c:pt>
                <c:pt idx="79">
                  <c:v>45.921717132607768</c:v>
                </c:pt>
                <c:pt idx="80">
                  <c:v>45.715136895203301</c:v>
                </c:pt>
                <c:pt idx="81">
                  <c:v>45.508259828199904</c:v>
                </c:pt>
                <c:pt idx="82">
                  <c:v>45.301073172070971</c:v>
                </c:pt>
                <c:pt idx="83">
                  <c:v>45.093563677158954</c:v>
                </c:pt>
                <c:pt idx="84">
                  <c:v>44.885717590268541</c:v>
                </c:pt>
                <c:pt idx="85">
                  <c:v>44.677520641421459</c:v>
                </c:pt>
                <c:pt idx="86">
                  <c:v>44.468958030838834</c:v>
                </c:pt>
                <c:pt idx="87">
                  <c:v>44.260014416222617</c:v>
                </c:pt>
                <c:pt idx="88">
                  <c:v>44.050673900414104</c:v>
                </c:pt>
                <c:pt idx="89">
                  <c:v>43.840920019516119</c:v>
                </c:pt>
                <c:pt idx="90">
                  <c:v>43.630735731570205</c:v>
                </c:pt>
                <c:pt idx="91">
                  <c:v>43.42010340589043</c:v>
                </c:pt>
                <c:pt idx="92">
                  <c:v>43.209004813161052</c:v>
                </c:pt>
                <c:pt idx="93">
                  <c:v>42.9974211164145</c:v>
                </c:pt>
                <c:pt idx="94">
                  <c:v>42.785332863014759</c:v>
                </c:pt>
                <c:pt idx="95">
                  <c:v>42.572719977778476</c:v>
                </c:pt>
                <c:pt idx="96">
                  <c:v>42.359561757375246</c:v>
                </c:pt>
                <c:pt idx="97">
                  <c:v>42.145836866158191</c:v>
                </c:pt>
                <c:pt idx="98">
                  <c:v>41.931523333581431</c:v>
                </c:pt>
                <c:pt idx="99">
                  <c:v>41.716598553373281</c:v>
                </c:pt>
                <c:pt idx="100">
                  <c:v>41.501039284639006</c:v>
                </c:pt>
                <c:pt idx="101">
                  <c:v>41.284821655075547</c:v>
                </c:pt>
                <c:pt idx="102">
                  <c:v>41.067921166489356</c:v>
                </c:pt>
                <c:pt idx="103">
                  <c:v>40.850312702812118</c:v>
                </c:pt>
                <c:pt idx="104">
                  <c:v>40.631970540818159</c:v>
                </c:pt>
                <c:pt idx="105">
                  <c:v>40.412868363749055</c:v>
                </c:pt>
                <c:pt idx="106">
                  <c:v>40.19297927805772</c:v>
                </c:pt>
                <c:pt idx="107">
                  <c:v>39.972275833483565</c:v>
                </c:pt>
                <c:pt idx="108">
                  <c:v>39.75073004667378</c:v>
                </c:pt>
                <c:pt idx="109">
                  <c:v>39.528313428562555</c:v>
                </c:pt>
                <c:pt idx="110">
                  <c:v>39.304997015719046</c:v>
                </c:pt>
                <c:pt idx="111">
                  <c:v>39.080751405868327</c:v>
                </c:pt>
                <c:pt idx="112">
                  <c:v>38.855546797783127</c:v>
                </c:pt>
                <c:pt idx="113">
                  <c:v>38.629353035732542</c:v>
                </c:pt>
                <c:pt idx="114">
                  <c:v>38.402139658662989</c:v>
                </c:pt>
                <c:pt idx="115">
                  <c:v>38.173875954268787</c:v>
                </c:pt>
                <c:pt idx="116">
                  <c:v>37.944531018090949</c:v>
                </c:pt>
                <c:pt idx="117">
                  <c:v>37.714073817760628</c:v>
                </c:pt>
                <c:pt idx="118">
                  <c:v>37.482473262477633</c:v>
                </c:pt>
                <c:pt idx="119">
                  <c:v>37.249698277783246</c:v>
                </c:pt>
                <c:pt idx="120">
                  <c:v>37.015717885655647</c:v>
                </c:pt>
                <c:pt idx="121">
                  <c:v>36.780501289916877</c:v>
                </c:pt>
                <c:pt idx="122">
                  <c:v>36.544017966902025</c:v>
                </c:pt>
                <c:pt idx="123">
                  <c:v>36.306237761296053</c:v>
                </c:pt>
                <c:pt idx="124">
                  <c:v>36.067130986996887</c:v>
                </c:pt>
                <c:pt idx="125">
                  <c:v>35.826668532815276</c:v>
                </c:pt>
                <c:pt idx="126">
                  <c:v>35.584821972765695</c:v>
                </c:pt>
                <c:pt idx="127">
                  <c:v>35.341563680653316</c:v>
                </c:pt>
                <c:pt idx="128">
                  <c:v>35.09686694860126</c:v>
                </c:pt>
                <c:pt idx="129">
                  <c:v>34.85070610910833</c:v>
                </c:pt>
                <c:pt idx="130">
                  <c:v>34.60305666016896</c:v>
                </c:pt>
                <c:pt idx="131">
                  <c:v>34.353895392931364</c:v>
                </c:pt>
                <c:pt idx="132">
                  <c:v>34.103200521313056</c:v>
                </c:pt>
                <c:pt idx="133">
                  <c:v>33.850951812940487</c:v>
                </c:pt>
                <c:pt idx="134">
                  <c:v>33.597130720729965</c:v>
                </c:pt>
                <c:pt idx="135">
                  <c:v>33.341720514378622</c:v>
                </c:pt>
                <c:pt idx="136">
                  <c:v>33.084706410995203</c:v>
                </c:pt>
                <c:pt idx="137">
                  <c:v>32.826075704062696</c:v>
                </c:pt>
                <c:pt idx="138">
                  <c:v>32.565817889896962</c:v>
                </c:pt>
                <c:pt idx="139">
                  <c:v>32.303924790742634</c:v>
                </c:pt>
                <c:pt idx="140">
                  <c:v>32.040390673634967</c:v>
                </c:pt>
                <c:pt idx="141">
                  <c:v>31.775212364149276</c:v>
                </c:pt>
                <c:pt idx="142">
                  <c:v>31.508389354165438</c:v>
                </c:pt>
                <c:pt idx="143">
                  <c:v>31.239923902786238</c:v>
                </c:pt>
                <c:pt idx="144">
                  <c:v>30.969821129572352</c:v>
                </c:pt>
                <c:pt idx="145">
                  <c:v>30.698089099286552</c:v>
                </c:pt>
                <c:pt idx="146">
                  <c:v>30.424738897384746</c:v>
                </c:pt>
                <c:pt idx="147">
                  <c:v>30.149784695536415</c:v>
                </c:pt>
                <c:pt idx="148">
                  <c:v>29.873243806519728</c:v>
                </c:pt>
                <c:pt idx="149">
                  <c:v>29.595136727900019</c:v>
                </c:pt>
                <c:pt idx="150">
                  <c:v>29.315487173972787</c:v>
                </c:pt>
                <c:pt idx="151">
                  <c:v>29.034322095532342</c:v>
                </c:pt>
                <c:pt idx="152">
                  <c:v>28.751671687106111</c:v>
                </c:pt>
                <c:pt idx="153">
                  <c:v>28.467569381386703</c:v>
                </c:pt>
                <c:pt idx="154">
                  <c:v>28.18205183067322</c:v>
                </c:pt>
                <c:pt idx="155">
                  <c:v>27.895158875232692</c:v>
                </c:pt>
                <c:pt idx="156">
                  <c:v>27.606933498571635</c:v>
                </c:pt>
                <c:pt idx="157">
                  <c:v>27.317421769700459</c:v>
                </c:pt>
                <c:pt idx="158">
                  <c:v>27.026672772557298</c:v>
                </c:pt>
                <c:pt idx="159">
                  <c:v>26.734738522835244</c:v>
                </c:pt>
                <c:pt idx="160">
                  <c:v>26.441673872538797</c:v>
                </c:pt>
                <c:pt idx="161">
                  <c:v>26.147536402660926</c:v>
                </c:pt>
                <c:pt idx="162">
                  <c:v>25.852386304440532</c:v>
                </c:pt>
                <c:pt idx="163">
                  <c:v>25.556286249719552</c:v>
                </c:pt>
                <c:pt idx="164">
                  <c:v>25.259301250969635</c:v>
                </c:pt>
                <c:pt idx="165">
                  <c:v>24.961498511605697</c:v>
                </c:pt>
                <c:pt idx="166">
                  <c:v>24.662947267244522</c:v>
                </c:pt>
                <c:pt idx="167">
                  <c:v>24.363718618598295</c:v>
                </c:pt>
                <c:pt idx="168">
                  <c:v>24.063885356724448</c:v>
                </c:pt>
                <c:pt idx="169">
                  <c:v>23.763521781371303</c:v>
                </c:pt>
                <c:pt idx="170">
                  <c:v>23.462703513183442</c:v>
                </c:pt>
                <c:pt idx="171">
                  <c:v>23.161507300539284</c:v>
                </c:pt>
                <c:pt idx="172">
                  <c:v>22.860010821806782</c:v>
                </c:pt>
                <c:pt idx="173">
                  <c:v>22.558292483812007</c:v>
                </c:pt>
                <c:pt idx="174">
                  <c:v>22.256431217318571</c:v>
                </c:pt>
                <c:pt idx="175">
                  <c:v>21.954506270319904</c:v>
                </c:pt>
                <c:pt idx="176">
                  <c:v>21.65259699995126</c:v>
                </c:pt>
                <c:pt idx="177">
                  <c:v>21.350782663826415</c:v>
                </c:pt>
                <c:pt idx="178">
                  <c:v>21.049142211606085</c:v>
                </c:pt>
                <c:pt idx="179">
                  <c:v>20.747754077604558</c:v>
                </c:pt>
                <c:pt idx="180">
                  <c:v>20.446695975240008</c:v>
                </c:pt>
                <c:pt idx="181">
                  <c:v>20.146044694130822</c:v>
                </c:pt>
                <c:pt idx="182">
                  <c:v>19.845875900637864</c:v>
                </c:pt>
                <c:pt idx="183">
                  <c:v>19.54626394264729</c:v>
                </c:pt>
                <c:pt idx="184">
                  <c:v>19.247281659380604</c:v>
                </c:pt>
                <c:pt idx="185">
                  <c:v>18.949000197008221</c:v>
                </c:pt>
                <c:pt idx="186">
                  <c:v>18.651488830832687</c:v>
                </c:pt>
                <c:pt idx="187">
                  <c:v>18.354814794785362</c:v>
                </c:pt>
                <c:pt idx="188">
                  <c:v>18.059043118962435</c:v>
                </c:pt>
                <c:pt idx="189">
                  <c:v>17.76423647589969</c:v>
                </c:pt>
                <c:pt idx="190">
                  <c:v>17.470455036248676</c:v>
                </c:pt>
                <c:pt idx="191">
                  <c:v>17.177756334484201</c:v>
                </c:pt>
                <c:pt idx="192">
                  <c:v>16.886195145224779</c:v>
                </c:pt>
                <c:pt idx="193">
                  <c:v>16.595823370697044</c:v>
                </c:pt>
                <c:pt idx="194">
                  <c:v>16.306689939819201</c:v>
                </c:pt>
                <c:pt idx="195">
                  <c:v>16.018840719314092</c:v>
                </c:pt>
                <c:pt idx="196">
                  <c:v>15.732318437191083</c:v>
                </c:pt>
                <c:pt idx="197">
                  <c:v>15.447162618864709</c:v>
                </c:pt>
                <c:pt idx="198">
                  <c:v>15.163409536094225</c:v>
                </c:pt>
                <c:pt idx="199">
                  <c:v>14.881092168847532</c:v>
                </c:pt>
                <c:pt idx="200">
                  <c:v>14.600240180104977</c:v>
                </c:pt>
                <c:pt idx="201">
                  <c:v>14.32087990352967</c:v>
                </c:pt>
                <c:pt idx="202">
                  <c:v>14.043034343843255</c:v>
                </c:pt>
                <c:pt idx="203">
                  <c:v>13.766723189655732</c:v>
                </c:pt>
                <c:pt idx="204">
                  <c:v>13.491962838411958</c:v>
                </c:pt>
                <c:pt idx="205">
                  <c:v>13.218766433033807</c:v>
                </c:pt>
                <c:pt idx="206">
                  <c:v>12.947143909755912</c:v>
                </c:pt>
                <c:pt idx="207">
                  <c:v>12.677102056579624</c:v>
                </c:pt>
                <c:pt idx="208">
                  <c:v>12.408644581702868</c:v>
                </c:pt>
                <c:pt idx="209">
                  <c:v>12.141772191219015</c:v>
                </c:pt>
                <c:pt idx="210">
                  <c:v>11.876482675330655</c:v>
                </c:pt>
                <c:pt idx="211">
                  <c:v>11.612771002274618</c:v>
                </c:pt>
                <c:pt idx="212">
                  <c:v>11.350629419125831</c:v>
                </c:pt>
                <c:pt idx="213">
                  <c:v>11.090047558615277</c:v>
                </c:pt>
                <c:pt idx="214">
                  <c:v>10.831012551087616</c:v>
                </c:pt>
                <c:pt idx="215">
                  <c:v>10.573509140714211</c:v>
                </c:pt>
                <c:pt idx="216">
                  <c:v>10.317519805079851</c:v>
                </c:pt>
                <c:pt idx="217">
                  <c:v>10.06302487727419</c:v>
                </c:pt>
                <c:pt idx="218">
                  <c:v>9.8100026696381946</c:v>
                </c:pt>
                <c:pt idx="219">
                  <c:v>9.5584295983419718</c:v>
                </c:pt>
                <c:pt idx="220">
                  <c:v>9.3082803080057062</c:v>
                </c:pt>
                <c:pt idx="221">
                  <c:v>9.0595277956146223</c:v>
                </c:pt>
                <c:pt idx="222">
                  <c:v>8.8121435330247504</c:v>
                </c:pt>
                <c:pt idx="223">
                  <c:v>8.5660975874047427</c:v>
                </c:pt>
                <c:pt idx="224">
                  <c:v>8.3213587390127834</c:v>
                </c:pt>
                <c:pt idx="225">
                  <c:v>8.0778945957622952</c:v>
                </c:pt>
                <c:pt idx="226">
                  <c:v>7.8356717040874511</c:v>
                </c:pt>
                <c:pt idx="227">
                  <c:v>7.5946556556765978</c:v>
                </c:pt>
                <c:pt idx="228">
                  <c:v>7.3548111897000092</c:v>
                </c:pt>
                <c:pt idx="229">
                  <c:v>7.116102290215176</c:v>
                </c:pt>
                <c:pt idx="230">
                  <c:v>6.8784922784882321</c:v>
                </c:pt>
                <c:pt idx="231">
                  <c:v>6.6419439000252094</c:v>
                </c:pt>
                <c:pt idx="232">
                  <c:v>6.4064194061570765</c:v>
                </c:pt>
                <c:pt idx="233">
                  <c:v>6.1718806300722751</c:v>
                </c:pt>
                <c:pt idx="234">
                  <c:v>5.9382890572370925</c:v>
                </c:pt>
                <c:pt idx="235">
                  <c:v>5.7056058901850815</c:v>
                </c:pt>
                <c:pt idx="236">
                  <c:v>5.4737921076995431</c:v>
                </c:pt>
                <c:pt idx="237">
                  <c:v>5.2428085184457593</c:v>
                </c:pt>
                <c:pt idx="238">
                  <c:v>5.0126158091446698</c:v>
                </c:pt>
                <c:pt idx="239">
                  <c:v>4.7831745874088192</c:v>
                </c:pt>
                <c:pt idx="240">
                  <c:v>4.554445419386485</c:v>
                </c:pt>
                <c:pt idx="241">
                  <c:v>4.3263888623834257</c:v>
                </c:pt>
                <c:pt idx="242">
                  <c:v>4.0989654926512511</c:v>
                </c:pt>
                <c:pt idx="243">
                  <c:v>3.8721359285499823</c:v>
                </c:pt>
                <c:pt idx="244">
                  <c:v>3.6458608493036309</c:v>
                </c:pt>
                <c:pt idx="245">
                  <c:v>3.4201010095819373</c:v>
                </c:pt>
                <c:pt idx="246">
                  <c:v>3.1948172501518202</c:v>
                </c:pt>
                <c:pt idx="247">
                  <c:v>2.969970504847419</c:v>
                </c:pt>
                <c:pt idx="248">
                  <c:v>2.7455218041152172</c:v>
                </c:pt>
                <c:pt idx="249">
                  <c:v>2.5214322753964451</c:v>
                </c:pt>
                <c:pt idx="250">
                  <c:v>2.2976631406091546</c:v>
                </c:pt>
                <c:pt idx="251">
                  <c:v>2.0741757109990071</c:v>
                </c:pt>
                <c:pt idx="252">
                  <c:v>1.8509313796239897</c:v>
                </c:pt>
                <c:pt idx="253">
                  <c:v>1.6278916117445501</c:v>
                </c:pt>
                <c:pt idx="254">
                  <c:v>1.4050179333872406</c:v>
                </c:pt>
                <c:pt idx="255">
                  <c:v>1.1822719183491808</c:v>
                </c:pt>
                <c:pt idx="256">
                  <c:v>0.95961517391569451</c:v>
                </c:pt>
                <c:pt idx="257">
                  <c:v>0.73700932555528764</c:v>
                </c:pt>
                <c:pt idx="258">
                  <c:v>0.51441600086286221</c:v>
                </c:pt>
                <c:pt idx="259">
                  <c:v>0.29179681301622301</c:v>
                </c:pt>
                <c:pt idx="260">
                  <c:v>6.911334401507116E-2</c:v>
                </c:pt>
                <c:pt idx="261">
                  <c:v>-0.15367287203293095</c:v>
                </c:pt>
                <c:pt idx="262">
                  <c:v>-0.37660036530991514</c:v>
                </c:pt>
                <c:pt idx="263">
                  <c:v>-0.59970774610338706</c:v>
                </c:pt>
                <c:pt idx="264">
                  <c:v>-0.8230337197720804</c:v>
                </c:pt>
                <c:pt idx="265">
                  <c:v>-1.0466171005943112</c:v>
                </c:pt>
                <c:pt idx="266">
                  <c:v>-1.2704968242295556</c:v>
                </c:pt>
                <c:pt idx="267">
                  <c:v>-1.4947119585265891</c:v>
                </c:pt>
                <c:pt idx="268">
                  <c:v>-1.7193017124079835</c:v>
                </c:pt>
                <c:pt idx="269">
                  <c:v>-1.9443054425624819</c:v>
                </c:pt>
                <c:pt idx="270">
                  <c:v>-2.1697626576782811</c:v>
                </c:pt>
                <c:pt idx="271">
                  <c:v>-2.3957130199494596</c:v>
                </c:pt>
                <c:pt idx="272">
                  <c:v>-2.6221963435924982</c:v>
                </c:pt>
                <c:pt idx="273">
                  <c:v>-2.849252590108613</c:v>
                </c:pt>
                <c:pt idx="274">
                  <c:v>-3.0769218600375972</c:v>
                </c:pt>
                <c:pt idx="275">
                  <c:v>-3.3052443809494281</c:v>
                </c:pt>
                <c:pt idx="276">
                  <c:v>-3.5342604914295683</c:v>
                </c:pt>
                <c:pt idx="277">
                  <c:v>-3.7640106208234005</c:v>
                </c:pt>
                <c:pt idx="278">
                  <c:v>-3.9945352645145302</c:v>
                </c:pt>
                <c:pt idx="279">
                  <c:v>-4.2258749545277761</c:v>
                </c:pt>
                <c:pt idx="280">
                  <c:v>-4.4580702252615261</c:v>
                </c:pt>
                <c:pt idx="281">
                  <c:v>-4.6911615741744788</c:v>
                </c:pt>
                <c:pt idx="282">
                  <c:v>-4.9251894172734891</c:v>
                </c:pt>
                <c:pt idx="283">
                  <c:v>-5.160194039272767</c:v>
                </c:pt>
                <c:pt idx="284">
                  <c:v>-5.3962155383254808</c:v>
                </c:pt>
                <c:pt idx="285">
                  <c:v>-5.6332937652584514</c:v>
                </c:pt>
                <c:pt idx="286">
                  <c:v>-5.871468257274719</c:v>
                </c:pt>
                <c:pt idx="287">
                  <c:v>-6.110778166130773</c:v>
                </c:pt>
                <c:pt idx="288">
                  <c:v>-6.3512621808326415</c:v>
                </c:pt>
                <c:pt idx="289">
                  <c:v>-6.5929584449431893</c:v>
                </c:pt>
                <c:pt idx="290">
                  <c:v>-6.8359044686382395</c:v>
                </c:pt>
                <c:pt idx="291">
                  <c:v>-7.0801370357020934</c:v>
                </c:pt>
                <c:pt idx="292">
                  <c:v>-7.3256921057046087</c:v>
                </c:pt>
                <c:pt idx="293">
                  <c:v>-7.5726047116565649</c:v>
                </c:pt>
                <c:pt idx="294">
                  <c:v>-7.8209088534989526</c:v>
                </c:pt>
                <c:pt idx="295">
                  <c:v>-8.0706373878343687</c:v>
                </c:pt>
                <c:pt idx="296">
                  <c:v>-8.3218219143716592</c:v>
                </c:pt>
                <c:pt idx="297">
                  <c:v>-8.5744926596067828</c:v>
                </c:pt>
                <c:pt idx="298">
                  <c:v>-8.8286783583215573</c:v>
                </c:pt>
                <c:pt idx="299">
                  <c:v>-9.0844061335339141</c:v>
                </c:pt>
                <c:pt idx="300">
                  <c:v>-9.3417013755822254</c:v>
                </c:pt>
                <c:pt idx="301">
                  <c:v>-9.6005876210752987</c:v>
                </c:pt>
                <c:pt idx="302">
                  <c:v>-9.8610864324771779</c:v>
                </c:pt>
                <c:pt idx="303">
                  <c:v>-10.123217279135343</c:v>
                </c:pt>
                <c:pt idx="304">
                  <c:v>-10.386997420585228</c:v>
                </c:pt>
                <c:pt idx="305">
                  <c:v>-10.652441792990077</c:v>
                </c:pt>
                <c:pt idx="306">
                  <c:v>-10.919562899585317</c:v>
                </c:pt>
                <c:pt idx="307">
                  <c:v>-11.18837070600299</c:v>
                </c:pt>
                <c:pt idx="308">
                  <c:v>-11.45887254134786</c:v>
                </c:pt>
                <c:pt idx="309">
                  <c:v>-11.731073005883205</c:v>
                </c:pt>
                <c:pt idx="310">
                  <c:v>-12.004973886161551</c:v>
                </c:pt>
                <c:pt idx="311">
                  <c:v>-12.280574078403818</c:v>
                </c:pt>
                <c:pt idx="312">
                  <c:v>-12.55786952089003</c:v>
                </c:pt>
                <c:pt idx="313">
                  <c:v>-12.836853136072417</c:v>
                </c:pt>
                <c:pt idx="314">
                  <c:v>-13.117514783067687</c:v>
                </c:pt>
                <c:pt idx="315">
                  <c:v>-13.399841221116574</c:v>
                </c:pt>
                <c:pt idx="316">
                  <c:v>-13.683816084529658</c:v>
                </c:pt>
                <c:pt idx="317">
                  <c:v>-13.969419869559561</c:v>
                </c:pt>
                <c:pt idx="318">
                  <c:v>-14.256629933559239</c:v>
                </c:pt>
                <c:pt idx="319">
                  <c:v>-14.54542050670231</c:v>
                </c:pt>
                <c:pt idx="320">
                  <c:v>-14.835762716453244</c:v>
                </c:pt>
                <c:pt idx="321">
                  <c:v>-15.127624624890728</c:v>
                </c:pt>
                <c:pt idx="322">
                  <c:v>-15.420971278899547</c:v>
                </c:pt>
                <c:pt idx="323">
                  <c:v>-15.715764773164281</c:v>
                </c:pt>
                <c:pt idx="324">
                  <c:v>-16.011964325814919</c:v>
                </c:pt>
                <c:pt idx="325">
                  <c:v>-16.309526366498975</c:v>
                </c:pt>
                <c:pt idx="326">
                  <c:v>-16.608404636582335</c:v>
                </c:pt>
                <c:pt idx="327">
                  <c:v>-16.90855030111404</c:v>
                </c:pt>
                <c:pt idx="328">
                  <c:v>-17.209912072131026</c:v>
                </c:pt>
                <c:pt idx="329">
                  <c:v>-17.512436342823612</c:v>
                </c:pt>
                <c:pt idx="330">
                  <c:v>-17.816067332037527</c:v>
                </c:pt>
                <c:pt idx="331">
                  <c:v>-18.120747238545299</c:v>
                </c:pt>
                <c:pt idx="332">
                  <c:v>-18.426416404489171</c:v>
                </c:pt>
                <c:pt idx="333">
                  <c:v>-18.733013487369032</c:v>
                </c:pt>
                <c:pt idx="334">
                  <c:v>-19.040475639924836</c:v>
                </c:pt>
                <c:pt idx="335">
                  <c:v>-19.348738697251374</c:v>
                </c:pt>
                <c:pt idx="336">
                  <c:v>-19.65773737046695</c:v>
                </c:pt>
                <c:pt idx="337">
                  <c:v>-19.967405446251458</c:v>
                </c:pt>
                <c:pt idx="338">
                  <c:v>-20.277675991565381</c:v>
                </c:pt>
                <c:pt idx="339">
                  <c:v>-20.588481562853879</c:v>
                </c:pt>
                <c:pt idx="340">
                  <c:v>-20.899754419045806</c:v>
                </c:pt>
                <c:pt idx="341">
                  <c:v>-21.211426737651156</c:v>
                </c:pt>
                <c:pt idx="342">
                  <c:v>-21.523430833263145</c:v>
                </c:pt>
                <c:pt idx="343">
                  <c:v>-21.835699377770361</c:v>
                </c:pt>
                <c:pt idx="344">
                  <c:v>-22.148165621582514</c:v>
                </c:pt>
                <c:pt idx="345">
                  <c:v>-22.460763615174649</c:v>
                </c:pt>
                <c:pt idx="346">
                  <c:v>-22.773428430245403</c:v>
                </c:pt>
                <c:pt idx="347">
                  <c:v>-23.08609637978784</c:v>
                </c:pt>
                <c:pt idx="348">
                  <c:v>-23.398705236362446</c:v>
                </c:pt>
                <c:pt idx="349">
                  <c:v>-23.711194447857878</c:v>
                </c:pt>
                <c:pt idx="350">
                  <c:v>-24.023505350017992</c:v>
                </c:pt>
                <c:pt idx="351">
                  <c:v>-24.335581375012467</c:v>
                </c:pt>
                <c:pt idx="352">
                  <c:v>-24.647368255319076</c:v>
                </c:pt>
                <c:pt idx="353">
                  <c:v>-24.958814222188003</c:v>
                </c:pt>
                <c:pt idx="354">
                  <c:v>-25.269870197955644</c:v>
                </c:pt>
                <c:pt idx="355">
                  <c:v>-25.580489981479936</c:v>
                </c:pt>
                <c:pt idx="356">
                  <c:v>-25.890630425976756</c:v>
                </c:pt>
                <c:pt idx="357">
                  <c:v>-26.200251608547592</c:v>
                </c:pt>
                <c:pt idx="358">
                  <c:v>-26.509316990707113</c:v>
                </c:pt>
                <c:pt idx="359">
                  <c:v>-26.817793569240731</c:v>
                </c:pt>
                <c:pt idx="360">
                  <c:v>-27.125652016751506</c:v>
                </c:pt>
                <c:pt idx="361">
                  <c:v>-27.432866811291422</c:v>
                </c:pt>
                <c:pt idx="362">
                  <c:v>-27.739416354513576</c:v>
                </c:pt>
                <c:pt idx="363">
                  <c:v>-28.045283077826806</c:v>
                </c:pt>
                <c:pt idx="364">
                  <c:v>-28.350453536094381</c:v>
                </c:pt>
                <c:pt idx="365">
                  <c:v>-28.654918488469519</c:v>
                </c:pt>
                <c:pt idx="366">
                  <c:v>-28.958672966035127</c:v>
                </c:pt>
                <c:pt idx="367">
                  <c:v>-29.261716325971442</c:v>
                </c:pt>
                <c:pt idx="368">
                  <c:v>-29.564052292061831</c:v>
                </c:pt>
                <c:pt idx="369">
                  <c:v>-29.865688981406443</c:v>
                </c:pt>
                <c:pt idx="370">
                  <c:v>-30.166638917302684</c:v>
                </c:pt>
                <c:pt idx="371">
                  <c:v>-30.466919028317246</c:v>
                </c:pt>
                <c:pt idx="372">
                  <c:v>-30.76655063365456</c:v>
                </c:pt>
                <c:pt idx="373">
                  <c:v>-31.065559414997665</c:v>
                </c:pt>
                <c:pt idx="374">
                  <c:v>-31.363975375066278</c:v>
                </c:pt>
                <c:pt idx="375">
                  <c:v>-31.66183278320252</c:v>
                </c:pt>
                <c:pt idx="376">
                  <c:v>-31.959170108353693</c:v>
                </c:pt>
                <c:pt idx="377">
                  <c:v>-32.25602993987556</c:v>
                </c:pt>
                <c:pt idx="378">
                  <c:v>-32.552458896625829</c:v>
                </c:pt>
                <c:pt idx="379">
                  <c:v>-32.84850752485908</c:v>
                </c:pt>
                <c:pt idx="380">
                  <c:v>-33.144230185462938</c:v>
                </c:pt>
                <c:pt idx="381">
                  <c:v>-33.439684931103614</c:v>
                </c:pt>
                <c:pt idx="382">
                  <c:v>-33.734933373864578</c:v>
                </c:pt>
                <c:pt idx="383">
                  <c:v>-34.030040543971374</c:v>
                </c:pt>
                <c:pt idx="384">
                  <c:v>-34.325074740199128</c:v>
                </c:pt>
                <c:pt idx="385">
                  <c:v>-34.620107372557968</c:v>
                </c:pt>
                <c:pt idx="386">
                  <c:v>-34.915212797838414</c:v>
                </c:pt>
                <c:pt idx="387">
                  <c:v>-35.210468148591147</c:v>
                </c:pt>
                <c:pt idx="388">
                  <c:v>-35.505953156092723</c:v>
                </c:pt>
                <c:pt idx="389">
                  <c:v>-35.801749967832642</c:v>
                </c:pt>
                <c:pt idx="390">
                  <c:v>-36.097942960031794</c:v>
                </c:pt>
                <c:pt idx="391">
                  <c:v>-36.394618545682235</c:v>
                </c:pt>
                <c:pt idx="392">
                  <c:v>-36.691864978571928</c:v>
                </c:pt>
                <c:pt idx="393">
                  <c:v>-36.989772153736872</c:v>
                </c:pt>
                <c:pt idx="394">
                  <c:v>-37.288431404762186</c:v>
                </c:pt>
                <c:pt idx="395">
                  <c:v>-37.587935298333647</c:v>
                </c:pt>
                <c:pt idx="396">
                  <c:v>-37.888377426426956</c:v>
                </c:pt>
                <c:pt idx="397">
                  <c:v>-38.189852196506635</c:v>
                </c:pt>
                <c:pt idx="398">
                  <c:v>-38.492454620098023</c:v>
                </c:pt>
                <c:pt idx="399">
                  <c:v>-38.79628010009187</c:v>
                </c:pt>
                <c:pt idx="400">
                  <c:v>-39.101424217135225</c:v>
                </c:pt>
                <c:pt idx="401">
                  <c:v>-39.407982515465875</c:v>
                </c:pt>
                <c:pt idx="402">
                  <c:v>-39.716050288551109</c:v>
                </c:pt>
                <c:pt idx="403">
                  <c:v>-40.025722364901107</c:v>
                </c:pt>
                <c:pt idx="404">
                  <c:v>-40.337092894431812</c:v>
                </c:pt>
                <c:pt idx="405">
                  <c:v>-40.650255135769086</c:v>
                </c:pt>
                <c:pt idx="406">
                  <c:v>-40.965301244894391</c:v>
                </c:pt>
                <c:pt idx="407">
                  <c:v>-41.282322065547646</c:v>
                </c:pt>
                <c:pt idx="408">
                  <c:v>-41.601406921813322</c:v>
                </c:pt>
                <c:pt idx="409">
                  <c:v>-41.922643413328942</c:v>
                </c:pt>
                <c:pt idx="410">
                  <c:v>-42.246117213564929</c:v>
                </c:pt>
                <c:pt idx="411">
                  <c:v>-42.571911871631656</c:v>
                </c:pt>
                <c:pt idx="412">
                  <c:v>-42.900108618075862</c:v>
                </c:pt>
                <c:pt idx="413">
                  <c:v>-43.230786175128593</c:v>
                </c:pt>
                <c:pt idx="414">
                  <c:v>-43.564020571868085</c:v>
                </c:pt>
                <c:pt idx="415">
                  <c:v>-43.899884964752182</c:v>
                </c:pt>
                <c:pt idx="416">
                  <c:v>-44.238449463970511</c:v>
                </c:pt>
                <c:pt idx="417">
                  <c:v>-44.579780966048048</c:v>
                </c:pt>
                <c:pt idx="418">
                  <c:v>-44.92394299312285</c:v>
                </c:pt>
                <c:pt idx="419">
                  <c:v>-45.270995539296067</c:v>
                </c:pt>
                <c:pt idx="420">
                  <c:v>-45.620994924433475</c:v>
                </c:pt>
                <c:pt idx="421">
                  <c:v>-45.973993655774223</c:v>
                </c:pt>
                <c:pt idx="422">
                  <c:v>-46.330040297675971</c:v>
                </c:pt>
                <c:pt idx="423">
                  <c:v>-46.689179349800668</c:v>
                </c:pt>
                <c:pt idx="424">
                  <c:v>-47.051451134018556</c:v>
                </c:pt>
                <c:pt idx="425">
                  <c:v>-47.416891690281872</c:v>
                </c:pt>
                <c:pt idx="426">
                  <c:v>-47.785532681695251</c:v>
                </c:pt>
                <c:pt idx="427">
                  <c:v>-48.157401308985058</c:v>
                </c:pt>
                <c:pt idx="428">
                  <c:v>-48.53252023454899</c:v>
                </c:pt>
                <c:pt idx="429">
                  <c:v>-48.91090751624894</c:v>
                </c:pt>
                <c:pt idx="430">
                  <c:v>-49.292576551087841</c:v>
                </c:pt>
                <c:pt idx="431">
                  <c:v>-49.677536028903546</c:v>
                </c:pt>
                <c:pt idx="432">
                  <c:v>-50.065789896191369</c:v>
                </c:pt>
                <c:pt idx="433">
                  <c:v>-50.457337330164705</c:v>
                </c:pt>
                <c:pt idx="434">
                  <c:v>-50.852172723145671</c:v>
                </c:pt>
                <c:pt idx="435">
                  <c:v>-51.250285677373675</c:v>
                </c:pt>
                <c:pt idx="436">
                  <c:v>-51.651661010314996</c:v>
                </c:pt>
                <c:pt idx="437">
                  <c:v>-52.05627877054021</c:v>
                </c:pt>
                <c:pt idx="438">
                  <c:v>-52.464114264236954</c:v>
                </c:pt>
                <c:pt idx="439">
                  <c:v>-52.875138092411248</c:v>
                </c:pt>
                <c:pt idx="440">
                  <c:v>-53.289316198818931</c:v>
                </c:pt>
                <c:pt idx="441">
                  <c:v>-53.706609928659724</c:v>
                </c:pt>
                <c:pt idx="442">
                  <c:v>-54.126976098043073</c:v>
                </c:pt>
                <c:pt idx="443">
                  <c:v>-54.550367074219999</c:v>
                </c:pt>
                <c:pt idx="444">
                  <c:v>-54.97673086655184</c:v>
                </c:pt>
                <c:pt idx="445">
                  <c:v>-55.40601122815783</c:v>
                </c:pt>
                <c:pt idx="446">
                  <c:v>-55.83814776815332</c:v>
                </c:pt>
                <c:pt idx="447">
                  <c:v>-56.273076074360581</c:v>
                </c:pt>
                <c:pt idx="448">
                  <c:v>-56.710727846330769</c:v>
                </c:pt>
                <c:pt idx="449">
                  <c:v>-57.151031038483538</c:v>
                </c:pt>
                <c:pt idx="450">
                  <c:v>-57.593910013120819</c:v>
                </c:pt>
                <c:pt idx="451">
                  <c:v>-58.039285703034693</c:v>
                </c:pt>
                <c:pt idx="452">
                  <c:v>-58.487075783380298</c:v>
                </c:pt>
                <c:pt idx="453">
                  <c:v>-58.937194852438274</c:v>
                </c:pt>
                <c:pt idx="454">
                  <c:v>-59.38955462084926</c:v>
                </c:pt>
                <c:pt idx="455">
                  <c:v>-59.844064108854027</c:v>
                </c:pt>
                <c:pt idx="456">
                  <c:v>-60.3006298510291</c:v>
                </c:pt>
                <c:pt idx="457">
                  <c:v>-60.759156107968835</c:v>
                </c:pt>
                <c:pt idx="458">
                  <c:v>-61.21954508431827</c:v>
                </c:pt>
                <c:pt idx="459">
                  <c:v>-61.681697152526951</c:v>
                </c:pt>
                <c:pt idx="460">
                  <c:v>-62.145511081657204</c:v>
                </c:pt>
                <c:pt idx="461">
                  <c:v>-62.610884270546016</c:v>
                </c:pt>
                <c:pt idx="462">
                  <c:v>-63.077712984591187</c:v>
                </c:pt>
                <c:pt idx="463">
                  <c:v>-63.545892595403572</c:v>
                </c:pt>
                <c:pt idx="464">
                  <c:v>-64.0153178225452</c:v>
                </c:pt>
                <c:pt idx="465">
                  <c:v>-64.485882976549334</c:v>
                </c:pt>
                <c:pt idx="466">
                  <c:v>-64.957482202404591</c:v>
                </c:pt>
                <c:pt idx="467">
                  <c:v>-65.430009722664096</c:v>
                </c:pt>
                <c:pt idx="468">
                  <c:v>-65.903360079334945</c:v>
                </c:pt>
                <c:pt idx="469">
                  <c:v>-66.377428373691956</c:v>
                </c:pt>
                <c:pt idx="470">
                  <c:v>-66.852110503150641</c:v>
                </c:pt>
                <c:pt idx="471">
                  <c:v>-67.327303394339083</c:v>
                </c:pt>
                <c:pt idx="472">
                  <c:v>-67.802905231502592</c:v>
                </c:pt>
                <c:pt idx="473">
                  <c:v>-68.278815679384863</c:v>
                </c:pt>
                <c:pt idx="474">
                  <c:v>-68.754936099734806</c:v>
                </c:pt>
                <c:pt idx="475">
                  <c:v>-69.231169760604374</c:v>
                </c:pt>
                <c:pt idx="476">
                  <c:v>-69.707422037619509</c:v>
                </c:pt>
                <c:pt idx="477">
                  <c:v>-70.183600606428001</c:v>
                </c:pt>
                <c:pt idx="478">
                  <c:v>-70.659615625560349</c:v>
                </c:pt>
                <c:pt idx="479">
                  <c:v>-71.135379908970265</c:v>
                </c:pt>
                <c:pt idx="480">
                  <c:v>-71.610809087564704</c:v>
                </c:pt>
                <c:pt idx="481">
                  <c:v>-72.085821759076111</c:v>
                </c:pt>
                <c:pt idx="482">
                  <c:v>-72.560339625689622</c:v>
                </c:pt>
                <c:pt idx="483">
                  <c:v>-73.034287618885656</c:v>
                </c:pt>
                <c:pt idx="484">
                  <c:v>-73.507594011037767</c:v>
                </c:pt>
                <c:pt idx="485">
                  <c:v>-73.980190513363496</c:v>
                </c:pt>
                <c:pt idx="486">
                  <c:v>-74.452012359911166</c:v>
                </c:pt>
                <c:pt idx="487">
                  <c:v>-74.922998377343632</c:v>
                </c:pt>
                <c:pt idx="488">
                  <c:v>-75.393091040365491</c:v>
                </c:pt>
                <c:pt idx="489">
                  <c:v>-75.862236512731059</c:v>
                </c:pt>
                <c:pt idx="490">
                  <c:v>-76.330384673856727</c:v>
                </c:pt>
                <c:pt idx="491">
                  <c:v>-76.797489131160177</c:v>
                </c:pt>
                <c:pt idx="492">
                  <c:v>-77.263507218335789</c:v>
                </c:pt>
                <c:pt idx="493">
                  <c:v>-77.72839997986938</c:v>
                </c:pt>
                <c:pt idx="494">
                  <c:v>-78.19213214218297</c:v>
                </c:pt>
                <c:pt idx="495">
                  <c:v>-78.65467207188658</c:v>
                </c:pt>
                <c:pt idx="496">
                  <c:v>-79.115991721695238</c:v>
                </c:pt>
                <c:pt idx="497">
                  <c:v>-79.57606656464074</c:v>
                </c:pt>
                <c:pt idx="498">
                  <c:v>-80.03487551728054</c:v>
                </c:pt>
                <c:pt idx="499">
                  <c:v>-80.492400852661831</c:v>
                </c:pt>
                <c:pt idx="500">
                  <c:v>-80.9486281038551</c:v>
                </c:pt>
                <c:pt idx="501">
                  <c:v>-81.40354595890976</c:v>
                </c:pt>
                <c:pt idx="502">
                  <c:v>-81.8571461481217</c:v>
                </c:pt>
                <c:pt idx="503">
                  <c:v>-82.30942332452625</c:v>
                </c:pt>
                <c:pt idx="504">
                  <c:v>-82.760374938539471</c:v>
                </c:pt>
                <c:pt idx="505">
                  <c:v>-83.210001107683965</c:v>
                </c:pt>
                <c:pt idx="506">
                  <c:v>-83.658304482322592</c:v>
                </c:pt>
                <c:pt idx="507">
                  <c:v>-84.10529010831371</c:v>
                </c:pt>
                <c:pt idx="508">
                  <c:v>-84.550965287481716</c:v>
                </c:pt>
                <c:pt idx="509">
                  <c:v>-84.995339436761952</c:v>
                </c:pt>
                <c:pt idx="510">
                  <c:v>-85.438423946849497</c:v>
                </c:pt>
                <c:pt idx="511">
                  <c:v>-85.880232041132132</c:v>
                </c:pt>
                <c:pt idx="512">
                  <c:v>-86.320778635646818</c:v>
                </c:pt>
                <c:pt idx="513">
                  <c:v>-86.760080200742479</c:v>
                </c:pt>
                <c:pt idx="514">
                  <c:v>-87.198154625080747</c:v>
                </c:pt>
                <c:pt idx="515">
                  <c:v>-87.635021082545052</c:v>
                </c:pt>
                <c:pt idx="516">
                  <c:v>-88.070699902575399</c:v>
                </c:pt>
                <c:pt idx="517">
                  <c:v>-88.505212444378785</c:v>
                </c:pt>
                <c:pt idx="518">
                  <c:v>-88.938580975414951</c:v>
                </c:pt>
                <c:pt idx="519">
                  <c:v>-89.37082855448979</c:v>
                </c:pt>
                <c:pt idx="520">
                  <c:v>-89.801978919738815</c:v>
                </c:pt>
                <c:pt idx="521">
                  <c:v>-90.23205638172351</c:v>
                </c:pt>
                <c:pt idx="522">
                  <c:v>-90.661085721811872</c:v>
                </c:pt>
                <c:pt idx="523">
                  <c:v>-91.089092095965825</c:v>
                </c:pt>
                <c:pt idx="524">
                  <c:v>-91.516100944011072</c:v>
                </c:pt>
                <c:pt idx="525">
                  <c:v>-91.94213790442015</c:v>
                </c:pt>
                <c:pt idx="526">
                  <c:v>-92.367228734601881</c:v>
                </c:pt>
                <c:pt idx="527">
                  <c:v>-92.791399236655053</c:v>
                </c:pt>
                <c:pt idx="528">
                  <c:v>-93.21467518850838</c:v>
                </c:pt>
                <c:pt idx="529">
                  <c:v>-93.637082280345425</c:v>
                </c:pt>
                <c:pt idx="530">
                  <c:v>-94.058646056183463</c:v>
                </c:pt>
                <c:pt idx="531">
                  <c:v>-94.479391860457</c:v>
                </c:pt>
                <c:pt idx="532">
                  <c:v>-94.89934478943772</c:v>
                </c:pt>
                <c:pt idx="533">
                  <c:v>-95.318529647307045</c:v>
                </c:pt>
                <c:pt idx="534">
                  <c:v>-95.73697090668766</c:v>
                </c:pt>
                <c:pt idx="535">
                  <c:v>-96.154692673428244</c:v>
                </c:pt>
                <c:pt idx="536">
                  <c:v>-96.571718655431766</c:v>
                </c:pt>
                <c:pt idx="537">
                  <c:v>-96.988072135313601</c:v>
                </c:pt>
                <c:pt idx="538">
                  <c:v>-97.403775946670919</c:v>
                </c:pt>
                <c:pt idx="539">
                  <c:v>-97.81885245374707</c:v>
                </c:pt>
                <c:pt idx="540">
                  <c:v>-98.233323534276082</c:v>
                </c:pt>
                <c:pt idx="541">
                  <c:v>-98.647210565294884</c:v>
                </c:pt>
              </c:numCache>
            </c:numRef>
          </c:yVal>
          <c:smooth val="1"/>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88.731580770339363</c:v>
                </c:pt>
                <c:pt idx="1">
                  <c:v>88.702062984442819</c:v>
                </c:pt>
                <c:pt idx="2">
                  <c:v>88.671859605564592</c:v>
                </c:pt>
                <c:pt idx="3">
                  <c:v>88.640954804486427</c:v>
                </c:pt>
                <c:pt idx="4">
                  <c:v>88.609332393288355</c:v>
                </c:pt>
                <c:pt idx="5">
                  <c:v>88.576975817705787</c:v>
                </c:pt>
                <c:pt idx="6">
                  <c:v>88.543868149359682</c:v>
                </c:pt>
                <c:pt idx="7">
                  <c:v>88.509992077859465</c:v>
                </c:pt>
                <c:pt idx="8">
                  <c:v>88.475329902780373</c:v>
                </c:pt>
                <c:pt idx="9">
                  <c:v>88.439863525515747</c:v>
                </c:pt>
                <c:pt idx="10">
                  <c:v>88.403574441005915</c:v>
                </c:pt>
                <c:pt idx="11">
                  <c:v>88.366443729345789</c:v>
                </c:pt>
                <c:pt idx="12">
                  <c:v>88.328452047272961</c:v>
                </c:pt>
                <c:pt idx="13">
                  <c:v>88.289579619538969</c:v>
                </c:pt>
                <c:pt idx="14">
                  <c:v>88.249806230166797</c:v>
                </c:pt>
                <c:pt idx="15">
                  <c:v>88.209111213598121</c:v>
                </c:pt>
                <c:pt idx="16">
                  <c:v>88.167473445734117</c:v>
                </c:pt>
                <c:pt idx="17">
                  <c:v>88.124871334874527</c:v>
                </c:pt>
                <c:pt idx="18">
                  <c:v>88.081282812559905</c:v>
                </c:pt>
                <c:pt idx="19">
                  <c:v>88.036685324323003</c:v>
                </c:pt>
                <c:pt idx="20">
                  <c:v>87.991055820355541</c:v>
                </c:pt>
                <c:pt idx="21">
                  <c:v>87.944370746097562</c:v>
                </c:pt>
                <c:pt idx="22">
                  <c:v>87.896606032757418</c:v>
                </c:pt>
                <c:pt idx="23">
                  <c:v>87.84773708777108</c:v>
                </c:pt>
                <c:pt idx="24">
                  <c:v>87.797738785210555</c:v>
                </c:pt>
                <c:pt idx="25">
                  <c:v>87.746585456152019</c:v>
                </c:pt>
                <c:pt idx="26">
                  <c:v>87.694250879015698</c:v>
                </c:pt>
                <c:pt idx="27">
                  <c:v>87.640708269890027</c:v>
                </c:pt>
                <c:pt idx="28">
                  <c:v>87.585930272854355</c:v>
                </c:pt>
                <c:pt idx="29">
                  <c:v>87.529888950315822</c:v>
                </c:pt>
                <c:pt idx="30">
                  <c:v>87.472555773376726</c:v>
                </c:pt>
                <c:pt idx="31">
                  <c:v>87.413901612251195</c:v>
                </c:pt>
                <c:pt idx="32">
                  <c:v>87.353896726750932</c:v>
                </c:pt>
                <c:pt idx="33">
                  <c:v>87.292510756861063</c:v>
                </c:pt>
                <c:pt idx="34">
                  <c:v>87.229712713430573</c:v>
                </c:pt>
                <c:pt idx="35">
                  <c:v>87.165470969001859</c:v>
                </c:pt>
                <c:pt idx="36">
                  <c:v>87.099753248807161</c:v>
                </c:pt>
                <c:pt idx="37">
                  <c:v>87.032526621961736</c:v>
                </c:pt>
                <c:pt idx="38">
                  <c:v>86.963757492885279</c:v>
                </c:pt>
                <c:pt idx="39">
                  <c:v>86.893411592987079</c:v>
                </c:pt>
                <c:pt idx="40">
                  <c:v>86.821453972651398</c:v>
                </c:pt>
                <c:pt idx="41">
                  <c:v>86.747848993563153</c:v>
                </c:pt>
                <c:pt idx="42">
                  <c:v>86.672560321418061</c:v>
                </c:pt>
                <c:pt idx="43">
                  <c:v>86.595550919062418</c:v>
                </c:pt>
                <c:pt idx="44">
                  <c:v>86.516783040113197</c:v>
                </c:pt>
                <c:pt idx="45">
                  <c:v>86.436218223111624</c:v>
                </c:pt>
                <c:pt idx="46">
                  <c:v>86.353817286267613</c:v>
                </c:pt>
                <c:pt idx="47">
                  <c:v>86.269540322856557</c:v>
                </c:pt>
                <c:pt idx="48">
                  <c:v>86.183346697334287</c:v>
                </c:pt>
                <c:pt idx="49">
                  <c:v>86.095195042240377</c:v>
                </c:pt>
                <c:pt idx="50">
                  <c:v>86.005043255965305</c:v>
                </c:pt>
                <c:pt idx="51">
                  <c:v>85.912848501461369</c:v>
                </c:pt>
                <c:pt idx="52">
                  <c:v>85.818567205983754</c:v>
                </c:pt>
                <c:pt idx="53">
                  <c:v>85.722155061952307</c:v>
                </c:pt>
                <c:pt idx="54">
                  <c:v>85.623567029031889</c:v>
                </c:pt>
                <c:pt idx="55">
                  <c:v>85.522757337535083</c:v>
                </c:pt>
                <c:pt idx="56">
                  <c:v>85.419679493257249</c:v>
                </c:pt>
                <c:pt idx="57">
                  <c:v>85.31428628386071</c:v>
                </c:pt>
                <c:pt idx="58">
                  <c:v>85.206529786933558</c:v>
                </c:pt>
                <c:pt idx="59">
                  <c:v>85.096361379853775</c:v>
                </c:pt>
                <c:pt idx="60">
                  <c:v>84.983731751599493</c:v>
                </c:pt>
                <c:pt idx="61">
                  <c:v>84.868590916652408</c:v>
                </c:pt>
                <c:pt idx="62">
                  <c:v>84.750888231151762</c:v>
                </c:pt>
                <c:pt idx="63">
                  <c:v>84.630572411464414</c:v>
                </c:pt>
                <c:pt idx="64">
                  <c:v>84.507591555344021</c:v>
                </c:pt>
                <c:pt idx="65">
                  <c:v>84.381893165865065</c:v>
                </c:pt>
                <c:pt idx="66">
                  <c:v>84.253424178324508</c:v>
                </c:pt>
                <c:pt idx="67">
                  <c:v>84.12213099031429</c:v>
                </c:pt>
                <c:pt idx="68">
                  <c:v>83.987959495179396</c:v>
                </c:pt>
                <c:pt idx="69">
                  <c:v>83.8508551190844</c:v>
                </c:pt>
                <c:pt idx="70">
                  <c:v>83.710762861924664</c:v>
                </c:pt>
                <c:pt idx="71">
                  <c:v>83.567627342324926</c:v>
                </c:pt>
                <c:pt idx="72">
                  <c:v>83.421392846983721</c:v>
                </c:pt>
                <c:pt idx="73">
                  <c:v>83.272003384627695</c:v>
                </c:pt>
                <c:pt idx="74">
                  <c:v>83.11940274485454</c:v>
                </c:pt>
                <c:pt idx="75">
                  <c:v>82.963534562149107</c:v>
                </c:pt>
                <c:pt idx="76">
                  <c:v>82.804342385372848</c:v>
                </c:pt>
                <c:pt idx="77">
                  <c:v>82.64176975302945</c:v>
                </c:pt>
                <c:pt idx="78">
                  <c:v>82.475760274625515</c:v>
                </c:pt>
                <c:pt idx="79">
                  <c:v>82.306257718447611</c:v>
                </c:pt>
                <c:pt idx="80">
                  <c:v>82.13320610608767</c:v>
                </c:pt>
                <c:pt idx="81">
                  <c:v>81.956549814053957</c:v>
                </c:pt>
                <c:pt idx="82">
                  <c:v>81.776233682811579</c:v>
                </c:pt>
                <c:pt idx="83">
                  <c:v>81.592203133595362</c:v>
                </c:pt>
                <c:pt idx="84">
                  <c:v>81.404404293347739</c:v>
                </c:pt>
                <c:pt idx="85">
                  <c:v>81.212784128126231</c:v>
                </c:pt>
                <c:pt idx="86">
                  <c:v>81.017290585328283</c:v>
                </c:pt>
                <c:pt idx="87">
                  <c:v>80.817872745074567</c:v>
                </c:pt>
                <c:pt idx="88">
                  <c:v>80.614480981082906</c:v>
                </c:pt>
                <c:pt idx="89">
                  <c:v>80.407067131357564</c:v>
                </c:pt>
                <c:pt idx="90">
                  <c:v>80.195584679000291</c:v>
                </c:pt>
                <c:pt idx="91">
                  <c:v>79.979988943433568</c:v>
                </c:pt>
                <c:pt idx="92">
                  <c:v>79.760237282302825</c:v>
                </c:pt>
                <c:pt idx="93">
                  <c:v>79.536289304296801</c:v>
                </c:pt>
                <c:pt idx="94">
                  <c:v>79.308107093092588</c:v>
                </c:pt>
                <c:pt idx="95">
                  <c:v>79.075655442593145</c:v>
                </c:pt>
                <c:pt idx="96">
                  <c:v>78.83890210357923</c:v>
                </c:pt>
                <c:pt idx="97">
                  <c:v>78.597818041850658</c:v>
                </c:pt>
                <c:pt idx="98">
                  <c:v>78.352377707866509</c:v>
                </c:pt>
                <c:pt idx="99">
                  <c:v>78.10255931783486</c:v>
                </c:pt>
                <c:pt idx="100">
                  <c:v>77.848345146126746</c:v>
                </c:pt>
                <c:pt idx="101">
                  <c:v>77.589721828803562</c:v>
                </c:pt>
                <c:pt idx="102">
                  <c:v>77.326680677967275</c:v>
                </c:pt>
                <c:pt idx="103">
                  <c:v>77.059218006527729</c:v>
                </c:pt>
                <c:pt idx="104">
                  <c:v>76.787335462893864</c:v>
                </c:pt>
                <c:pt idx="105">
                  <c:v>76.511040374957972</c:v>
                </c:pt>
                <c:pt idx="106">
                  <c:v>76.230346102634954</c:v>
                </c:pt>
                <c:pt idx="107">
                  <c:v>75.945272398069747</c:v>
                </c:pt>
                <c:pt idx="108">
                  <c:v>75.655845772494061</c:v>
                </c:pt>
                <c:pt idx="109">
                  <c:v>75.362099868552988</c:v>
                </c:pt>
                <c:pt idx="110">
                  <c:v>75.06407583677364</c:v>
                </c:pt>
                <c:pt idx="111">
                  <c:v>74.761822714674139</c:v>
                </c:pt>
                <c:pt idx="112">
                  <c:v>74.455397806845241</c:v>
                </c:pt>
                <c:pt idx="113">
                  <c:v>74.144867064165282</c:v>
                </c:pt>
                <c:pt idx="114">
                  <c:v>73.830305460120044</c:v>
                </c:pt>
                <c:pt idx="115">
                  <c:v>73.511797362039474</c:v>
                </c:pt>
                <c:pt idx="116">
                  <c:v>73.189436894862936</c:v>
                </c:pt>
                <c:pt idx="117">
                  <c:v>72.863328294892668</c:v>
                </c:pt>
                <c:pt idx="118">
                  <c:v>72.53358625080844</c:v>
                </c:pt>
                <c:pt idx="119">
                  <c:v>72.200336229068554</c:v>
                </c:pt>
                <c:pt idx="120">
                  <c:v>71.86371478066728</c:v>
                </c:pt>
                <c:pt idx="121">
                  <c:v>71.523869826086013</c:v>
                </c:pt>
                <c:pt idx="122">
                  <c:v>71.180960915160227</c:v>
                </c:pt>
                <c:pt idx="123">
                  <c:v>70.83515945848869</c:v>
                </c:pt>
                <c:pt idx="124">
                  <c:v>70.486648926938173</c:v>
                </c:pt>
                <c:pt idx="125">
                  <c:v>70.135625015759913</c:v>
                </c:pt>
                <c:pt idx="126">
                  <c:v>69.782295769812563</c:v>
                </c:pt>
                <c:pt idx="127">
                  <c:v>69.426881666426027</c:v>
                </c:pt>
                <c:pt idx="128">
                  <c:v>69.069615652480138</c:v>
                </c:pt>
                <c:pt idx="129">
                  <c:v>68.710743132390448</c:v>
                </c:pt>
                <c:pt idx="130">
                  <c:v>68.350521903828337</c:v>
                </c:pt>
                <c:pt idx="131">
                  <c:v>67.989222038183684</c:v>
                </c:pt>
                <c:pt idx="132">
                  <c:v>67.627125703023282</c:v>
                </c:pt>
                <c:pt idx="133">
                  <c:v>67.264526924057222</c:v>
                </c:pt>
                <c:pt idx="134">
                  <c:v>66.901731284460396</c:v>
                </c:pt>
                <c:pt idx="135">
                  <c:v>66.539055559751873</c:v>
                </c:pt>
                <c:pt idx="136">
                  <c:v>66.176827286838559</c:v>
                </c:pt>
                <c:pt idx="137">
                  <c:v>65.815384266280873</c:v>
                </c:pt>
                <c:pt idx="138">
                  <c:v>65.455073997309839</c:v>
                </c:pt>
                <c:pt idx="139">
                  <c:v>65.096253045625218</c:v>
                </c:pt>
                <c:pt idx="140">
                  <c:v>64.73928634455379</c:v>
                </c:pt>
                <c:pt idx="141">
                  <c:v>64.384546430672799</c:v>
                </c:pt>
                <c:pt idx="142">
                  <c:v>64.032412615579076</c:v>
                </c:pt>
                <c:pt idx="143">
                  <c:v>63.683270096039607</c:v>
                </c:pt>
                <c:pt idx="144">
                  <c:v>63.337509005317138</c:v>
                </c:pt>
                <c:pt idx="145">
                  <c:v>62.99552340900933</c:v>
                </c:pt>
                <c:pt idx="146">
                  <c:v>62.657710249269101</c:v>
                </c:pt>
                <c:pt idx="147">
                  <c:v>62.324468241761949</c:v>
                </c:pt>
                <c:pt idx="148">
                  <c:v>61.996196730184707</c:v>
                </c:pt>
                <c:pt idx="149">
                  <c:v>61.673294503582227</c:v>
                </c:pt>
                <c:pt idx="150">
                  <c:v>61.356158582072474</c:v>
                </c:pt>
                <c:pt idx="151">
                  <c:v>61.045182976901103</c:v>
                </c:pt>
                <c:pt idx="152">
                  <c:v>60.740757431013023</c:v>
                </c:pt>
                <c:pt idx="153">
                  <c:v>60.443266146512933</c:v>
                </c:pt>
                <c:pt idx="154">
                  <c:v>60.153086505534802</c:v>
                </c:pt>
                <c:pt idx="155">
                  <c:v>59.870587791100775</c:v>
                </c:pt>
                <c:pt idx="156">
                  <c:v>59.59612991456661</c:v>
                </c:pt>
                <c:pt idx="157">
                  <c:v>59.330062156193797</c:v>
                </c:pt>
                <c:pt idx="158">
                  <c:v>59.072721925285641</c:v>
                </c:pt>
                <c:pt idx="159">
                  <c:v>58.824433546152768</c:v>
                </c:pt>
                <c:pt idx="160">
                  <c:v>58.585507075981013</c:v>
                </c:pt>
                <c:pt idx="161">
                  <c:v>58.356237160400283</c:v>
                </c:pt>
                <c:pt idx="162">
                  <c:v>58.136901932279756</c:v>
                </c:pt>
                <c:pt idx="163">
                  <c:v>57.927761958951393</c:v>
                </c:pt>
                <c:pt idx="164">
                  <c:v>57.729059242715941</c:v>
                </c:pt>
                <c:pt idx="165">
                  <c:v>57.541016279132215</c:v>
                </c:pt>
                <c:pt idx="166">
                  <c:v>57.363835177211413</c:v>
                </c:pt>
                <c:pt idx="167">
                  <c:v>57.197696845270904</c:v>
                </c:pt>
                <c:pt idx="168">
                  <c:v>57.042760245818251</c:v>
                </c:pt>
                <c:pt idx="169">
                  <c:v>56.899161722454387</c:v>
                </c:pt>
                <c:pt idx="170">
                  <c:v>56.767014401440626</c:v>
                </c:pt>
                <c:pt idx="171">
                  <c:v>56.646407670187109</c:v>
                </c:pt>
                <c:pt idx="172">
                  <c:v>56.537406734592849</c:v>
                </c:pt>
                <c:pt idx="173">
                  <c:v>56.440052256829567</c:v>
                </c:pt>
                <c:pt idx="174">
                  <c:v>56.354360074822246</c:v>
                </c:pt>
                <c:pt idx="175">
                  <c:v>56.280321004382678</c:v>
                </c:pt>
                <c:pt idx="176">
                  <c:v>56.217900724629615</c:v>
                </c:pt>
                <c:pt idx="177">
                  <c:v>56.16703974704108</c:v>
                </c:pt>
                <c:pt idx="178">
                  <c:v>56.12765346817303</c:v>
                </c:pt>
                <c:pt idx="179">
                  <c:v>56.099632305792142</c:v>
                </c:pt>
                <c:pt idx="180">
                  <c:v>56.082841917866212</c:v>
                </c:pt>
                <c:pt idx="181">
                  <c:v>56.077123503548854</c:v>
                </c:pt>
                <c:pt idx="182">
                  <c:v>56.082294184985898</c:v>
                </c:pt>
                <c:pt idx="183">
                  <c:v>56.098147468447323</c:v>
                </c:pt>
                <c:pt idx="184">
                  <c:v>56.124453782956586</c:v>
                </c:pt>
                <c:pt idx="185">
                  <c:v>56.160961094244961</c:v>
                </c:pt>
                <c:pt idx="186">
                  <c:v>56.207395591503847</c:v>
                </c:pt>
                <c:pt idx="187">
                  <c:v>56.263462444043334</c:v>
                </c:pt>
                <c:pt idx="188">
                  <c:v>56.32884662459675</c:v>
                </c:pt>
                <c:pt idx="189">
                  <c:v>56.403213795626527</c:v>
                </c:pt>
                <c:pt idx="190">
                  <c:v>56.486211254619931</c:v>
                </c:pt>
                <c:pt idx="191">
                  <c:v>56.57746893398425</c:v>
                </c:pt>
                <c:pt idx="192">
                  <c:v>56.676600450784356</c:v>
                </c:pt>
                <c:pt idx="193">
                  <c:v>56.783204201231619</c:v>
                </c:pt>
                <c:pt idx="194">
                  <c:v>56.896864494489883</c:v>
                </c:pt>
                <c:pt idx="195">
                  <c:v>57.017152720079174</c:v>
                </c:pt>
                <c:pt idx="196">
                  <c:v>57.143628542890021</c:v>
                </c:pt>
                <c:pt idx="197">
                  <c:v>57.275841119599356</c:v>
                </c:pt>
                <c:pt idx="198">
                  <c:v>57.413330330108373</c:v>
                </c:pt>
                <c:pt idx="199">
                  <c:v>57.555628017489383</c:v>
                </c:pt>
                <c:pt idx="200">
                  <c:v>57.702259229876077</c:v>
                </c:pt>
                <c:pt idx="201">
                  <c:v>57.852743457711966</c:v>
                </c:pt>
                <c:pt idx="202">
                  <c:v>58.006595859834334</c:v>
                </c:pt>
                <c:pt idx="203">
                  <c:v>58.163328471985345</c:v>
                </c:pt>
                <c:pt idx="204">
                  <c:v>58.322451391527615</c:v>
                </c:pt>
                <c:pt idx="205">
                  <c:v>58.483473932375055</c:v>
                </c:pt>
                <c:pt idx="206">
                  <c:v>58.645905744464187</c:v>
                </c:pt>
                <c:pt idx="207">
                  <c:v>58.809257892438751</c:v>
                </c:pt>
                <c:pt idx="208">
                  <c:v>58.97304388863158</c:v>
                </c:pt>
                <c:pt idx="209">
                  <c:v>59.136780675877219</c:v>
                </c:pt>
                <c:pt idx="210">
                  <c:v>59.299989556186034</c:v>
                </c:pt>
                <c:pt idx="211">
                  <c:v>59.462197061816767</c:v>
                </c:pt>
                <c:pt idx="212">
                  <c:v>59.622935765849832</c:v>
                </c:pt>
                <c:pt idx="213">
                  <c:v>59.781745029900321</c:v>
                </c:pt>
                <c:pt idx="214">
                  <c:v>59.938171687189275</c:v>
                </c:pt>
                <c:pt idx="215">
                  <c:v>60.091770659757692</c:v>
                </c:pt>
                <c:pt idx="216">
                  <c:v>60.242105509153468</c:v>
                </c:pt>
                <c:pt idx="217">
                  <c:v>60.388748920479138</c:v>
                </c:pt>
                <c:pt idx="218">
                  <c:v>60.531283120196584</c:v>
                </c:pt>
                <c:pt idx="219">
                  <c:v>60.669300228579417</c:v>
                </c:pt>
                <c:pt idx="220">
                  <c:v>60.802402548168779</c:v>
                </c:pt>
                <c:pt idx="221">
                  <c:v>60.930202790008664</c:v>
                </c:pt>
                <c:pt idx="222">
                  <c:v>61.052324239813707</c:v>
                </c:pt>
                <c:pt idx="223">
                  <c:v>61.16840086657615</c:v>
                </c:pt>
                <c:pt idx="224">
                  <c:v>61.278077376402393</c:v>
                </c:pt>
                <c:pt idx="225">
                  <c:v>61.381009214632179</c:v>
                </c:pt>
                <c:pt idx="226">
                  <c:v>61.476862519490801</c:v>
                </c:pt>
                <c:pt idx="227">
                  <c:v>61.565314030701352</c:v>
                </c:pt>
                <c:pt idx="228">
                  <c:v>61.646050956592276</c:v>
                </c:pt>
                <c:pt idx="229">
                  <c:v>61.718770803330074</c:v>
                </c:pt>
                <c:pt idx="230">
                  <c:v>61.783181169937258</c:v>
                </c:pt>
                <c:pt idx="231">
                  <c:v>61.838999512780418</c:v>
                </c:pt>
                <c:pt idx="232">
                  <c:v>61.885952883172358</c:v>
                </c:pt>
                <c:pt idx="233">
                  <c:v>61.923777641697072</c:v>
                </c:pt>
                <c:pt idx="234">
                  <c:v>61.95221915277601</c:v>
                </c:pt>
                <c:pt idx="235">
                  <c:v>61.97103146290489</c:v>
                </c:pt>
                <c:pt idx="236">
                  <c:v>61.979976965866008</c:v>
                </c:pt>
                <c:pt idx="237">
                  <c:v>61.978826058093887</c:v>
                </c:pt>
                <c:pt idx="238">
                  <c:v>61.967356787220019</c:v>
                </c:pt>
                <c:pt idx="239">
                  <c:v>61.945354496679414</c:v>
                </c:pt>
                <c:pt idx="240">
                  <c:v>61.912611469086293</c:v>
                </c:pt>
                <c:pt idx="241">
                  <c:v>61.868926570938314</c:v>
                </c:pt>
                <c:pt idx="242">
                  <c:v>61.814104901025168</c:v>
                </c:pt>
                <c:pt idx="243">
                  <c:v>61.747957444768453</c:v>
                </c:pt>
                <c:pt idx="244">
                  <c:v>61.670300736541797</c:v>
                </c:pt>
                <c:pt idx="245">
                  <c:v>61.580956531863343</c:v>
                </c:pt>
                <c:pt idx="246">
                  <c:v>61.479751491203658</c:v>
                </c:pt>
                <c:pt idx="247">
                  <c:v>61.366516876987944</c:v>
                </c:pt>
                <c:pt idx="248">
                  <c:v>61.241088265237657</c:v>
                </c:pt>
                <c:pt idx="249">
                  <c:v>61.103305273153538</c:v>
                </c:pt>
                <c:pt idx="250">
                  <c:v>60.953011303811252</c:v>
                </c:pt>
                <c:pt idx="251">
                  <c:v>60.790053309017082</c:v>
                </c:pt>
                <c:pt idx="252">
                  <c:v>60.614281571255304</c:v>
                </c:pt>
                <c:pt idx="253">
                  <c:v>60.425549505543415</c:v>
                </c:pt>
                <c:pt idx="254">
                  <c:v>60.223713481914778</c:v>
                </c:pt>
                <c:pt idx="255">
                  <c:v>60.008632669141917</c:v>
                </c:pt>
                <c:pt idx="256">
                  <c:v>59.780168900228091</c:v>
                </c:pt>
                <c:pt idx="257">
                  <c:v>59.538186560098559</c:v>
                </c:pt>
                <c:pt idx="258">
                  <c:v>59.282552495847945</c:v>
                </c:pt>
                <c:pt idx="259">
                  <c:v>59.013135949808238</c:v>
                </c:pt>
                <c:pt idx="260">
                  <c:v>58.729808515632669</c:v>
                </c:pt>
                <c:pt idx="261">
                  <c:v>58.432444117507998</c:v>
                </c:pt>
                <c:pt idx="262">
                  <c:v>58.12091901252915</c:v>
                </c:pt>
                <c:pt idx="263">
                  <c:v>57.795111816200439</c:v>
                </c:pt>
                <c:pt idx="264">
                  <c:v>57.454903550940237</c:v>
                </c:pt>
                <c:pt idx="265">
                  <c:v>57.100177717393997</c:v>
                </c:pt>
                <c:pt idx="266">
                  <c:v>56.730820388269407</c:v>
                </c:pt>
                <c:pt idx="267">
                  <c:v>56.346720324329603</c:v>
                </c:pt>
                <c:pt idx="268">
                  <c:v>55.947769112083854</c:v>
                </c:pt>
                <c:pt idx="269">
                  <c:v>55.533861322618428</c:v>
                </c:pt>
                <c:pt idx="270">
                  <c:v>55.104894690920624</c:v>
                </c:pt>
                <c:pt idx="271">
                  <c:v>54.66077031492361</c:v>
                </c:pt>
                <c:pt idx="272">
                  <c:v>54.201392873410128</c:v>
                </c:pt>
                <c:pt idx="273">
                  <c:v>53.72667086177298</c:v>
                </c:pt>
                <c:pt idx="274">
                  <c:v>53.236516844526392</c:v>
                </c:pt>
                <c:pt idx="275">
                  <c:v>52.730847723311157</c:v>
                </c:pt>
                <c:pt idx="276">
                  <c:v>52.209585019023727</c:v>
                </c:pt>
                <c:pt idx="277">
                  <c:v>51.672655166535968</c:v>
                </c:pt>
                <c:pt idx="278">
                  <c:v>51.119989820351627</c:v>
                </c:pt>
                <c:pt idx="279">
                  <c:v>50.55152616937513</c:v>
                </c:pt>
                <c:pt idx="280">
                  <c:v>49.967207258840212</c:v>
                </c:pt>
                <c:pt idx="281">
                  <c:v>49.366982317286059</c:v>
                </c:pt>
                <c:pt idx="282">
                  <c:v>48.750807086323604</c:v>
                </c:pt>
                <c:pt idx="283">
                  <c:v>48.118644150796648</c:v>
                </c:pt>
                <c:pt idx="284">
                  <c:v>47.470463266803598</c:v>
                </c:pt>
                <c:pt idx="285">
                  <c:v>46.806241684914596</c:v>
                </c:pt>
                <c:pt idx="286">
                  <c:v>46.12596446581729</c:v>
                </c:pt>
                <c:pt idx="287">
                  <c:v>45.429624785503755</c:v>
                </c:pt>
                <c:pt idx="288">
                  <c:v>44.717224227048945</c:v>
                </c:pt>
                <c:pt idx="289">
                  <c:v>43.988773055954233</c:v>
                </c:pt>
                <c:pt idx="290">
                  <c:v>43.244290476001659</c:v>
                </c:pt>
                <c:pt idx="291">
                  <c:v>42.483804862549526</c:v>
                </c:pt>
                <c:pt idx="292">
                  <c:v>41.707353970222449</c:v>
                </c:pt>
                <c:pt idx="293">
                  <c:v>40.91498511200539</c:v>
                </c:pt>
                <c:pt idx="294">
                  <c:v>40.106755306836021</c:v>
                </c:pt>
                <c:pt idx="295">
                  <c:v>39.282731392926479</c:v>
                </c:pt>
                <c:pt idx="296">
                  <c:v>38.442990104205016</c:v>
                </c:pt>
                <c:pt idx="297">
                  <c:v>37.587618107488268</c:v>
                </c:pt>
                <c:pt idx="298">
                  <c:v>36.716711998239248</c:v>
                </c:pt>
                <c:pt idx="299">
                  <c:v>35.83037825306689</c:v>
                </c:pt>
                <c:pt idx="300">
                  <c:v>34.928733137452475</c:v>
                </c:pt>
                <c:pt idx="301">
                  <c:v>34.011902567572299</c:v>
                </c:pt>
                <c:pt idx="302">
                  <c:v>33.080021925485269</c:v>
                </c:pt>
                <c:pt idx="303">
                  <c:v>32.133235827410431</c:v>
                </c:pt>
                <c:pt idx="304">
                  <c:v>31.171697845285031</c:v>
                </c:pt>
                <c:pt idx="305">
                  <c:v>30.195570182292965</c:v>
                </c:pt>
                <c:pt idx="306">
                  <c:v>29.205023303566438</c:v>
                </c:pt>
                <c:pt idx="307">
                  <c:v>28.20023552378586</c:v>
                </c:pt>
                <c:pt idx="308">
                  <c:v>27.1813925539265</c:v>
                </c:pt>
                <c:pt idx="309">
                  <c:v>26.148687009925116</c:v>
                </c:pt>
                <c:pt idx="310">
                  <c:v>25.102317886531214</c:v>
                </c:pt>
                <c:pt idx="311">
                  <c:v>24.042490000106113</c:v>
                </c:pt>
                <c:pt idx="312">
                  <c:v>22.969413404559972</c:v>
                </c:pt>
                <c:pt idx="313">
                  <c:v>21.883302785043746</c:v>
                </c:pt>
                <c:pt idx="314">
                  <c:v>20.784376834350937</c:v>
                </c:pt>
                <c:pt idx="315">
                  <c:v>19.672857617310353</c:v>
                </c:pt>
                <c:pt idx="316">
                  <c:v>18.548969928650333</c:v>
                </c:pt>
                <c:pt idx="317">
                  <c:v>17.412940650028958</c:v>
                </c:pt>
                <c:pt idx="318">
                  <c:v>16.264998111977675</c:v>
                </c:pt>
                <c:pt idx="319">
                  <c:v>15.10537146654193</c:v>
                </c:pt>
                <c:pt idx="320">
                  <c:v>13.934290076344832</c:v>
                </c:pt>
                <c:pt idx="321">
                  <c:v>12.751982925630937</c:v>
                </c:pt>
                <c:pt idx="322">
                  <c:v>11.558678058657662</c:v>
                </c:pt>
                <c:pt idx="323">
                  <c:v>10.354602050474389</c:v>
                </c:pt>
                <c:pt idx="324">
                  <c:v>9.1399795147737422</c:v>
                </c:pt>
                <c:pt idx="325">
                  <c:v>7.9150326530540767</c:v>
                </c:pt>
                <c:pt idx="326">
                  <c:v>6.6799808488328161</c:v>
                </c:pt>
                <c:pt idx="327">
                  <c:v>5.4350403100874134</c:v>
                </c:pt>
                <c:pt idx="328">
                  <c:v>4.1804237625144811</c:v>
                </c:pt>
                <c:pt idx="329">
                  <c:v>2.9163401955383539</c:v>
                </c:pt>
                <c:pt idx="330">
                  <c:v>1.6429946623593017</c:v>
                </c:pt>
                <c:pt idx="331">
                  <c:v>0.36058813462680894</c:v>
                </c:pt>
                <c:pt idx="332">
                  <c:v>-0.93068258834647954</c:v>
                </c:pt>
                <c:pt idx="333">
                  <c:v>-2.2306249166236625</c:v>
                </c:pt>
                <c:pt idx="334">
                  <c:v>-3.5390504543699208</c:v>
                </c:pt>
                <c:pt idx="335">
                  <c:v>-4.8557749343883909</c:v>
                </c:pt>
                <c:pt idx="336">
                  <c:v>-6.1806181051718321</c:v>
                </c:pt>
                <c:pt idx="337">
                  <c:v>-7.5134035737831555</c:v>
                </c:pt>
                <c:pt idx="338">
                  <c:v>-8.8539586083863409</c:v>
                </c:pt>
                <c:pt idx="339">
                  <c:v>-10.202113904734677</c:v>
                </c:pt>
                <c:pt idx="340">
                  <c:v>-11.557703321333927</c:v>
                </c:pt>
                <c:pt idx="341">
                  <c:v>-12.920563588344629</c:v>
                </c:pt>
                <c:pt idx="342">
                  <c:v>-14.290533995556526</c:v>
                </c:pt>
                <c:pt idx="343">
                  <c:v>-15.667456064972699</c:v>
                </c:pt>
                <c:pt idx="344">
                  <c:v>-17.05117321366442</c:v>
                </c:pt>
                <c:pt idx="345">
                  <c:v>-18.441530412589493</c:v>
                </c:pt>
                <c:pt idx="346">
                  <c:v>-19.8383738470393</c:v>
                </c:pt>
                <c:pt idx="347">
                  <c:v>-21.241550584254771</c:v>
                </c:pt>
                <c:pt idx="348">
                  <c:v>-22.650908253565976</c:v>
                </c:pt>
                <c:pt idx="349">
                  <c:v>-24.066294744123255</c:v>
                </c:pt>
                <c:pt idx="350">
                  <c:v>-25.487557924956995</c:v>
                </c:pt>
                <c:pt idx="351">
                  <c:v>-26.914545391684381</c:v>
                </c:pt>
                <c:pt idx="352">
                  <c:v>-28.347104243704422</c:v>
                </c:pt>
                <c:pt idx="353">
                  <c:v>-29.785080895192952</c:v>
                </c:pt>
                <c:pt idx="354">
                  <c:v>-31.228320922627333</c:v>
                </c:pt>
                <c:pt idx="355">
                  <c:v>-32.676668950932672</c:v>
                </c:pt>
                <c:pt idx="356">
                  <c:v>-34.129968579704673</c:v>
                </c:pt>
                <c:pt idx="357">
                  <c:v>-35.58806235025407</c:v>
                </c:pt>
                <c:pt idx="358">
                  <c:v>-37.050791753539897</c:v>
                </c:pt>
                <c:pt idx="359">
                  <c:v>-38.517997278341078</c:v>
                </c:pt>
                <c:pt idx="360">
                  <c:v>-39.989518498325417</c:v>
                </c:pt>
                <c:pt idx="361">
                  <c:v>-41.465194195989419</c:v>
                </c:pt>
                <c:pt idx="362">
                  <c:v>-42.944862520785023</c:v>
                </c:pt>
                <c:pt idx="363">
                  <c:v>-44.428361178138452</c:v>
                </c:pt>
                <c:pt idx="364">
                  <c:v>-45.915527645484765</c:v>
                </c:pt>
                <c:pt idx="365">
                  <c:v>-47.406199410929133</c:v>
                </c:pt>
                <c:pt idx="366">
                  <c:v>-48.900214229700232</c:v>
                </c:pt>
                <c:pt idx="367">
                  <c:v>-50.397410393164222</c:v>
                </c:pt>
                <c:pt idx="368">
                  <c:v>-51.897627004885251</c:v>
                </c:pt>
                <c:pt idx="369">
                  <c:v>-53.400704257978937</c:v>
                </c:pt>
                <c:pt idx="370">
                  <c:v>-54.906483707878849</c:v>
                </c:pt>
                <c:pt idx="371">
                  <c:v>-56.414808534592069</c:v>
                </c:pt>
                <c:pt idx="372">
                  <c:v>-57.925523788556291</c:v>
                </c:pt>
                <c:pt idx="373">
                  <c:v>-59.4384766143353</c:v>
                </c:pt>
                <c:pt idx="374">
                  <c:v>-60.953516446619112</c:v>
                </c:pt>
                <c:pt idx="375">
                  <c:v>-62.470495173274358</c:v>
                </c:pt>
                <c:pt idx="376">
                  <c:v>-63.989267260572163</c:v>
                </c:pt>
                <c:pt idx="377">
                  <c:v>-65.509689836158714</c:v>
                </c:pt>
                <c:pt idx="378">
                  <c:v>-67.031622725839526</c:v>
                </c:pt>
                <c:pt idx="379">
                  <c:v>-68.554928440805227</c:v>
                </c:pt>
                <c:pt idx="380">
                  <c:v>-70.079472112535541</c:v>
                </c:pt>
                <c:pt idx="381">
                  <c:v>-71.605121373255159</c:v>
                </c:pt>
                <c:pt idx="382">
                  <c:v>-73.1317461804868</c:v>
                </c:pt>
                <c:pt idx="383">
                  <c:v>-74.659218584932262</c:v>
                </c:pt>
                <c:pt idx="384">
                  <c:v>-76.187412441606909</c:v>
                </c:pt>
                <c:pt idx="385">
                  <c:v>-77.716203064845146</c:v>
                </c:pt>
                <c:pt idx="386">
                  <c:v>-79.245466828479081</c:v>
                </c:pt>
                <c:pt idx="387">
                  <c:v>-80.775080713161543</c:v>
                </c:pt>
                <c:pt idx="388">
                  <c:v>-82.304921803432677</c:v>
                </c:pt>
                <c:pt idx="389">
                  <c:v>-83.834866737751952</c:v>
                </c:pt>
                <c:pt idx="390">
                  <c:v>-85.364791115266243</c:v>
                </c:pt>
                <c:pt idx="391">
                  <c:v>-86.894568863623803</c:v>
                </c:pt>
                <c:pt idx="392">
                  <c:v>-88.424071572600482</c:v>
                </c:pt>
                <c:pt idx="393">
                  <c:v>-89.95316779873346</c:v>
                </c:pt>
                <c:pt idx="394">
                  <c:v>-91.481722346508505</c:v>
                </c:pt>
                <c:pt idx="395">
                  <c:v>-93.009595531958198</c:v>
                </c:pt>
                <c:pt idx="396">
                  <c:v>-94.536642434751826</c:v>
                </c:pt>
                <c:pt idx="397">
                  <c:v>-96.062712145046561</c:v>
                </c:pt>
                <c:pt idx="398">
                  <c:v>-97.587647011470835</c:v>
                </c:pt>
                <c:pt idx="399">
                  <c:v>-99.111281896662319</c:v>
                </c:pt>
                <c:pt idx="400">
                  <c:v>-100.63344344676247</c:v>
                </c:pt>
                <c:pt idx="401">
                  <c:v>-102.15394938119748</c:v>
                </c:pt>
                <c:pt idx="402">
                  <c:v>-103.6726078089317</c:v>
                </c:pt>
                <c:pt idx="403">
                  <c:v>-105.1892165771845</c:v>
                </c:pt>
                <c:pt idx="404">
                  <c:v>-106.70356265835842</c:v>
                </c:pt>
                <c:pt idx="405">
                  <c:v>-108.21542158061081</c:v>
                </c:pt>
                <c:pt idx="406">
                  <c:v>-109.72455690717312</c:v>
                </c:pt>
                <c:pt idx="407">
                  <c:v>-111.23071976911281</c:v>
                </c:pt>
                <c:pt idx="408">
                  <c:v>-112.73364845582326</c:v>
                </c:pt>
                <c:pt idx="409">
                  <c:v>-114.23306806705969</c:v>
                </c:pt>
                <c:pt idx="410">
                  <c:v>-115.72869022986114</c:v>
                </c:pt>
                <c:pt idx="411">
                  <c:v>-117.22021288320104</c:v>
                </c:pt>
                <c:pt idx="412">
                  <c:v>-118.70732013269129</c:v>
                </c:pt>
                <c:pt idx="413">
                  <c:v>-120.18968217715224</c:v>
                </c:pt>
                <c:pt idx="414">
                  <c:v>-121.66695530834306</c:v>
                </c:pt>
                <c:pt idx="415">
                  <c:v>-123.13878198464526</c:v>
                </c:pt>
                <c:pt idx="416">
                  <c:v>-124.60479097898637</c:v>
                </c:pt>
                <c:pt idx="417">
                  <c:v>-126.06459760083239</c:v>
                </c:pt>
                <c:pt idx="418">
                  <c:v>-127.51780399162418</c:v>
                </c:pt>
                <c:pt idx="419">
                  <c:v>-128.96399949260726</c:v>
                </c:pt>
                <c:pt idx="420">
                  <c:v>-130.40276108363432</c:v>
                </c:pt>
                <c:pt idx="421">
                  <c:v>-131.83365389115946</c:v>
                </c:pt>
                <c:pt idx="422">
                  <c:v>-133.25623176333772</c:v>
                </c:pt>
                <c:pt idx="423">
                  <c:v>-134.67003790986925</c:v>
                </c:pt>
                <c:pt idx="424">
                  <c:v>-136.07460560399096</c:v>
                </c:pt>
                <c:pt idx="425">
                  <c:v>-137.46945894382654</c:v>
                </c:pt>
                <c:pt idx="426">
                  <c:v>-138.85411367013668</c:v>
                </c:pt>
                <c:pt idx="427">
                  <c:v>-140.22807803737265</c:v>
                </c:pt>
                <c:pt idx="428">
                  <c:v>-141.5908537348468</c:v>
                </c:pt>
                <c:pt idx="429">
                  <c:v>-142.94193685474204</c:v>
                </c:pt>
                <c:pt idx="430">
                  <c:v>-144.28081890360266</c:v>
                </c:pt>
                <c:pt idx="431">
                  <c:v>-145.60698785393205</c:v>
                </c:pt>
                <c:pt idx="432">
                  <c:v>-146.91992923243978</c:v>
                </c:pt>
                <c:pt idx="433">
                  <c:v>-148.21912724147955</c:v>
                </c:pt>
                <c:pt idx="434">
                  <c:v>-149.50406591014263</c:v>
                </c:pt>
                <c:pt idx="435">
                  <c:v>-150.77423027146102</c:v>
                </c:pt>
                <c:pt idx="436">
                  <c:v>-152.02910756210463</c:v>
                </c:pt>
                <c:pt idx="437">
                  <c:v>-153.26818844090317</c:v>
                </c:pt>
                <c:pt idx="438">
                  <c:v>-154.49096822246443</c:v>
                </c:pt>
                <c:pt idx="439">
                  <c:v>-155.69694812206936</c:v>
                </c:pt>
                <c:pt idx="440">
                  <c:v>-156.88563650795547</c:v>
                </c:pt>
                <c:pt idx="441">
                  <c:v>-158.05655015699818</c:v>
                </c:pt>
                <c:pt idx="442">
                  <c:v>-159.20921550970405</c:v>
                </c:pt>
                <c:pt idx="443">
                  <c:v>-160.34316992034309</c:v>
                </c:pt>
                <c:pt idx="444">
                  <c:v>-161.45796289793813</c:v>
                </c:pt>
                <c:pt idx="445">
                  <c:v>-162.55315733376077</c:v>
                </c:pt>
                <c:pt idx="446">
                  <c:v>-163.62833071088366</c:v>
                </c:pt>
                <c:pt idx="447">
                  <c:v>-164.68307629129896</c:v>
                </c:pt>
                <c:pt idx="448">
                  <c:v>-165.71700427605327</c:v>
                </c:pt>
                <c:pt idx="449">
                  <c:v>-166.72974293382941</c:v>
                </c:pt>
                <c:pt idx="450">
                  <c:v>-167.72093969341682</c:v>
                </c:pt>
                <c:pt idx="451">
                  <c:v>-168.69026219552546</c:v>
                </c:pt>
                <c:pt idx="452">
                  <c:v>-169.63739929946405</c:v>
                </c:pt>
                <c:pt idx="453">
                  <c:v>-170.56206204029428</c:v>
                </c:pt>
                <c:pt idx="454">
                  <c:v>-171.46398453217338</c:v>
                </c:pt>
                <c:pt idx="455">
                  <c:v>-172.34292481375826</c:v>
                </c:pt>
                <c:pt idx="456">
                  <c:v>-173.19866563170311</c:v>
                </c:pt>
                <c:pt idx="457">
                  <c:v>-174.03101515849536</c:v>
                </c:pt>
                <c:pt idx="458">
                  <c:v>-174.83980764108745</c:v>
                </c:pt>
                <c:pt idx="459">
                  <c:v>-175.62490397703715</c:v>
                </c:pt>
                <c:pt idx="460">
                  <c:v>-176.38619221513329</c:v>
                </c:pt>
                <c:pt idx="461">
                  <c:v>-177.12358797776818</c:v>
                </c:pt>
                <c:pt idx="462">
                  <c:v>-177.83703480262579</c:v>
                </c:pt>
                <c:pt idx="463">
                  <c:v>-178.52650440156671</c:v>
                </c:pt>
                <c:pt idx="464">
                  <c:v>-179.19199683491655</c:v>
                </c:pt>
                <c:pt idx="465">
                  <c:v>-179.83354059971234</c:v>
                </c:pt>
                <c:pt idx="466">
                  <c:v>179.54880736919577</c:v>
                </c:pt>
                <c:pt idx="467">
                  <c:v>178.95496178593072</c:v>
                </c:pt>
                <c:pt idx="468">
                  <c:v>178.38480918863712</c:v>
                </c:pt>
                <c:pt idx="469">
                  <c:v>177.83820820279323</c:v>
                </c:pt>
                <c:pt idx="470">
                  <c:v>177.31498989240404</c:v>
                </c:pt>
                <c:pt idx="471">
                  <c:v>176.81495819830172</c:v>
                </c:pt>
                <c:pt idx="472">
                  <c:v>176.33789046238238</c:v>
                </c:pt>
                <c:pt idx="473">
                  <c:v>175.88353803620294</c:v>
                </c:pt>
                <c:pt idx="474">
                  <c:v>175.45162697194723</c:v>
                </c:pt>
                <c:pt idx="475">
                  <c:v>175.04185879335316</c:v>
                </c:pt>
                <c:pt idx="476">
                  <c:v>174.65391134377944</c:v>
                </c:pt>
                <c:pt idx="477">
                  <c:v>174.28743970815029</c:v>
                </c:pt>
                <c:pt idx="478">
                  <c:v>173.9420772051154</c:v>
                </c:pt>
                <c:pt idx="479">
                  <c:v>173.61743644532814</c:v>
                </c:pt>
                <c:pt idx="480">
                  <c:v>173.31311045133913</c:v>
                </c:pt>
                <c:pt idx="481">
                  <c:v>173.02867383421955</c:v>
                </c:pt>
                <c:pt idx="482">
                  <c:v>172.76368402162677</c:v>
                </c:pt>
                <c:pt idx="483">
                  <c:v>172.51768253169072</c:v>
                </c:pt>
                <c:pt idx="484">
                  <c:v>172.29019628676159</c:v>
                </c:pt>
                <c:pt idx="485">
                  <c:v>172.08073896076908</c:v>
                </c:pt>
                <c:pt idx="486">
                  <c:v>171.88881235370221</c:v>
                </c:pt>
                <c:pt idx="487">
                  <c:v>171.71390778649541</c:v>
                </c:pt>
                <c:pt idx="488">
                  <c:v>171.55550750947279</c:v>
                </c:pt>
                <c:pt idx="489">
                  <c:v>171.41308611738467</c:v>
                </c:pt>
                <c:pt idx="490">
                  <c:v>171.28611196404762</c:v>
                </c:pt>
                <c:pt idx="491">
                  <c:v>171.17404856960354</c:v>
                </c:pt>
                <c:pt idx="492">
                  <c:v>171.07635601351117</c:v>
                </c:pt>
                <c:pt idx="493">
                  <c:v>170.99249230652677</c:v>
                </c:pt>
                <c:pt idx="494">
                  <c:v>170.92191473513975</c:v>
                </c:pt>
                <c:pt idx="495">
                  <c:v>170.86408117220449</c:v>
                </c:pt>
                <c:pt idx="496">
                  <c:v>170.81845134784459</c:v>
                </c:pt>
                <c:pt idx="497">
                  <c:v>170.78448807508403</c:v>
                </c:pt>
                <c:pt idx="498">
                  <c:v>170.76165842509729</c:v>
                </c:pt>
                <c:pt idx="499">
                  <c:v>170.74943484745722</c:v>
                </c:pt>
                <c:pt idx="500">
                  <c:v>170.74729623125535</c:v>
                </c:pt>
                <c:pt idx="501">
                  <c:v>170.75472890353458</c:v>
                </c:pt>
                <c:pt idx="502">
                  <c:v>170.77122756202547</c:v>
                </c:pt>
                <c:pt idx="503">
                  <c:v>170.79629613975462</c:v>
                </c:pt>
                <c:pt idx="504">
                  <c:v>170.82944859969052</c:v>
                </c:pt>
                <c:pt idx="505">
                  <c:v>170.87020965816265</c:v>
                </c:pt>
                <c:pt idx="506">
                  <c:v>170.91811543635833</c:v>
                </c:pt>
                <c:pt idx="507">
                  <c:v>170.97271403977092</c:v>
                </c:pt>
                <c:pt idx="508">
                  <c:v>171.03356606598521</c:v>
                </c:pt>
                <c:pt idx="509">
                  <c:v>171.10024504170144</c:v>
                </c:pt>
                <c:pt idx="510">
                  <c:v>171.17233779035681</c:v>
                </c:pt>
                <c:pt idx="511">
                  <c:v>171.24944473213796</c:v>
                </c:pt>
                <c:pt idx="512">
                  <c:v>171.33118011855831</c:v>
                </c:pt>
                <c:pt idx="513">
                  <c:v>171.41717220412275</c:v>
                </c:pt>
                <c:pt idx="514">
                  <c:v>171.50706335789323</c:v>
                </c:pt>
                <c:pt idx="515">
                  <c:v>171.60051011802352</c:v>
                </c:pt>
                <c:pt idx="516">
                  <c:v>171.69718319253485</c:v>
                </c:pt>
                <c:pt idx="517">
                  <c:v>171.79676740976223</c:v>
                </c:pt>
                <c:pt idx="518">
                  <c:v>171.89896162201515</c:v>
                </c:pt>
                <c:pt idx="519">
                  <c:v>172.00347856608101</c:v>
                </c:pt>
                <c:pt idx="520">
                  <c:v>172.11004468421532</c:v>
                </c:pt>
                <c:pt idx="521">
                  <c:v>172.21839990928399</c:v>
                </c:pt>
                <c:pt idx="522">
                  <c:v>172.32829741766682</c:v>
                </c:pt>
                <c:pt idx="523">
                  <c:v>172.43950335348606</c:v>
                </c:pt>
                <c:pt idx="524">
                  <c:v>172.55179652761967</c:v>
                </c:pt>
                <c:pt idx="525">
                  <c:v>172.66496809485255</c:v>
                </c:pt>
                <c:pt idx="526">
                  <c:v>172.77882121238625</c:v>
                </c:pt>
                <c:pt idx="527">
                  <c:v>172.89317068277606</c:v>
                </c:pt>
                <c:pt idx="528">
                  <c:v>173.00784258420532</c:v>
                </c:pt>
                <c:pt idx="529">
                  <c:v>173.12267389083925</c:v>
                </c:pt>
                <c:pt idx="530">
                  <c:v>173.23751208581254</c:v>
                </c:pt>
                <c:pt idx="531">
                  <c:v>173.35221476923863</c:v>
                </c:pt>
                <c:pt idx="532">
                  <c:v>173.46664926342842</c:v>
                </c:pt>
                <c:pt idx="533">
                  <c:v>173.58069221733879</c:v>
                </c:pt>
                <c:pt idx="534">
                  <c:v>173.69422921207567</c:v>
                </c:pt>
                <c:pt idx="535">
                  <c:v>173.807154369111</c:v>
                </c:pt>
                <c:pt idx="536">
                  <c:v>173.91936996269314</c:v>
                </c:pt>
                <c:pt idx="537">
                  <c:v>174.03078603776899</c:v>
                </c:pt>
                <c:pt idx="538">
                  <c:v>174.14132003457394</c:v>
                </c:pt>
                <c:pt idx="539">
                  <c:v>174.25089642090003</c:v>
                </c:pt>
                <c:pt idx="540">
                  <c:v>174.35944633290492</c:v>
                </c:pt>
                <c:pt idx="541">
                  <c:v>174.46690722519514</c:v>
                </c:pt>
              </c:numCache>
            </c:numRef>
          </c:yVal>
          <c:smooth val="1"/>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layout/>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layout/>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32.50001387613456</c:v>
                </c:pt>
                <c:pt idx="1">
                  <c:v>32.500007289231981</c:v>
                </c:pt>
                <c:pt idx="2">
                  <c:v>32.500000391908927</c:v>
                </c:pt>
                <c:pt idx="3">
                  <c:v>32.499993169536793</c:v>
                </c:pt>
                <c:pt idx="4">
                  <c:v>32.499985606797651</c:v>
                </c:pt>
                <c:pt idx="5">
                  <c:v>32.499977687651686</c:v>
                </c:pt>
                <c:pt idx="6">
                  <c:v>32.499969395303367</c:v>
                </c:pt>
                <c:pt idx="7">
                  <c:v>32.499960712165674</c:v>
                </c:pt>
                <c:pt idx="8">
                  <c:v>32.499951619822909</c:v>
                </c:pt>
                <c:pt idx="9">
                  <c:v>32.499942098991646</c:v>
                </c:pt>
                <c:pt idx="10">
                  <c:v>32.499932129479802</c:v>
                </c:pt>
                <c:pt idx="11">
                  <c:v>32.499921690143871</c:v>
                </c:pt>
                <c:pt idx="12">
                  <c:v>32.499910758844074</c:v>
                </c:pt>
                <c:pt idx="13">
                  <c:v>32.499899312397517</c:v>
                </c:pt>
                <c:pt idx="14">
                  <c:v>32.499887326528857</c:v>
                </c:pt>
                <c:pt idx="15">
                  <c:v>32.49987477581908</c:v>
                </c:pt>
                <c:pt idx="16">
                  <c:v>32.499861633651442</c:v>
                </c:pt>
                <c:pt idx="17">
                  <c:v>32.499847872155186</c:v>
                </c:pt>
                <c:pt idx="18">
                  <c:v>32.499833462146292</c:v>
                </c:pt>
                <c:pt idx="19">
                  <c:v>32.499818373065871</c:v>
                </c:pt>
                <c:pt idx="20">
                  <c:v>32.499802572915186</c:v>
                </c:pt>
                <c:pt idx="21">
                  <c:v>32.499786028187984</c:v>
                </c:pt>
                <c:pt idx="22">
                  <c:v>32.499768703799326</c:v>
                </c:pt>
                <c:pt idx="23">
                  <c:v>32.499750563011489</c:v>
                </c:pt>
                <c:pt idx="24">
                  <c:v>32.499731567355866</c:v>
                </c:pt>
                <c:pt idx="25">
                  <c:v>32.499711676551641</c:v>
                </c:pt>
                <c:pt idx="26">
                  <c:v>32.49969084842035</c:v>
                </c:pt>
                <c:pt idx="27">
                  <c:v>32.499669038796533</c:v>
                </c:pt>
                <c:pt idx="28">
                  <c:v>32.499646201434217</c:v>
                </c:pt>
                <c:pt idx="29">
                  <c:v>32.499622287908906</c:v>
                </c:pt>
                <c:pt idx="30">
                  <c:v>32.49959724751497</c:v>
                </c:pt>
                <c:pt idx="31">
                  <c:v>32.49957102715841</c:v>
                </c:pt>
                <c:pt idx="32">
                  <c:v>32.499543571244175</c:v>
                </c:pt>
                <c:pt idx="33">
                  <c:v>32.499514821558648</c:v>
                </c:pt>
                <c:pt idx="34">
                  <c:v>32.499484717146167</c:v>
                </c:pt>
                <c:pt idx="35">
                  <c:v>32.49945319418012</c:v>
                </c:pt>
                <c:pt idx="36">
                  <c:v>32.499420185827724</c:v>
                </c:pt>
                <c:pt idx="37">
                  <c:v>32.499385622108477</c:v>
                </c:pt>
                <c:pt idx="38">
                  <c:v>32.499349429746218</c:v>
                </c:pt>
                <c:pt idx="39">
                  <c:v>32.499311532013742</c:v>
                </c:pt>
                <c:pt idx="40">
                  <c:v>32.499271848570629</c:v>
                </c:pt>
                <c:pt idx="41">
                  <c:v>32.49923029529316</c:v>
                </c:pt>
                <c:pt idx="42">
                  <c:v>32.499186784096203</c:v>
                </c:pt>
                <c:pt idx="43">
                  <c:v>32.499141222746971</c:v>
                </c:pt>
                <c:pt idx="44">
                  <c:v>32.499093514669831</c:v>
                </c:pt>
                <c:pt idx="45">
                  <c:v>32.499043558742059</c:v>
                </c:pt>
                <c:pt idx="46">
                  <c:v>32.498991249079843</c:v>
                </c:pt>
                <c:pt idx="47">
                  <c:v>32.498936474814563</c:v>
                </c:pt>
                <c:pt idx="48">
                  <c:v>32.498879119858174</c:v>
                </c:pt>
                <c:pt idx="49">
                  <c:v>32.498819062657859</c:v>
                </c:pt>
                <c:pt idx="50">
                  <c:v>32.498756175939086</c:v>
                </c:pt>
                <c:pt idx="51">
                  <c:v>32.49869032643663</c:v>
                </c:pt>
                <c:pt idx="52">
                  <c:v>32.498621374612938</c:v>
                </c:pt>
                <c:pt idx="53">
                  <c:v>32.498549174363326</c:v>
                </c:pt>
                <c:pt idx="54">
                  <c:v>32.49847357270734</c:v>
                </c:pt>
                <c:pt idx="55">
                  <c:v>32.498394409465732</c:v>
                </c:pt>
                <c:pt idx="56">
                  <c:v>32.498311516922179</c:v>
                </c:pt>
                <c:pt idx="57">
                  <c:v>32.498224719469263</c:v>
                </c:pt>
                <c:pt idx="58">
                  <c:v>32.498133833237816</c:v>
                </c:pt>
                <c:pt idx="59">
                  <c:v>32.498038665708904</c:v>
                </c:pt>
                <c:pt idx="60">
                  <c:v>32.497939015307836</c:v>
                </c:pt>
                <c:pt idx="61">
                  <c:v>32.497834670978889</c:v>
                </c:pt>
                <c:pt idx="62">
                  <c:v>32.497725411740369</c:v>
                </c:pt>
                <c:pt idx="63">
                  <c:v>32.497611006218847</c:v>
                </c:pt>
                <c:pt idx="64">
                  <c:v>32.497491212161513</c:v>
                </c:pt>
                <c:pt idx="65">
                  <c:v>32.497365775926006</c:v>
                </c:pt>
                <c:pt idx="66">
                  <c:v>32.497234431946133</c:v>
                </c:pt>
                <c:pt idx="67">
                  <c:v>32.497096902172821</c:v>
                </c:pt>
                <c:pt idx="68">
                  <c:v>32.496952895489173</c:v>
                </c:pt>
                <c:pt idx="69">
                  <c:v>32.496802107097771</c:v>
                </c:pt>
                <c:pt idx="70">
                  <c:v>32.496644217880032</c:v>
                </c:pt>
                <c:pt idx="71">
                  <c:v>32.496478893725218</c:v>
                </c:pt>
                <c:pt idx="72">
                  <c:v>32.496305784828635</c:v>
                </c:pt>
                <c:pt idx="73">
                  <c:v>32.49612452495694</c:v>
                </c:pt>
                <c:pt idx="74">
                  <c:v>32.495934730679316</c:v>
                </c:pt>
                <c:pt idx="75">
                  <c:v>32.495736000563177</c:v>
                </c:pt>
                <c:pt idx="76">
                  <c:v>32.495527914332257</c:v>
                </c:pt>
                <c:pt idx="77">
                  <c:v>32.495310031985788</c:v>
                </c:pt>
                <c:pt idx="78">
                  <c:v>32.495081892876868</c:v>
                </c:pt>
                <c:pt idx="79">
                  <c:v>32.494843014748177</c:v>
                </c:pt>
                <c:pt idx="80">
                  <c:v>32.494592892723112</c:v>
                </c:pt>
                <c:pt idx="81">
                  <c:v>32.49433099825</c:v>
                </c:pt>
                <c:pt idx="82">
                  <c:v>32.494056777998075</c:v>
                </c:pt>
                <c:pt idx="83">
                  <c:v>32.493769652702021</c:v>
                </c:pt>
                <c:pt idx="84">
                  <c:v>32.493469015953671</c:v>
                </c:pt>
                <c:pt idx="85">
                  <c:v>32.49315423293767</c:v>
                </c:pt>
                <c:pt idx="86">
                  <c:v>32.492824639109514</c:v>
                </c:pt>
                <c:pt idx="87">
                  <c:v>32.492479538812319</c:v>
                </c:pt>
                <c:pt idx="88">
                  <c:v>32.492118203830607</c:v>
                </c:pt>
                <c:pt idx="89">
                  <c:v>32.491739871877535</c:v>
                </c:pt>
                <c:pt idx="90">
                  <c:v>32.491343745012998</c:v>
                </c:pt>
                <c:pt idx="91">
                  <c:v>32.49092898798969</c:v>
                </c:pt>
                <c:pt idx="92">
                  <c:v>32.490494726523217</c:v>
                </c:pt>
                <c:pt idx="93">
                  <c:v>32.490040045483994</c:v>
                </c:pt>
                <c:pt idx="94">
                  <c:v>32.489563987006598</c:v>
                </c:pt>
                <c:pt idx="95">
                  <c:v>32.489065548513366</c:v>
                </c:pt>
                <c:pt idx="96">
                  <c:v>32.488543680648448</c:v>
                </c:pt>
                <c:pt idx="97">
                  <c:v>32.487997285118617</c:v>
                </c:pt>
                <c:pt idx="98">
                  <c:v>32.487425212436314</c:v>
                </c:pt>
                <c:pt idx="99">
                  <c:v>32.48682625956144</c:v>
                </c:pt>
                <c:pt idx="100">
                  <c:v>32.486199167436922</c:v>
                </c:pt>
                <c:pt idx="101">
                  <c:v>32.485542618413888</c:v>
                </c:pt>
                <c:pt idx="102">
                  <c:v>32.484855233561817</c:v>
                </c:pt>
                <c:pt idx="103">
                  <c:v>32.484135569858623</c:v>
                </c:pt>
                <c:pt idx="104">
                  <c:v>32.483382117255736</c:v>
                </c:pt>
                <c:pt idx="105">
                  <c:v>32.482593295613228</c:v>
                </c:pt>
                <c:pt idx="106">
                  <c:v>32.481767451499159</c:v>
                </c:pt>
                <c:pt idx="107">
                  <c:v>32.480902854848075</c:v>
                </c:pt>
                <c:pt idx="108">
                  <c:v>32.47999769547269</c:v>
                </c:pt>
                <c:pt idx="109">
                  <c:v>32.479050079422734</c:v>
                </c:pt>
                <c:pt idx="110">
                  <c:v>32.478058025185234</c:v>
                </c:pt>
                <c:pt idx="111">
                  <c:v>32.477019459719607</c:v>
                </c:pt>
                <c:pt idx="112">
                  <c:v>32.475932214321304</c:v>
                </c:pt>
                <c:pt idx="113">
                  <c:v>32.47479402030725</c:v>
                </c:pt>
                <c:pt idx="114">
                  <c:v>32.473602504516322</c:v>
                </c:pt>
                <c:pt idx="115">
                  <c:v>32.472355184617832</c:v>
                </c:pt>
                <c:pt idx="116">
                  <c:v>32.471049464221011</c:v>
                </c:pt>
                <c:pt idx="117">
                  <c:v>32.469682627777743</c:v>
                </c:pt>
                <c:pt idx="118">
                  <c:v>32.468251835271538</c:v>
                </c:pt>
                <c:pt idx="119">
                  <c:v>32.466754116684868</c:v>
                </c:pt>
                <c:pt idx="120">
                  <c:v>32.465186366237106</c:v>
                </c:pt>
                <c:pt idx="121">
                  <c:v>32.463545336384968</c:v>
                </c:pt>
                <c:pt idx="122">
                  <c:v>32.46182763157811</c:v>
                </c:pt>
                <c:pt idx="123">
                  <c:v>32.460029701760853</c:v>
                </c:pt>
                <c:pt idx="124">
                  <c:v>32.45814783561255</c:v>
                </c:pt>
                <c:pt idx="125">
                  <c:v>32.456178153518245</c:v>
                </c:pt>
                <c:pt idx="126">
                  <c:v>32.454116600261123</c:v>
                </c:pt>
                <c:pt idx="127">
                  <c:v>32.451958937428877</c:v>
                </c:pt>
                <c:pt idx="128">
                  <c:v>32.449700735525496</c:v>
                </c:pt>
                <c:pt idx="129">
                  <c:v>32.447337365780641</c:v>
                </c:pt>
                <c:pt idx="130">
                  <c:v>32.444863991648553</c:v>
                </c:pt>
                <c:pt idx="131">
                  <c:v>32.442275559988552</c:v>
                </c:pt>
                <c:pt idx="132">
                  <c:v>32.439566791919802</c:v>
                </c:pt>
                <c:pt idx="133">
                  <c:v>32.436732173342918</c:v>
                </c:pt>
                <c:pt idx="134">
                  <c:v>32.433765945121664</c:v>
                </c:pt>
                <c:pt idx="135">
                  <c:v>32.430662092917927</c:v>
                </c:pt>
                <c:pt idx="136">
                  <c:v>32.427414336674339</c:v>
                </c:pt>
                <c:pt idx="137">
                  <c:v>32.424016119738972</c:v>
                </c:pt>
                <c:pt idx="138">
                  <c:v>32.420460597627539</c:v>
                </c:pt>
                <c:pt idx="139">
                  <c:v>32.416740626418878</c:v>
                </c:pt>
                <c:pt idx="140">
                  <c:v>32.412848750781407</c:v>
                </c:pt>
                <c:pt idx="141">
                  <c:v>32.408777191627543</c:v>
                </c:pt>
                <c:pt idx="142">
                  <c:v>32.404517833396532</c:v>
                </c:pt>
                <c:pt idx="143">
                  <c:v>32.400062210965281</c:v>
                </c:pt>
                <c:pt idx="144">
                  <c:v>32.395401496189486</c:v>
                </c:pt>
                <c:pt idx="145">
                  <c:v>32.390526484078798</c:v>
                </c:pt>
                <c:pt idx="146">
                  <c:v>32.38542757861147</c:v>
                </c:pt>
                <c:pt idx="147">
                  <c:v>32.380094778195826</c:v>
                </c:pt>
                <c:pt idx="148">
                  <c:v>32.374517660788293</c:v>
                </c:pt>
                <c:pt idx="149">
                  <c:v>32.36868536868019</c:v>
                </c:pt>
                <c:pt idx="150">
                  <c:v>32.362586592968199</c:v>
                </c:pt>
                <c:pt idx="151">
                  <c:v>32.35620955772594</c:v>
                </c:pt>
                <c:pt idx="152">
                  <c:v>32.349542003898001</c:v>
                </c:pt>
                <c:pt idx="153">
                  <c:v>32.34257117294031</c:v>
                </c:pt>
                <c:pt idx="154">
                  <c:v>32.335283790235827</c:v>
                </c:pt>
                <c:pt idx="155">
                  <c:v>32.327666048316615</c:v>
                </c:pt>
                <c:pt idx="156">
                  <c:v>32.319703589929944</c:v>
                </c:pt>
                <c:pt idx="157">
                  <c:v>32.311381490989035</c:v>
                </c:pt>
                <c:pt idx="158">
                  <c:v>32.302684243455019</c:v>
                </c:pt>
                <c:pt idx="159">
                  <c:v>32.293595738201276</c:v>
                </c:pt>
                <c:pt idx="160">
                  <c:v>32.284099247918306</c:v>
                </c:pt>
                <c:pt idx="161">
                  <c:v>32.274177410121474</c:v>
                </c:pt>
                <c:pt idx="162">
                  <c:v>32.263812210332063</c:v>
                </c:pt>
                <c:pt idx="163">
                  <c:v>32.252984965507665</c:v>
                </c:pt>
                <c:pt idx="164">
                  <c:v>32.241676307805562</c:v>
                </c:pt>
                <c:pt idx="165">
                  <c:v>32.229866168769632</c:v>
                </c:pt>
                <c:pt idx="166">
                  <c:v>32.217533764039302</c:v>
                </c:pt>
                <c:pt idx="167">
                  <c:v>32.204657578686714</c:v>
                </c:pt>
                <c:pt idx="168">
                  <c:v>32.191215353296485</c:v>
                </c:pt>
                <c:pt idx="169">
                  <c:v>32.177184070910499</c:v>
                </c:pt>
                <c:pt idx="170">
                  <c:v>32.162539944969026</c:v>
                </c:pt>
                <c:pt idx="171">
                  <c:v>32.147258408386925</c:v>
                </c:pt>
                <c:pt idx="172">
                  <c:v>32.131314103913624</c:v>
                </c:pt>
                <c:pt idx="173">
                  <c:v>32.114680875932208</c:v>
                </c:pt>
                <c:pt idx="174">
                  <c:v>32.097331763862663</c:v>
                </c:pt>
                <c:pt idx="175">
                  <c:v>32.079238997340703</c:v>
                </c:pt>
                <c:pt idx="176">
                  <c:v>32.060373993352314</c:v>
                </c:pt>
                <c:pt idx="177">
                  <c:v>32.040707355510122</c:v>
                </c:pt>
                <c:pt idx="178">
                  <c:v>32.020208875664139</c:v>
                </c:pt>
                <c:pt idx="179">
                  <c:v>31.998847538044725</c:v>
                </c:pt>
                <c:pt idx="180">
                  <c:v>31.976591526140098</c:v>
                </c:pt>
                <c:pt idx="181">
                  <c:v>31.953408232513002</c:v>
                </c:pt>
                <c:pt idx="182">
                  <c:v>31.929264271763714</c:v>
                </c:pt>
                <c:pt idx="183">
                  <c:v>31.904125496845893</c:v>
                </c:pt>
                <c:pt idx="184">
                  <c:v>31.877957018939934</c:v>
                </c:pt>
                <c:pt idx="185">
                  <c:v>31.850723231085226</c:v>
                </c:pt>
                <c:pt idx="186">
                  <c:v>31.82238783576588</c:v>
                </c:pt>
                <c:pt idx="187">
                  <c:v>31.792913876636071</c:v>
                </c:pt>
                <c:pt idx="188">
                  <c:v>31.762263774560378</c:v>
                </c:pt>
                <c:pt idx="189">
                  <c:v>31.730399368129572</c:v>
                </c:pt>
                <c:pt idx="190">
                  <c:v>31.697281958795543</c:v>
                </c:pt>
                <c:pt idx="191">
                  <c:v>31.662872360749109</c:v>
                </c:pt>
                <c:pt idx="192">
                  <c:v>31.62713095563976</c:v>
                </c:pt>
                <c:pt idx="193">
                  <c:v>31.590017752210464</c:v>
                </c:pt>
                <c:pt idx="194">
                  <c:v>31.551492450889441</c:v>
                </c:pt>
                <c:pt idx="195">
                  <c:v>31.511514513347215</c:v>
                </c:pt>
                <c:pt idx="196">
                  <c:v>31.470043236989827</c:v>
                </c:pt>
                <c:pt idx="197">
                  <c:v>31.427037834319073</c:v>
                </c:pt>
                <c:pt idx="198">
                  <c:v>31.382457517046465</c:v>
                </c:pt>
                <c:pt idx="199">
                  <c:v>31.336261584801946</c:v>
                </c:pt>
                <c:pt idx="200">
                  <c:v>31.28840951822972</c:v>
                </c:pt>
                <c:pt idx="201">
                  <c:v>31.238861076212476</c:v>
                </c:pt>
                <c:pt idx="202">
                  <c:v>31.187576396913926</c:v>
                </c:pt>
                <c:pt idx="203">
                  <c:v>31.134516102276525</c:v>
                </c:pt>
                <c:pt idx="204">
                  <c:v>31.079641405557584</c:v>
                </c:pt>
                <c:pt idx="205">
                  <c:v>31.022914221435677</c:v>
                </c:pt>
                <c:pt idx="206">
                  <c:v>30.964297278166924</c:v>
                </c:pt>
                <c:pt idx="207">
                  <c:v>30.903754231222663</c:v>
                </c:pt>
                <c:pt idx="208">
                  <c:v>30.841249777793568</c:v>
                </c:pt>
                <c:pt idx="209">
                  <c:v>30.776749771504164</c:v>
                </c:pt>
                <c:pt idx="210">
                  <c:v>30.710221336643947</c:v>
                </c:pt>
                <c:pt idx="211">
                  <c:v>30.641632981190654</c:v>
                </c:pt>
                <c:pt idx="212">
                  <c:v>30.570954707877277</c:v>
                </c:pt>
                <c:pt idx="213">
                  <c:v>30.498158122535621</c:v>
                </c:pt>
                <c:pt idx="214">
                  <c:v>30.423216538942533</c:v>
                </c:pt>
                <c:pt idx="215">
                  <c:v>30.346105079392743</c:v>
                </c:pt>
                <c:pt idx="216">
                  <c:v>30.266800770232209</c:v>
                </c:pt>
                <c:pt idx="217">
                  <c:v>30.185282631603737</c:v>
                </c:pt>
                <c:pt idx="218">
                  <c:v>30.101531760684868</c:v>
                </c:pt>
                <c:pt idx="219">
                  <c:v>30.01553140773516</c:v>
                </c:pt>
                <c:pt idx="220">
                  <c:v>29.927267044317361</c:v>
                </c:pt>
                <c:pt idx="221">
                  <c:v>29.836726423112022</c:v>
                </c:pt>
                <c:pt idx="222">
                  <c:v>29.743899628809544</c:v>
                </c:pt>
                <c:pt idx="223">
                  <c:v>29.648779119635542</c:v>
                </c:pt>
                <c:pt idx="224">
                  <c:v>29.551359759142819</c:v>
                </c:pt>
                <c:pt idx="225">
                  <c:v>29.451638837988149</c:v>
                </c:pt>
                <c:pt idx="226">
                  <c:v>29.349616085498322</c:v>
                </c:pt>
                <c:pt idx="227">
                  <c:v>29.245293670923399</c:v>
                </c:pt>
                <c:pt idx="228">
                  <c:v>29.13867619436537</c:v>
                </c:pt>
                <c:pt idx="229">
                  <c:v>29.029770667463715</c:v>
                </c:pt>
                <c:pt idx="230">
                  <c:v>28.918586484012707</c:v>
                </c:pt>
                <c:pt idx="231">
                  <c:v>28.805135380771368</c:v>
                </c:pt>
                <c:pt idx="232">
                  <c:v>28.689431388813848</c:v>
                </c:pt>
                <c:pt idx="233">
                  <c:v>28.571490775846353</c:v>
                </c:pt>
                <c:pt idx="234">
                  <c:v>28.451331979991803</c:v>
                </c:pt>
                <c:pt idx="235">
                  <c:v>28.328975535606364</c:v>
                </c:pt>
                <c:pt idx="236">
                  <c:v>28.204443991753415</c:v>
                </c:pt>
                <c:pt idx="237">
                  <c:v>28.077761824005627</c:v>
                </c:pt>
                <c:pt idx="238">
                  <c:v>27.948955340289427</c:v>
                </c:pt>
                <c:pt idx="239">
                  <c:v>27.818052581512866</c:v>
                </c:pt>
                <c:pt idx="240">
                  <c:v>27.685083217740992</c:v>
                </c:pt>
                <c:pt idx="241">
                  <c:v>27.550078440692289</c:v>
                </c:pt>
                <c:pt idx="242">
                  <c:v>27.413070853332687</c:v>
                </c:pt>
                <c:pt idx="243">
                  <c:v>27.274094357336502</c:v>
                </c:pt>
                <c:pt idx="244">
                  <c:v>27.133184039167169</c:v>
                </c:pt>
                <c:pt idx="245">
                  <c:v>26.990376055510076</c:v>
                </c:pt>
                <c:pt idx="246">
                  <c:v>26.845707518758381</c:v>
                </c:pt>
                <c:pt idx="247">
                  <c:v>26.699216383217674</c:v>
                </c:pt>
                <c:pt idx="248">
                  <c:v>26.550941332654855</c:v>
                </c:pt>
                <c:pt idx="249">
                  <c:v>26.400921669770629</c:v>
                </c:pt>
                <c:pt idx="250">
                  <c:v>26.249197208128816</c:v>
                </c:pt>
                <c:pt idx="251">
                  <c:v>26.095808167022344</c:v>
                </c:pt>
                <c:pt idx="252">
                  <c:v>25.94079506970575</c:v>
                </c:pt>
                <c:pt idx="253">
                  <c:v>25.784198645369742</c:v>
                </c:pt>
                <c:pt idx="254">
                  <c:v>25.62605973518113</c:v>
                </c:pt>
                <c:pt idx="255">
                  <c:v>25.466419202658624</c:v>
                </c:pt>
                <c:pt idx="256">
                  <c:v>25.305317848604965</c:v>
                </c:pt>
                <c:pt idx="257">
                  <c:v>25.14279633076486</c:v>
                </c:pt>
                <c:pt idx="258">
                  <c:v>24.978895088334141</c:v>
                </c:pt>
                <c:pt idx="259">
                  <c:v>24.813654271398825</c:v>
                </c:pt>
                <c:pt idx="260">
                  <c:v>24.647113675342478</c:v>
                </c:pt>
                <c:pt idx="261">
                  <c:v>24.479312680224332</c:v>
                </c:pt>
                <c:pt idx="262">
                  <c:v>24.310290195091312</c:v>
                </c:pt>
                <c:pt idx="263">
                  <c:v>24.140084607160638</c:v>
                </c:pt>
                <c:pt idx="264">
                  <c:v>23.968733735779267</c:v>
                </c:pt>
                <c:pt idx="265">
                  <c:v>23.796274791042144</c:v>
                </c:pt>
                <c:pt idx="266">
                  <c:v>23.622744336931021</c:v>
                </c:pt>
                <c:pt idx="267">
                  <c:v>23.44817825881691</c:v>
                </c:pt>
                <c:pt idx="268">
                  <c:v>23.27261173515523</c:v>
                </c:pt>
                <c:pt idx="269">
                  <c:v>23.096079213189459</c:v>
                </c:pt>
                <c:pt idx="270">
                  <c:v>22.918614388471561</c:v>
                </c:pt>
                <c:pt idx="271">
                  <c:v>22.740250187999713</c:v>
                </c:pt>
                <c:pt idx="272">
                  <c:v>22.561018756769855</c:v>
                </c:pt>
                <c:pt idx="273">
                  <c:v>22.380951447534617</c:v>
                </c:pt>
                <c:pt idx="274">
                  <c:v>22.200078813564588</c:v>
                </c:pt>
                <c:pt idx="275">
                  <c:v>22.018430604205797</c:v>
                </c:pt>
                <c:pt idx="276">
                  <c:v>21.836035763031756</c:v>
                </c:pt>
                <c:pt idx="277">
                  <c:v>21.652922428392074</c:v>
                </c:pt>
                <c:pt idx="278">
                  <c:v>21.469117936163705</c:v>
                </c:pt>
                <c:pt idx="279">
                  <c:v>21.284648824518577</c:v>
                </c:pt>
                <c:pt idx="280">
                  <c:v>21.09954084052633</c:v>
                </c:pt>
                <c:pt idx="281">
                  <c:v>20.91381894842015</c:v>
                </c:pt>
                <c:pt idx="282">
                  <c:v>20.727507339359708</c:v>
                </c:pt>
                <c:pt idx="283">
                  <c:v>20.540629442533369</c:v>
                </c:pt>
                <c:pt idx="284">
                  <c:v>20.353207937452915</c:v>
                </c:pt>
                <c:pt idx="285">
                  <c:v>20.165264767297998</c:v>
                </c:pt>
                <c:pt idx="286">
                  <c:v>19.97682115318019</c:v>
                </c:pt>
                <c:pt idx="287">
                  <c:v>19.787897609202187</c:v>
                </c:pt>
                <c:pt idx="288">
                  <c:v>19.598513958197692</c:v>
                </c:pt>
                <c:pt idx="289">
                  <c:v>19.408689348044781</c:v>
                </c:pt>
                <c:pt idx="290">
                  <c:v>19.218442268453629</c:v>
                </c:pt>
                <c:pt idx="291">
                  <c:v>19.027790568138148</c:v>
                </c:pt>
                <c:pt idx="292">
                  <c:v>18.836751472286743</c:v>
                </c:pt>
                <c:pt idx="293">
                  <c:v>18.645341600256458</c:v>
                </c:pt>
                <c:pt idx="294">
                  <c:v>18.453576983420472</c:v>
                </c:pt>
                <c:pt idx="295">
                  <c:v>18.261473083105553</c:v>
                </c:pt>
                <c:pt idx="296">
                  <c:v>18.069044808562811</c:v>
                </c:pt>
                <c:pt idx="297">
                  <c:v>17.876306534920168</c:v>
                </c:pt>
                <c:pt idx="298">
                  <c:v>17.683272121070999</c:v>
                </c:pt>
                <c:pt idx="299">
                  <c:v>17.489954927458772</c:v>
                </c:pt>
                <c:pt idx="300">
                  <c:v>17.296367833721085</c:v>
                </c:pt>
                <c:pt idx="301">
                  <c:v>17.102523256163195</c:v>
                </c:pt>
                <c:pt idx="302">
                  <c:v>16.90843316503307</c:v>
                </c:pt>
                <c:pt idx="303">
                  <c:v>16.714109101575346</c:v>
                </c:pt>
                <c:pt idx="304">
                  <c:v>16.519562194844987</c:v>
                </c:pt>
                <c:pt idx="305">
                  <c:v>16.324803178264236</c:v>
                </c:pt>
                <c:pt idx="306">
                  <c:v>16.129842405910168</c:v>
                </c:pt>
                <c:pt idx="307">
                  <c:v>15.934689868522636</c:v>
                </c:pt>
                <c:pt idx="308">
                  <c:v>15.739355209225058</c:v>
                </c:pt>
                <c:pt idx="309">
                  <c:v>15.543847738953449</c:v>
                </c:pt>
                <c:pt idx="310">
                  <c:v>15.348176451589715</c:v>
                </c:pt>
                <c:pt idx="311">
                  <c:v>15.15235003879978</c:v>
                </c:pt>
                <c:pt idx="312">
                  <c:v>14.956376904576029</c:v>
                </c:pt>
                <c:pt idx="313">
                  <c:v>14.760265179487542</c:v>
                </c:pt>
                <c:pt idx="314">
                  <c:v>14.564022734641792</c:v>
                </c:pt>
                <c:pt idx="315">
                  <c:v>14.367657195363439</c:v>
                </c:pt>
                <c:pt idx="316">
                  <c:v>14.171175954596382</c:v>
                </c:pt>
                <c:pt idx="317">
                  <c:v>13.974586186037421</c:v>
                </c:pt>
                <c:pt idx="318">
                  <c:v>13.777894857009542</c:v>
                </c:pt>
                <c:pt idx="319">
                  <c:v>13.581108741085199</c:v>
                </c:pt>
                <c:pt idx="320">
                  <c:v>13.384234430468933</c:v>
                </c:pt>
                <c:pt idx="321">
                  <c:v>13.187278348151567</c:v>
                </c:pt>
                <c:pt idx="322">
                  <c:v>12.990246759846762</c:v>
                </c:pt>
                <c:pt idx="323">
                  <c:v>12.793145785722917</c:v>
                </c:pt>
                <c:pt idx="324">
                  <c:v>12.59598141194215</c:v>
                </c:pt>
                <c:pt idx="325">
                  <c:v>12.398759502021001</c:v>
                </c:pt>
                <c:pt idx="326">
                  <c:v>12.201485808025787</c:v>
                </c:pt>
                <c:pt idx="327">
                  <c:v>12.00416598161552</c:v>
                </c:pt>
                <c:pt idx="328">
                  <c:v>11.806805584949185</c:v>
                </c:pt>
                <c:pt idx="329">
                  <c:v>11.609410101468807</c:v>
                </c:pt>
                <c:pt idx="330">
                  <c:v>11.411984946576135</c:v>
                </c:pt>
                <c:pt idx="331">
                  <c:v>11.214535478215703</c:v>
                </c:pt>
                <c:pt idx="332">
                  <c:v>11.017067007380643</c:v>
                </c:pt>
                <c:pt idx="333">
                  <c:v>10.819584808555785</c:v>
                </c:pt>
                <c:pt idx="334">
                  <c:v>10.622094130115162</c:v>
                </c:pt>
                <c:pt idx="335">
                  <c:v>10.42460020468689</c:v>
                </c:pt>
                <c:pt idx="336">
                  <c:v>10.227108259504803</c:v>
                </c:pt>
                <c:pt idx="337">
                  <c:v>10.029623526758751</c:v>
                </c:pt>
                <c:pt idx="338">
                  <c:v>9.8321512539626035</c:v>
                </c:pt>
                <c:pt idx="339">
                  <c:v>9.6346967143550071</c:v>
                </c:pt>
                <c:pt idx="340">
                  <c:v>9.4372652173485356</c:v>
                </c:pt>
                <c:pt idx="341">
                  <c:v>9.2398621190439094</c:v>
                </c:pt>
                <c:pt idx="342">
                  <c:v>9.0424928328256033</c:v>
                </c:pt>
                <c:pt idx="343">
                  <c:v>8.8451628400550941</c:v>
                </c:pt>
                <c:pt idx="344">
                  <c:v>8.6478777008774159</c:v>
                </c:pt>
                <c:pt idx="345">
                  <c:v>8.4506430651583404</c:v>
                </c:pt>
                <c:pt idx="346">
                  <c:v>8.2534646835676728</c:v>
                </c:pt>
                <c:pt idx="347">
                  <c:v>8.0563484188254808</c:v>
                </c:pt>
                <c:pt idx="348">
                  <c:v>7.859300257127031</c:v>
                </c:pt>
                <c:pt idx="349">
                  <c:v>7.662326319762812</c:v>
                </c:pt>
                <c:pt idx="350">
                  <c:v>7.4654328749498688</c:v>
                </c:pt>
                <c:pt idx="351">
                  <c:v>7.2686263498904644</c:v>
                </c:pt>
                <c:pt idx="352">
                  <c:v>7.0719133430728229</c:v>
                </c:pt>
                <c:pt idx="353">
                  <c:v>6.8753006368318577</c:v>
                </c:pt>
                <c:pt idx="354">
                  <c:v>6.6787952101822174</c:v>
                </c:pt>
                <c:pt idx="355">
                  <c:v>6.4824042519420484</c:v>
                </c:pt>
                <c:pt idx="356">
                  <c:v>6.2861351741593898</c:v>
                </c:pt>
                <c:pt idx="357">
                  <c:v>6.0899956258575214</c:v>
                </c:pt>
                <c:pt idx="358">
                  <c:v>5.8939935071125493</c:v>
                </c:pt>
                <c:pt idx="359">
                  <c:v>5.6981369834766005</c:v>
                </c:pt>
                <c:pt idx="360">
                  <c:v>5.5024345007598559</c:v>
                </c:pt>
                <c:pt idx="361">
                  <c:v>5.3068948001831515</c:v>
                </c:pt>
                <c:pt idx="362">
                  <c:v>5.1115269339129989</c:v>
                </c:pt>
                <c:pt idx="363">
                  <c:v>4.9163402809891412</c:v>
                </c:pt>
                <c:pt idx="364">
                  <c:v>4.7213445636548119</c:v>
                </c:pt>
                <c:pt idx="365">
                  <c:v>4.526549864097019</c:v>
                </c:pt>
                <c:pt idx="366">
                  <c:v>4.3319666416050531</c:v>
                </c:pt>
                <c:pt idx="367">
                  <c:v>4.1376057501529386</c:v>
                </c:pt>
                <c:pt idx="368">
                  <c:v>3.9434784564083651</c:v>
                </c:pt>
                <c:pt idx="369">
                  <c:v>3.7495964581732122</c:v>
                </c:pt>
                <c:pt idx="370">
                  <c:v>3.5559719032537398</c:v>
                </c:pt>
                <c:pt idx="371">
                  <c:v>3.3626174087599798</c:v>
                </c:pt>
                <c:pt idx="372">
                  <c:v>3.1695460808304925</c:v>
                </c:pt>
                <c:pt idx="373">
                  <c:v>2.9767715347751085</c:v>
                </c:pt>
                <c:pt idx="374">
                  <c:v>2.7843079156268691</c:v>
                </c:pt>
                <c:pt idx="375">
                  <c:v>2.5921699190911869</c:v>
                </c:pt>
                <c:pt idx="376">
                  <c:v>2.4003728128748727</c:v>
                </c:pt>
                <c:pt idx="377">
                  <c:v>2.2089324583776206</c:v>
                </c:pt>
                <c:pt idx="378">
                  <c:v>2.0178653327209237</c:v>
                </c:pt>
                <c:pt idx="379">
                  <c:v>1.8271885510880401</c:v>
                </c:pt>
                <c:pt idx="380">
                  <c:v>1.6369198893420669</c:v>
                </c:pt>
                <c:pt idx="381">
                  <c:v>1.4470778068859083</c:v>
                </c:pt>
                <c:pt idx="382">
                  <c:v>1.2576814697206196</c:v>
                </c:pt>
                <c:pt idx="383">
                  <c:v>1.0687507736560915</c:v>
                </c:pt>
                <c:pt idx="384">
                  <c:v>0.88030636761877323</c:v>
                </c:pt>
                <c:pt idx="385">
                  <c:v>0.69236967699726226</c:v>
                </c:pt>
                <c:pt idx="386">
                  <c:v>0.50496292695873857</c:v>
                </c:pt>
                <c:pt idx="387">
                  <c:v>0.31810916566304293</c:v>
                </c:pt>
                <c:pt idx="388">
                  <c:v>0.1318322872932195</c:v>
                </c:pt>
                <c:pt idx="389">
                  <c:v>-5.3842945185718437E-2</c:v>
                </c:pt>
                <c:pt idx="390">
                  <c:v>-0.23889087763625083</c:v>
                </c:pt>
                <c:pt idx="391">
                  <c:v>-0.42328494283024287</c:v>
                </c:pt>
                <c:pt idx="392">
                  <c:v>-0.6069976391163292</c:v>
                </c:pt>
                <c:pt idx="393">
                  <c:v>-0.79000050979351188</c:v>
                </c:pt>
                <c:pt idx="394">
                  <c:v>-0.97226412332128054</c:v>
                </c:pt>
                <c:pt idx="395">
                  <c:v>-1.1537580545043777</c:v>
                </c:pt>
                <c:pt idx="396">
                  <c:v>-1.3344508667992907</c:v>
                </c:pt>
                <c:pt idx="397">
                  <c:v>-1.5143100958980154</c:v>
                </c:pt>
                <c:pt idx="398">
                  <c:v>-1.6933022347526616</c:v>
                </c:pt>
                <c:pt idx="399">
                  <c:v>-1.8713927202124756</c:v>
                </c:pt>
                <c:pt idx="400">
                  <c:v>-2.0485459214524013</c:v>
                </c:pt>
                <c:pt idx="401">
                  <c:v>-2.2247251303786122</c:v>
                </c:pt>
                <c:pt idx="402">
                  <c:v>-2.3998925542031784</c:v>
                </c:pt>
                <c:pt idx="403">
                  <c:v>-2.5740093103846018</c:v>
                </c:pt>
                <c:pt idx="404">
                  <c:v>-2.7470354241348631</c:v>
                </c:pt>
                <c:pt idx="405">
                  <c:v>-2.9189298286971734</c:v>
                </c:pt>
                <c:pt idx="406">
                  <c:v>-3.0896503685989742</c:v>
                </c:pt>
                <c:pt idx="407">
                  <c:v>-3.2591538060843539</c:v>
                </c:pt>
                <c:pt idx="408">
                  <c:v>-3.4273958309289272</c:v>
                </c:pt>
                <c:pt idx="409">
                  <c:v>-3.5943310738341303</c:v>
                </c:pt>
                <c:pt idx="410">
                  <c:v>-3.7599131235924466</c:v>
                </c:pt>
                <c:pt idx="411">
                  <c:v>-3.924094548205912</c:v>
                </c:pt>
                <c:pt idx="412">
                  <c:v>-4.0868269201277023</c:v>
                </c:pt>
                <c:pt idx="413">
                  <c:v>-4.248060845782776</c:v>
                </c:pt>
                <c:pt idx="414">
                  <c:v>-4.4077459995060266</c:v>
                </c:pt>
                <c:pt idx="415">
                  <c:v>-4.565831162015253</c:v>
                </c:pt>
                <c:pt idx="416">
                  <c:v>-4.7222642635131127</c:v>
                </c:pt>
                <c:pt idx="417">
                  <c:v>-4.8769924314855144</c:v>
                </c:pt>
                <c:pt idx="418">
                  <c:v>-5.0299620432326231</c:v>
                </c:pt>
                <c:pt idx="419">
                  <c:v>-5.1811187831379444</c:v>
                </c:pt>
                <c:pt idx="420">
                  <c:v>-5.3304077046423952</c:v>
                </c:pt>
                <c:pt idx="421">
                  <c:v>-5.4777732968534343</c:v>
                </c:pt>
                <c:pt idx="422">
                  <c:v>-5.6231595556771374</c:v>
                </c:pt>
                <c:pt idx="423">
                  <c:v>-5.7665100593187733</c:v>
                </c:pt>
                <c:pt idx="424">
                  <c:v>-5.9077680479511603</c:v>
                </c:pt>
                <c:pt idx="425">
                  <c:v>-6.0468765073057149</c:v>
                </c:pt>
                <c:pt idx="426">
                  <c:v>-6.1837782558934276</c:v>
                </c:pt>
                <c:pt idx="427">
                  <c:v>-6.3184160355163552</c:v>
                </c:pt>
                <c:pt idx="428">
                  <c:v>-6.4507326046851556</c:v>
                </c:pt>
                <c:pt idx="429">
                  <c:v>-6.5806708345147245</c:v>
                </c:pt>
                <c:pt idx="430">
                  <c:v>-6.7081738066259176</c:v>
                </c:pt>
                <c:pt idx="431">
                  <c:v>-6.833184912545887</c:v>
                </c:pt>
                <c:pt idx="432">
                  <c:v>-6.9556479540637115</c:v>
                </c:pt>
                <c:pt idx="433">
                  <c:v>-7.0755072439695557</c:v>
                </c:pt>
                <c:pt idx="434">
                  <c:v>-7.1927077065806833</c:v>
                </c:pt>
                <c:pt idx="435">
                  <c:v>-7.3071949774445946</c:v>
                </c:pt>
                <c:pt idx="436">
                  <c:v>-7.4189155015957295</c:v>
                </c:pt>
                <c:pt idx="437">
                  <c:v>-7.5278166297451019</c:v>
                </c:pt>
                <c:pt idx="438">
                  <c:v>-7.6338467117866617</c:v>
                </c:pt>
                <c:pt idx="439">
                  <c:v>-7.7369551870211346</c:v>
                </c:pt>
                <c:pt idx="440">
                  <c:v>-7.8370926705246733</c:v>
                </c:pt>
                <c:pt idx="441">
                  <c:v>-7.9342110351213737</c:v>
                </c:pt>
                <c:pt idx="442">
                  <c:v>-8.0282634884641695</c:v>
                </c:pt>
                <c:pt idx="443">
                  <c:v>-8.1192046447790371</c:v>
                </c:pt>
                <c:pt idx="444">
                  <c:v>-8.2069905908884309</c:v>
                </c:pt>
                <c:pt idx="445">
                  <c:v>-8.2915789461952549</c:v>
                </c:pt>
                <c:pt idx="446">
                  <c:v>-8.3729289163841418</c:v>
                </c:pt>
                <c:pt idx="447">
                  <c:v>-8.4510013406728106</c:v>
                </c:pt>
                <c:pt idx="448">
                  <c:v>-8.5257587325311501</c:v>
                </c:pt>
                <c:pt idx="449">
                  <c:v>-8.5971653138689579</c:v>
                </c:pt>
                <c:pt idx="450">
                  <c:v>-8.6651870427786442</c:v>
                </c:pt>
                <c:pt idx="451">
                  <c:v>-8.7297916350062348</c:v>
                </c:pt>
                <c:pt idx="452">
                  <c:v>-8.7909485794044251</c:v>
                </c:pt>
                <c:pt idx="453">
                  <c:v>-8.8486291477023418</c:v>
                </c:pt>
                <c:pt idx="454">
                  <c:v>-8.9028063989983952</c:v>
                </c:pt>
                <c:pt idx="455">
                  <c:v>-8.9534551794503336</c:v>
                </c:pt>
                <c:pt idx="456">
                  <c:v>-9.0005521176931307</c:v>
                </c:pt>
                <c:pt idx="457">
                  <c:v>-9.044075616565463</c:v>
                </c:pt>
                <c:pt idx="458">
                  <c:v>-9.0840058417614049</c:v>
                </c:pt>
                <c:pt idx="459">
                  <c:v>-9.1203247080508021</c:v>
                </c:pt>
                <c:pt idx="460">
                  <c:v>-9.1530158637267132</c:v>
                </c:pt>
                <c:pt idx="461">
                  <c:v>-9.1820646739376865</c:v>
                </c:pt>
                <c:pt idx="462">
                  <c:v>-9.2074582035534274</c:v>
                </c:pt>
                <c:pt idx="463">
                  <c:v>-9.229185200187942</c:v>
                </c:pt>
                <c:pt idx="464">
                  <c:v>-9.2472360779680702</c:v>
                </c:pt>
                <c:pt idx="465">
                  <c:v>-9.261602902589301</c:v>
                </c:pt>
                <c:pt idx="466">
                  <c:v>-9.2722793781420716</c:v>
                </c:pt>
                <c:pt idx="467">
                  <c:v>-9.2792608361249194</c:v>
                </c:pt>
                <c:pt idx="468">
                  <c:v>-9.2825442269857987</c:v>
                </c:pt>
                <c:pt idx="469">
                  <c:v>-9.2821281144508454</c:v>
                </c:pt>
                <c:pt idx="470">
                  <c:v>-9.2780126728120944</c:v>
                </c:pt>
                <c:pt idx="471">
                  <c:v>-9.2701996872566657</c:v>
                </c:pt>
                <c:pt idx="472">
                  <c:v>-9.2586925572265688</c:v>
                </c:pt>
                <c:pt idx="473">
                  <c:v>-9.2434963027069585</c:v>
                </c:pt>
                <c:pt idx="474">
                  <c:v>-9.224617573251269</c:v>
                </c:pt>
                <c:pt idx="475">
                  <c:v>-9.2020646594646642</c:v>
                </c:pt>
                <c:pt idx="476">
                  <c:v>-9.1758475065873686</c:v>
                </c:pt>
                <c:pt idx="477">
                  <c:v>-9.14597772974615</c:v>
                </c:pt>
                <c:pt idx="478">
                  <c:v>-9.1124686303755258</c:v>
                </c:pt>
                <c:pt idx="479">
                  <c:v>-9.0753352132569738</c:v>
                </c:pt>
                <c:pt idx="480">
                  <c:v>-9.0345942035777789</c:v>
                </c:pt>
                <c:pt idx="481">
                  <c:v>-8.9902640633798132</c:v>
                </c:pt>
                <c:pt idx="482">
                  <c:v>-8.9423650067462681</c:v>
                </c:pt>
                <c:pt idx="483">
                  <c:v>-8.8909190130661866</c:v>
                </c:pt>
                <c:pt idx="484">
                  <c:v>-8.835949837722767</c:v>
                </c:pt>
                <c:pt idx="485">
                  <c:v>-8.7774830195648548</c:v>
                </c:pt>
                <c:pt idx="486">
                  <c:v>-8.7155458845528138</c:v>
                </c:pt>
                <c:pt idx="487">
                  <c:v>-8.6501675450085287</c:v>
                </c:pt>
                <c:pt idx="488">
                  <c:v>-8.5813788939501165</c:v>
                </c:pt>
                <c:pt idx="489">
                  <c:v>-8.5092125940519061</c:v>
                </c:pt>
                <c:pt idx="490">
                  <c:v>-8.4337030608389796</c:v>
                </c:pt>
                <c:pt idx="491">
                  <c:v>-8.3548864397983991</c:v>
                </c:pt>
                <c:pt idx="492">
                  <c:v>-8.2728005771716706</c:v>
                </c:pt>
                <c:pt idx="493">
                  <c:v>-8.1874849842746613</c:v>
                </c:pt>
                <c:pt idx="494">
                  <c:v>-8.098980795276292</c:v>
                </c:pt>
                <c:pt idx="495">
                  <c:v>-8.0073307184552718</c:v>
                </c:pt>
                <c:pt idx="496">
                  <c:v>-7.9125789810355407</c:v>
                </c:pt>
                <c:pt idx="497">
                  <c:v>-7.8147712677848329</c:v>
                </c:pt>
                <c:pt idx="498">
                  <c:v>-7.7139546536378969</c:v>
                </c:pt>
                <c:pt idx="499">
                  <c:v>-7.6101775306763191</c:v>
                </c:pt>
                <c:pt idx="500">
                  <c:v>-7.5034895298651971</c:v>
                </c:pt>
                <c:pt idx="501">
                  <c:v>-7.3939414380023898</c:v>
                </c:pt>
                <c:pt idx="502">
                  <c:v>-7.2815851103868638</c:v>
                </c:pt>
                <c:pt idx="503">
                  <c:v>-7.1664733797551383</c:v>
                </c:pt>
                <c:pt idx="504">
                  <c:v>-7.0486599620648551</c:v>
                </c:pt>
                <c:pt idx="505">
                  <c:v>-6.9281993597292644</c:v>
                </c:pt>
                <c:pt idx="506">
                  <c:v>-6.805146762920339</c:v>
                </c:pt>
                <c:pt idx="507">
                  <c:v>-6.6795579495630077</c:v>
                </c:pt>
                <c:pt idx="508">
                  <c:v>-6.5514891846397552</c:v>
                </c:pt>
                <c:pt idx="509">
                  <c:v>-6.4209971194155031</c:v>
                </c:pt>
                <c:pt idx="510">
                  <c:v>-6.2881386911722252</c:v>
                </c:pt>
                <c:pt idx="511">
                  <c:v>-6.1529710240197435</c:v>
                </c:pt>
                <c:pt idx="512">
                  <c:v>-6.0155513313178668</c:v>
                </c:pt>
                <c:pt idx="513">
                  <c:v>-5.8759368202108178</c:v>
                </c:pt>
                <c:pt idx="514">
                  <c:v>-5.7341845987343376</c:v>
                </c:pt>
                <c:pt idx="515">
                  <c:v>-5.5903515859150552</c:v>
                </c:pt>
                <c:pt idx="516">
                  <c:v>-5.444494425236023</c:v>
                </c:pt>
                <c:pt idx="517">
                  <c:v>-5.2966694017972307</c:v>
                </c:pt>
                <c:pt idx="518">
                  <c:v>-5.1469323634528399</c:v>
                </c:pt>
                <c:pt idx="519">
                  <c:v>-4.995338646160393</c:v>
                </c:pt>
                <c:pt idx="520">
                  <c:v>-4.8419430037314886</c:v>
                </c:pt>
                <c:pt idx="521">
                  <c:v>-4.6867995421288553</c:v>
                </c:pt>
                <c:pt idx="522">
                  <c:v>-4.529961658412418</c:v>
                </c:pt>
                <c:pt idx="523">
                  <c:v>-4.3714819843948014</c:v>
                </c:pt>
                <c:pt idx="524">
                  <c:v>-4.2114123350301762</c:v>
                </c:pt>
                <c:pt idx="525">
                  <c:v>-4.0498036615246766</c:v>
                </c:pt>
                <c:pt idx="526">
                  <c:v>-3.8867060091237371</c:v>
                </c:pt>
                <c:pt idx="527">
                  <c:v>-3.722168479502094</c:v>
                </c:pt>
                <c:pt idx="528">
                  <c:v>-3.5562391976576251</c:v>
                </c:pt>
                <c:pt idx="529">
                  <c:v>-3.3889652831846773</c:v>
                </c:pt>
                <c:pt idx="530">
                  <c:v>-3.2203928257861243</c:v>
                </c:pt>
                <c:pt idx="531">
                  <c:v>-3.0505668648619455</c:v>
                </c:pt>
                <c:pt idx="532">
                  <c:v>-2.879531373003684</c:v>
                </c:pt>
                <c:pt idx="533">
                  <c:v>-2.7073292432070666</c:v>
                </c:pt>
                <c:pt idx="534">
                  <c:v>-2.5340022796117232</c:v>
                </c:pt>
                <c:pt idx="535">
                  <c:v>-2.3595911915675742</c:v>
                </c:pt>
                <c:pt idx="536">
                  <c:v>-2.1841355908245772</c:v>
                </c:pt>
                <c:pt idx="537">
                  <c:v>-2.0076739916409734</c:v>
                </c:pt>
                <c:pt idx="538">
                  <c:v>-1.8302438136041486</c:v>
                </c:pt>
                <c:pt idx="539">
                  <c:v>-1.6518813869611602</c:v>
                </c:pt>
                <c:pt idx="540">
                  <c:v>-1.4726219602579671</c:v>
                </c:pt>
                <c:pt idx="541">
                  <c:v>-1.2924997100898725</c:v>
                </c:pt>
              </c:numCache>
            </c:numRef>
          </c:yVal>
          <c:smooth val="1"/>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-0.32621625466589638</c:v>
                </c:pt>
                <c:pt idx="1">
                  <c:v>-0.33381463920293392</c:v>
                </c:pt>
                <c:pt idx="2">
                  <c:v>-0.341590000825648</c:v>
                </c:pt>
                <c:pt idx="3">
                  <c:v>-0.34954646099982994</c:v>
                </c:pt>
                <c:pt idx="4">
                  <c:v>-0.35768823713103298</c:v>
                </c:pt>
                <c:pt idx="5">
                  <c:v>-0.36601964479489829</c:v>
                </c:pt>
                <c:pt idx="6">
                  <c:v>-0.37454510001911545</c:v>
                </c:pt>
                <c:pt idx="7">
                  <c:v>-0.38326912161820426</c:v>
                </c:pt>
                <c:pt idx="8">
                  <c:v>-0.39219633358231731</c:v>
                </c:pt>
                <c:pt idx="9">
                  <c:v>-0.40133146752129056</c:v>
                </c:pt>
                <c:pt idx="10">
                  <c:v>-0.41067936516522274</c:v>
                </c:pt>
                <c:pt idx="11">
                  <c:v>-0.42024498092284596</c:v>
                </c:pt>
                <c:pt idx="12">
                  <c:v>-0.43003338449901723</c:v>
                </c:pt>
                <c:pt idx="13">
                  <c:v>-0.4400497635726649</c:v>
                </c:pt>
                <c:pt idx="14">
                  <c:v>-0.4502994265365684</c:v>
                </c:pt>
                <c:pt idx="15">
                  <c:v>-0.46078780530038049</c:v>
                </c:pt>
                <c:pt idx="16">
                  <c:v>-0.47152045815828675</c:v>
                </c:pt>
                <c:pt idx="17">
                  <c:v>-0.48250307272282184</c:v>
                </c:pt>
                <c:pt idx="18">
                  <c:v>-0.49374146892627208</c:v>
                </c:pt>
                <c:pt idx="19">
                  <c:v>-0.50524160209124858</c:v>
                </c:pt>
                <c:pt idx="20">
                  <c:v>-0.51700956607192472</c:v>
                </c:pt>
                <c:pt idx="21">
                  <c:v>-0.52905159646758737</c:v>
                </c:pt>
                <c:pt idx="22">
                  <c:v>-0.54137407391006465</c:v>
                </c:pt>
                <c:pt idx="23">
                  <c:v>-0.55398352742673285</c:v>
                </c:pt>
                <c:pt idx="24">
                  <c:v>-0.56688663788074611</c:v>
                </c:pt>
                <c:pt idx="25">
                  <c:v>-0.58009024149026689</c:v>
                </c:pt>
                <c:pt idx="26">
                  <c:v>-0.59360133342836774</c:v>
                </c:pt>
                <c:pt idx="27">
                  <c:v>-0.60742707150549979</c:v>
                </c:pt>
                <c:pt idx="28">
                  <c:v>-0.62157477993625632</c:v>
                </c:pt>
                <c:pt idx="29">
                  <c:v>-0.63605195319236507</c:v>
                </c:pt>
                <c:pt idx="30">
                  <c:v>-0.65086625994376823</c:v>
                </c:pt>
                <c:pt idx="31">
                  <c:v>-0.66602554708973272</c:v>
                </c:pt>
                <c:pt idx="32">
                  <c:v>-0.68153784388196936</c:v>
                </c:pt>
                <c:pt idx="33">
                  <c:v>-0.69741136614178312</c:v>
                </c:pt>
                <c:pt idx="34">
                  <c:v>-0.71365452057322798</c:v>
                </c:pt>
                <c:pt idx="35">
                  <c:v>-0.73027590917446705</c:v>
                </c:pt>
                <c:pt idx="36">
                  <c:v>-0.74728433374932879</c:v>
                </c:pt>
                <c:pt idx="37">
                  <c:v>-0.76468880052133215</c:v>
                </c:pt>
                <c:pt idx="38">
                  <c:v>-0.78249852485230476</c:v>
                </c:pt>
                <c:pt idx="39">
                  <c:v>-0.80072293606781508</c:v>
                </c:pt>
                <c:pt idx="40">
                  <c:v>-0.81937168239176483</c:v>
                </c:pt>
                <c:pt idx="41">
                  <c:v>-0.83845463599237069</c:v>
                </c:pt>
                <c:pt idx="42">
                  <c:v>-0.8579818981419316</c:v>
                </c:pt>
                <c:pt idx="43">
                  <c:v>-0.87796380449270561</c:v>
                </c:pt>
                <c:pt idx="44">
                  <c:v>-0.8984109304714003</c:v>
                </c:pt>
                <c:pt idx="45">
                  <c:v>-0.91933409679462208</c:v>
                </c:pt>
                <c:pt idx="46">
                  <c:v>-0.94074437510789155</c:v>
                </c:pt>
                <c:pt idx="47">
                  <c:v>-0.96265309375061581</c:v>
                </c:pt>
                <c:pt idx="48">
                  <c:v>-0.98507184364967071</c:v>
                </c:pt>
                <c:pt idx="49">
                  <c:v>-1.0080124843441982</c:v>
                </c:pt>
                <c:pt idx="50">
                  <c:v>-1.0314871501441054</c:v>
                </c:pt>
                <c:pt idx="51">
                  <c:v>-1.055508256425054</c:v>
                </c:pt>
                <c:pt idx="52">
                  <c:v>-1.0800885060625658</c:v>
                </c:pt>
                <c:pt idx="53">
                  <c:v>-1.1052408960079465</c:v>
                </c:pt>
                <c:pt idx="54">
                  <c:v>-1.1309787240087319</c:v>
                </c:pt>
                <c:pt idx="55">
                  <c:v>-1.1573155954764891</c:v>
                </c:pt>
                <c:pt idx="56">
                  <c:v>-1.1842654305046234</c:v>
                </c:pt>
                <c:pt idx="57">
                  <c:v>-1.2118424710391424</c:v>
                </c:pt>
                <c:pt idx="58">
                  <c:v>-1.2400612882050142</c:v>
                </c:pt>
                <c:pt idx="59">
                  <c:v>-1.2689367897910593</c:v>
                </c:pt>
                <c:pt idx="60">
                  <c:v>-1.2984842278961481</c:v>
                </c:pt>
                <c:pt idx="61">
                  <c:v>-1.3287192067395479</c:v>
                </c:pt>
                <c:pt idx="62">
                  <c:v>-1.3596576906382236</c:v>
                </c:pt>
                <c:pt idx="63">
                  <c:v>-1.3913160121540256</c:v>
                </c:pt>
                <c:pt idx="64">
                  <c:v>-1.4237108804133689</c:v>
                </c:pt>
                <c:pt idx="65">
                  <c:v>-1.4568593896024156</c:v>
                </c:pt>
                <c:pt idx="66">
                  <c:v>-1.4907790276405242</c:v>
                </c:pt>
                <c:pt idx="67">
                  <c:v>-1.5254876850344552</c:v>
                </c:pt>
                <c:pt idx="68">
                  <c:v>-1.5610036639164591</c:v>
                </c:pt>
                <c:pt idx="69">
                  <c:v>-1.5973456872685763</c:v>
                </c:pt>
                <c:pt idx="70">
                  <c:v>-1.6345329083360094</c:v>
                </c:pt>
                <c:pt idx="71">
                  <c:v>-1.6725849202319387</c:v>
                </c:pt>
                <c:pt idx="72">
                  <c:v>-1.711521765736403</c:v>
                </c:pt>
                <c:pt idx="73">
                  <c:v>-1.7513639472916487</c:v>
                </c:pt>
                <c:pt idx="74">
                  <c:v>-1.7921324371962812</c:v>
                </c:pt>
                <c:pt idx="75">
                  <c:v>-1.8338486880002312</c:v>
                </c:pt>
                <c:pt idx="76">
                  <c:v>-1.8765346431030621</c:v>
                </c:pt>
                <c:pt idx="77">
                  <c:v>-1.9202127475570483</c:v>
                </c:pt>
                <c:pt idx="78">
                  <c:v>-1.9649059590773879</c:v>
                </c:pt>
                <c:pt idx="79">
                  <c:v>-2.0106377592606797</c:v>
                </c:pt>
                <c:pt idx="80">
                  <c:v>-2.0574321650135925</c:v>
                </c:pt>
                <c:pt idx="81">
                  <c:v>-2.1053137401926811</c:v>
                </c:pt>
                <c:pt idx="82">
                  <c:v>-2.1543076074564964</c:v>
                </c:pt>
                <c:pt idx="83">
                  <c:v>-2.2044394603307911</c:v>
                </c:pt>
                <c:pt idx="84">
                  <c:v>-2.2557355754874115</c:v>
                </c:pt>
                <c:pt idx="85">
                  <c:v>-2.3082228252368546</c:v>
                </c:pt>
                <c:pt idx="86">
                  <c:v>-2.3619286902347345</c:v>
                </c:pt>
                <c:pt idx="87">
                  <c:v>-2.4168812724014037</c:v>
                </c:pt>
                <c:pt idx="88">
                  <c:v>-2.4731093080540094</c:v>
                </c:pt>
                <c:pt idx="89">
                  <c:v>-2.5306421812497919</c:v>
                </c:pt>
                <c:pt idx="90">
                  <c:v>-2.5895099373387036</c:v>
                </c:pt>
                <c:pt idx="91">
                  <c:v>-2.6497432967232832</c:v>
                </c:pt>
                <c:pt idx="92">
                  <c:v>-2.7113736688229406</c:v>
                </c:pt>
                <c:pt idx="93">
                  <c:v>-2.7744331662392221</c:v>
                </c:pt>
                <c:pt idx="94">
                  <c:v>-2.8389546191182768</c:v>
                </c:pt>
                <c:pt idx="95">
                  <c:v>-2.9049715897055681</c:v>
                </c:pt>
                <c:pt idx="96">
                  <c:v>-2.9725183870874834</c:v>
                </c:pt>
                <c:pt idx="97">
                  <c:v>-3.0416300821137092</c:v>
                </c:pt>
                <c:pt idx="98">
                  <c:v>-3.112342522493158</c:v>
                </c:pt>
                <c:pt idx="99">
                  <c:v>-3.1846923480553273</c:v>
                </c:pt>
                <c:pt idx="100">
                  <c:v>-3.2587170061681361</c:v>
                </c:pt>
                <c:pt idx="101">
                  <c:v>-3.3344547673021143</c:v>
                </c:pt>
                <c:pt idx="102">
                  <c:v>-3.4119447407294392</c:v>
                </c:pt>
                <c:pt idx="103">
                  <c:v>-3.4912268903455499</c:v>
                </c:pt>
                <c:pt idx="104">
                  <c:v>-3.57234205059902</c:v>
                </c:pt>
                <c:pt idx="105">
                  <c:v>-3.6553319425146684</c:v>
                </c:pt>
                <c:pt idx="106">
                  <c:v>-3.7402391897927449</c:v>
                </c:pt>
                <c:pt idx="107">
                  <c:v>-3.8271073349656808</c:v>
                </c:pt>
                <c:pt idx="108">
                  <c:v>-3.915980855591974</c:v>
                </c:pt>
                <c:pt idx="109">
                  <c:v>-4.0069051804649201</c:v>
                </c:pt>
                <c:pt idx="110">
                  <c:v>-4.0999267058119608</c:v>
                </c:pt>
                <c:pt idx="111">
                  <c:v>-4.1950928114577648</c:v>
                </c:pt>
                <c:pt idx="112">
                  <c:v>-4.2924518769226081</c:v>
                </c:pt>
                <c:pt idx="113">
                  <c:v>-4.3920532974243791</c:v>
                </c:pt>
                <c:pt idx="114">
                  <c:v>-4.4939474997502344</c:v>
                </c:pt>
                <c:pt idx="115">
                  <c:v>-4.5981859579612099</c:v>
                </c:pt>
                <c:pt idx="116">
                  <c:v>-4.704821208889495</c:v>
                </c:pt>
                <c:pt idx="117">
                  <c:v>-4.8139068673858167</c:v>
                </c:pt>
                <c:pt idx="118">
                  <c:v>-4.9254976412698008</c:v>
                </c:pt>
                <c:pt idx="119">
                  <c:v>-5.0396493459335758</c:v>
                </c:pt>
                <c:pt idx="120">
                  <c:v>-5.156418918544265</c:v>
                </c:pt>
                <c:pt idx="121">
                  <c:v>-5.2758644317875341</c:v>
                </c:pt>
                <c:pt idx="122">
                  <c:v>-5.3980451070891018</c:v>
                </c:pt>
                <c:pt idx="123">
                  <c:v>-5.5230213272479665</c:v>
                </c:pt>
                <c:pt idx="124">
                  <c:v>-5.6508546484083952</c:v>
                </c:pt>
                <c:pt idx="125">
                  <c:v>-5.7816078112940996</c:v>
                </c:pt>
                <c:pt idx="126">
                  <c:v>-5.9153447516220101</c:v>
                </c:pt>
                <c:pt idx="127">
                  <c:v>-6.0521306096067686</c:v>
                </c:pt>
                <c:pt idx="128">
                  <c:v>-6.1920317384616865</c:v>
                </c:pt>
                <c:pt idx="129">
                  <c:v>-6.3351157117961181</c:v>
                </c:pt>
                <c:pt idx="130">
                  <c:v>-6.4814513298001186</c:v>
                </c:pt>
                <c:pt idx="131">
                  <c:v>-6.6311086241031427</c:v>
                </c:pt>
                <c:pt idx="132">
                  <c:v>-6.7841588611841912</c:v>
                </c:pt>
                <c:pt idx="133">
                  <c:v>-6.9406745442039366</c:v>
                </c:pt>
                <c:pt idx="134">
                  <c:v>-7.1007294131201659</c:v>
                </c:pt>
                <c:pt idx="135">
                  <c:v>-7.2643984429415749</c:v>
                </c:pt>
                <c:pt idx="136">
                  <c:v>-7.4317578399633408</c:v>
                </c:pt>
                <c:pt idx="137">
                  <c:v>-7.6028850358218367</c:v>
                </c:pt>
                <c:pt idx="138">
                  <c:v>-7.7778586791926374</c:v>
                </c:pt>
                <c:pt idx="139">
                  <c:v>-7.9567586249504014</c:v>
                </c:pt>
                <c:pt idx="140">
                  <c:v>-8.139665920595375</c:v>
                </c:pt>
                <c:pt idx="141">
                  <c:v>-8.3266627897430254</c:v>
                </c:pt>
                <c:pt idx="142">
                  <c:v>-8.5178326124617278</c:v>
                </c:pt>
                <c:pt idx="143">
                  <c:v>-8.7132599022324317</c:v>
                </c:pt>
                <c:pt idx="144">
                  <c:v>-8.9130302792938902</c:v>
                </c:pt>
                <c:pt idx="145">
                  <c:v>-9.1172304401243682</c:v>
                </c:pt>
                <c:pt idx="146">
                  <c:v>-9.3259481228005914</c:v>
                </c:pt>
                <c:pt idx="147">
                  <c:v>-9.539272067962079</c:v>
                </c:pt>
                <c:pt idx="148">
                  <c:v>-9.757291975098509</c:v>
                </c:pt>
                <c:pt idx="149">
                  <c:v>-9.9800984538661339</c:v>
                </c:pt>
                <c:pt idx="150">
                  <c:v>-10.207782970126935</c:v>
                </c:pt>
                <c:pt idx="151">
                  <c:v>-10.440437786395226</c:v>
                </c:pt>
                <c:pt idx="152">
                  <c:v>-10.678155896364865</c:v>
                </c:pt>
                <c:pt idx="153">
                  <c:v>-10.921030953180313</c:v>
                </c:pt>
                <c:pt idx="154">
                  <c:v>-11.169157191105116</c:v>
                </c:pt>
                <c:pt idx="155">
                  <c:v>-11.42262934023522</c:v>
                </c:pt>
                <c:pt idx="156">
                  <c:v>-11.681542533894078</c:v>
                </c:pt>
                <c:pt idx="157">
                  <c:v>-11.945992208343656</c:v>
                </c:pt>
                <c:pt idx="158">
                  <c:v>-12.216073994438151</c:v>
                </c:pt>
                <c:pt idx="159">
                  <c:v>-12.491883600847023</c:v>
                </c:pt>
                <c:pt idx="160">
                  <c:v>-12.77351668847094</c:v>
                </c:pt>
                <c:pt idx="161">
                  <c:v>-13.061068735677724</c:v>
                </c:pt>
                <c:pt idx="162">
                  <c:v>-13.354634893987814</c:v>
                </c:pt>
                <c:pt idx="163">
                  <c:v>-13.654309833847766</c:v>
                </c:pt>
                <c:pt idx="164">
                  <c:v>-13.960187580138331</c:v>
                </c:pt>
                <c:pt idx="165">
                  <c:v>-14.272361337080202</c:v>
                </c:pt>
                <c:pt idx="166">
                  <c:v>-14.59092330221649</c:v>
                </c:pt>
                <c:pt idx="167">
                  <c:v>-14.915964469175535</c:v>
                </c:pt>
                <c:pt idx="168">
                  <c:v>-15.247574418942715</c:v>
                </c:pt>
                <c:pt idx="169">
                  <c:v>-15.585841099405405</c:v>
                </c:pt>
                <c:pt idx="170">
                  <c:v>-15.930850592972138</c:v>
                </c:pt>
                <c:pt idx="171">
                  <c:v>-16.282686872110858</c:v>
                </c:pt>
                <c:pt idx="172">
                  <c:v>-16.641431542704957</c:v>
                </c:pt>
                <c:pt idx="173">
                  <c:v>-17.007163575182386</c:v>
                </c:pt>
                <c:pt idx="174">
                  <c:v>-17.379959023438985</c:v>
                </c:pt>
                <c:pt idx="175">
                  <c:v>-17.75989073165044</c:v>
                </c:pt>
                <c:pt idx="176">
                  <c:v>-18.147028029150871</c:v>
                </c:pt>
                <c:pt idx="177">
                  <c:v>-18.541436413642966</c:v>
                </c:pt>
                <c:pt idx="178">
                  <c:v>-18.943177223105128</c:v>
                </c:pt>
                <c:pt idx="179">
                  <c:v>-19.352307296867025</c:v>
                </c:pt>
                <c:pt idx="180">
                  <c:v>-19.768878626442291</c:v>
                </c:pt>
                <c:pt idx="181">
                  <c:v>-20.192937996828341</c:v>
                </c:pt>
                <c:pt idx="182">
                  <c:v>-20.624526619119202</c:v>
                </c:pt>
                <c:pt idx="183">
                  <c:v>-21.063679755414483</c:v>
                </c:pt>
                <c:pt idx="184">
                  <c:v>-21.510426337156382</c:v>
                </c:pt>
                <c:pt idx="185">
                  <c:v>-21.964788578182059</c:v>
                </c:pt>
                <c:pt idx="186">
                  <c:v>-22.426781583935064</c:v>
                </c:pt>
                <c:pt idx="187">
                  <c:v>-22.896412958446096</c:v>
                </c:pt>
                <c:pt idx="188">
                  <c:v>-23.373682410860013</c:v>
                </c:pt>
                <c:pt idx="189">
                  <c:v>-23.858581363450419</c:v>
                </c:pt>
                <c:pt idx="190">
                  <c:v>-24.351092563238108</c:v>
                </c:pt>
                <c:pt idx="191">
                  <c:v>-24.851189699485456</c:v>
                </c:pt>
                <c:pt idx="192">
                  <c:v>-25.358837029505256</c:v>
                </c:pt>
                <c:pt idx="193">
                  <c:v>-25.873989015370913</c:v>
                </c:pt>
                <c:pt idx="194">
                  <c:v>-26.396589974257381</c:v>
                </c:pt>
                <c:pt idx="195">
                  <c:v>-26.926573745267408</c:v>
                </c:pt>
                <c:pt idx="196">
                  <c:v>-27.463863375714073</c:v>
                </c:pt>
                <c:pt idx="197">
                  <c:v>-28.008370829912401</c:v>
                </c:pt>
                <c:pt idx="198">
                  <c:v>-28.55999672360949</c:v>
                </c:pt>
                <c:pt idx="199">
                  <c:v>-29.118630087216715</c:v>
                </c:pt>
                <c:pt idx="200">
                  <c:v>-29.684148161020932</c:v>
                </c:pt>
                <c:pt idx="201">
                  <c:v>-30.256416225528689</c:v>
                </c:pt>
                <c:pt idx="202">
                  <c:v>-30.835287470038082</c:v>
                </c:pt>
                <c:pt idx="203">
                  <c:v>-31.420602902440148</c:v>
                </c:pt>
                <c:pt idx="204">
                  <c:v>-32.012191303107443</c:v>
                </c:pt>
                <c:pt idx="205">
                  <c:v>-32.609869225555293</c:v>
                </c:pt>
                <c:pt idx="206">
                  <c:v>-33.213441046334395</c:v>
                </c:pt>
                <c:pt idx="207">
                  <c:v>-33.822699066348392</c:v>
                </c:pt>
                <c:pt idx="208">
                  <c:v>-34.437423665482605</c:v>
                </c:pt>
                <c:pt idx="209">
                  <c:v>-35.05738351207647</c:v>
                </c:pt>
                <c:pt idx="210">
                  <c:v>-35.68233582838652</c:v>
                </c:pt>
                <c:pt idx="211">
                  <c:v>-36.312026712756243</c:v>
                </c:pt>
                <c:pt idx="212">
                  <c:v>-36.946191518750581</c:v>
                </c:pt>
                <c:pt idx="213">
                  <c:v>-37.584555291031101</c:v>
                </c:pt>
                <c:pt idx="214">
                  <c:v>-38.226833257229806</c:v>
                </c:pt>
                <c:pt idx="215">
                  <c:v>-38.872731374565923</c:v>
                </c:pt>
                <c:pt idx="216">
                  <c:v>-39.52194692940914</c:v>
                </c:pt>
                <c:pt idx="217">
                  <c:v>-40.174169187465623</c:v>
                </c:pt>
                <c:pt idx="218">
                  <c:v>-40.829080091733879</c:v>
                </c:pt>
                <c:pt idx="219">
                  <c:v>-41.486355004870916</c:v>
                </c:pt>
                <c:pt idx="220">
                  <c:v>-42.145663492122452</c:v>
                </c:pt>
                <c:pt idx="221">
                  <c:v>-42.806670140518719</c:v>
                </c:pt>
                <c:pt idx="222">
                  <c:v>-43.469035409625562</c:v>
                </c:pt>
                <c:pt idx="223">
                  <c:v>-44.132416508778817</c:v>
                </c:pt>
                <c:pt idx="224">
                  <c:v>-44.796468295415806</c:v>
                </c:pt>
                <c:pt idx="225">
                  <c:v>-45.460844188874162</c:v>
                </c:pt>
                <c:pt idx="226">
                  <c:v>-46.125197093844051</c:v>
                </c:pt>
                <c:pt idx="227">
                  <c:v>-46.789180327538233</c:v>
                </c:pt>
                <c:pt idx="228">
                  <c:v>-47.452448544609133</c:v>
                </c:pt>
                <c:pt idx="229">
                  <c:v>-48.114658653867522</c:v>
                </c:pt>
                <c:pt idx="230">
                  <c:v>-48.775470720946196</c:v>
                </c:pt>
                <c:pt idx="231">
                  <c:v>-49.43454885123618</c:v>
                </c:pt>
                <c:pt idx="232">
                  <c:v>-50.091562047642789</c:v>
                </c:pt>
                <c:pt idx="233">
                  <c:v>-50.746185038013664</c:v>
                </c:pt>
                <c:pt idx="234">
                  <c:v>-51.398099067433193</c:v>
                </c:pt>
                <c:pt idx="235">
                  <c:v>-52.04699265099088</c:v>
                </c:pt>
                <c:pt idx="236">
                  <c:v>-52.692562283062635</c:v>
                </c:pt>
                <c:pt idx="237">
                  <c:v>-53.334513099633078</c:v>
                </c:pt>
                <c:pt idx="238">
                  <c:v>-53.972559490680702</c:v>
                </c:pt>
                <c:pt idx="239">
                  <c:v>-54.606425660178367</c:v>
                </c:pt>
                <c:pt idx="240">
                  <c:v>-55.235846131791682</c:v>
                </c:pt>
                <c:pt idx="241">
                  <c:v>-55.860566198886929</c:v>
                </c:pt>
                <c:pt idx="242">
                  <c:v>-56.480342317994392</c:v>
                </c:pt>
                <c:pt idx="243">
                  <c:v>-57.094942445375814</c:v>
                </c:pt>
                <c:pt idx="244">
                  <c:v>-57.704146316848018</c:v>
                </c:pt>
                <c:pt idx="245">
                  <c:v>-58.307745671473924</c:v>
                </c:pt>
                <c:pt idx="246">
                  <c:v>-58.905544420167175</c:v>
                </c:pt>
                <c:pt idx="247">
                  <c:v>-59.497358760658592</c:v>
                </c:pt>
                <c:pt idx="248">
                  <c:v>-60.083017240630753</c:v>
                </c:pt>
                <c:pt idx="249">
                  <c:v>-60.662360771146268</c:v>
                </c:pt>
                <c:pt idx="250">
                  <c:v>-61.235242592771726</c:v>
                </c:pt>
                <c:pt idx="251">
                  <c:v>-61.801528197030564</c:v>
                </c:pt>
                <c:pt idx="252">
                  <c:v>-62.361095206011505</c:v>
                </c:pt>
                <c:pt idx="253">
                  <c:v>-62.913833213100517</c:v>
                </c:pt>
                <c:pt idx="254">
                  <c:v>-63.459643587915274</c:v>
                </c:pt>
                <c:pt idx="255">
                  <c:v>-63.998439248587125</c:v>
                </c:pt>
                <c:pt idx="256">
                  <c:v>-64.530144404562151</c:v>
                </c:pt>
                <c:pt idx="257">
                  <c:v>-65.054694273098107</c:v>
                </c:pt>
                <c:pt idx="258">
                  <c:v>-65.572034772591707</c:v>
                </c:pt>
                <c:pt idx="259">
                  <c:v>-66.0821221958129</c:v>
                </c:pt>
                <c:pt idx="260">
                  <c:v>-66.584922866041111</c:v>
                </c:pt>
                <c:pt idx="261">
                  <c:v>-67.080412778983458</c:v>
                </c:pt>
                <c:pt idx="262">
                  <c:v>-67.568577233240646</c:v>
                </c:pt>
                <c:pt idx="263">
                  <c:v>-68.04941045194073</c:v>
                </c:pt>
                <c:pt idx="264">
                  <c:v>-68.522915198014729</c:v>
                </c:pt>
                <c:pt idx="265">
                  <c:v>-68.989102385431153</c:v>
                </c:pt>
                <c:pt idx="266">
                  <c:v>-69.447990688538809</c:v>
                </c:pt>
                <c:pt idx="267">
                  <c:v>-69.89960615150531</c:v>
                </c:pt>
                <c:pt idx="268">
                  <c:v>-70.343981799666579</c:v>
                </c:pt>
                <c:pt idx="269">
                  <c:v>-70.781157254436977</c:v>
                </c:pt>
                <c:pt idx="270">
                  <c:v>-71.211178353265296</c:v>
                </c:pt>
                <c:pt idx="271">
                  <c:v>-71.634096775961012</c:v>
                </c:pt>
                <c:pt idx="272">
                  <c:v>-72.049969678558242</c:v>
                </c:pt>
                <c:pt idx="273">
                  <c:v>-72.458859335738737</c:v>
                </c:pt>
                <c:pt idx="274">
                  <c:v>-72.860832792690687</c:v>
                </c:pt>
                <c:pt idx="275">
                  <c:v>-73.255961527146212</c:v>
                </c:pt>
                <c:pt idx="276">
                  <c:v>-73.644321122216056</c:v>
                </c:pt>
                <c:pt idx="277">
                  <c:v>-74.025990950519244</c:v>
                </c:pt>
                <c:pt idx="278">
                  <c:v>-74.401053870000538</c:v>
                </c:pt>
                <c:pt idx="279">
                  <c:v>-74.769595931722222</c:v>
                </c:pt>
                <c:pt idx="280">
                  <c:v>-75.131706099832286</c:v>
                </c:pt>
                <c:pt idx="281">
                  <c:v>-75.487475983819522</c:v>
                </c:pt>
                <c:pt idx="282">
                  <c:v>-75.836999583099114</c:v>
                </c:pt>
                <c:pt idx="283">
                  <c:v>-76.180373043894747</c:v>
                </c:pt>
                <c:pt idx="284">
                  <c:v>-76.51769442833438</c:v>
                </c:pt>
                <c:pt idx="285">
                  <c:v>-76.849063495614189</c:v>
                </c:pt>
                <c:pt idx="286">
                  <c:v>-77.17458149504472</c:v>
                </c:pt>
                <c:pt idx="287">
                  <c:v>-77.49435097075164</c:v>
                </c:pt>
                <c:pt idx="288">
                  <c:v>-77.808475577768746</c:v>
                </c:pt>
                <c:pt idx="289">
                  <c:v>-78.117059909232566</c:v>
                </c:pt>
                <c:pt idx="290">
                  <c:v>-78.420209334365595</c:v>
                </c:pt>
                <c:pt idx="291">
                  <c:v>-78.718029846912572</c:v>
                </c:pt>
                <c:pt idx="292">
                  <c:v>-79.010627923683472</c:v>
                </c:pt>
                <c:pt idx="293">
                  <c:v>-79.298110392842304</c:v>
                </c:pt>
                <c:pt idx="294">
                  <c:v>-79.58058431157346</c:v>
                </c:pt>
                <c:pt idx="295">
                  <c:v>-79.858156852754547</c:v>
                </c:pt>
                <c:pt idx="296">
                  <c:v>-80.130935200259685</c:v>
                </c:pt>
                <c:pt idx="297">
                  <c:v>-80.399026452518029</c:v>
                </c:pt>
                <c:pt idx="298">
                  <c:v>-80.662537533956524</c:v>
                </c:pt>
                <c:pt idx="299">
                  <c:v>-80.921575113956621</c:v>
                </c:pt>
                <c:pt idx="300">
                  <c:v>-81.176245532962909</c:v>
                </c:pt>
                <c:pt idx="301">
                  <c:v>-81.426654735385952</c:v>
                </c:pt>
                <c:pt idx="302">
                  <c:v>-81.672908208952848</c:v>
                </c:pt>
                <c:pt idx="303">
                  <c:v>-81.915110930163735</c:v>
                </c:pt>
                <c:pt idx="304">
                  <c:v>-82.153367315525315</c:v>
                </c:pt>
                <c:pt idx="305">
                  <c:v>-82.387781178240829</c:v>
                </c:pt>
                <c:pt idx="306">
                  <c:v>-82.618455690047085</c:v>
                </c:pt>
                <c:pt idx="307">
                  <c:v>-82.845493347899506</c:v>
                </c:pt>
                <c:pt idx="308">
                  <c:v>-83.068995945217836</c:v>
                </c:pt>
                <c:pt idx="309">
                  <c:v>-83.289064547415421</c:v>
                </c:pt>
                <c:pt idx="310">
                  <c:v>-83.505799471446721</c:v>
                </c:pt>
                <c:pt idx="311">
                  <c:v>-83.719300269118619</c:v>
                </c:pt>
                <c:pt idx="312">
                  <c:v>-83.929665713921878</c:v>
                </c:pt>
                <c:pt idx="313">
                  <c:v>-84.136993791149763</c:v>
                </c:pt>
                <c:pt idx="314">
                  <c:v>-84.341381691081679</c:v>
                </c:pt>
                <c:pt idx="315">
                  <c:v>-84.542925805019493</c:v>
                </c:pt>
                <c:pt idx="316">
                  <c:v>-84.741721723974322</c:v>
                </c:pt>
                <c:pt idx="317">
                  <c:v>-84.93786423981129</c:v>
                </c:pt>
                <c:pt idx="318">
                  <c:v>-85.131447348668246</c:v>
                </c:pt>
                <c:pt idx="319">
                  <c:v>-85.32256425647418</c:v>
                </c:pt>
                <c:pt idx="320">
                  <c:v>-85.511307386401072</c:v>
                </c:pt>
                <c:pt idx="321">
                  <c:v>-85.697768388090537</c:v>
                </c:pt>
                <c:pt idx="322">
                  <c:v>-85.882038148504733</c:v>
                </c:pt>
                <c:pt idx="323">
                  <c:v>-86.064206804258021</c:v>
                </c:pt>
                <c:pt idx="324">
                  <c:v>-86.244363755293094</c:v>
                </c:pt>
                <c:pt idx="325">
                  <c:v>-86.422597679769879</c:v>
                </c:pt>
                <c:pt idx="326">
                  <c:v>-86.598996550043552</c:v>
                </c:pt>
                <c:pt idx="327">
                  <c:v>-86.773647649612784</c:v>
                </c:pt>
                <c:pt idx="328">
                  <c:v>-86.94663759092272</c:v>
                </c:pt>
                <c:pt idx="329">
                  <c:v>-87.118052333915344</c:v>
                </c:pt>
                <c:pt idx="330">
                  <c:v>-87.28797720521942</c:v>
                </c:pt>
                <c:pt idx="331">
                  <c:v>-87.4564969178806</c:v>
                </c:pt>
                <c:pt idx="332">
                  <c:v>-87.623695591532197</c:v>
                </c:pt>
                <c:pt idx="333">
                  <c:v>-87.789656772912394</c:v>
                </c:pt>
                <c:pt idx="334">
                  <c:v>-87.954463456633846</c:v>
                </c:pt>
                <c:pt idx="335">
                  <c:v>-88.118198106117134</c:v>
                </c:pt>
                <c:pt idx="336">
                  <c:v>-88.280942674596744</c:v>
                </c:pt>
                <c:pt idx="337">
                  <c:v>-88.442778626114887</c:v>
                </c:pt>
                <c:pt idx="338">
                  <c:v>-88.603786956414581</c:v>
                </c:pt>
                <c:pt idx="339">
                  <c:v>-88.764048213646916</c:v>
                </c:pt>
                <c:pt idx="340">
                  <c:v>-88.923642518806744</c:v>
                </c:pt>
                <c:pt idx="341">
                  <c:v>-89.082649585810969</c:v>
                </c:pt>
                <c:pt idx="342">
                  <c:v>-89.241148741132477</c:v>
                </c:pt>
                <c:pt idx="343">
                  <c:v>-89.399218942902451</c:v>
                </c:pt>
                <c:pt idx="344">
                  <c:v>-89.556938799392256</c:v>
                </c:pt>
                <c:pt idx="345">
                  <c:v>-89.714386586783903</c:v>
                </c:pt>
                <c:pt idx="346">
                  <c:v>-89.871640266136552</c:v>
                </c:pt>
                <c:pt idx="347">
                  <c:v>-90.028777499453369</c:v>
                </c:pt>
                <c:pt idx="348">
                  <c:v>-90.185875664750839</c:v>
                </c:pt>
                <c:pt idx="349">
                  <c:v>-90.343011870028548</c:v>
                </c:pt>
                <c:pt idx="350">
                  <c:v>-90.500262966033958</c:v>
                </c:pt>
                <c:pt idx="351">
                  <c:v>-90.657705557713172</c:v>
                </c:pt>
                <c:pt idx="352">
                  <c:v>-90.815416014233648</c:v>
                </c:pt>
                <c:pt idx="353">
                  <c:v>-90.973470477458605</c:v>
                </c:pt>
                <c:pt idx="354">
                  <c:v>-91.131944868751432</c:v>
                </c:pt>
                <c:pt idx="355">
                  <c:v>-91.290914893977885</c:v>
                </c:pt>
                <c:pt idx="356">
                  <c:v>-91.450456046570821</c:v>
                </c:pt>
                <c:pt idx="357">
                  <c:v>-91.610643608515787</c:v>
                </c:pt>
                <c:pt idx="358">
                  <c:v>-91.771552649106752</c:v>
                </c:pt>
                <c:pt idx="359">
                  <c:v>-91.933258021316462</c:v>
                </c:pt>
                <c:pt idx="360">
                  <c:v>-92.095834355616716</c:v>
                </c:pt>
                <c:pt idx="361">
                  <c:v>-92.259356051076779</c:v>
                </c:pt>
                <c:pt idx="362">
                  <c:v>-92.423897263559468</c:v>
                </c:pt>
                <c:pt idx="363">
                  <c:v>-92.58953189082608</c:v>
                </c:pt>
                <c:pt idx="364">
                  <c:v>-92.756333554352096</c:v>
                </c:pt>
                <c:pt idx="365">
                  <c:v>-92.924375577647353</c:v>
                </c:pt>
                <c:pt idx="366">
                  <c:v>-93.093730960864463</c:v>
                </c:pt>
                <c:pt idx="367">
                  <c:v>-93.264472351468712</c:v>
                </c:pt>
                <c:pt idx="368">
                  <c:v>-93.436672010736757</c:v>
                </c:pt>
                <c:pt idx="369">
                  <c:v>-93.610401775836195</c:v>
                </c:pt>
                <c:pt idx="370">
                  <c:v>-93.785733017233909</c:v>
                </c:pt>
                <c:pt idx="371">
                  <c:v>-93.962736591168337</c:v>
                </c:pt>
                <c:pt idx="372">
                  <c:v>-94.141482786911922</c:v>
                </c:pt>
                <c:pt idx="373">
                  <c:v>-94.322041268542122</c:v>
                </c:pt>
                <c:pt idx="374">
                  <c:v>-94.50448101092924</c:v>
                </c:pt>
                <c:pt idx="375">
                  <c:v>-94.688870229641793</c:v>
                </c:pt>
                <c:pt idx="376">
                  <c:v>-94.875276304463725</c:v>
                </c:pt>
                <c:pt idx="377">
                  <c:v>-95.063765696208137</c:v>
                </c:pt>
                <c:pt idx="378">
                  <c:v>-95.254403856511075</c:v>
                </c:pt>
                <c:pt idx="379">
                  <c:v>-95.447255130278975</c:v>
                </c:pt>
                <c:pt idx="380">
                  <c:v>-95.642382650466203</c:v>
                </c:pt>
                <c:pt idx="381">
                  <c:v>-95.83984822485219</c:v>
                </c:pt>
                <c:pt idx="382">
                  <c:v>-96.039712214493093</c:v>
                </c:pt>
                <c:pt idx="383">
                  <c:v>-96.242033403521589</c:v>
                </c:pt>
                <c:pt idx="384">
                  <c:v>-96.446868859976561</c:v>
                </c:pt>
                <c:pt idx="385">
                  <c:v>-96.654273787350633</c:v>
                </c:pt>
                <c:pt idx="386">
                  <c:v>-96.864301366555793</c:v>
                </c:pt>
                <c:pt idx="387">
                  <c:v>-97.077002588020747</c:v>
                </c:pt>
                <c:pt idx="388">
                  <c:v>-97.292426073653786</c:v>
                </c:pt>
                <c:pt idx="389">
                  <c:v>-97.51061788842685</c:v>
                </c:pt>
                <c:pt idx="390">
                  <c:v>-97.731621341362882</c:v>
                </c:pt>
                <c:pt idx="391">
                  <c:v>-97.955476775744671</c:v>
                </c:pt>
                <c:pt idx="392">
                  <c:v>-98.182221348397675</c:v>
                </c:pt>
                <c:pt idx="393">
                  <c:v>-98.411888797946105</c:v>
                </c:pt>
                <c:pt idx="394">
                  <c:v>-98.64450920199134</c:v>
                </c:pt>
                <c:pt idx="395">
                  <c:v>-98.880108723220417</c:v>
                </c:pt>
                <c:pt idx="396">
                  <c:v>-99.118709344515651</c:v>
                </c:pt>
                <c:pt idx="397">
                  <c:v>-99.360328593210156</c:v>
                </c:pt>
                <c:pt idx="398">
                  <c:v>-99.604979254715985</c:v>
                </c:pt>
                <c:pt idx="399">
                  <c:v>-99.852669075837582</c:v>
                </c:pt>
                <c:pt idx="400">
                  <c:v>-100.10340045818522</c:v>
                </c:pt>
                <c:pt idx="401">
                  <c:v>-100.3571701422055</c:v>
                </c:pt>
                <c:pt idx="402">
                  <c:v>-100.61396888246615</c:v>
                </c:pt>
                <c:pt idx="403">
                  <c:v>-100.87378111495265</c:v>
                </c:pt>
                <c:pt idx="404">
                  <c:v>-101.13658461727142</c:v>
                </c:pt>
                <c:pt idx="405">
                  <c:v>-101.40235016279323</c:v>
                </c:pt>
                <c:pt idx="406">
                  <c:v>-101.67104116992361</c:v>
                </c:pt>
                <c:pt idx="407">
                  <c:v>-101.9426133478414</c:v>
                </c:pt>
                <c:pt idx="408">
                  <c:v>-102.21701434021611</c:v>
                </c:pt>
                <c:pt idx="409">
                  <c:v>-102.49418336857845</c:v>
                </c:pt>
                <c:pt idx="410">
                  <c:v>-102.77405087719994</c:v>
                </c:pt>
                <c:pt idx="411">
                  <c:v>-103.05653818151154</c:v>
                </c:pt>
                <c:pt idx="412">
                  <c:v>-103.34155712227205</c:v>
                </c:pt>
                <c:pt idx="413">
                  <c:v>-103.62900972787551</c:v>
                </c:pt>
                <c:pt idx="414">
                  <c:v>-103.91878788736371</c:v>
                </c:pt>
                <c:pt idx="415">
                  <c:v>-104.21077303688193</c:v>
                </c:pt>
                <c:pt idx="416">
                  <c:v>-104.50483586247479</c:v>
                </c:pt>
                <c:pt idx="417">
                  <c:v>-104.80083602227785</c:v>
                </c:pt>
                <c:pt idx="418">
                  <c:v>-105.09862189129335</c:v>
                </c:pt>
                <c:pt idx="419">
                  <c:v>-105.39803033206182</c:v>
                </c:pt>
                <c:pt idx="420">
                  <c:v>-105.69888649464161</c:v>
                </c:pt>
                <c:pt idx="421">
                  <c:v>-106.00100364938346</c:v>
                </c:pt>
                <c:pt idx="422">
                  <c:v>-106.30418305603389</c:v>
                </c:pt>
                <c:pt idx="423">
                  <c:v>-106.60821387272388</c:v>
                </c:pt>
                <c:pt idx="424">
                  <c:v>-106.91287310836985</c:v>
                </c:pt>
                <c:pt idx="425">
                  <c:v>-107.21792562197305</c:v>
                </c:pt>
                <c:pt idx="426">
                  <c:v>-107.52312417219294</c:v>
                </c:pt>
                <c:pt idx="427">
                  <c:v>-107.82820952043983</c:v>
                </c:pt>
                <c:pt idx="428">
                  <c:v>-108.13291059054124</c:v>
                </c:pt>
                <c:pt idx="429">
                  <c:v>-108.436944687813</c:v>
                </c:pt>
                <c:pt idx="430">
                  <c:v>-108.74001778007434</c:v>
                </c:pt>
                <c:pt idx="431">
                  <c:v>-109.04182484283584</c:v>
                </c:pt>
                <c:pt idx="432">
                  <c:v>-109.34205027050309</c:v>
                </c:pt>
                <c:pt idx="433">
                  <c:v>-109.64036835503092</c:v>
                </c:pt>
                <c:pt idx="434">
                  <c:v>-109.93644383299755</c:v>
                </c:pt>
                <c:pt idx="435">
                  <c:v>-110.22993250157317</c:v>
                </c:pt>
                <c:pt idx="436">
                  <c:v>-110.52048190332293</c:v>
                </c:pt>
                <c:pt idx="437">
                  <c:v>-110.80773207922132</c:v>
                </c:pt>
                <c:pt idx="438">
                  <c:v>-111.09131638867201</c:v>
                </c:pt>
                <c:pt idx="439">
                  <c:v>-111.37086239472301</c:v>
                </c:pt>
                <c:pt idx="440">
                  <c:v>-111.64599281205604</c:v>
                </c:pt>
                <c:pt idx="441">
                  <c:v>-111.91632651472023</c:v>
                </c:pt>
                <c:pt idx="442">
                  <c:v>-112.18147959996757</c:v>
                </c:pt>
                <c:pt idx="443">
                  <c:v>-112.44106650396579</c:v>
                </c:pt>
                <c:pt idx="444">
                  <c:v>-112.69470116458976</c:v>
                </c:pt>
                <c:pt idx="445">
                  <c:v>-112.94199822596214</c:v>
                </c:pt>
                <c:pt idx="446">
                  <c:v>-113.18257427891395</c:v>
                </c:pt>
                <c:pt idx="447">
                  <c:v>-113.41604913108631</c:v>
                </c:pt>
                <c:pt idx="448">
                  <c:v>-113.64204710000011</c:v>
                </c:pt>
                <c:pt idx="449">
                  <c:v>-113.8601983220713</c:v>
                </c:pt>
                <c:pt idx="450">
                  <c:v>-114.07014007028289</c:v>
                </c:pt>
                <c:pt idx="451">
                  <c:v>-114.2715180730019</c:v>
                </c:pt>
                <c:pt idx="452">
                  <c:v>-114.46398782629846</c:v>
                </c:pt>
                <c:pt idx="453">
                  <c:v>-114.64721589203089</c:v>
                </c:pt>
                <c:pt idx="454">
                  <c:v>-114.82088117397706</c:v>
                </c:pt>
                <c:pt idx="455">
                  <c:v>-114.98467616433493</c:v>
                </c:pt>
                <c:pt idx="456">
                  <c:v>-115.13830815305731</c:v>
                </c:pt>
                <c:pt idx="457">
                  <c:v>-115.28150039267052</c:v>
                </c:pt>
                <c:pt idx="458">
                  <c:v>-115.41399321147868</c:v>
                </c:pt>
                <c:pt idx="459">
                  <c:v>-115.53554506836565</c:v>
                </c:pt>
                <c:pt idx="460">
                  <c:v>-115.64593354275607</c:v>
                </c:pt>
                <c:pt idx="461">
                  <c:v>-115.74495625370682</c:v>
                </c:pt>
                <c:pt idx="462">
                  <c:v>-115.83243170253883</c:v>
                </c:pt>
                <c:pt idx="463">
                  <c:v>-115.90820003389604</c:v>
                </c:pt>
                <c:pt idx="464">
                  <c:v>-115.97212371063182</c:v>
                </c:pt>
                <c:pt idx="465">
                  <c:v>-116.02408809845281</c:v>
                </c:pt>
                <c:pt idx="466">
                  <c:v>-116.064001956808</c:v>
                </c:pt>
                <c:pt idx="467">
                  <c:v>-116.09179783308214</c:v>
                </c:pt>
                <c:pt idx="468">
                  <c:v>-116.10743235774315</c:v>
                </c:pt>
                <c:pt idx="469">
                  <c:v>-116.11088643868382</c:v>
                </c:pt>
                <c:pt idx="470">
                  <c:v>-116.10216535361111</c:v>
                </c:pt>
                <c:pt idx="471">
                  <c:v>-116.08129873993441</c:v>
                </c:pt>
                <c:pt idx="472">
                  <c:v>-116.04834048222864</c:v>
                </c:pt>
                <c:pt idx="473">
                  <c:v>-116.00336849794782</c:v>
                </c:pt>
                <c:pt idx="474">
                  <c:v>-115.94648442267781</c:v>
                </c:pt>
                <c:pt idx="475">
                  <c:v>-115.87781319682296</c:v>
                </c:pt>
                <c:pt idx="476">
                  <c:v>-115.79750255621039</c:v>
                </c:pt>
                <c:pt idx="477">
                  <c:v>-115.70572242968186</c:v>
                </c:pt>
                <c:pt idx="478">
                  <c:v>-115.60266424731712</c:v>
                </c:pt>
                <c:pt idx="479">
                  <c:v>-115.48854016347664</c:v>
                </c:pt>
                <c:pt idx="480">
                  <c:v>-115.36358219938209</c:v>
                </c:pt>
                <c:pt idx="481">
                  <c:v>-115.22804131046378</c:v>
                </c:pt>
                <c:pt idx="482">
                  <c:v>-115.08218638416002</c:v>
                </c:pt>
                <c:pt idx="483">
                  <c:v>-114.9263031743008</c:v>
                </c:pt>
                <c:pt idx="484">
                  <c:v>-114.76069317859412</c:v>
                </c:pt>
                <c:pt idx="485">
                  <c:v>-114.5856724660788</c:v>
                </c:pt>
                <c:pt idx="486">
                  <c:v>-114.40157046170762</c:v>
                </c:pt>
                <c:pt idx="487">
                  <c:v>-114.20872869545325</c:v>
                </c:pt>
                <c:pt idx="488">
                  <c:v>-114.00749952351832</c:v>
                </c:pt>
                <c:pt idx="489">
                  <c:v>-113.79824482933708</c:v>
                </c:pt>
                <c:pt idx="490">
                  <c:v>-113.58133471210455</c:v>
                </c:pt>
                <c:pt idx="491">
                  <c:v>-113.3571461705512</c:v>
                </c:pt>
                <c:pt idx="492">
                  <c:v>-113.12606178958858</c:v>
                </c:pt>
                <c:pt idx="493">
                  <c:v>-112.88846843729266</c:v>
                </c:pt>
                <c:pt idx="494">
                  <c:v>-112.64475597946274</c:v>
                </c:pt>
                <c:pt idx="495">
                  <c:v>-112.3953160187058</c:v>
                </c:pt>
                <c:pt idx="496">
                  <c:v>-112.14054066463883</c:v>
                </c:pt>
                <c:pt idx="497">
                  <c:v>-111.88082134139285</c:v>
                </c:pt>
                <c:pt idx="498">
                  <c:v>-111.61654763814371</c:v>
                </c:pt>
                <c:pt idx="499">
                  <c:v>-111.34810620788012</c:v>
                </c:pt>
                <c:pt idx="500">
                  <c:v>-111.0758797190897</c:v>
                </c:pt>
                <c:pt idx="501">
                  <c:v>-110.8002458644571</c:v>
                </c:pt>
                <c:pt idx="502">
                  <c:v>-110.52157643008165</c:v>
                </c:pt>
                <c:pt idx="503">
                  <c:v>-110.24023642811576</c:v>
                </c:pt>
                <c:pt idx="504">
                  <c:v>-109.95658329510292</c:v>
                </c:pt>
                <c:pt idx="505">
                  <c:v>-109.67096615769634</c:v>
                </c:pt>
                <c:pt idx="506">
                  <c:v>-109.38372516683241</c:v>
                </c:pt>
                <c:pt idx="507">
                  <c:v>-109.09519090085574</c:v>
                </c:pt>
                <c:pt idx="508">
                  <c:v>-108.80568383753308</c:v>
                </c:pt>
                <c:pt idx="509">
                  <c:v>-108.51551389437714</c:v>
                </c:pt>
                <c:pt idx="510">
                  <c:v>-108.22498003619438</c:v>
                </c:pt>
                <c:pt idx="511">
                  <c:v>-107.93436994833964</c:v>
                </c:pt>
                <c:pt idx="512">
                  <c:v>-107.64395977373795</c:v>
                </c:pt>
                <c:pt idx="513">
                  <c:v>-107.35401391138076</c:v>
                </c:pt>
                <c:pt idx="514">
                  <c:v>-107.0647848736825</c:v>
                </c:pt>
                <c:pt idx="515">
                  <c:v>-106.77651319982054</c:v>
                </c:pt>
                <c:pt idx="516">
                  <c:v>-106.48942742195617</c:v>
                </c:pt>
                <c:pt idx="517">
                  <c:v>-106.20374408106279</c:v>
                </c:pt>
                <c:pt idx="518">
                  <c:v>-105.91966778895632</c:v>
                </c:pt>
                <c:pt idx="519">
                  <c:v>-105.63739133303503</c:v>
                </c:pt>
                <c:pt idx="520">
                  <c:v>-105.35709582019138</c:v>
                </c:pt>
                <c:pt idx="521">
                  <c:v>-105.07895085634478</c:v>
                </c:pt>
                <c:pt idx="522">
                  <c:v>-104.80311475807343</c:v>
                </c:pt>
                <c:pt idx="523">
                  <c:v>-104.52973479287098</c:v>
                </c:pt>
                <c:pt idx="524">
                  <c:v>-104.25894744464225</c:v>
                </c:pt>
                <c:pt idx="525">
                  <c:v>-103.99087870115316</c:v>
                </c:pt>
                <c:pt idx="526">
                  <c:v>-103.72564436027662</c:v>
                </c:pt>
                <c:pt idx="527">
                  <c:v>-103.46335035201771</c:v>
                </c:pt>
                <c:pt idx="528">
                  <c:v>-103.20409307345544</c:v>
                </c:pt>
                <c:pt idx="529">
                  <c:v>-102.94795973390474</c:v>
                </c:pt>
                <c:pt idx="530">
                  <c:v>-102.69502870777615</c:v>
                </c:pt>
                <c:pt idx="531">
                  <c:v>-102.44536989278261</c:v>
                </c:pt>
                <c:pt idx="532">
                  <c:v>-102.19904507132843</c:v>
                </c:pt>
                <c:pt idx="533">
                  <c:v>-101.95610827309069</c:v>
                </c:pt>
                <c:pt idx="534">
                  <c:v>-101.71660613698269</c:v>
                </c:pt>
                <c:pt idx="535">
                  <c:v>-101.48057827086129</c:v>
                </c:pt>
                <c:pt idx="536">
                  <c:v>-101.2480576075134</c:v>
                </c:pt>
                <c:pt idx="537">
                  <c:v>-101.01907075561344</c:v>
                </c:pt>
                <c:pt idx="538">
                  <c:v>-100.79363834450639</c:v>
                </c:pt>
                <c:pt idx="539">
                  <c:v>-100.57177536181555</c:v>
                </c:pt>
                <c:pt idx="540">
                  <c:v>-100.35349148301526</c:v>
                </c:pt>
                <c:pt idx="541">
                  <c:v>-100.13879139224005</c:v>
                </c:pt>
              </c:numCache>
            </c:numRef>
          </c:yVal>
          <c:smooth val="1"/>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layout/>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63.111576564841776</c:v>
                </c:pt>
                <c:pt idx="1">
                  <c:v>62.911591323763936</c:v>
                </c:pt>
                <c:pt idx="2">
                  <c:v>62.711606778149928</c:v>
                </c:pt>
                <c:pt idx="3">
                  <c:v>62.511622960766033</c:v>
                </c:pt>
                <c:pt idx="4">
                  <c:v>62.311639905921787</c:v>
                </c:pt>
                <c:pt idx="5">
                  <c:v>62.111657649542657</c:v>
                </c:pt>
                <c:pt idx="6">
                  <c:v>61.911676229246055</c:v>
                </c:pt>
                <c:pt idx="7">
                  <c:v>61.711695684421144</c:v>
                </c:pt>
                <c:pt idx="8">
                  <c:v>61.511716056311705</c:v>
                </c:pt>
                <c:pt idx="9">
                  <c:v>61.311737388104255</c:v>
                </c:pt>
                <c:pt idx="10">
                  <c:v>61.111759725018437</c:v>
                </c:pt>
                <c:pt idx="11">
                  <c:v>60.911783114403633</c:v>
                </c:pt>
                <c:pt idx="12">
                  <c:v>60.711807605838544</c:v>
                </c:pt>
                <c:pt idx="13">
                  <c:v>60.511833251236133</c:v>
                </c:pt>
                <c:pt idx="14">
                  <c:v>60.31186010495388</c:v>
                </c:pt>
                <c:pt idx="15">
                  <c:v>60.11188822390811</c:v>
                </c:pt>
                <c:pt idx="16">
                  <c:v>59.911917667694865</c:v>
                </c:pt>
                <c:pt idx="17">
                  <c:v>59.711948498715579</c:v>
                </c:pt>
                <c:pt idx="18">
                  <c:v>59.51198078230901</c:v>
                </c:pt>
                <c:pt idx="19">
                  <c:v>59.312014586889674</c:v>
                </c:pt>
                <c:pt idx="20">
                  <c:v>59.112049984092032</c:v>
                </c:pt>
                <c:pt idx="21">
                  <c:v>58.912087048922047</c:v>
                </c:pt>
                <c:pt idx="22">
                  <c:v>58.712125859915531</c:v>
                </c:pt>
                <c:pt idx="23">
                  <c:v>58.512166499304108</c:v>
                </c:pt>
                <c:pt idx="24">
                  <c:v>58.312209053188937</c:v>
                </c:pt>
                <c:pt idx="25">
                  <c:v>58.112253611722274</c:v>
                </c:pt>
                <c:pt idx="26">
                  <c:v>57.912300269297887</c:v>
                </c:pt>
                <c:pt idx="27">
                  <c:v>57.712349124750133</c:v>
                </c:pt>
                <c:pt idx="28">
                  <c:v>57.512400281562904</c:v>
                </c:pt>
                <c:pt idx="29">
                  <c:v>57.31245384808723</c:v>
                </c:pt>
                <c:pt idx="30">
                  <c:v>57.112509937770312</c:v>
                </c:pt>
                <c:pt idx="31">
                  <c:v>56.912568669394474</c:v>
                </c:pt>
                <c:pt idx="32">
                  <c:v>56.712630167327241</c:v>
                </c:pt>
                <c:pt idx="33">
                  <c:v>56.512694561783938</c:v>
                </c:pt>
                <c:pt idx="34">
                  <c:v>56.312761989101404</c:v>
                </c:pt>
                <c:pt idx="35">
                  <c:v>56.112832592025377</c:v>
                </c:pt>
                <c:pt idx="36">
                  <c:v>55.912906520010743</c:v>
                </c:pt>
                <c:pt idx="37">
                  <c:v>55.712983929535937</c:v>
                </c:pt>
                <c:pt idx="38">
                  <c:v>55.513064984432283</c:v>
                </c:pt>
                <c:pt idx="39">
                  <c:v>55.313149856228279</c:v>
                </c:pt>
                <c:pt idx="40">
                  <c:v>55.113238724509984</c:v>
                </c:pt>
                <c:pt idx="41">
                  <c:v>54.913331777298296</c:v>
                </c:pt>
                <c:pt idx="42">
                  <c:v>54.713429211443668</c:v>
                </c:pt>
                <c:pt idx="43">
                  <c:v>54.513531233039146</c:v>
                </c:pt>
                <c:pt idx="44">
                  <c:v>54.313638057852963</c:v>
                </c:pt>
                <c:pt idx="45">
                  <c:v>54.113749911780161</c:v>
                </c:pt>
                <c:pt idx="46">
                  <c:v>53.913867031316627</c:v>
                </c:pt>
                <c:pt idx="47">
                  <c:v>53.713989664053926</c:v>
                </c:pt>
                <c:pt idx="48">
                  <c:v>53.514118069197146</c:v>
                </c:pt>
                <c:pt idx="49">
                  <c:v>53.314252518107523</c:v>
                </c:pt>
                <c:pt idx="50">
                  <c:v>53.114393294869046</c:v>
                </c:pt>
                <c:pt idx="51">
                  <c:v>52.914540696882327</c:v>
                </c:pt>
                <c:pt idx="52">
                  <c:v>52.714695035484304</c:v>
                </c:pt>
                <c:pt idx="53">
                  <c:v>52.51485663659853</c:v>
                </c:pt>
                <c:pt idx="54">
                  <c:v>52.315025841413323</c:v>
                </c:pt>
                <c:pt idx="55">
                  <c:v>52.115203007092646</c:v>
                </c:pt>
                <c:pt idx="56">
                  <c:v>51.915388507518685</c:v>
                </c:pt>
                <c:pt idx="57">
                  <c:v>51.715582734068875</c:v>
                </c:pt>
                <c:pt idx="58">
                  <c:v>51.515786096428222</c:v>
                </c:pt>
                <c:pt idx="59">
                  <c:v>51.315999023439105</c:v>
                </c:pt>
                <c:pt idx="60">
                  <c:v>51.116221963989574</c:v>
                </c:pt>
                <c:pt idx="61">
                  <c:v>50.916455387942214</c:v>
                </c:pt>
                <c:pt idx="62">
                  <c:v>50.716699787105313</c:v>
                </c:pt>
                <c:pt idx="63">
                  <c:v>50.516955676247967</c:v>
                </c:pt>
                <c:pt idx="64">
                  <c:v>50.317223594161376</c:v>
                </c:pt>
                <c:pt idx="65">
                  <c:v>50.117504104768138</c:v>
                </c:pt>
                <c:pt idx="66">
                  <c:v>49.91779779828164</c:v>
                </c:pt>
                <c:pt idx="67">
                  <c:v>49.718105292417277</c:v>
                </c:pt>
                <c:pt idx="68">
                  <c:v>49.518427233659175</c:v>
                </c:pt>
                <c:pt idx="69">
                  <c:v>49.318764298582316</c:v>
                </c:pt>
                <c:pt idx="70">
                  <c:v>49.119117195235056</c:v>
                </c:pt>
                <c:pt idx="71">
                  <c:v>48.919486664582621</c:v>
                </c:pt>
                <c:pt idx="72">
                  <c:v>48.719873482014997</c:v>
                </c:pt>
                <c:pt idx="73">
                  <c:v>48.5202784589221</c:v>
                </c:pt>
                <c:pt idx="74">
                  <c:v>48.320702444338089</c:v>
                </c:pt>
                <c:pt idx="75">
                  <c:v>48.121146326658632</c:v>
                </c:pt>
                <c:pt idx="76">
                  <c:v>47.921611035433443</c:v>
                </c:pt>
                <c:pt idx="77">
                  <c:v>47.722097543237432</c:v>
                </c:pt>
                <c:pt idx="78">
                  <c:v>47.522606867623537</c:v>
                </c:pt>
                <c:pt idx="79">
                  <c:v>47.323140073160388</c:v>
                </c:pt>
                <c:pt idx="80">
                  <c:v>47.123698273558389</c:v>
                </c:pt>
                <c:pt idx="81">
                  <c:v>46.924282633887174</c:v>
                </c:pt>
                <c:pt idx="82">
                  <c:v>46.72489437288818</c:v>
                </c:pt>
                <c:pt idx="83">
                  <c:v>46.525534765386553</c:v>
                </c:pt>
                <c:pt idx="84">
                  <c:v>46.326205144805016</c:v>
                </c:pt>
                <c:pt idx="85">
                  <c:v>46.126906905783677</c:v>
                </c:pt>
                <c:pt idx="86">
                  <c:v>45.927641506910888</c:v>
                </c:pt>
                <c:pt idx="87">
                  <c:v>45.728410473567337</c:v>
                </c:pt>
                <c:pt idx="88">
                  <c:v>45.529215400888312</c:v>
                </c:pt>
                <c:pt idx="89">
                  <c:v>45.330057956848187</c:v>
                </c:pt>
                <c:pt idx="90">
                  <c:v>45.130939885471207</c:v>
                </c:pt>
                <c:pt idx="91">
                  <c:v>44.931863010172364</c:v>
                </c:pt>
                <c:pt idx="92">
                  <c:v>44.732829237233091</c:v>
                </c:pt>
                <c:pt idx="93">
                  <c:v>44.533840559415452</c:v>
                </c:pt>
                <c:pt idx="94">
                  <c:v>44.33489905971976</c:v>
                </c:pt>
                <c:pt idx="95">
                  <c:v>44.136006915288981</c:v>
                </c:pt>
                <c:pt idx="96">
                  <c:v>43.937166401464687</c:v>
                </c:pt>
                <c:pt idx="97">
                  <c:v>43.738379895998804</c:v>
                </c:pt>
                <c:pt idx="98">
                  <c:v>43.539649883424303</c:v>
                </c:pt>
                <c:pt idx="99">
                  <c:v>43.340978959589876</c:v>
                </c:pt>
                <c:pt idx="100">
                  <c:v>43.142369836362128</c:v>
                </c:pt>
                <c:pt idx="101">
                  <c:v>42.943825346497981</c:v>
                </c:pt>
                <c:pt idx="102">
                  <c:v>42.745348448692425</c:v>
                </c:pt>
                <c:pt idx="103">
                  <c:v>42.54694223280331</c:v>
                </c:pt>
                <c:pt idx="104">
                  <c:v>42.348609925256866</c:v>
                </c:pt>
                <c:pt idx="105">
                  <c:v>42.150354894636585</c:v>
                </c:pt>
                <c:pt idx="106">
                  <c:v>41.952180657456921</c:v>
                </c:pt>
                <c:pt idx="107">
                  <c:v>41.754090884124636</c:v>
                </c:pt>
                <c:pt idx="108">
                  <c:v>41.556089405088287</c:v>
                </c:pt>
                <c:pt idx="109">
                  <c:v>41.358180217176361</c:v>
                </c:pt>
                <c:pt idx="110">
                  <c:v>41.160367490124628</c:v>
                </c:pt>
                <c:pt idx="111">
                  <c:v>40.962655573291485</c:v>
                </c:pt>
                <c:pt idx="112">
                  <c:v>40.765049002560076</c:v>
                </c:pt>
                <c:pt idx="113">
                  <c:v>40.567552507423628</c:v>
                </c:pt>
                <c:pt idx="114">
                  <c:v>40.370171018251632</c:v>
                </c:pt>
                <c:pt idx="115">
                  <c:v>40.172909673731894</c:v>
                </c:pt>
                <c:pt idx="116">
                  <c:v>39.975773828480683</c:v>
                </c:pt>
                <c:pt idx="117">
                  <c:v>39.778769060816217</c:v>
                </c:pt>
                <c:pt idx="118">
                  <c:v>39.581901180683985</c:v>
                </c:pt>
                <c:pt idx="119">
                  <c:v>39.385176237724224</c:v>
                </c:pt>
                <c:pt idx="120">
                  <c:v>39.18860052946907</c:v>
                </c:pt>
                <c:pt idx="121">
                  <c:v>38.992180609653047</c:v>
                </c:pt>
                <c:pt idx="122">
                  <c:v>38.795923296622163</c:v>
                </c:pt>
                <c:pt idx="123">
                  <c:v>38.599835681820018</c:v>
                </c:pt>
                <c:pt idx="124">
                  <c:v>38.403925138329271</c:v>
                </c:pt>
                <c:pt idx="125">
                  <c:v>38.208199329444817</c:v>
                </c:pt>
                <c:pt idx="126">
                  <c:v>38.012666217247727</c:v>
                </c:pt>
                <c:pt idx="127">
                  <c:v>37.81733407115108</c:v>
                </c:pt>
                <c:pt idx="128">
                  <c:v>37.622211476380699</c:v>
                </c:pt>
                <c:pt idx="129">
                  <c:v>37.427307342352826</c:v>
                </c:pt>
                <c:pt idx="130">
                  <c:v>37.232630910904398</c:v>
                </c:pt>
                <c:pt idx="131">
                  <c:v>37.03819176432993</c:v>
                </c:pt>
                <c:pt idx="132">
                  <c:v>36.843999833171168</c:v>
                </c:pt>
                <c:pt idx="133">
                  <c:v>36.650065403703202</c:v>
                </c:pt>
                <c:pt idx="134">
                  <c:v>36.456399125054645</c:v>
                </c:pt>
                <c:pt idx="135">
                  <c:v>36.263012015893018</c:v>
                </c:pt>
                <c:pt idx="136">
                  <c:v>36.069915470603064</c:v>
                </c:pt>
                <c:pt idx="137">
                  <c:v>35.877121264877061</c:v>
                </c:pt>
                <c:pt idx="138">
                  <c:v>35.684641560631981</c:v>
                </c:pt>
                <c:pt idx="139">
                  <c:v>35.492488910160645</c:v>
                </c:pt>
                <c:pt idx="140">
                  <c:v>35.300676259418481</c:v>
                </c:pt>
                <c:pt idx="141">
                  <c:v>35.109216950339174</c:v>
                </c:pt>
                <c:pt idx="142">
                  <c:v>34.918124722067859</c:v>
                </c:pt>
                <c:pt idx="143">
                  <c:v>34.727413710991264</c:v>
                </c:pt>
                <c:pt idx="144">
                  <c:v>34.537098449439114</c:v>
                </c:pt>
                <c:pt idx="145">
                  <c:v>34.347193862922495</c:v>
                </c:pt>
                <c:pt idx="146">
                  <c:v>34.15771526577138</c:v>
                </c:pt>
                <c:pt idx="147">
                  <c:v>33.968678355022462</c:v>
                </c:pt>
                <c:pt idx="148">
                  <c:v>33.780099202406632</c:v>
                </c:pt>
                <c:pt idx="149">
                  <c:v>33.591994244278432</c:v>
                </c:pt>
                <c:pt idx="150">
                  <c:v>33.404380269323099</c:v>
                </c:pt>
                <c:pt idx="151">
                  <c:v>33.217274403876445</c:v>
                </c:pt>
                <c:pt idx="152">
                  <c:v>33.030694094684783</c:v>
                </c:pt>
                <c:pt idx="153">
                  <c:v>32.844657088935506</c:v>
                </c:pt>
                <c:pt idx="154">
                  <c:v>32.659181411381496</c:v>
                </c:pt>
                <c:pt idx="155">
                  <c:v>32.474285338389791</c:v>
                </c:pt>
                <c:pt idx="156">
                  <c:v>32.28998736874135</c:v>
                </c:pt>
                <c:pt idx="157">
                  <c:v>32.106306191016785</c:v>
                </c:pt>
                <c:pt idx="158">
                  <c:v>31.92326064740659</c:v>
                </c:pt>
                <c:pt idx="159">
                  <c:v>31.740869693794039</c:v>
                </c:pt>
                <c:pt idx="160">
                  <c:v>31.559152355970092</c:v>
                </c:pt>
                <c:pt idx="161">
                  <c:v>31.378127681851371</c:v>
                </c:pt>
                <c:pt idx="162">
                  <c:v>31.19781468959156</c:v>
                </c:pt>
                <c:pt idx="163">
                  <c:v>31.018232311493907</c:v>
                </c:pt>
                <c:pt idx="164">
                  <c:v>30.839399333657333</c:v>
                </c:pt>
                <c:pt idx="165">
                  <c:v>30.661334331313309</c:v>
                </c:pt>
                <c:pt idx="166">
                  <c:v>30.484055599842623</c:v>
                </c:pt>
                <c:pt idx="167">
                  <c:v>30.307581081492611</c:v>
                </c:pt>
                <c:pt idx="168">
                  <c:v>30.131928287854496</c:v>
                </c:pt>
                <c:pt idx="169">
                  <c:v>29.957114218200122</c:v>
                </c:pt>
                <c:pt idx="170">
                  <c:v>29.783155273822665</c:v>
                </c:pt>
                <c:pt idx="171">
                  <c:v>29.610067168571938</c:v>
                </c:pt>
                <c:pt idx="172">
                  <c:v>29.43786483582771</c:v>
                </c:pt>
                <c:pt idx="173">
                  <c:v>29.266562332206512</c:v>
                </c:pt>
                <c:pt idx="174">
                  <c:v>29.096172738353829</c:v>
                </c:pt>
                <c:pt idx="175">
                  <c:v>28.926708057230641</c:v>
                </c:pt>
                <c:pt idx="176">
                  <c:v>28.758179110363233</c:v>
                </c:pt>
                <c:pt idx="177">
                  <c:v>28.590595432583452</c:v>
                </c:pt>
                <c:pt idx="178">
                  <c:v>28.423965165846063</c:v>
                </c:pt>
                <c:pt idx="179">
                  <c:v>28.258294952768249</c:v>
                </c:pt>
                <c:pt idx="180">
                  <c:v>28.093589830591753</c:v>
                </c:pt>
                <c:pt idx="181">
                  <c:v>27.929853126320907</c:v>
                </c:pt>
                <c:pt idx="182">
                  <c:v>27.767086353837751</c:v>
                </c:pt>
                <c:pt idx="183">
                  <c:v>27.605289113841284</c:v>
                </c:pt>
                <c:pt idx="184">
                  <c:v>27.444458997490521</c:v>
                </c:pt>
                <c:pt idx="185">
                  <c:v>27.284591494664276</c:v>
                </c:pt>
                <c:pt idx="186">
                  <c:v>27.125679907769623</c:v>
                </c:pt>
                <c:pt idx="187">
                  <c:v>26.967715272041911</c:v>
                </c:pt>
                <c:pt idx="188">
                  <c:v>26.81068628328045</c:v>
                </c:pt>
                <c:pt idx="189">
                  <c:v>26.65457923395347</c:v>
                </c:pt>
                <c:pt idx="190">
                  <c:v>26.499377958582233</c:v>
                </c:pt>
                <c:pt idx="191">
                  <c:v>26.345063789279642</c:v>
                </c:pt>
                <c:pt idx="192">
                  <c:v>26.191615522270432</c:v>
                </c:pt>
                <c:pt idx="193">
                  <c:v>26.039009396158299</c:v>
                </c:pt>
                <c:pt idx="194">
                  <c:v>25.88721908263231</c:v>
                </c:pt>
                <c:pt idx="195">
                  <c:v>25.736215690217009</c:v>
                </c:pt>
                <c:pt idx="196">
                  <c:v>25.585967781573036</c:v>
                </c:pt>
                <c:pt idx="197">
                  <c:v>25.436441404746088</c:v>
                </c:pt>
                <c:pt idx="198">
                  <c:v>25.287600138640546</c:v>
                </c:pt>
                <c:pt idx="199">
                  <c:v>25.139405152868044</c:v>
                </c:pt>
                <c:pt idx="200">
                  <c:v>24.991815281984742</c:v>
                </c:pt>
                <c:pt idx="201">
                  <c:v>24.844787113989867</c:v>
                </c:pt>
                <c:pt idx="202">
                  <c:v>24.698275092814704</c:v>
                </c:pt>
                <c:pt idx="203">
                  <c:v>24.552231634385471</c:v>
                </c:pt>
                <c:pt idx="204">
                  <c:v>24.406607255696077</c:v>
                </c:pt>
                <c:pt idx="205">
                  <c:v>24.261350716186779</c:v>
                </c:pt>
                <c:pt idx="206">
                  <c:v>24.116409170585918</c:v>
                </c:pt>
                <c:pt idx="207">
                  <c:v>23.971728332239479</c:v>
                </c:pt>
                <c:pt idx="208">
                  <c:v>23.827252645835195</c:v>
                </c:pt>
                <c:pt idx="209">
                  <c:v>23.682925468313016</c:v>
                </c:pt>
                <c:pt idx="210">
                  <c:v>23.538689256659229</c:v>
                </c:pt>
                <c:pt idx="211">
                  <c:v>23.394485761195281</c:v>
                </c:pt>
                <c:pt idx="212">
                  <c:v>23.250256222907662</c:v>
                </c:pt>
                <c:pt idx="213">
                  <c:v>23.105941573310226</c:v>
                </c:pt>
                <c:pt idx="214">
                  <c:v>22.961482635301351</c:v>
                </c:pt>
                <c:pt idx="215">
                  <c:v>22.816820323459876</c:v>
                </c:pt>
                <c:pt idx="216">
                  <c:v>22.671895842230455</c:v>
                </c:pt>
                <c:pt idx="217">
                  <c:v>22.526650880467557</c:v>
                </c:pt>
                <c:pt idx="218">
                  <c:v>22.381027800851278</c:v>
                </c:pt>
                <c:pt idx="219">
                  <c:v>22.234969822742766</c:v>
                </c:pt>
                <c:pt idx="220">
                  <c:v>22.088421197122408</c:v>
                </c:pt>
                <c:pt idx="221">
                  <c:v>21.94132737234364</c:v>
                </c:pt>
                <c:pt idx="222">
                  <c:v>21.793635149537259</c:v>
                </c:pt>
                <c:pt idx="223">
                  <c:v>21.645292826617318</c:v>
                </c:pt>
                <c:pt idx="224">
                  <c:v>21.496250329965051</c:v>
                </c:pt>
                <c:pt idx="225">
                  <c:v>21.346459333001505</c:v>
                </c:pt>
                <c:pt idx="226">
                  <c:v>21.195873360999041</c:v>
                </c:pt>
                <c:pt idx="227">
                  <c:v>21.04444788162666</c:v>
                </c:pt>
                <c:pt idx="228">
                  <c:v>20.892140380870018</c:v>
                </c:pt>
                <c:pt idx="229">
                  <c:v>20.738910424113527</c:v>
                </c:pt>
                <c:pt idx="230">
                  <c:v>20.58471970231458</c:v>
                </c:pt>
                <c:pt idx="231">
                  <c:v>20.429532063341192</c:v>
                </c:pt>
                <c:pt idx="232">
                  <c:v>20.273313528675601</c:v>
                </c:pt>
                <c:pt idx="233">
                  <c:v>20.116032295814222</c:v>
                </c:pt>
                <c:pt idx="234">
                  <c:v>19.957658726811289</c:v>
                </c:pt>
                <c:pt idx="235">
                  <c:v>19.79816532351602</c:v>
                </c:pt>
                <c:pt idx="236">
                  <c:v>19.637526690156257</c:v>
                </c:pt>
                <c:pt idx="237">
                  <c:v>19.475719483994773</c:v>
                </c:pt>
                <c:pt idx="238">
                  <c:v>19.312722354864711</c:v>
                </c:pt>
                <c:pt idx="239">
                  <c:v>19.148515874441394</c:v>
                </c:pt>
                <c:pt idx="240">
                  <c:v>18.983082456156986</c:v>
                </c:pt>
                <c:pt idx="241">
                  <c:v>18.816406266695928</c:v>
                </c:pt>
                <c:pt idx="242">
                  <c:v>18.648473130028925</c:v>
                </c:pt>
                <c:pt idx="243">
                  <c:v>18.479270424954567</c:v>
                </c:pt>
                <c:pt idx="244">
                  <c:v>18.308786977112593</c:v>
                </c:pt>
                <c:pt idx="245">
                  <c:v>18.137012946423894</c:v>
                </c:pt>
                <c:pt idx="246">
                  <c:v>17.963939710891257</c:v>
                </c:pt>
                <c:pt idx="247">
                  <c:v>17.789559747665098</c:v>
                </c:pt>
                <c:pt idx="248">
                  <c:v>17.613866512244503</c:v>
                </c:pt>
                <c:pt idx="249">
                  <c:v>17.43685431664289</c:v>
                </c:pt>
                <c:pt idx="250">
                  <c:v>17.258518207301805</c:v>
                </c:pt>
                <c:pt idx="251">
                  <c:v>17.07885384348851</c:v>
                </c:pt>
                <c:pt idx="252">
                  <c:v>16.897857376859672</c:v>
                </c:pt>
                <c:pt idx="253">
                  <c:v>16.715525332825262</c:v>
                </c:pt>
                <c:pt idx="254">
                  <c:v>16.531854494288375</c:v>
                </c:pt>
                <c:pt idx="255">
                  <c:v>16.346841788288653</c:v>
                </c:pt>
                <c:pt idx="256">
                  <c:v>16.160484176023779</c:v>
                </c:pt>
                <c:pt idx="257">
                  <c:v>15.97277854667254</c:v>
                </c:pt>
                <c:pt idx="258">
                  <c:v>15.783721615399038</c:v>
                </c:pt>
                <c:pt idx="259">
                  <c:v>15.59330982586914</c:v>
                </c:pt>
                <c:pt idx="260">
                  <c:v>15.401539257571324</c:v>
                </c:pt>
                <c:pt idx="261">
                  <c:v>15.208405538196207</c:v>
                </c:pt>
                <c:pt idx="262">
                  <c:v>15.013903761291461</c:v>
                </c:pt>
                <c:pt idx="263">
                  <c:v>14.818028409381512</c:v>
                </c:pt>
                <c:pt idx="264">
                  <c:v>14.620773282711934</c:v>
                </c:pt>
                <c:pt idx="265">
                  <c:v>14.42213143375408</c:v>
                </c:pt>
                <c:pt idx="266">
                  <c:v>14.222095107587007</c:v>
                </c:pt>
                <c:pt idx="267">
                  <c:v>14.020655688253933</c:v>
                </c:pt>
                <c:pt idx="268">
                  <c:v>13.817803651178318</c:v>
                </c:pt>
                <c:pt idx="269">
                  <c:v>13.61352852171076</c:v>
                </c:pt>
                <c:pt idx="270">
                  <c:v>13.407818839869829</c:v>
                </c:pt>
                <c:pt idx="271">
                  <c:v>13.20066213133229</c:v>
                </c:pt>
                <c:pt idx="272">
                  <c:v>12.992044884720567</c:v>
                </c:pt>
                <c:pt idx="273">
                  <c:v>12.781952535232682</c:v>
                </c:pt>
                <c:pt idx="274">
                  <c:v>12.570369454654371</c:v>
                </c:pt>
                <c:pt idx="275">
                  <c:v>12.357278947789395</c:v>
                </c:pt>
                <c:pt idx="276">
                  <c:v>12.142663255340045</c:v>
                </c:pt>
                <c:pt idx="277">
                  <c:v>11.926503563266575</c:v>
                </c:pt>
                <c:pt idx="278">
                  <c:v>11.708780018646852</c:v>
                </c:pt>
                <c:pt idx="279">
                  <c:v>11.489471752052062</c:v>
                </c:pt>
                <c:pt idx="280">
                  <c:v>11.268556906446252</c:v>
                </c:pt>
                <c:pt idx="281">
                  <c:v>11.046012672605288</c:v>
                </c:pt>
                <c:pt idx="282">
                  <c:v>10.821815331039986</c:v>
                </c:pt>
                <c:pt idx="283">
                  <c:v>10.595940300390563</c:v>
                </c:pt>
                <c:pt idx="284">
                  <c:v>10.368362192242479</c:v>
                </c:pt>
                <c:pt idx="285">
                  <c:v>10.139054872291425</c:v>
                </c:pt>
                <c:pt idx="286">
                  <c:v>9.9079915277611121</c:v>
                </c:pt>
                <c:pt idx="287">
                  <c:v>9.6751447409489266</c:v>
                </c:pt>
                <c:pt idx="288">
                  <c:v>9.4404865687428678</c:v>
                </c:pt>
                <c:pt idx="289">
                  <c:v>9.203988627919756</c:v>
                </c:pt>
                <c:pt idx="290">
                  <c:v>8.9656221859964678</c:v>
                </c:pt>
                <c:pt idx="291">
                  <c:v>8.7253582573662154</c:v>
                </c:pt>
                <c:pt idx="292">
                  <c:v>8.4831677044078209</c:v>
                </c:pt>
                <c:pt idx="293">
                  <c:v>8.2390213432140342</c:v>
                </c:pt>
                <c:pt idx="294">
                  <c:v>7.992890053535044</c:v>
                </c:pt>
                <c:pt idx="295">
                  <c:v>7.7447448924903108</c:v>
                </c:pt>
                <c:pt idx="296">
                  <c:v>7.4945572115515278</c:v>
                </c:pt>
                <c:pt idx="297">
                  <c:v>7.2422987762537385</c:v>
                </c:pt>
                <c:pt idx="298">
                  <c:v>6.9879418880472022</c:v>
                </c:pt>
                <c:pt idx="299">
                  <c:v>6.7314595076581547</c:v>
                </c:pt>
                <c:pt idx="300">
                  <c:v>6.4728253792869612</c:v>
                </c:pt>
                <c:pt idx="301">
                  <c:v>6.2120141549365293</c:v>
                </c:pt>
                <c:pt idx="302">
                  <c:v>5.9490015181327749</c:v>
                </c:pt>
                <c:pt idx="303">
                  <c:v>5.6837643062709198</c:v>
                </c:pt>
                <c:pt idx="304">
                  <c:v>5.4162806308088163</c:v>
                </c:pt>
                <c:pt idx="305">
                  <c:v>5.1465299945094038</c:v>
                </c:pt>
                <c:pt idx="306">
                  <c:v>4.8744934049374757</c:v>
                </c:pt>
                <c:pt idx="307">
                  <c:v>4.6001534834182412</c:v>
                </c:pt>
                <c:pt idx="308">
                  <c:v>4.323494568679731</c:v>
                </c:pt>
                <c:pt idx="309">
                  <c:v>4.0445028144263002</c:v>
                </c:pt>
                <c:pt idx="310">
                  <c:v>3.7631662801215793</c:v>
                </c:pt>
                <c:pt idx="311">
                  <c:v>3.4794750143041604</c:v>
                </c:pt>
                <c:pt idx="312">
                  <c:v>3.19342112980772</c:v>
                </c:pt>
                <c:pt idx="313">
                  <c:v>2.9049988703211689</c:v>
                </c:pt>
                <c:pt idx="314">
                  <c:v>2.6142046677889481</c:v>
                </c:pt>
                <c:pt idx="315">
                  <c:v>2.3210371902297293</c:v>
                </c:pt>
                <c:pt idx="316">
                  <c:v>2.0254973796304672</c:v>
                </c:pt>
                <c:pt idx="317">
                  <c:v>1.7275884796620375</c:v>
                </c:pt>
                <c:pt idx="318">
                  <c:v>1.4273160530509534</c:v>
                </c:pt>
                <c:pt idx="319">
                  <c:v>1.1246879885345114</c:v>
                </c:pt>
                <c:pt idx="320">
                  <c:v>0.81971449742149372</c:v>
                </c:pt>
                <c:pt idx="321">
                  <c:v>0.51240809987330116</c:v>
                </c:pt>
                <c:pt idx="322">
                  <c:v>0.20278360111156934</c:v>
                </c:pt>
                <c:pt idx="323">
                  <c:v>-0.10914194215161334</c:v>
                </c:pt>
                <c:pt idx="324">
                  <c:v>-0.42334926468299033</c:v>
                </c:pt>
                <c:pt idx="325">
                  <c:v>-0.73981694463834113</c:v>
                </c:pt>
                <c:pt idx="326">
                  <c:v>-1.058521463884204</c:v>
                </c:pt>
                <c:pt idx="327">
                  <c:v>-1.379437276139249</c:v>
                </c:pt>
                <c:pt idx="328">
                  <c:v>-1.7025368822845413</c:v>
                </c:pt>
                <c:pt idx="329">
                  <c:v>-2.0277909121481845</c:v>
                </c:pt>
                <c:pt idx="330">
                  <c:v>-2.3551682120318245</c:v>
                </c:pt>
                <c:pt idx="331">
                  <c:v>-2.68463593721687</c:v>
                </c:pt>
                <c:pt idx="332">
                  <c:v>-3.0161596486744324</c:v>
                </c:pt>
                <c:pt idx="333">
                  <c:v>-3.3497034131905745</c:v>
                </c:pt>
                <c:pt idx="334">
                  <c:v>-3.6852299061191203</c:v>
                </c:pt>
                <c:pt idx="335">
                  <c:v>-4.0227005159886282</c:v>
                </c:pt>
                <c:pt idx="336">
                  <c:v>-4.3620754501987751</c:v>
                </c:pt>
                <c:pt idx="337">
                  <c:v>-4.7033138410758699</c:v>
                </c:pt>
                <c:pt idx="338">
                  <c:v>-5.0463738515808245</c:v>
                </c:pt>
                <c:pt idx="339">
                  <c:v>-5.3912127800022613</c:v>
                </c:pt>
                <c:pt idx="340">
                  <c:v>-5.7377871630135404</c:v>
                </c:pt>
                <c:pt idx="341">
                  <c:v>-6.0860528765111868</c:v>
                </c:pt>
                <c:pt idx="342">
                  <c:v>-6.4359652337069573</c:v>
                </c:pt>
                <c:pt idx="343">
                  <c:v>-6.7874790799937887</c:v>
                </c:pt>
                <c:pt idx="344">
                  <c:v>-7.1405488841591307</c:v>
                </c:pt>
                <c:pt idx="345">
                  <c:v>-7.4951288255741302</c:v>
                </c:pt>
                <c:pt idx="346">
                  <c:v>-7.8511728770346165</c:v>
                </c:pt>
                <c:pt idx="347">
                  <c:v>-8.2086348829878997</c:v>
                </c:pt>
                <c:pt idx="348">
                  <c:v>-8.5674686329256105</c:v>
                </c:pt>
                <c:pt idx="349">
                  <c:v>-8.9276279297736139</c:v>
                </c:pt>
                <c:pt idx="350">
                  <c:v>-9.2890666531528918</c:v>
                </c:pt>
                <c:pt idx="351">
                  <c:v>-9.6517388174333067</c:v>
                </c:pt>
                <c:pt idx="352">
                  <c:v>-10.015598624539109</c:v>
                </c:pt>
                <c:pt idx="353">
                  <c:v>-10.380600511501045</c:v>
                </c:pt>
                <c:pt idx="354">
                  <c:v>-10.746699192789638</c:v>
                </c:pt>
                <c:pt idx="355">
                  <c:v>-11.113849697486447</c:v>
                </c:pt>
                <c:pt idx="356">
                  <c:v>-11.482007401384401</c:v>
                </c:pt>
                <c:pt idx="357">
                  <c:v>-11.851128054128059</c:v>
                </c:pt>
                <c:pt idx="358">
                  <c:v>-12.221167801525738</c:v>
                </c:pt>
                <c:pt idx="359">
                  <c:v>-12.592083203184172</c:v>
                </c:pt>
                <c:pt idx="360">
                  <c:v>-12.963831245629223</c:v>
                </c:pt>
                <c:pt idx="361">
                  <c:v>-13.336369351088839</c:v>
                </c:pt>
                <c:pt idx="362">
                  <c:v>-13.709655382124279</c:v>
                </c:pt>
                <c:pt idx="363">
                  <c:v>-14.083647642299596</c:v>
                </c:pt>
                <c:pt idx="364">
                  <c:v>-14.458304873087426</c:v>
                </c:pt>
                <c:pt idx="365">
                  <c:v>-14.833586247210139</c:v>
                </c:pt>
                <c:pt idx="366">
                  <c:v>-15.209451358617446</c:v>
                </c:pt>
                <c:pt idx="367">
                  <c:v>-15.585860209298165</c:v>
                </c:pt>
                <c:pt idx="368">
                  <c:v>-15.962773193128939</c:v>
                </c:pt>
                <c:pt idx="369">
                  <c:v>-16.340151076950921</c:v>
                </c:pt>
                <c:pt idx="370">
                  <c:v>-16.717954979071042</c:v>
                </c:pt>
                <c:pt idx="371">
                  <c:v>-17.096146345373946</c:v>
                </c:pt>
                <c:pt idx="372">
                  <c:v>-17.474686923229051</c:v>
                </c:pt>
                <c:pt idx="373">
                  <c:v>-17.853538733371149</c:v>
                </c:pt>
                <c:pt idx="374">
                  <c:v>-18.232664039929873</c:v>
                </c:pt>
                <c:pt idx="375">
                  <c:v>-18.612025318773497</c:v>
                </c:pt>
                <c:pt idx="376">
                  <c:v>-18.991585224335736</c:v>
                </c:pt>
                <c:pt idx="377">
                  <c:v>-19.371306555078498</c:v>
                </c:pt>
                <c:pt idx="378">
                  <c:v>-19.751152217749532</c:v>
                </c:pt>
                <c:pt idx="379">
                  <c:v>-20.131085190583448</c:v>
                </c:pt>
                <c:pt idx="380">
                  <c:v>-20.511068485591366</c:v>
                </c:pt>
                <c:pt idx="381">
                  <c:v>-20.891065110084011</c:v>
                </c:pt>
                <c:pt idx="382">
                  <c:v>-21.27103802756908</c:v>
                </c:pt>
                <c:pt idx="383">
                  <c:v>-21.650950118159095</c:v>
                </c:pt>
                <c:pt idx="384">
                  <c:v>-22.030764138629088</c:v>
                </c:pt>
                <c:pt idx="385">
                  <c:v>-22.410442682260122</c:v>
                </c:pt>
                <c:pt idx="386">
                  <c:v>-22.789948138603307</c:v>
                </c:pt>
                <c:pt idx="387">
                  <c:v>-23.169242653303815</c:v>
                </c:pt>
                <c:pt idx="388">
                  <c:v>-23.548288088120188</c:v>
                </c:pt>
                <c:pt idx="389">
                  <c:v>-23.927045981281623</c:v>
                </c:pt>
                <c:pt idx="390">
                  <c:v>-24.305477508323253</c:v>
                </c:pt>
                <c:pt idx="391">
                  <c:v>-24.683543443547087</c:v>
                </c:pt>
                <c:pt idx="392">
                  <c:v>-25.061204122257251</c:v>
                </c:pt>
                <c:pt idx="393">
                  <c:v>-25.438419403922122</c:v>
                </c:pt>
                <c:pt idx="394">
                  <c:v>-25.815148636422329</c:v>
                </c:pt>
                <c:pt idx="395">
                  <c:v>-26.1913506215475</c:v>
                </c:pt>
                <c:pt idx="396">
                  <c:v>-26.566983581908762</c:v>
                </c:pt>
                <c:pt idx="397">
                  <c:v>-26.942005129441458</c:v>
                </c:pt>
                <c:pt idx="398">
                  <c:v>-27.316372235675441</c:v>
                </c:pt>
                <c:pt idx="399">
                  <c:v>-27.690041203957691</c:v>
                </c:pt>
                <c:pt idx="400">
                  <c:v>-28.062967643815519</c:v>
                </c:pt>
                <c:pt idx="401">
                  <c:v>-28.435106447653403</c:v>
                </c:pt>
                <c:pt idx="402">
                  <c:v>-28.806411769981175</c:v>
                </c:pt>
                <c:pt idx="403">
                  <c:v>-29.176837009374172</c:v>
                </c:pt>
                <c:pt idx="404">
                  <c:v>-29.546334793368175</c:v>
                </c:pt>
                <c:pt idx="405">
                  <c:v>-29.914856966492863</c:v>
                </c:pt>
                <c:pt idx="406">
                  <c:v>-30.282354581649376</c:v>
                </c:pt>
                <c:pt idx="407">
                  <c:v>-30.648777895032726</c:v>
                </c:pt>
                <c:pt idx="408">
                  <c:v>-31.014076364800012</c:v>
                </c:pt>
                <c:pt idx="409">
                  <c:v>-31.378198653677231</c:v>
                </c:pt>
                <c:pt idx="410">
                  <c:v>-31.741092635692141</c:v>
                </c:pt>
                <c:pt idx="411">
                  <c:v>-32.102705407208944</c:v>
                </c:pt>
                <c:pt idx="412">
                  <c:v>-32.4629833024308</c:v>
                </c:pt>
                <c:pt idx="413">
                  <c:v>-32.821871913516965</c:v>
                </c:pt>
                <c:pt idx="414">
                  <c:v>-33.179316115449204</c:v>
                </c:pt>
                <c:pt idx="415">
                  <c:v>-33.53526009575473</c:v>
                </c:pt>
                <c:pt idx="416">
                  <c:v>-33.889647389175138</c:v>
                </c:pt>
                <c:pt idx="417">
                  <c:v>-34.242420917338301</c:v>
                </c:pt>
                <c:pt idx="418">
                  <c:v>-34.593523033463761</c:v>
                </c:pt>
                <c:pt idx="419">
                  <c:v>-34.942895572097889</c:v>
                </c:pt>
                <c:pt idx="420">
                  <c:v>-35.290479903838019</c:v>
                </c:pt>
                <c:pt idx="421">
                  <c:v>-35.636216994967086</c:v>
                </c:pt>
                <c:pt idx="422">
                  <c:v>-35.980047471879608</c:v>
                </c:pt>
                <c:pt idx="423">
                  <c:v>-36.321911690134186</c:v>
                </c:pt>
                <c:pt idx="424">
                  <c:v>-36.661749807926853</c:v>
                </c:pt>
                <c:pt idx="425">
                  <c:v>-36.999501863728938</c:v>
                </c:pt>
                <c:pt idx="426">
                  <c:v>-37.3351078577913</c:v>
                </c:pt>
                <c:pt idx="427">
                  <c:v>-37.66850783716589</c:v>
                </c:pt>
                <c:pt idx="428">
                  <c:v>-37.999641983853977</c:v>
                </c:pt>
                <c:pt idx="429">
                  <c:v>-38.328450705643533</c:v>
                </c:pt>
                <c:pt idx="430">
                  <c:v>-38.654874729159104</c:v>
                </c:pt>
                <c:pt idx="431">
                  <c:v>-38.978855194606552</c:v>
                </c:pt>
                <c:pt idx="432">
                  <c:v>-39.300333751664034</c:v>
                </c:pt>
                <c:pt idx="433">
                  <c:v>-39.619252655940322</c:v>
                </c:pt>
                <c:pt idx="434">
                  <c:v>-39.935554865396291</c:v>
                </c:pt>
                <c:pt idx="435">
                  <c:v>-40.249184136113705</c:v>
                </c:pt>
                <c:pt idx="436">
                  <c:v>-40.560085116781536</c:v>
                </c:pt>
                <c:pt idx="437">
                  <c:v>-40.868203441272996</c:v>
                </c:pt>
                <c:pt idx="438">
                  <c:v>-41.173485818689954</c:v>
                </c:pt>
                <c:pt idx="439">
                  <c:v>-41.475880120271398</c:v>
                </c:pt>
                <c:pt idx="440">
                  <c:v>-41.775335462585687</c:v>
                </c:pt>
                <c:pt idx="441">
                  <c:v>-42.071802286462315</c:v>
                </c:pt>
                <c:pt idx="442">
                  <c:v>-42.365232431160429</c:v>
                </c:pt>
                <c:pt idx="443">
                  <c:v>-42.655579203324272</c:v>
                </c:pt>
                <c:pt idx="444">
                  <c:v>-42.94279744033777</c:v>
                </c:pt>
                <c:pt idx="445">
                  <c:v>-43.226843567753825</c:v>
                </c:pt>
                <c:pt idx="446">
                  <c:v>-43.507675650549224</c:v>
                </c:pt>
                <c:pt idx="447">
                  <c:v>-43.785253438036861</c:v>
                </c:pt>
                <c:pt idx="448">
                  <c:v>-44.059538402344465</c:v>
                </c:pt>
                <c:pt idx="449">
                  <c:v>-44.330493770460222</c:v>
                </c:pt>
                <c:pt idx="450">
                  <c:v>-44.598084549925304</c:v>
                </c:pt>
                <c:pt idx="451">
                  <c:v>-44.862277548343059</c:v>
                </c:pt>
                <c:pt idx="452">
                  <c:v>-45.123041386957077</c:v>
                </c:pt>
                <c:pt idx="453">
                  <c:v>-45.380346508625216</c:v>
                </c:pt>
                <c:pt idx="454">
                  <c:v>-45.634165180597307</c:v>
                </c:pt>
                <c:pt idx="455">
                  <c:v>-45.88447149256303</c:v>
                </c:pt>
                <c:pt idx="456">
                  <c:v>-46.131241350500112</c:v>
                </c:pt>
                <c:pt idx="457">
                  <c:v>-46.374452466899989</c:v>
                </c:pt>
                <c:pt idx="458">
                  <c:v>-46.614084347984303</c:v>
                </c:pt>
                <c:pt idx="459">
                  <c:v>-46.850118278551989</c:v>
                </c:pt>
                <c:pt idx="460">
                  <c:v>-47.082537305115871</c:v>
                </c:pt>
                <c:pt idx="461">
                  <c:v>-47.311326217979484</c:v>
                </c:pt>
                <c:pt idx="462">
                  <c:v>-47.536471532904081</c:v>
                </c:pt>
                <c:pt idx="463">
                  <c:v>-47.757961472985137</c:v>
                </c:pt>
                <c:pt idx="464">
                  <c:v>-47.975785951325101</c:v>
                </c:pt>
                <c:pt idx="465">
                  <c:v>-48.189936555041598</c:v>
                </c:pt>
                <c:pt idx="466">
                  <c:v>-48.400406531092905</c:v>
                </c:pt>
                <c:pt idx="467">
                  <c:v>-48.607190774333645</c:v>
                </c:pt>
                <c:pt idx="468">
                  <c:v>-48.810285818141736</c:v>
                </c:pt>
                <c:pt idx="469">
                  <c:v>-49.009689827873338</c:v>
                </c:pt>
                <c:pt idx="470">
                  <c:v>-49.205402597314666</c:v>
                </c:pt>
                <c:pt idx="471">
                  <c:v>-49.397425548213299</c:v>
                </c:pt>
                <c:pt idx="472">
                  <c:v>-49.585761732874893</c:v>
                </c:pt>
                <c:pt idx="473">
                  <c:v>-49.770415839722524</c:v>
                </c:pt>
                <c:pt idx="474">
                  <c:v>-49.951394201625241</c:v>
                </c:pt>
                <c:pt idx="475">
                  <c:v>-50.12870480671566</c:v>
                </c:pt>
                <c:pt idx="476">
                  <c:v>-50.302357311337651</c:v>
                </c:pt>
                <c:pt idx="477">
                  <c:v>-50.472363054689652</c:v>
                </c:pt>
                <c:pt idx="478">
                  <c:v>-50.638735074665576</c:v>
                </c:pt>
                <c:pt idx="479">
                  <c:v>-50.801488124338974</c:v>
                </c:pt>
                <c:pt idx="480">
                  <c:v>-50.960638688492125</c:v>
                </c:pt>
                <c:pt idx="481">
                  <c:v>-51.116204999557901</c:v>
                </c:pt>
                <c:pt idx="482">
                  <c:v>-51.268207052323461</c:v>
                </c:pt>
                <c:pt idx="483">
                  <c:v>-51.416666616731497</c:v>
                </c:pt>
                <c:pt idx="484">
                  <c:v>-51.561607248127821</c:v>
                </c:pt>
                <c:pt idx="485">
                  <c:v>-51.703054294310704</c:v>
                </c:pt>
                <c:pt idx="486">
                  <c:v>-51.841034898773486</c:v>
                </c:pt>
                <c:pt idx="487">
                  <c:v>-51.975577999569829</c:v>
                </c:pt>
                <c:pt idx="488">
                  <c:v>-52.106714323280521</c:v>
                </c:pt>
                <c:pt idx="489">
                  <c:v>-52.234476373622194</c:v>
                </c:pt>
                <c:pt idx="490">
                  <c:v>-52.358898414306132</c:v>
                </c:pt>
                <c:pt idx="491">
                  <c:v>-52.480016445828845</c:v>
                </c:pt>
                <c:pt idx="492">
                  <c:v>-52.597868175958283</c:v>
                </c:pt>
                <c:pt idx="493">
                  <c:v>-52.712492983761422</c:v>
                </c:pt>
                <c:pt idx="494">
                  <c:v>-52.823931877103128</c:v>
                </c:pt>
                <c:pt idx="495">
                  <c:v>-52.932227443636251</c:v>
                </c:pt>
                <c:pt idx="496">
                  <c:v>-53.037423795381756</c:v>
                </c:pt>
                <c:pt idx="497">
                  <c:v>-53.139566507084346</c:v>
                </c:pt>
                <c:pt idx="498">
                  <c:v>-53.238702548602262</c:v>
                </c:pt>
                <c:pt idx="499">
                  <c:v>-53.33488021166545</c:v>
                </c:pt>
                <c:pt idx="500">
                  <c:v>-53.428149031399812</c:v>
                </c:pt>
                <c:pt idx="501">
                  <c:v>-53.518559703073684</c:v>
                </c:pt>
                <c:pt idx="502">
                  <c:v>-53.606163994572562</c:v>
                </c:pt>
                <c:pt idx="503">
                  <c:v>-53.691014655150802</c:v>
                </c:pt>
                <c:pt idx="504">
                  <c:v>-53.773165321038022</c:v>
                </c:pt>
                <c:pt idx="505">
                  <c:v>-53.852670418505433</c:v>
                </c:pt>
                <c:pt idx="506">
                  <c:v>-53.929585065007466</c:v>
                </c:pt>
                <c:pt idx="507">
                  <c:v>-54.003964969022306</c:v>
                </c:pt>
                <c:pt idx="508">
                  <c:v>-54.075866329209063</c:v>
                </c:pt>
                <c:pt idx="509">
                  <c:v>-54.145345733492874</c:v>
                </c:pt>
                <c:pt idx="510">
                  <c:v>-54.212460058664753</c:v>
                </c:pt>
                <c:pt idx="511">
                  <c:v>-54.277266371064641</c:v>
                </c:pt>
                <c:pt idx="512">
                  <c:v>-54.339821828881448</c:v>
                </c:pt>
                <c:pt idx="513">
                  <c:v>-54.400183586569959</c:v>
                </c:pt>
                <c:pt idx="514">
                  <c:v>-54.458408701847148</c:v>
                </c:pt>
                <c:pt idx="515">
                  <c:v>-54.51455404568415</c:v>
                </c:pt>
                <c:pt idx="516">
                  <c:v>-54.56867621567077</c:v>
                </c:pt>
                <c:pt idx="517">
                  <c:v>-54.62083145307826</c:v>
                </c:pt>
                <c:pt idx="518">
                  <c:v>-54.671075563903898</c:v>
                </c:pt>
                <c:pt idx="519">
                  <c:v>-54.719463844131511</c:v>
                </c:pt>
                <c:pt idx="520">
                  <c:v>-54.766051009397458</c:v>
                </c:pt>
                <c:pt idx="521">
                  <c:v>-54.810891129206709</c:v>
                </c:pt>
                <c:pt idx="522">
                  <c:v>-54.854037565801931</c:v>
                </c:pt>
                <c:pt idx="523">
                  <c:v>-54.895542917744905</c:v>
                </c:pt>
                <c:pt idx="524">
                  <c:v>-54.935458968234954</c:v>
                </c:pt>
                <c:pt idx="525">
                  <c:v>-54.973836638152392</c:v>
                </c:pt>
                <c:pt idx="526">
                  <c:v>-55.010725943781139</c:v>
                </c:pt>
                <c:pt idx="527">
                  <c:v>-55.046175959137614</c:v>
                </c:pt>
                <c:pt idx="528">
                  <c:v>-55.080234782806059</c:v>
                </c:pt>
                <c:pt idx="529">
                  <c:v>-55.112949509155278</c:v>
                </c:pt>
                <c:pt idx="530">
                  <c:v>-55.144366203798214</c:v>
                </c:pt>
                <c:pt idx="531">
                  <c:v>-55.174529883128514</c:v>
                </c:pt>
                <c:pt idx="532">
                  <c:v>-55.203484497766915</c:v>
                </c:pt>
                <c:pt idx="533">
                  <c:v>-55.231272919726649</c:v>
                </c:pt>
                <c:pt idx="534">
                  <c:v>-55.25793693310932</c:v>
                </c:pt>
                <c:pt idx="535">
                  <c:v>-55.283517228128403</c:v>
                </c:pt>
                <c:pt idx="536">
                  <c:v>-55.308053398258565</c:v>
                </c:pt>
                <c:pt idx="537">
                  <c:v>-55.33158394030518</c:v>
                </c:pt>
                <c:pt idx="538">
                  <c:v>-55.354146257188113</c:v>
                </c:pt>
                <c:pt idx="539">
                  <c:v>-55.375776663236842</c:v>
                </c:pt>
                <c:pt idx="540">
                  <c:v>-55.39651039179634</c:v>
                </c:pt>
                <c:pt idx="541">
                  <c:v>-55.416381604944533</c:v>
                </c:pt>
              </c:numCache>
            </c:numRef>
          </c:yVal>
          <c:smooth val="1"/>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90.220882447690855</c:v>
                </c:pt>
                <c:pt idx="1">
                  <c:v>90.22602664164522</c:v>
                </c:pt>
                <c:pt idx="2">
                  <c:v>90.231290600687487</c:v>
                </c:pt>
                <c:pt idx="3">
                  <c:v>90.236677110315938</c:v>
                </c:pt>
                <c:pt idx="4">
                  <c:v>90.242189020611903</c:v>
                </c:pt>
                <c:pt idx="5">
                  <c:v>90.247829247722734</c:v>
                </c:pt>
                <c:pt idx="6">
                  <c:v>90.25360077537772</c:v>
                </c:pt>
                <c:pt idx="7">
                  <c:v>90.259506656437722</c:v>
                </c:pt>
                <c:pt idx="8">
                  <c:v>90.265550014479047</c:v>
                </c:pt>
                <c:pt idx="9">
                  <c:v>90.271734045412543</c:v>
                </c:pt>
                <c:pt idx="10">
                  <c:v>90.27806201913809</c:v>
                </c:pt>
                <c:pt idx="11">
                  <c:v>90.284537281235757</c:v>
                </c:pt>
                <c:pt idx="12">
                  <c:v>90.291163254693885</c:v>
                </c:pt>
                <c:pt idx="13">
                  <c:v>90.297943441674917</c:v>
                </c:pt>
                <c:pt idx="14">
                  <c:v>90.304881425319834</c:v>
                </c:pt>
                <c:pt idx="15">
                  <c:v>90.311980871591686</c:v>
                </c:pt>
                <c:pt idx="16">
                  <c:v>90.31924553115897</c:v>
                </c:pt>
                <c:pt idx="17">
                  <c:v>90.326679241319752</c:v>
                </c:pt>
                <c:pt idx="18">
                  <c:v>90.334285927967002</c:v>
                </c:pt>
                <c:pt idx="19">
                  <c:v>90.34206960759596</c:v>
                </c:pt>
                <c:pt idx="20">
                  <c:v>90.350034389354263</c:v>
                </c:pt>
                <c:pt idx="21">
                  <c:v>90.358184477135609</c:v>
                </c:pt>
                <c:pt idx="22">
                  <c:v>90.366524171717415</c:v>
                </c:pt>
                <c:pt idx="23">
                  <c:v>90.375057872943472</c:v>
                </c:pt>
                <c:pt idx="24">
                  <c:v>90.383790081951986</c:v>
                </c:pt>
                <c:pt idx="25">
                  <c:v>90.392725403450115</c:v>
                </c:pt>
                <c:pt idx="26">
                  <c:v>90.401868548035168</c:v>
                </c:pt>
                <c:pt idx="27">
                  <c:v>90.411224334563414</c:v>
                </c:pt>
                <c:pt idx="28">
                  <c:v>90.420797692567263</c:v>
                </c:pt>
                <c:pt idx="29">
                  <c:v>90.430593664721073</c:v>
                </c:pt>
                <c:pt idx="30">
                  <c:v>90.440617409356477</c:v>
                </c:pt>
                <c:pt idx="31">
                  <c:v>90.450874203027908</c:v>
                </c:pt>
                <c:pt idx="32">
                  <c:v>90.461369443128362</c:v>
                </c:pt>
                <c:pt idx="33">
                  <c:v>90.472108650556606</c:v>
                </c:pt>
                <c:pt idx="34">
                  <c:v>90.483097472435745</c:v>
                </c:pt>
                <c:pt idx="35">
                  <c:v>90.494341684883949</c:v>
                </c:pt>
                <c:pt idx="36">
                  <c:v>90.505847195837745</c:v>
                </c:pt>
                <c:pt idx="37">
                  <c:v>90.517620047927821</c:v>
                </c:pt>
                <c:pt idx="38">
                  <c:v>90.529666421408365</c:v>
                </c:pt>
                <c:pt idx="39">
                  <c:v>90.541992637139444</c:v>
                </c:pt>
                <c:pt idx="40">
                  <c:v>90.554605159623222</c:v>
                </c:pt>
                <c:pt idx="41">
                  <c:v>90.567510600093712</c:v>
                </c:pt>
                <c:pt idx="42">
                  <c:v>90.580715719660404</c:v>
                </c:pt>
                <c:pt idx="43">
                  <c:v>90.594227432505434</c:v>
                </c:pt>
                <c:pt idx="44">
                  <c:v>90.60805280913452</c:v>
                </c:pt>
                <c:pt idx="45">
                  <c:v>90.622199079681039</c:v>
                </c:pt>
                <c:pt idx="46">
                  <c:v>90.636673637263243</c:v>
                </c:pt>
                <c:pt idx="47">
                  <c:v>90.651484041393928</c:v>
                </c:pt>
                <c:pt idx="48">
                  <c:v>90.666638021442026</c:v>
                </c:pt>
                <c:pt idx="49">
                  <c:v>90.682143480145442</c:v>
                </c:pt>
                <c:pt idx="50">
                  <c:v>90.698008497174172</c:v>
                </c:pt>
                <c:pt idx="51">
                  <c:v>90.714241332742674</c:v>
                </c:pt>
                <c:pt idx="52">
                  <c:v>90.730850431270269</c:v>
                </c:pt>
                <c:pt idx="53">
                  <c:v>90.747844425087976</c:v>
                </c:pt>
                <c:pt idx="54">
                  <c:v>90.765232138190669</c:v>
                </c:pt>
                <c:pt idx="55">
                  <c:v>90.78302259003172</c:v>
                </c:pt>
                <c:pt idx="56">
                  <c:v>90.801224999359164</c:v>
                </c:pt>
                <c:pt idx="57">
                  <c:v>90.819848788089971</c:v>
                </c:pt>
                <c:pt idx="58">
                  <c:v>90.838903585220436</c:v>
                </c:pt>
                <c:pt idx="59">
                  <c:v>90.858399230769351</c:v>
                </c:pt>
                <c:pt idx="60">
                  <c:v>90.878345779750802</c:v>
                </c:pt>
                <c:pt idx="61">
                  <c:v>90.898753506172753</c:v>
                </c:pt>
                <c:pt idx="62">
                  <c:v>90.919632907057462</c:v>
                </c:pt>
                <c:pt idx="63">
                  <c:v>90.940994706479245</c:v>
                </c:pt>
                <c:pt idx="64">
                  <c:v>90.962849859614607</c:v>
                </c:pt>
                <c:pt idx="65">
                  <c:v>90.985209556799205</c:v>
                </c:pt>
                <c:pt idx="66">
                  <c:v>91.008085227585838</c:v>
                </c:pt>
                <c:pt idx="67">
                  <c:v>91.031488544797142</c:v>
                </c:pt>
                <c:pt idx="68">
                  <c:v>91.055431428565257</c:v>
                </c:pt>
                <c:pt idx="69">
                  <c:v>91.079926050351432</c:v>
                </c:pt>
                <c:pt idx="70">
                  <c:v>91.104984836936922</c:v>
                </c:pt>
                <c:pt idx="71">
                  <c:v>91.130620474375405</c:v>
                </c:pt>
                <c:pt idx="72">
                  <c:v>91.156845911898216</c:v>
                </c:pt>
                <c:pt idx="73">
                  <c:v>91.183674365760183</c:v>
                </c:pt>
                <c:pt idx="74">
                  <c:v>91.211119323015183</c:v>
                </c:pt>
                <c:pt idx="75">
                  <c:v>91.239194545208989</c:v>
                </c:pt>
                <c:pt idx="76">
                  <c:v>91.267914071974403</c:v>
                </c:pt>
                <c:pt idx="77">
                  <c:v>91.29729222451553</c:v>
                </c:pt>
                <c:pt idx="78">
                  <c:v>91.327343608963645</c:v>
                </c:pt>
                <c:pt idx="79">
                  <c:v>91.358083119588571</c:v>
                </c:pt>
                <c:pt idx="80">
                  <c:v>91.389525941846017</c:v>
                </c:pt>
                <c:pt idx="81">
                  <c:v>91.421687555241306</c:v>
                </c:pt>
                <c:pt idx="82">
                  <c:v>91.454583735987995</c:v>
                </c:pt>
                <c:pt idx="83">
                  <c:v>91.48823055943744</c:v>
                </c:pt>
                <c:pt idx="84">
                  <c:v>91.522644402255182</c:v>
                </c:pt>
                <c:pt idx="85">
                  <c:v>91.557841944316721</c:v>
                </c:pt>
                <c:pt idx="86">
                  <c:v>91.593840170293959</c:v>
                </c:pt>
                <c:pt idx="87">
                  <c:v>91.630656370901548</c:v>
                </c:pt>
                <c:pt idx="88">
                  <c:v>91.668308143769877</c:v>
                </c:pt>
                <c:pt idx="89">
                  <c:v>91.706813393909059</c:v>
                </c:pt>
                <c:pt idx="90">
                  <c:v>91.746190333726062</c:v>
                </c:pt>
                <c:pt idx="91">
                  <c:v>91.786457482554184</c:v>
                </c:pt>
                <c:pt idx="92">
                  <c:v>91.827633665651064</c:v>
                </c:pt>
                <c:pt idx="93">
                  <c:v>91.869738012619521</c:v>
                </c:pt>
                <c:pt idx="94">
                  <c:v>91.912789955200111</c:v>
                </c:pt>
                <c:pt idx="95">
                  <c:v>91.956809224383846</c:v>
                </c:pt>
                <c:pt idx="96">
                  <c:v>92.001815846787366</c:v>
                </c:pt>
                <c:pt idx="97">
                  <c:v>92.047830140230701</c:v>
                </c:pt>
                <c:pt idx="98">
                  <c:v>92.094872708453408</c:v>
                </c:pt>
                <c:pt idx="99">
                  <c:v>92.142964434900307</c:v>
                </c:pt>
                <c:pt idx="100">
                  <c:v>92.192126475504324</c:v>
                </c:pt>
                <c:pt idx="101">
                  <c:v>92.242380250388948</c:v>
                </c:pt>
                <c:pt idx="102">
                  <c:v>92.293747434408345</c:v>
                </c:pt>
                <c:pt idx="103">
                  <c:v>92.346249946437112</c:v>
                </c:pt>
                <c:pt idx="104">
                  <c:v>92.399909937318597</c:v>
                </c:pt>
                <c:pt idx="105">
                  <c:v>92.454749776372196</c:v>
                </c:pt>
                <c:pt idx="106">
                  <c:v>92.510792036357103</c:v>
                </c:pt>
                <c:pt idx="107">
                  <c:v>92.568059476781784</c:v>
                </c:pt>
                <c:pt idx="108">
                  <c:v>92.626575025444438</c:v>
                </c:pt>
                <c:pt idx="109">
                  <c:v>92.686361758080864</c:v>
                </c:pt>
                <c:pt idx="110">
                  <c:v>92.747442875991069</c:v>
                </c:pt>
                <c:pt idx="111">
                  <c:v>92.809841681509241</c:v>
                </c:pt>
                <c:pt idx="112">
                  <c:v>92.873581551173103</c:v>
                </c:pt>
                <c:pt idx="113">
                  <c:v>92.938685906443766</c:v>
                </c:pt>
                <c:pt idx="114">
                  <c:v>93.005178181816788</c:v>
                </c:pt>
                <c:pt idx="115">
                  <c:v>93.0730817901606</c:v>
                </c:pt>
                <c:pt idx="116">
                  <c:v>93.142420085109151</c:v>
                </c:pt>
                <c:pt idx="117">
                  <c:v>93.213216320327817</c:v>
                </c:pt>
                <c:pt idx="118">
                  <c:v>93.285493605464836</c:v>
                </c:pt>
                <c:pt idx="119">
                  <c:v>93.359274858592912</c:v>
                </c:pt>
                <c:pt idx="120">
                  <c:v>93.434582754935505</c:v>
                </c:pt>
                <c:pt idx="121">
                  <c:v>93.511439671670146</c:v>
                </c:pt>
                <c:pt idx="122">
                  <c:v>93.589867628587342</c:v>
                </c:pt>
                <c:pt idx="123">
                  <c:v>93.669888224382873</c:v>
                </c:pt>
                <c:pt idx="124">
                  <c:v>93.751522568350282</c:v>
                </c:pt>
                <c:pt idx="125">
                  <c:v>93.834791207237458</c:v>
                </c:pt>
                <c:pt idx="126">
                  <c:v>93.919714047024613</c:v>
                </c:pt>
                <c:pt idx="127">
                  <c:v>94.006310269376598</c:v>
                </c:pt>
                <c:pt idx="128">
                  <c:v>94.094598242518842</c:v>
                </c:pt>
                <c:pt idx="129">
                  <c:v>94.18459542628618</c:v>
                </c:pt>
                <c:pt idx="130">
                  <c:v>94.276318271088442</c:v>
                </c:pt>
                <c:pt idx="131">
                  <c:v>94.369782110541664</c:v>
                </c:pt>
                <c:pt idx="132">
                  <c:v>94.465001047512985</c:v>
                </c:pt>
                <c:pt idx="133">
                  <c:v>94.561987833333419</c:v>
                </c:pt>
                <c:pt idx="134">
                  <c:v>94.660753739938571</c:v>
                </c:pt>
                <c:pt idx="135">
                  <c:v>94.761308424705646</c:v>
                </c:pt>
                <c:pt idx="136">
                  <c:v>94.863659787768924</c:v>
                </c:pt>
                <c:pt idx="137">
                  <c:v>94.967813821608175</c:v>
                </c:pt>
                <c:pt idx="138">
                  <c:v>95.073774452726923</c:v>
                </c:pt>
                <c:pt idx="139">
                  <c:v>95.181543375256084</c:v>
                </c:pt>
                <c:pt idx="140">
                  <c:v>95.291119876346571</c:v>
                </c:pt>
                <c:pt idx="141">
                  <c:v>95.402500653248282</c:v>
                </c:pt>
                <c:pt idx="142">
                  <c:v>95.515679622003248</c:v>
                </c:pt>
                <c:pt idx="143">
                  <c:v>95.630647717730071</c:v>
                </c:pt>
                <c:pt idx="144">
                  <c:v>95.747392686516477</c:v>
                </c:pt>
                <c:pt idx="145">
                  <c:v>95.865898868997292</c:v>
                </c:pt>
                <c:pt idx="146">
                  <c:v>95.98614697574962</c:v>
                </c:pt>
                <c:pt idx="147">
                  <c:v>96.108113854709472</c:v>
                </c:pt>
                <c:pt idx="148">
                  <c:v>96.231772250883736</c:v>
                </c:pt>
                <c:pt idx="149">
                  <c:v>96.35709055871628</c:v>
                </c:pt>
                <c:pt idx="150">
                  <c:v>96.484032567556397</c:v>
                </c:pt>
                <c:pt idx="151">
                  <c:v>96.612557200774305</c:v>
                </c:pt>
                <c:pt idx="152">
                  <c:v>96.742618249174399</c:v>
                </c:pt>
                <c:pt idx="153">
                  <c:v>96.87416409947231</c:v>
                </c:pt>
                <c:pt idx="154">
                  <c:v>97.007137458721985</c:v>
                </c:pt>
                <c:pt idx="155">
                  <c:v>97.141475075707135</c:v>
                </c:pt>
                <c:pt idx="156">
                  <c:v>97.277107460452044</c:v>
                </c:pt>
                <c:pt idx="157">
                  <c:v>97.413958603146284</c:v>
                </c:pt>
                <c:pt idx="158">
                  <c:v>97.551945693928687</c:v>
                </c:pt>
                <c:pt idx="159">
                  <c:v>97.690978845131198</c:v>
                </c:pt>
                <c:pt idx="160">
                  <c:v>97.830960817740646</c:v>
                </c:pt>
                <c:pt idx="161">
                  <c:v>97.971786753996639</c:v>
                </c:pt>
                <c:pt idx="162">
                  <c:v>98.113343918208997</c:v>
                </c:pt>
                <c:pt idx="163">
                  <c:v>98.255511448034099</c:v>
                </c:pt>
                <c:pt idx="164">
                  <c:v>98.398160118610747</c:v>
                </c:pt>
                <c:pt idx="165">
                  <c:v>98.541152122107135</c:v>
                </c:pt>
                <c:pt idx="166">
                  <c:v>98.684340865373414</c:v>
                </c:pt>
                <c:pt idx="167">
                  <c:v>98.827570788528107</c:v>
                </c:pt>
                <c:pt idx="168">
                  <c:v>98.970677207424345</c:v>
                </c:pt>
                <c:pt idx="169">
                  <c:v>99.113486183040038</c:v>
                </c:pt>
                <c:pt idx="170">
                  <c:v>99.255814420919933</c:v>
                </c:pt>
                <c:pt idx="171">
                  <c:v>99.397469203845958</c:v>
                </c:pt>
                <c:pt idx="172">
                  <c:v>99.53824836094077</c:v>
                </c:pt>
                <c:pt idx="173">
                  <c:v>99.677940276402779</c:v>
                </c:pt>
                <c:pt idx="174">
                  <c:v>99.816323941022787</c:v>
                </c:pt>
                <c:pt idx="175">
                  <c:v>99.953169049556678</c:v>
                </c:pt>
                <c:pt idx="176">
                  <c:v>100.08823614689501</c:v>
                </c:pt>
                <c:pt idx="177">
                  <c:v>100.22127682580401</c:v>
                </c:pt>
                <c:pt idx="178">
                  <c:v>100.35203397878873</c:v>
                </c:pt>
                <c:pt idx="179">
                  <c:v>100.4802421063627</c:v>
                </c:pt>
                <c:pt idx="180">
                  <c:v>100.60562768368128</c:v>
                </c:pt>
                <c:pt idx="181">
                  <c:v>100.72790958712741</c:v>
                </c:pt>
                <c:pt idx="182">
                  <c:v>100.84679958201031</c:v>
                </c:pt>
                <c:pt idx="183">
                  <c:v>100.96200287206382</c:v>
                </c:pt>
                <c:pt idx="184">
                  <c:v>101.07321871090866</c:v>
                </c:pt>
                <c:pt idx="185">
                  <c:v>101.18014107507382</c:v>
                </c:pt>
                <c:pt idx="186">
                  <c:v>101.28245939756889</c:v>
                </c:pt>
                <c:pt idx="187">
                  <c:v>101.37985936035645</c:v>
                </c:pt>
                <c:pt idx="188">
                  <c:v>101.47202374340694</c:v>
                </c:pt>
                <c:pt idx="189">
                  <c:v>101.55863332733452</c:v>
                </c:pt>
                <c:pt idx="190">
                  <c:v>101.63936784590861</c:v>
                </c:pt>
                <c:pt idx="191">
                  <c:v>101.71390698404963</c:v>
                </c:pt>
                <c:pt idx="192">
                  <c:v>101.78193141621587</c:v>
                </c:pt>
                <c:pt idx="193">
                  <c:v>101.84312387943685</c:v>
                </c:pt>
                <c:pt idx="194">
                  <c:v>101.89717027459832</c:v>
                </c:pt>
                <c:pt idx="195">
                  <c:v>101.94376078900568</c:v>
                </c:pt>
                <c:pt idx="196">
                  <c:v>101.98259103270425</c:v>
                </c:pt>
                <c:pt idx="197">
                  <c:v>102.0133631805722</c:v>
                </c:pt>
                <c:pt idx="198">
                  <c:v>102.03578711180218</c:v>
                </c:pt>
                <c:pt idx="199">
                  <c:v>102.04958153807316</c:v>
                </c:pt>
                <c:pt idx="200">
                  <c:v>102.05447511150621</c:v>
                </c:pt>
                <c:pt idx="201">
                  <c:v>102.05020750337292</c:v>
                </c:pt>
                <c:pt idx="202">
                  <c:v>102.03653044452098</c:v>
                </c:pt>
                <c:pt idx="203">
                  <c:v>102.01320871857462</c:v>
                </c:pt>
                <c:pt idx="204">
                  <c:v>101.98002109918966</c:v>
                </c:pt>
                <c:pt idx="205">
                  <c:v>101.93676122295474</c:v>
                </c:pt>
                <c:pt idx="206">
                  <c:v>101.88323838997728</c:v>
                </c:pt>
                <c:pt idx="207">
                  <c:v>101.81927828472747</c:v>
                </c:pt>
                <c:pt idx="208">
                  <c:v>101.74472361035831</c:v>
                </c:pt>
                <c:pt idx="209">
                  <c:v>101.65943463045986</c:v>
                </c:pt>
                <c:pt idx="210">
                  <c:v>101.56328961302493</c:v>
                </c:pt>
                <c:pt idx="211">
                  <c:v>101.45618517230048</c:v>
                </c:pt>
                <c:pt idx="212">
                  <c:v>101.33803650516306</c:v>
                </c:pt>
                <c:pt idx="213">
                  <c:v>101.20877751965448</c:v>
                </c:pt>
                <c:pt idx="214">
                  <c:v>101.06836085436468</c:v>
                </c:pt>
                <c:pt idx="215">
                  <c:v>100.91675778840828</c:v>
                </c:pt>
                <c:pt idx="216">
                  <c:v>100.7539580428063</c:v>
                </c:pt>
                <c:pt idx="217">
                  <c:v>100.57996947514702</c:v>
                </c:pt>
                <c:pt idx="218">
                  <c:v>100.3948176704274</c:v>
                </c:pt>
                <c:pt idx="219">
                  <c:v>100.19854543196642</c:v>
                </c:pt>
                <c:pt idx="220">
                  <c:v>99.991212177225464</c:v>
                </c:pt>
                <c:pt idx="221">
                  <c:v>99.772893244240876</c:v>
                </c:pt>
                <c:pt idx="222">
                  <c:v>99.543679115159776</c:v>
                </c:pt>
                <c:pt idx="223">
                  <c:v>99.303674564089093</c:v>
                </c:pt>
                <c:pt idx="224">
                  <c:v>99.05299773706129</c:v>
                </c:pt>
                <c:pt idx="225">
                  <c:v>98.791779172442887</c:v>
                </c:pt>
                <c:pt idx="226">
                  <c:v>98.520160770486271</c:v>
                </c:pt>
                <c:pt idx="227">
                  <c:v>98.238294721040305</c:v>
                </c:pt>
                <c:pt idx="228">
                  <c:v>97.946342398581422</c:v>
                </c:pt>
                <c:pt idx="229">
                  <c:v>97.644473233808355</c:v>
                </c:pt>
                <c:pt idx="230">
                  <c:v>97.332863570992913</c:v>
                </c:pt>
                <c:pt idx="231">
                  <c:v>97.011695520127844</c:v>
                </c:pt>
                <c:pt idx="232">
                  <c:v>96.681155812670283</c:v>
                </c:pt>
                <c:pt idx="233">
                  <c:v>96.341434669340288</c:v>
                </c:pt>
                <c:pt idx="234">
                  <c:v>95.992724688018583</c:v>
                </c:pt>
                <c:pt idx="235">
                  <c:v>95.635219759296021</c:v>
                </c:pt>
                <c:pt idx="236">
                  <c:v>95.269114016678955</c:v>
                </c:pt>
                <c:pt idx="237">
                  <c:v>94.894600827851789</c:v>
                </c:pt>
                <c:pt idx="238">
                  <c:v>94.511871832764953</c:v>
                </c:pt>
                <c:pt idx="239">
                  <c:v>94.12111603364734</c:v>
                </c:pt>
                <c:pt idx="240">
                  <c:v>93.722518941352092</c:v>
                </c:pt>
                <c:pt idx="241">
                  <c:v>93.3162617817772</c:v>
                </c:pt>
                <c:pt idx="242">
                  <c:v>92.90252076539042</c:v>
                </c:pt>
                <c:pt idx="243">
                  <c:v>92.481466422247962</c:v>
                </c:pt>
                <c:pt idx="244">
                  <c:v>92.053263004225158</c:v>
                </c:pt>
                <c:pt idx="245">
                  <c:v>91.618067955567426</c:v>
                </c:pt>
                <c:pt idx="246">
                  <c:v>91.17603145229225</c:v>
                </c:pt>
                <c:pt idx="247">
                  <c:v>90.72729601041928</c:v>
                </c:pt>
                <c:pt idx="248">
                  <c:v>90.27199616251545</c:v>
                </c:pt>
                <c:pt idx="249">
                  <c:v>89.810258201589491</c:v>
                </c:pt>
                <c:pt idx="250">
                  <c:v>89.342199990966876</c:v>
                </c:pt>
                <c:pt idx="251">
                  <c:v>88.867930838428961</c:v>
                </c:pt>
                <c:pt idx="252">
                  <c:v>88.387551432593824</c:v>
                </c:pt>
                <c:pt idx="253">
                  <c:v>87.901153839266527</c:v>
                </c:pt>
                <c:pt idx="254">
                  <c:v>87.408821555278962</c:v>
                </c:pt>
                <c:pt idx="255">
                  <c:v>86.910629617177747</c:v>
                </c:pt>
                <c:pt idx="256">
                  <c:v>86.406644762000255</c:v>
                </c:pt>
                <c:pt idx="257">
                  <c:v>85.896925637289499</c:v>
                </c:pt>
                <c:pt idx="258">
                  <c:v>85.381523057461834</c:v>
                </c:pt>
                <c:pt idx="259">
                  <c:v>84.860480303611453</c:v>
                </c:pt>
                <c:pt idx="260">
                  <c:v>84.333833463849146</c:v>
                </c:pt>
                <c:pt idx="261">
                  <c:v>83.801611811306159</c:v>
                </c:pt>
                <c:pt idx="262">
                  <c:v>83.263838216969418</c:v>
                </c:pt>
                <c:pt idx="263">
                  <c:v>82.720529594589777</c:v>
                </c:pt>
                <c:pt idx="264">
                  <c:v>82.171697374964751</c:v>
                </c:pt>
                <c:pt idx="265">
                  <c:v>81.617348006979228</c:v>
                </c:pt>
                <c:pt idx="266">
                  <c:v>81.057483482863802</c:v>
                </c:pt>
                <c:pt idx="267">
                  <c:v>80.492101885211767</c:v>
                </c:pt>
                <c:pt idx="268">
                  <c:v>79.921197953369386</c:v>
                </c:pt>
                <c:pt idx="269">
                  <c:v>79.344763666880056</c:v>
                </c:pt>
                <c:pt idx="270">
                  <c:v>78.762788843732991</c:v>
                </c:pt>
                <c:pt idx="271">
                  <c:v>78.175261751201106</c:v>
                </c:pt>
                <c:pt idx="272">
                  <c:v>77.582169727111804</c:v>
                </c:pt>
                <c:pt idx="273">
                  <c:v>76.983499809399675</c:v>
                </c:pt>
                <c:pt idx="274">
                  <c:v>76.379239371822166</c:v>
                </c:pt>
                <c:pt idx="275">
                  <c:v>75.769376763697423</c:v>
                </c:pt>
                <c:pt idx="276">
                  <c:v>75.153901951529036</c:v>
                </c:pt>
                <c:pt idx="277">
                  <c:v>74.532807160330321</c:v>
                </c:pt>
                <c:pt idx="278">
                  <c:v>73.906087512443364</c:v>
                </c:pt>
                <c:pt idx="279">
                  <c:v>73.273741661567527</c:v>
                </c:pt>
                <c:pt idx="280">
                  <c:v>72.635772419668214</c:v>
                </c:pt>
                <c:pt idx="281">
                  <c:v>71.992187374354984</c:v>
                </c:pt>
                <c:pt idx="282">
                  <c:v>71.342999494231776</c:v>
                </c:pt>
                <c:pt idx="283">
                  <c:v>70.688227719653469</c:v>
                </c:pt>
                <c:pt idx="284">
                  <c:v>70.027897536218831</c:v>
                </c:pt>
                <c:pt idx="285">
                  <c:v>69.362041528257961</c:v>
                </c:pt>
                <c:pt idx="286">
                  <c:v>68.690699909491059</c:v>
                </c:pt>
                <c:pt idx="287">
                  <c:v>68.013921027958091</c:v>
                </c:pt>
                <c:pt idx="288">
                  <c:v>67.33176184226366</c:v>
                </c:pt>
                <c:pt idx="289">
                  <c:v>66.644288366138269</c:v>
                </c:pt>
                <c:pt idx="290">
                  <c:v>65.951576078287275</c:v>
                </c:pt>
                <c:pt idx="291">
                  <c:v>65.253710294502284</c:v>
                </c:pt>
                <c:pt idx="292">
                  <c:v>64.550786499027183</c:v>
                </c:pt>
                <c:pt idx="293">
                  <c:v>63.842910632231671</c:v>
                </c:pt>
                <c:pt idx="294">
                  <c:v>63.130199331729273</c:v>
                </c:pt>
                <c:pt idx="295">
                  <c:v>62.412780124197582</c:v>
                </c:pt>
                <c:pt idx="296">
                  <c:v>61.690791565322286</c:v>
                </c:pt>
                <c:pt idx="297">
                  <c:v>60.964383325489791</c:v>
                </c:pt>
                <c:pt idx="298">
                  <c:v>60.233716219083469</c:v>
                </c:pt>
                <c:pt idx="299">
                  <c:v>59.498962175538459</c:v>
                </c:pt>
                <c:pt idx="300">
                  <c:v>58.760304150616292</c:v>
                </c:pt>
                <c:pt idx="301">
                  <c:v>58.01793597673695</c:v>
                </c:pt>
                <c:pt idx="302">
                  <c:v>57.27206215159805</c:v>
                </c:pt>
                <c:pt idx="303">
                  <c:v>56.522897564747687</c:v>
                </c:pt>
                <c:pt idx="304">
                  <c:v>55.770667162245644</c:v>
                </c:pt>
                <c:pt idx="305">
                  <c:v>55.015605550028127</c:v>
                </c:pt>
                <c:pt idx="306">
                  <c:v>54.257956537111887</c:v>
                </c:pt>
                <c:pt idx="307">
                  <c:v>53.497972620285324</c:v>
                </c:pt>
                <c:pt idx="308">
                  <c:v>52.735914412466201</c:v>
                </c:pt>
                <c:pt idx="309">
                  <c:v>51.972050017430298</c:v>
                </c:pt>
                <c:pt idx="310">
                  <c:v>51.206654354127288</c:v>
                </c:pt>
                <c:pt idx="311">
                  <c:v>50.440008434300417</c:v>
                </c:pt>
                <c:pt idx="312">
                  <c:v>49.672398597589769</c:v>
                </c:pt>
                <c:pt idx="313">
                  <c:v>48.904115708739553</c:v>
                </c:pt>
                <c:pt idx="314">
                  <c:v>48.135454321909116</c:v>
                </c:pt>
                <c:pt idx="315">
                  <c:v>47.366711817451055</c:v>
                </c:pt>
                <c:pt idx="316">
                  <c:v>46.598187516766814</c:v>
                </c:pt>
                <c:pt idx="317">
                  <c:v>45.830181781117481</c:v>
                </c:pt>
                <c:pt idx="318">
                  <c:v>45.062995100387511</c:v>
                </c:pt>
                <c:pt idx="319">
                  <c:v>44.296927177901296</c:v>
                </c:pt>
                <c:pt idx="320">
                  <c:v>43.532276017417878</c:v>
                </c:pt>
                <c:pt idx="321">
                  <c:v>42.769337018348757</c:v>
                </c:pt>
                <c:pt idx="322">
                  <c:v>42.008402085149058</c:v>
                </c:pt>
                <c:pt idx="323">
                  <c:v>41.249758756610746</c:v>
                </c:pt>
                <c:pt idx="324">
                  <c:v>40.493689360548629</c:v>
                </c:pt>
                <c:pt idx="325">
                  <c:v>39.740470199041106</c:v>
                </c:pt>
                <c:pt idx="326">
                  <c:v>38.990370769020586</c:v>
                </c:pt>
                <c:pt idx="327">
                  <c:v>38.243653022585057</c:v>
                </c:pt>
                <c:pt idx="328">
                  <c:v>37.500570670953373</c:v>
                </c:pt>
                <c:pt idx="329">
                  <c:v>36.761368535479242</c:v>
                </c:pt>
                <c:pt idx="330">
                  <c:v>36.02628194864613</c:v>
                </c:pt>
                <c:pt idx="331">
                  <c:v>35.295536207418941</c:v>
                </c:pt>
                <c:pt idx="332">
                  <c:v>34.569346080803506</c:v>
                </c:pt>
                <c:pt idx="333">
                  <c:v>33.847915372920866</c:v>
                </c:pt>
                <c:pt idx="334">
                  <c:v>33.131436542395043</c:v>
                </c:pt>
                <c:pt idx="335">
                  <c:v>32.420090378320971</c:v>
                </c:pt>
                <c:pt idx="336">
                  <c:v>31.714045732617912</c:v>
                </c:pt>
                <c:pt idx="337">
                  <c:v>31.013459308093562</c:v>
                </c:pt>
                <c:pt idx="338">
                  <c:v>30.318475501139027</c:v>
                </c:pt>
                <c:pt idx="339">
                  <c:v>29.629226297571616</c:v>
                </c:pt>
                <c:pt idx="340">
                  <c:v>28.945831219806948</c:v>
                </c:pt>
                <c:pt idx="341">
                  <c:v>28.268397323226282</c:v>
                </c:pt>
                <c:pt idx="342">
                  <c:v>27.597019239354143</c:v>
                </c:pt>
                <c:pt idx="343">
                  <c:v>26.931779263233974</c:v>
                </c:pt>
                <c:pt idx="344">
                  <c:v>26.272747482215951</c:v>
                </c:pt>
                <c:pt idx="345">
                  <c:v>25.619981943246867</c:v>
                </c:pt>
                <c:pt idx="346">
                  <c:v>24.97352885565088</c:v>
                </c:pt>
                <c:pt idx="347">
                  <c:v>24.33342282634203</c:v>
                </c:pt>
                <c:pt idx="348">
                  <c:v>23.699687124389296</c:v>
                </c:pt>
                <c:pt idx="349">
                  <c:v>23.072333971877647</c:v>
                </c:pt>
                <c:pt idx="350">
                  <c:v>22.451364858047803</c:v>
                </c:pt>
                <c:pt idx="351">
                  <c:v>21.836770873772302</c:v>
                </c:pt>
                <c:pt idx="352">
                  <c:v>21.228533063529028</c:v>
                </c:pt>
                <c:pt idx="353">
                  <c:v>20.626622792140662</c:v>
                </c:pt>
                <c:pt idx="354">
                  <c:v>20.03100212368718</c:v>
                </c:pt>
                <c:pt idx="355">
                  <c:v>19.441624210149836</c:v>
                </c:pt>
                <c:pt idx="356">
                  <c:v>18.858433687496291</c:v>
                </c:pt>
                <c:pt idx="357">
                  <c:v>18.281367077088799</c:v>
                </c:pt>
                <c:pt idx="358">
                  <c:v>17.710353190465884</c:v>
                </c:pt>
                <c:pt idx="359">
                  <c:v>17.145313535726608</c:v>
                </c:pt>
                <c:pt idx="360">
                  <c:v>16.586162723916299</c:v>
                </c:pt>
                <c:pt idx="361">
                  <c:v>16.032808873994469</c:v>
                </c:pt>
                <c:pt idx="362">
                  <c:v>15.485154015131192</c:v>
                </c:pt>
                <c:pt idx="363">
                  <c:v>14.943094485250674</c:v>
                </c:pt>
                <c:pt idx="364">
                  <c:v>14.406521324898616</c:v>
                </c:pt>
                <c:pt idx="365">
                  <c:v>13.875320665672414</c:v>
                </c:pt>
                <c:pt idx="366">
                  <c:v>13.349374112595756</c:v>
                </c:pt>
                <c:pt idx="367">
                  <c:v>12.828559119965108</c:v>
                </c:pt>
                <c:pt idx="368">
                  <c:v>12.31274936032457</c:v>
                </c:pt>
                <c:pt idx="369">
                  <c:v>11.801815086356681</c:v>
                </c:pt>
                <c:pt idx="370">
                  <c:v>11.295623485585315</c:v>
                </c:pt>
                <c:pt idx="371">
                  <c:v>10.794039027900119</c:v>
                </c:pt>
                <c:pt idx="372">
                  <c:v>10.296923806006326</c:v>
                </c:pt>
                <c:pt idx="373">
                  <c:v>9.8041378689981471</c:v>
                </c:pt>
                <c:pt idx="374">
                  <c:v>9.3155395493309605</c:v>
                </c:pt>
                <c:pt idx="375">
                  <c:v>8.8309857835446017</c:v>
                </c:pt>
                <c:pt idx="376">
                  <c:v>8.3503324271532939</c:v>
                </c:pt>
                <c:pt idx="377">
                  <c:v>7.873434564175624</c:v>
                </c:pt>
                <c:pt idx="378">
                  <c:v>7.4001468118283604</c:v>
                </c:pt>
                <c:pt idx="379">
                  <c:v>6.9303236209499124</c:v>
                </c:pt>
                <c:pt idx="380">
                  <c:v>6.4638195727544332</c:v>
                </c:pt>
                <c:pt idx="381">
                  <c:v>6.0004896725469603</c:v>
                </c:pt>
                <c:pt idx="382">
                  <c:v>5.5401896410502633</c:v>
                </c:pt>
                <c:pt idx="383">
                  <c:v>5.0827762040108144</c:v>
                </c:pt>
                <c:pt idx="384">
                  <c:v>4.6281073807581601</c:v>
                </c:pt>
                <c:pt idx="385">
                  <c:v>4.1760427723947755</c:v>
                </c:pt>
                <c:pt idx="386">
                  <c:v>3.7264438502903268</c:v>
                </c:pt>
                <c:pt idx="387">
                  <c:v>3.2791742455415545</c:v>
                </c:pt>
                <c:pt idx="388">
                  <c:v>2.8341000400426291</c:v>
                </c:pt>
                <c:pt idx="389">
                  <c:v>2.391090059787047</c:v>
                </c:pt>
                <c:pt idx="390">
                  <c:v>1.9500161709939878</c:v>
                </c:pt>
                <c:pt idx="391">
                  <c:v>1.5107535796082481</c:v>
                </c:pt>
                <c:pt idx="392">
                  <c:v>1.0731811346862672</c:v>
                </c:pt>
                <c:pt idx="393">
                  <c:v>0.63718163612453427</c:v>
                </c:pt>
                <c:pt idx="394">
                  <c:v>0.20264214712796511</c:v>
                </c:pt>
                <c:pt idx="395">
                  <c:v>-0.23054568825062532</c:v>
                </c:pt>
                <c:pt idx="396">
                  <c:v>-0.66248532224291512</c:v>
                </c:pt>
                <c:pt idx="397">
                  <c:v>-1.0932749749967121</c:v>
                </c:pt>
                <c:pt idx="398">
                  <c:v>-1.5230073006265175</c:v>
                </c:pt>
                <c:pt idx="399">
                  <c:v>-1.9517690477009937</c:v>
                </c:pt>
                <c:pt idx="400">
                  <c:v>-2.379640714296813</c:v>
                </c:pt>
                <c:pt idx="401">
                  <c:v>-2.8066961978646052</c:v>
                </c:pt>
                <c:pt idx="402">
                  <c:v>-3.2330024402824438</c:v>
                </c:pt>
                <c:pt idx="403">
                  <c:v>-3.6586190686054434</c:v>
                </c:pt>
                <c:pt idx="404">
                  <c:v>-4.0835980321680081</c:v>
                </c:pt>
                <c:pt idx="405">
                  <c:v>-4.5079832368448516</c:v>
                </c:pt>
                <c:pt idx="406">
                  <c:v>-4.9318101774428262</c:v>
                </c:pt>
                <c:pt idx="407">
                  <c:v>-5.3551055693579324</c:v>
                </c:pt>
                <c:pt idx="408">
                  <c:v>-5.7778869808149276</c:v>
                </c:pt>
                <c:pt idx="409">
                  <c:v>-6.2001624671783624</c:v>
                </c:pt>
                <c:pt idx="410">
                  <c:v>-6.6219302090163863</c:v>
                </c:pt>
                <c:pt idx="411">
                  <c:v>-7.0431781557823303</c:v>
                </c:pt>
                <c:pt idx="412">
                  <c:v>-7.4638836771682824</c:v>
                </c:pt>
                <c:pt idx="413">
                  <c:v>-7.8840132243730432</c:v>
                </c:pt>
                <c:pt idx="414">
                  <c:v>-8.3035220037111053</c:v>
                </c:pt>
                <c:pt idx="415">
                  <c:v>-8.7223536651712283</c:v>
                </c:pt>
                <c:pt idx="416">
                  <c:v>-9.1404400086971602</c:v>
                </c:pt>
                <c:pt idx="417">
                  <c:v>-9.5577007111315915</c:v>
                </c:pt>
                <c:pt idx="418">
                  <c:v>-9.9740430769027046</c:v>
                </c:pt>
                <c:pt idx="419">
                  <c:v>-10.38936181566376</c:v>
                </c:pt>
                <c:pt idx="420">
                  <c:v>-10.803538850201999</c:v>
                </c:pt>
                <c:pt idx="421">
                  <c:v>-11.216443158014634</c:v>
                </c:pt>
                <c:pt idx="422">
                  <c:v>-11.627930650002721</c:v>
                </c:pt>
                <c:pt idx="423">
                  <c:v>-12.037844089760974</c:v>
                </c:pt>
                <c:pt idx="424">
                  <c:v>-12.446013056917087</c:v>
                </c:pt>
                <c:pt idx="425">
                  <c:v>-12.852253957939951</c:v>
                </c:pt>
                <c:pt idx="426">
                  <c:v>-13.256370087727722</c:v>
                </c:pt>
                <c:pt idx="427">
                  <c:v>-13.658151745163002</c:v>
                </c:pt>
                <c:pt idx="428">
                  <c:v>-14.057376405633196</c:v>
                </c:pt>
                <c:pt idx="429">
                  <c:v>-14.453808953298365</c:v>
                </c:pt>
                <c:pt idx="430">
                  <c:v>-14.847201975596176</c:v>
                </c:pt>
                <c:pt idx="431">
                  <c:v>-15.237296122170145</c:v>
                </c:pt>
                <c:pt idx="432">
                  <c:v>-15.623820530022648</c:v>
                </c:pt>
                <c:pt idx="433">
                  <c:v>-16.006493316290328</c:v>
                </c:pt>
                <c:pt idx="434">
                  <c:v>-16.385022139577394</c:v>
                </c:pt>
                <c:pt idx="435">
                  <c:v>-16.759104830285711</c:v>
                </c:pt>
                <c:pt idx="436">
                  <c:v>-17.128430089856664</c:v>
                </c:pt>
                <c:pt idx="437">
                  <c:v>-17.492678258270736</c:v>
                </c:pt>
                <c:pt idx="438">
                  <c:v>-17.851522148576045</c:v>
                </c:pt>
                <c:pt idx="439">
                  <c:v>-18.204627946611069</c:v>
                </c:pt>
                <c:pt idx="440">
                  <c:v>-18.551656173480605</c:v>
                </c:pt>
                <c:pt idx="441">
                  <c:v>-18.892262707735181</c:v>
                </c:pt>
                <c:pt idx="442">
                  <c:v>-19.226099863593173</c:v>
                </c:pt>
                <c:pt idx="443">
                  <c:v>-19.552817520966382</c:v>
                </c:pt>
                <c:pt idx="444">
                  <c:v>-19.872064302474531</c:v>
                </c:pt>
                <c:pt idx="445">
                  <c:v>-20.183488792106978</c:v>
                </c:pt>
                <c:pt idx="446">
                  <c:v>-20.486740789689016</c:v>
                </c:pt>
                <c:pt idx="447">
                  <c:v>-20.781472594865349</c:v>
                </c:pt>
                <c:pt idx="448">
                  <c:v>-21.067340313915114</c:v>
                </c:pt>
                <c:pt idx="449">
                  <c:v>-21.344005182370246</c:v>
                </c:pt>
                <c:pt idx="450">
                  <c:v>-21.611134896137536</c:v>
                </c:pt>
                <c:pt idx="451">
                  <c:v>-21.868404943609328</c:v>
                </c:pt>
                <c:pt idx="452">
                  <c:v>-22.115499931109973</c:v>
                </c:pt>
                <c:pt idx="453">
                  <c:v>-22.352114893940236</c:v>
                </c:pt>
                <c:pt idx="454">
                  <c:v>-22.577956585293119</c:v>
                </c:pt>
                <c:pt idx="455">
                  <c:v>-22.792744735360763</c:v>
                </c:pt>
                <c:pt idx="456">
                  <c:v>-22.996213273094142</c:v>
                </c:pt>
                <c:pt idx="457">
                  <c:v>-23.188111503262544</c:v>
                </c:pt>
                <c:pt idx="458">
                  <c:v>-23.368205231711787</c:v>
                </c:pt>
                <c:pt idx="459">
                  <c:v>-23.536277832032471</c:v>
                </c:pt>
                <c:pt idx="460">
                  <c:v>-23.692131247196851</c:v>
                </c:pt>
                <c:pt idx="461">
                  <c:v>-23.83558692013597</c:v>
                </c:pt>
                <c:pt idx="462">
                  <c:v>-23.966486647665619</c:v>
                </c:pt>
                <c:pt idx="463">
                  <c:v>-24.084693352647815</c:v>
                </c:pt>
                <c:pt idx="464">
                  <c:v>-24.190091769789568</c:v>
                </c:pt>
                <c:pt idx="465">
                  <c:v>-24.282589041005252</c:v>
                </c:pt>
                <c:pt idx="466">
                  <c:v>-24.362115216836212</c:v>
                </c:pt>
                <c:pt idx="467">
                  <c:v>-24.428623660983845</c:v>
                </c:pt>
                <c:pt idx="468">
                  <c:v>-24.48209135560742</c:v>
                </c:pt>
                <c:pt idx="469">
                  <c:v>-24.522519105629886</c:v>
                </c:pt>
                <c:pt idx="470">
                  <c:v>-24.549931640903999</c:v>
                </c:pt>
                <c:pt idx="471">
                  <c:v>-24.564377615694006</c:v>
                </c:pt>
                <c:pt idx="472">
                  <c:v>-24.565929505547398</c:v>
                </c:pt>
                <c:pt idx="473">
                  <c:v>-24.554683402238435</c:v>
                </c:pt>
                <c:pt idx="474">
                  <c:v>-24.53075870807006</c:v>
                </c:pt>
                <c:pt idx="475">
                  <c:v>-24.494297731432599</c:v>
                </c:pt>
                <c:pt idx="476">
                  <c:v>-24.445465186105867</c:v>
                </c:pt>
                <c:pt idx="477">
                  <c:v>-24.384447597375953</c:v>
                </c:pt>
                <c:pt idx="478">
                  <c:v>-24.31145261861262</c:v>
                </c:pt>
                <c:pt idx="479">
                  <c:v>-24.22670826249702</c:v>
                </c:pt>
                <c:pt idx="480">
                  <c:v>-24.13046205162405</c:v>
                </c:pt>
                <c:pt idx="481">
                  <c:v>-24.022980093704316</c:v>
                </c:pt>
                <c:pt idx="482">
                  <c:v>-23.904546087061174</c:v>
                </c:pt>
                <c:pt idx="483">
                  <c:v>-23.775460262550123</c:v>
                </c:pt>
                <c:pt idx="484">
                  <c:v>-23.636038268426638</c:v>
                </c:pt>
                <c:pt idx="485">
                  <c:v>-23.486610005027302</c:v>
                </c:pt>
                <c:pt idx="486">
                  <c:v>-23.327518416428806</c:v>
                </c:pt>
                <c:pt idx="487">
                  <c:v>-23.159118246482841</c:v>
                </c:pt>
                <c:pt idx="488">
                  <c:v>-22.981774766808332</c:v>
                </c:pt>
                <c:pt idx="489">
                  <c:v>-22.795862484432124</c:v>
                </c:pt>
                <c:pt idx="490">
                  <c:v>-22.601763836816453</c:v>
                </c:pt>
                <c:pt idx="491">
                  <c:v>-22.399867881993643</c:v>
                </c:pt>
                <c:pt idx="492">
                  <c:v>-22.190568991435825</c:v>
                </c:pt>
                <c:pt idx="493">
                  <c:v>-21.97426555312947</c:v>
                </c:pt>
                <c:pt idx="494">
                  <c:v>-21.751358692093639</c:v>
                </c:pt>
                <c:pt idx="495">
                  <c:v>-21.522251015296906</c:v>
                </c:pt>
                <c:pt idx="496">
                  <c:v>-21.287345387564841</c:v>
                </c:pt>
                <c:pt idx="497">
                  <c:v>-21.047043744666578</c:v>
                </c:pt>
                <c:pt idx="498">
                  <c:v>-20.801745949306628</c:v>
                </c:pt>
                <c:pt idx="499">
                  <c:v>-20.551848695235247</c:v>
                </c:pt>
                <c:pt idx="500">
                  <c:v>-20.297744464160562</c:v>
                </c:pt>
                <c:pt idx="501">
                  <c:v>-20.039820539558313</c:v>
                </c:pt>
                <c:pt idx="502">
                  <c:v>-19.778458080889713</c:v>
                </c:pt>
                <c:pt idx="503">
                  <c:v>-19.514031261129958</c:v>
                </c:pt>
                <c:pt idx="504">
                  <c:v>-19.246906469889304</c:v>
                </c:pt>
                <c:pt idx="505">
                  <c:v>-18.977441583809362</c:v>
                </c:pt>
                <c:pt idx="506">
                  <c:v>-18.705985305311597</c:v>
                </c:pt>
                <c:pt idx="507">
                  <c:v>-18.432876570195756</c:v>
                </c:pt>
                <c:pt idx="508">
                  <c:v>-18.15844402402869</c:v>
                </c:pt>
                <c:pt idx="509">
                  <c:v>-17.883005566746803</c:v>
                </c:pt>
                <c:pt idx="510">
                  <c:v>-17.606867964386463</c:v>
                </c:pt>
                <c:pt idx="511">
                  <c:v>-17.330326526429655</c:v>
                </c:pt>
                <c:pt idx="512">
                  <c:v>-17.053664846825487</c:v>
                </c:pt>
                <c:pt idx="513">
                  <c:v>-16.77715460639665</c:v>
                </c:pt>
                <c:pt idx="514">
                  <c:v>-16.501055434020312</c:v>
                </c:pt>
                <c:pt idx="515">
                  <c:v>-16.225614823706248</c:v>
                </c:pt>
                <c:pt idx="516">
                  <c:v>-15.951068104472951</c:v>
                </c:pt>
                <c:pt idx="517">
                  <c:v>-15.677638459749481</c:v>
                </c:pt>
                <c:pt idx="518">
                  <c:v>-15.405536992899435</c:v>
                </c:pt>
                <c:pt idx="519">
                  <c:v>-15.134962835376264</c:v>
                </c:pt>
                <c:pt idx="520">
                  <c:v>-14.866103293974549</c:v>
                </c:pt>
                <c:pt idx="521">
                  <c:v>-14.599134033626525</c:v>
                </c:pt>
                <c:pt idx="522">
                  <c:v>-14.334219292225614</c:v>
                </c:pt>
                <c:pt idx="523">
                  <c:v>-14.071512124002409</c:v>
                </c:pt>
                <c:pt idx="524">
                  <c:v>-13.811154668069767</c:v>
                </c:pt>
                <c:pt idx="525">
                  <c:v>-13.553278438854106</c:v>
                </c:pt>
                <c:pt idx="526">
                  <c:v>-13.29800463525515</c:v>
                </c:pt>
                <c:pt idx="527">
                  <c:v>-13.04544446551969</c:v>
                </c:pt>
                <c:pt idx="528">
                  <c:v>-12.795699484967843</c:v>
                </c:pt>
                <c:pt idx="529">
                  <c:v>-12.548861943876565</c:v>
                </c:pt>
                <c:pt idx="530">
                  <c:v>-12.305015143000045</c:v>
                </c:pt>
                <c:pt idx="531">
                  <c:v>-12.064233794377069</c:v>
                </c:pt>
                <c:pt idx="532">
                  <c:v>-11.826584385261473</c:v>
                </c:pt>
                <c:pt idx="533">
                  <c:v>-11.592125543188452</c:v>
                </c:pt>
                <c:pt idx="534">
                  <c:v>-11.360908400366368</c:v>
                </c:pt>
                <c:pt idx="535">
                  <c:v>-11.13297695575768</c:v>
                </c:pt>
                <c:pt idx="536">
                  <c:v>-10.908368433385803</c:v>
                </c:pt>
                <c:pt idx="537">
                  <c:v>-10.68711363555984</c:v>
                </c:pt>
                <c:pt idx="538">
                  <c:v>-10.469237289874261</c:v>
                </c:pt>
                <c:pt idx="539">
                  <c:v>-10.254758388983044</c:v>
                </c:pt>
                <c:pt idx="540">
                  <c:v>-10.043690522289744</c:v>
                </c:pt>
                <c:pt idx="541">
                  <c:v>-9.8360421988257762</c:v>
                </c:pt>
              </c:numCache>
            </c:numRef>
          </c:yVal>
          <c:smooth val="1"/>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layout/>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layout/>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layout/>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61.860516041726477</c:v>
                </c:pt>
                <c:pt idx="1">
                  <c:v>61.660335795290067</c:v>
                </c:pt>
                <c:pt idx="2">
                  <c:v>61.460147064017235</c:v>
                </c:pt>
                <c:pt idx="3">
                  <c:v>61.259949448985495</c:v>
                </c:pt>
                <c:pt idx="4">
                  <c:v>61.05974253256386</c:v>
                </c:pt>
                <c:pt idx="5">
                  <c:v>60.859525877540079</c:v>
                </c:pt>
                <c:pt idx="6">
                  <c:v>60.659299026207066</c:v>
                </c:pt>
                <c:pt idx="7">
                  <c:v>60.459061499407973</c:v>
                </c:pt>
                <c:pt idx="8">
                  <c:v>60.258812795536869</c:v>
                </c:pt>
                <c:pt idx="9">
                  <c:v>60.058552389493805</c:v>
                </c:pt>
                <c:pt idx="10">
                  <c:v>59.858279731590962</c:v>
                </c:pt>
                <c:pt idx="11">
                  <c:v>59.657994246409771</c:v>
                </c:pt>
                <c:pt idx="12">
                  <c:v>59.457695331604995</c:v>
                </c:pt>
                <c:pt idx="13">
                  <c:v>59.257382356653785</c:v>
                </c:pt>
                <c:pt idx="14">
                  <c:v>59.05705466154852</c:v>
                </c:pt>
                <c:pt idx="15">
                  <c:v>58.856711555428809</c:v>
                </c:pt>
                <c:pt idx="16">
                  <c:v>58.656352315152134</c:v>
                </c:pt>
                <c:pt idx="17">
                  <c:v>58.455976183798739</c:v>
                </c:pt>
                <c:pt idx="18">
                  <c:v>58.255582369109071</c:v>
                </c:pt>
                <c:pt idx="19">
                  <c:v>58.055170041850268</c:v>
                </c:pt>
                <c:pt idx="20">
                  <c:v>57.854738334108397</c:v>
                </c:pt>
                <c:pt idx="21">
                  <c:v>57.654286337504118</c:v>
                </c:pt>
                <c:pt idx="22">
                  <c:v>57.453813101327341</c:v>
                </c:pt>
                <c:pt idx="23">
                  <c:v>57.253317630588462</c:v>
                </c:pt>
                <c:pt idx="24">
                  <c:v>57.05279888398195</c:v>
                </c:pt>
                <c:pt idx="25">
                  <c:v>56.852255771758699</c:v>
                </c:pt>
                <c:pt idx="26">
                  <c:v>56.651687153503509</c:v>
                </c:pt>
                <c:pt idx="27">
                  <c:v>56.451091835813386</c:v>
                </c:pt>
                <c:pt idx="28">
                  <c:v>56.250468569873519</c:v>
                </c:pt>
                <c:pt idx="29">
                  <c:v>56.049816048924662</c:v>
                </c:pt>
                <c:pt idx="30">
                  <c:v>55.849132905619797</c:v>
                </c:pt>
                <c:pt idx="31">
                  <c:v>55.648417709264102</c:v>
                </c:pt>
                <c:pt idx="32">
                  <c:v>55.44766896293374</c:v>
                </c:pt>
                <c:pt idx="33">
                  <c:v>55.246885100469491</c:v>
                </c:pt>
                <c:pt idx="34">
                  <c:v>55.046064483338711</c:v>
                </c:pt>
                <c:pt idx="35">
                  <c:v>54.84520539736198</c:v>
                </c:pt>
                <c:pt idx="36">
                  <c:v>54.644306049298081</c:v>
                </c:pt>
                <c:pt idx="37">
                  <c:v>54.443364563282515</c:v>
                </c:pt>
                <c:pt idx="38">
                  <c:v>54.242378977113617</c:v>
                </c:pt>
                <c:pt idx="39">
                  <c:v>54.041347238381114</c:v>
                </c:pt>
                <c:pt idx="40">
                  <c:v>53.840267200430148</c:v>
                </c:pt>
                <c:pt idx="41">
                  <c:v>53.63913661815598</c:v>
                </c:pt>
                <c:pt idx="42">
                  <c:v>53.437953143623034</c:v>
                </c:pt>
                <c:pt idx="43">
                  <c:v>53.236714321500962</c:v>
                </c:pt>
                <c:pt idx="44">
                  <c:v>53.035417584313791</c:v>
                </c:pt>
                <c:pt idx="45">
                  <c:v>52.834060247492175</c:v>
                </c:pt>
                <c:pt idx="46">
                  <c:v>52.632639504226717</c:v>
                </c:pt>
                <c:pt idx="47">
                  <c:v>52.43115242011163</c:v>
                </c:pt>
                <c:pt idx="48">
                  <c:v>52.229595927574827</c:v>
                </c:pt>
                <c:pt idx="49">
                  <c:v>52.027966820087158</c:v>
                </c:pt>
                <c:pt idx="50">
                  <c:v>51.826261746143423</c:v>
                </c:pt>
                <c:pt idx="51">
                  <c:v>51.624477203010308</c:v>
                </c:pt>
                <c:pt idx="52">
                  <c:v>51.422609530232208</c:v>
                </c:pt>
                <c:pt idx="53">
                  <c:v>51.220654902891781</c:v>
                </c:pt>
                <c:pt idx="54">
                  <c:v>51.018609324615589</c:v>
                </c:pt>
                <c:pt idx="55">
                  <c:v>50.816468620321714</c:v>
                </c:pt>
                <c:pt idx="56">
                  <c:v>50.614228428701367</c:v>
                </c:pt>
                <c:pt idx="57">
                  <c:v>50.411884194429824</c:v>
                </c:pt>
                <c:pt idx="58">
                  <c:v>50.209431160101666</c:v>
                </c:pt>
                <c:pt idx="59">
                  <c:v>50.00686435788522</c:v>
                </c:pt>
                <c:pt idx="60">
                  <c:v>49.804178600891177</c:v>
                </c:pt>
                <c:pt idx="61">
                  <c:v>49.601368474253164</c:v>
                </c:pt>
                <c:pt idx="62">
                  <c:v>49.398428325915575</c:v>
                </c:pt>
                <c:pt idx="63">
                  <c:v>49.195352257127027</c:v>
                </c:pt>
                <c:pt idx="64">
                  <c:v>48.992134112637913</c:v>
                </c:pt>
                <c:pt idx="65">
                  <c:v>48.788767470600845</c:v>
                </c:pt>
                <c:pt idx="66">
                  <c:v>48.585245632175315</c:v>
                </c:pt>
                <c:pt idx="67">
                  <c:v>48.381561610837167</c:v>
                </c:pt>
                <c:pt idx="68">
                  <c:v>48.177708121397025</c:v>
                </c:pt>
                <c:pt idx="69">
                  <c:v>47.973677568730849</c:v>
                </c:pt>
                <c:pt idx="70">
                  <c:v>47.769462036230223</c:v>
                </c:pt>
                <c:pt idx="71">
                  <c:v>47.565053273979075</c:v>
                </c:pt>
                <c:pt idx="72">
                  <c:v>47.360442686667568</c:v>
                </c:pt>
                <c:pt idx="73">
                  <c:v>47.155621321255225</c:v>
                </c:pt>
                <c:pt idx="74">
                  <c:v>46.950579854398036</c:v>
                </c:pt>
                <c:pt idx="75">
                  <c:v>46.745308579656751</c:v>
                </c:pt>
                <c:pt idx="76">
                  <c:v>46.539797394506913</c:v>
                </c:pt>
                <c:pt idx="77">
                  <c:v>46.334035787173391</c:v>
                </c:pt>
                <c:pt idx="78">
                  <c:v>46.128012823317874</c:v>
                </c:pt>
                <c:pt idx="79">
                  <c:v>45.921717132607768</c:v>
                </c:pt>
                <c:pt idx="80">
                  <c:v>45.715136895203301</c:v>
                </c:pt>
                <c:pt idx="81">
                  <c:v>45.508259828199904</c:v>
                </c:pt>
                <c:pt idx="82">
                  <c:v>45.301073172070971</c:v>
                </c:pt>
                <c:pt idx="83">
                  <c:v>45.093563677158954</c:v>
                </c:pt>
                <c:pt idx="84">
                  <c:v>44.885717590268541</c:v>
                </c:pt>
                <c:pt idx="85">
                  <c:v>44.677520641421459</c:v>
                </c:pt>
                <c:pt idx="86">
                  <c:v>44.468958030838834</c:v>
                </c:pt>
                <c:pt idx="87">
                  <c:v>44.260014416222617</c:v>
                </c:pt>
                <c:pt idx="88">
                  <c:v>44.050673900414104</c:v>
                </c:pt>
                <c:pt idx="89">
                  <c:v>43.840920019516119</c:v>
                </c:pt>
                <c:pt idx="90">
                  <c:v>43.630735731570205</c:v>
                </c:pt>
                <c:pt idx="91">
                  <c:v>43.42010340589043</c:v>
                </c:pt>
                <c:pt idx="92">
                  <c:v>43.209004813161052</c:v>
                </c:pt>
                <c:pt idx="93">
                  <c:v>42.9974211164145</c:v>
                </c:pt>
                <c:pt idx="94">
                  <c:v>42.785332863014759</c:v>
                </c:pt>
                <c:pt idx="95">
                  <c:v>42.572719977778476</c:v>
                </c:pt>
                <c:pt idx="96">
                  <c:v>42.359561757375246</c:v>
                </c:pt>
                <c:pt idx="97">
                  <c:v>42.145836866158191</c:v>
                </c:pt>
                <c:pt idx="98">
                  <c:v>41.931523333581431</c:v>
                </c:pt>
                <c:pt idx="99">
                  <c:v>41.716598553373281</c:v>
                </c:pt>
                <c:pt idx="100">
                  <c:v>41.501039284639006</c:v>
                </c:pt>
                <c:pt idx="101">
                  <c:v>41.284821655075547</c:v>
                </c:pt>
                <c:pt idx="102">
                  <c:v>41.067921166489356</c:v>
                </c:pt>
                <c:pt idx="103">
                  <c:v>40.850312702812118</c:v>
                </c:pt>
                <c:pt idx="104">
                  <c:v>40.631970540818159</c:v>
                </c:pt>
                <c:pt idx="105">
                  <c:v>40.412868363749055</c:v>
                </c:pt>
                <c:pt idx="106">
                  <c:v>40.19297927805772</c:v>
                </c:pt>
                <c:pt idx="107">
                  <c:v>39.972275833483565</c:v>
                </c:pt>
                <c:pt idx="108">
                  <c:v>39.75073004667378</c:v>
                </c:pt>
                <c:pt idx="109">
                  <c:v>39.528313428562555</c:v>
                </c:pt>
                <c:pt idx="110">
                  <c:v>39.304997015719046</c:v>
                </c:pt>
                <c:pt idx="111">
                  <c:v>39.080751405868327</c:v>
                </c:pt>
                <c:pt idx="112">
                  <c:v>38.855546797783127</c:v>
                </c:pt>
                <c:pt idx="113">
                  <c:v>38.629353035732542</c:v>
                </c:pt>
                <c:pt idx="114">
                  <c:v>38.402139658662989</c:v>
                </c:pt>
                <c:pt idx="115">
                  <c:v>38.173875954268787</c:v>
                </c:pt>
                <c:pt idx="116">
                  <c:v>37.944531018090949</c:v>
                </c:pt>
                <c:pt idx="117">
                  <c:v>37.714073817760628</c:v>
                </c:pt>
                <c:pt idx="118">
                  <c:v>37.482473262477633</c:v>
                </c:pt>
                <c:pt idx="119">
                  <c:v>37.249698277783246</c:v>
                </c:pt>
                <c:pt idx="120">
                  <c:v>37.015717885655647</c:v>
                </c:pt>
                <c:pt idx="121">
                  <c:v>36.780501289916877</c:v>
                </c:pt>
                <c:pt idx="122">
                  <c:v>36.544017966902025</c:v>
                </c:pt>
                <c:pt idx="123">
                  <c:v>36.306237761296053</c:v>
                </c:pt>
                <c:pt idx="124">
                  <c:v>36.067130986996887</c:v>
                </c:pt>
                <c:pt idx="125">
                  <c:v>35.826668532815276</c:v>
                </c:pt>
                <c:pt idx="126">
                  <c:v>35.584821972765695</c:v>
                </c:pt>
                <c:pt idx="127">
                  <c:v>35.341563680653316</c:v>
                </c:pt>
                <c:pt idx="128">
                  <c:v>35.09686694860126</c:v>
                </c:pt>
                <c:pt idx="129">
                  <c:v>34.85070610910833</c:v>
                </c:pt>
                <c:pt idx="130">
                  <c:v>34.60305666016896</c:v>
                </c:pt>
                <c:pt idx="131">
                  <c:v>34.353895392931364</c:v>
                </c:pt>
                <c:pt idx="132">
                  <c:v>34.103200521313056</c:v>
                </c:pt>
                <c:pt idx="133">
                  <c:v>33.850951812940487</c:v>
                </c:pt>
                <c:pt idx="134">
                  <c:v>33.597130720729965</c:v>
                </c:pt>
                <c:pt idx="135">
                  <c:v>33.341720514378622</c:v>
                </c:pt>
                <c:pt idx="136">
                  <c:v>33.084706410995203</c:v>
                </c:pt>
                <c:pt idx="137">
                  <c:v>32.826075704062696</c:v>
                </c:pt>
                <c:pt idx="138">
                  <c:v>32.565817889896962</c:v>
                </c:pt>
                <c:pt idx="139">
                  <c:v>32.303924790742634</c:v>
                </c:pt>
                <c:pt idx="140">
                  <c:v>32.040390673634967</c:v>
                </c:pt>
                <c:pt idx="141">
                  <c:v>31.775212364149276</c:v>
                </c:pt>
                <c:pt idx="142">
                  <c:v>31.508389354165438</c:v>
                </c:pt>
                <c:pt idx="143">
                  <c:v>31.239923902786238</c:v>
                </c:pt>
                <c:pt idx="144">
                  <c:v>30.969821129572352</c:v>
                </c:pt>
                <c:pt idx="145">
                  <c:v>30.698089099286552</c:v>
                </c:pt>
                <c:pt idx="146">
                  <c:v>30.424738897384746</c:v>
                </c:pt>
                <c:pt idx="147">
                  <c:v>30.149784695536415</c:v>
                </c:pt>
                <c:pt idx="148">
                  <c:v>29.873243806519728</c:v>
                </c:pt>
                <c:pt idx="149">
                  <c:v>29.595136727900019</c:v>
                </c:pt>
                <c:pt idx="150">
                  <c:v>29.315487173972787</c:v>
                </c:pt>
                <c:pt idx="151">
                  <c:v>29.034322095532342</c:v>
                </c:pt>
                <c:pt idx="152">
                  <c:v>28.751671687106111</c:v>
                </c:pt>
                <c:pt idx="153">
                  <c:v>28.467569381386703</c:v>
                </c:pt>
                <c:pt idx="154">
                  <c:v>28.18205183067322</c:v>
                </c:pt>
                <c:pt idx="155">
                  <c:v>27.895158875232692</c:v>
                </c:pt>
                <c:pt idx="156">
                  <c:v>27.606933498571635</c:v>
                </c:pt>
                <c:pt idx="157">
                  <c:v>27.317421769700459</c:v>
                </c:pt>
                <c:pt idx="158">
                  <c:v>27.026672772557298</c:v>
                </c:pt>
                <c:pt idx="159">
                  <c:v>26.734738522835244</c:v>
                </c:pt>
                <c:pt idx="160">
                  <c:v>26.441673872538797</c:v>
                </c:pt>
                <c:pt idx="161">
                  <c:v>26.147536402660926</c:v>
                </c:pt>
                <c:pt idx="162">
                  <c:v>25.852386304440532</c:v>
                </c:pt>
                <c:pt idx="163">
                  <c:v>25.556286249719552</c:v>
                </c:pt>
                <c:pt idx="164">
                  <c:v>25.259301250969635</c:v>
                </c:pt>
                <c:pt idx="165">
                  <c:v>24.961498511605697</c:v>
                </c:pt>
                <c:pt idx="166">
                  <c:v>24.662947267244522</c:v>
                </c:pt>
                <c:pt idx="167">
                  <c:v>24.363718618598295</c:v>
                </c:pt>
                <c:pt idx="168">
                  <c:v>24.063885356724448</c:v>
                </c:pt>
                <c:pt idx="169">
                  <c:v>23.763521781371303</c:v>
                </c:pt>
                <c:pt idx="170">
                  <c:v>23.462703513183442</c:v>
                </c:pt>
                <c:pt idx="171">
                  <c:v>23.161507300539284</c:v>
                </c:pt>
                <c:pt idx="172">
                  <c:v>22.860010821806782</c:v>
                </c:pt>
                <c:pt idx="173">
                  <c:v>22.558292483812007</c:v>
                </c:pt>
                <c:pt idx="174">
                  <c:v>22.256431217318571</c:v>
                </c:pt>
                <c:pt idx="175">
                  <c:v>21.954506270319904</c:v>
                </c:pt>
                <c:pt idx="176">
                  <c:v>21.65259699995126</c:v>
                </c:pt>
                <c:pt idx="177">
                  <c:v>21.350782663826415</c:v>
                </c:pt>
                <c:pt idx="178">
                  <c:v>21.049142211606085</c:v>
                </c:pt>
                <c:pt idx="179">
                  <c:v>20.747754077604558</c:v>
                </c:pt>
                <c:pt idx="180">
                  <c:v>20.446695975240008</c:v>
                </c:pt>
                <c:pt idx="181">
                  <c:v>20.146044694130822</c:v>
                </c:pt>
                <c:pt idx="182">
                  <c:v>19.845875900637864</c:v>
                </c:pt>
                <c:pt idx="183">
                  <c:v>19.54626394264729</c:v>
                </c:pt>
                <c:pt idx="184">
                  <c:v>19.247281659380604</c:v>
                </c:pt>
                <c:pt idx="185">
                  <c:v>18.949000197008221</c:v>
                </c:pt>
                <c:pt idx="186">
                  <c:v>18.651488830832687</c:v>
                </c:pt>
                <c:pt idx="187">
                  <c:v>18.354814794785362</c:v>
                </c:pt>
                <c:pt idx="188">
                  <c:v>18.059043118962435</c:v>
                </c:pt>
                <c:pt idx="189">
                  <c:v>17.76423647589969</c:v>
                </c:pt>
                <c:pt idx="190">
                  <c:v>17.470455036248676</c:v>
                </c:pt>
                <c:pt idx="191">
                  <c:v>17.177756334484201</c:v>
                </c:pt>
                <c:pt idx="192">
                  <c:v>16.886195145224779</c:v>
                </c:pt>
                <c:pt idx="193">
                  <c:v>16.595823370697044</c:v>
                </c:pt>
                <c:pt idx="194">
                  <c:v>16.306689939819201</c:v>
                </c:pt>
                <c:pt idx="195">
                  <c:v>16.018840719314092</c:v>
                </c:pt>
                <c:pt idx="196">
                  <c:v>15.732318437191083</c:v>
                </c:pt>
                <c:pt idx="197">
                  <c:v>15.447162618864709</c:v>
                </c:pt>
                <c:pt idx="198">
                  <c:v>15.163409536094225</c:v>
                </c:pt>
                <c:pt idx="199">
                  <c:v>14.881092168847532</c:v>
                </c:pt>
                <c:pt idx="200">
                  <c:v>14.600240180104977</c:v>
                </c:pt>
                <c:pt idx="201">
                  <c:v>14.32087990352967</c:v>
                </c:pt>
                <c:pt idx="202">
                  <c:v>14.043034343843255</c:v>
                </c:pt>
                <c:pt idx="203">
                  <c:v>13.766723189655732</c:v>
                </c:pt>
                <c:pt idx="204">
                  <c:v>13.491962838411958</c:v>
                </c:pt>
                <c:pt idx="205">
                  <c:v>13.218766433033807</c:v>
                </c:pt>
                <c:pt idx="206">
                  <c:v>12.947143909755912</c:v>
                </c:pt>
                <c:pt idx="207">
                  <c:v>12.677102056579624</c:v>
                </c:pt>
                <c:pt idx="208">
                  <c:v>12.408644581702868</c:v>
                </c:pt>
                <c:pt idx="209">
                  <c:v>12.141772191219015</c:v>
                </c:pt>
                <c:pt idx="210">
                  <c:v>11.876482675330655</c:v>
                </c:pt>
                <c:pt idx="211">
                  <c:v>11.612771002274618</c:v>
                </c:pt>
                <c:pt idx="212">
                  <c:v>11.350629419125831</c:v>
                </c:pt>
                <c:pt idx="213">
                  <c:v>11.090047558615277</c:v>
                </c:pt>
                <c:pt idx="214">
                  <c:v>10.831012551087616</c:v>
                </c:pt>
                <c:pt idx="215">
                  <c:v>10.573509140714211</c:v>
                </c:pt>
                <c:pt idx="216">
                  <c:v>10.317519805079851</c:v>
                </c:pt>
                <c:pt idx="217">
                  <c:v>10.06302487727419</c:v>
                </c:pt>
                <c:pt idx="218">
                  <c:v>9.8100026696381946</c:v>
                </c:pt>
                <c:pt idx="219">
                  <c:v>9.5584295983419718</c:v>
                </c:pt>
                <c:pt idx="220">
                  <c:v>9.3082803080057062</c:v>
                </c:pt>
                <c:pt idx="221">
                  <c:v>9.0595277956146223</c:v>
                </c:pt>
                <c:pt idx="222">
                  <c:v>8.8121435330247504</c:v>
                </c:pt>
                <c:pt idx="223">
                  <c:v>8.5660975874047427</c:v>
                </c:pt>
                <c:pt idx="224">
                  <c:v>8.3213587390127834</c:v>
                </c:pt>
                <c:pt idx="225">
                  <c:v>8.0778945957622952</c:v>
                </c:pt>
                <c:pt idx="226">
                  <c:v>7.8356717040874511</c:v>
                </c:pt>
                <c:pt idx="227">
                  <c:v>7.5946556556765978</c:v>
                </c:pt>
                <c:pt idx="228">
                  <c:v>7.3548111897000092</c:v>
                </c:pt>
                <c:pt idx="229">
                  <c:v>7.116102290215176</c:v>
                </c:pt>
                <c:pt idx="230">
                  <c:v>6.8784922784882321</c:v>
                </c:pt>
                <c:pt idx="231">
                  <c:v>6.6419439000252094</c:v>
                </c:pt>
                <c:pt idx="232">
                  <c:v>6.4064194061570765</c:v>
                </c:pt>
                <c:pt idx="233">
                  <c:v>6.1718806300722751</c:v>
                </c:pt>
                <c:pt idx="234">
                  <c:v>5.9382890572370925</c:v>
                </c:pt>
                <c:pt idx="235">
                  <c:v>5.7056058901850815</c:v>
                </c:pt>
                <c:pt idx="236">
                  <c:v>5.4737921076995431</c:v>
                </c:pt>
                <c:pt idx="237">
                  <c:v>5.2428085184457593</c:v>
                </c:pt>
                <c:pt idx="238">
                  <c:v>5.0126158091446698</c:v>
                </c:pt>
                <c:pt idx="239">
                  <c:v>4.7831745874088192</c:v>
                </c:pt>
                <c:pt idx="240">
                  <c:v>4.554445419386485</c:v>
                </c:pt>
                <c:pt idx="241">
                  <c:v>4.3263888623834257</c:v>
                </c:pt>
                <c:pt idx="242">
                  <c:v>4.0989654926512511</c:v>
                </c:pt>
                <c:pt idx="243">
                  <c:v>3.8721359285499823</c:v>
                </c:pt>
                <c:pt idx="244">
                  <c:v>3.6458608493036309</c:v>
                </c:pt>
                <c:pt idx="245">
                  <c:v>3.4201010095819373</c:v>
                </c:pt>
                <c:pt idx="246">
                  <c:v>3.1948172501518202</c:v>
                </c:pt>
                <c:pt idx="247">
                  <c:v>2.969970504847419</c:v>
                </c:pt>
                <c:pt idx="248">
                  <c:v>2.7455218041152172</c:v>
                </c:pt>
                <c:pt idx="249">
                  <c:v>2.5214322753964451</c:v>
                </c:pt>
                <c:pt idx="250">
                  <c:v>2.2976631406091546</c:v>
                </c:pt>
                <c:pt idx="251">
                  <c:v>2.0741757109990071</c:v>
                </c:pt>
                <c:pt idx="252">
                  <c:v>1.8509313796239897</c:v>
                </c:pt>
                <c:pt idx="253">
                  <c:v>1.6278916117445501</c:v>
                </c:pt>
                <c:pt idx="254">
                  <c:v>1.4050179333872406</c:v>
                </c:pt>
                <c:pt idx="255">
                  <c:v>1.1822719183491808</c:v>
                </c:pt>
                <c:pt idx="256">
                  <c:v>0.95961517391569451</c:v>
                </c:pt>
                <c:pt idx="257">
                  <c:v>0.73700932555528764</c:v>
                </c:pt>
                <c:pt idx="258">
                  <c:v>0.51441600086286221</c:v>
                </c:pt>
                <c:pt idx="259">
                  <c:v>0.29179681301622301</c:v>
                </c:pt>
                <c:pt idx="260">
                  <c:v>6.911334401507116E-2</c:v>
                </c:pt>
                <c:pt idx="261">
                  <c:v>-0.15367287203293095</c:v>
                </c:pt>
                <c:pt idx="262">
                  <c:v>-0.37660036530991514</c:v>
                </c:pt>
                <c:pt idx="263">
                  <c:v>-0.59970774610338706</c:v>
                </c:pt>
                <c:pt idx="264">
                  <c:v>-0.8230337197720804</c:v>
                </c:pt>
                <c:pt idx="265">
                  <c:v>-1.0466171005943112</c:v>
                </c:pt>
                <c:pt idx="266">
                  <c:v>-1.2704968242295556</c:v>
                </c:pt>
                <c:pt idx="267">
                  <c:v>-1.4947119585265891</c:v>
                </c:pt>
                <c:pt idx="268">
                  <c:v>-1.7193017124079835</c:v>
                </c:pt>
                <c:pt idx="269">
                  <c:v>-1.9443054425624819</c:v>
                </c:pt>
                <c:pt idx="270">
                  <c:v>-2.1697626576782811</c:v>
                </c:pt>
                <c:pt idx="271">
                  <c:v>-2.3957130199494596</c:v>
                </c:pt>
                <c:pt idx="272">
                  <c:v>-2.6221963435924982</c:v>
                </c:pt>
                <c:pt idx="273">
                  <c:v>-2.849252590108613</c:v>
                </c:pt>
                <c:pt idx="274">
                  <c:v>-3.0769218600375972</c:v>
                </c:pt>
                <c:pt idx="275">
                  <c:v>-3.3052443809494281</c:v>
                </c:pt>
                <c:pt idx="276">
                  <c:v>-3.5342604914295683</c:v>
                </c:pt>
                <c:pt idx="277">
                  <c:v>-3.7640106208234005</c:v>
                </c:pt>
                <c:pt idx="278">
                  <c:v>-3.9945352645145302</c:v>
                </c:pt>
                <c:pt idx="279">
                  <c:v>-4.2258749545277761</c:v>
                </c:pt>
                <c:pt idx="280">
                  <c:v>-4.4580702252615261</c:v>
                </c:pt>
                <c:pt idx="281">
                  <c:v>-4.6911615741744788</c:v>
                </c:pt>
                <c:pt idx="282">
                  <c:v>-4.9251894172734891</c:v>
                </c:pt>
                <c:pt idx="283">
                  <c:v>-5.160194039272767</c:v>
                </c:pt>
                <c:pt idx="284">
                  <c:v>-5.3962155383254808</c:v>
                </c:pt>
                <c:pt idx="285">
                  <c:v>-5.6332937652584514</c:v>
                </c:pt>
                <c:pt idx="286">
                  <c:v>-5.871468257274719</c:v>
                </c:pt>
                <c:pt idx="287">
                  <c:v>-6.110778166130773</c:v>
                </c:pt>
                <c:pt idx="288">
                  <c:v>-6.3512621808326415</c:v>
                </c:pt>
                <c:pt idx="289">
                  <c:v>-6.5929584449431893</c:v>
                </c:pt>
                <c:pt idx="290">
                  <c:v>-6.8359044686382395</c:v>
                </c:pt>
                <c:pt idx="291">
                  <c:v>-7.0801370357020934</c:v>
                </c:pt>
                <c:pt idx="292">
                  <c:v>-7.3256921057046087</c:v>
                </c:pt>
                <c:pt idx="293">
                  <c:v>-7.5726047116565649</c:v>
                </c:pt>
                <c:pt idx="294">
                  <c:v>-7.8209088534989526</c:v>
                </c:pt>
                <c:pt idx="295">
                  <c:v>-8.0706373878343687</c:v>
                </c:pt>
                <c:pt idx="296">
                  <c:v>-8.3218219143716592</c:v>
                </c:pt>
                <c:pt idx="297">
                  <c:v>-8.5744926596067828</c:v>
                </c:pt>
                <c:pt idx="298">
                  <c:v>-8.8286783583215573</c:v>
                </c:pt>
                <c:pt idx="299">
                  <c:v>-9.0844061335339141</c:v>
                </c:pt>
                <c:pt idx="300">
                  <c:v>-9.3417013755822254</c:v>
                </c:pt>
                <c:pt idx="301">
                  <c:v>-9.6005876210752987</c:v>
                </c:pt>
                <c:pt idx="302">
                  <c:v>-9.8610864324771779</c:v>
                </c:pt>
                <c:pt idx="303">
                  <c:v>-10.123217279135343</c:v>
                </c:pt>
                <c:pt idx="304">
                  <c:v>-10.386997420585228</c:v>
                </c:pt>
                <c:pt idx="305">
                  <c:v>-10.652441792990077</c:v>
                </c:pt>
                <c:pt idx="306">
                  <c:v>-10.919562899585317</c:v>
                </c:pt>
                <c:pt idx="307">
                  <c:v>-11.18837070600299</c:v>
                </c:pt>
                <c:pt idx="308">
                  <c:v>-11.45887254134786</c:v>
                </c:pt>
                <c:pt idx="309">
                  <c:v>-11.731073005883205</c:v>
                </c:pt>
                <c:pt idx="310">
                  <c:v>-12.004973886161551</c:v>
                </c:pt>
                <c:pt idx="311">
                  <c:v>-12.280574078403818</c:v>
                </c:pt>
                <c:pt idx="312">
                  <c:v>-12.55786952089003</c:v>
                </c:pt>
                <c:pt idx="313">
                  <c:v>-12.836853136072417</c:v>
                </c:pt>
                <c:pt idx="314">
                  <c:v>-13.117514783067687</c:v>
                </c:pt>
                <c:pt idx="315">
                  <c:v>-13.399841221116574</c:v>
                </c:pt>
                <c:pt idx="316">
                  <c:v>-13.683816084529658</c:v>
                </c:pt>
                <c:pt idx="317">
                  <c:v>-13.969419869559561</c:v>
                </c:pt>
                <c:pt idx="318">
                  <c:v>-14.256629933559239</c:v>
                </c:pt>
                <c:pt idx="319">
                  <c:v>-14.54542050670231</c:v>
                </c:pt>
                <c:pt idx="320">
                  <c:v>-14.835762716453244</c:v>
                </c:pt>
                <c:pt idx="321">
                  <c:v>-15.127624624890728</c:v>
                </c:pt>
                <c:pt idx="322">
                  <c:v>-15.420971278899547</c:v>
                </c:pt>
                <c:pt idx="323">
                  <c:v>-15.715764773164281</c:v>
                </c:pt>
                <c:pt idx="324">
                  <c:v>-16.011964325814919</c:v>
                </c:pt>
                <c:pt idx="325">
                  <c:v>-16.309526366498975</c:v>
                </c:pt>
                <c:pt idx="326">
                  <c:v>-16.608404636582335</c:v>
                </c:pt>
                <c:pt idx="327">
                  <c:v>-16.90855030111404</c:v>
                </c:pt>
                <c:pt idx="328">
                  <c:v>-17.209912072131026</c:v>
                </c:pt>
                <c:pt idx="329">
                  <c:v>-17.512436342823612</c:v>
                </c:pt>
                <c:pt idx="330">
                  <c:v>-17.816067332037527</c:v>
                </c:pt>
                <c:pt idx="331">
                  <c:v>-18.120747238545299</c:v>
                </c:pt>
                <c:pt idx="332">
                  <c:v>-18.426416404489171</c:v>
                </c:pt>
                <c:pt idx="333">
                  <c:v>-18.733013487369032</c:v>
                </c:pt>
                <c:pt idx="334">
                  <c:v>-19.040475639924836</c:v>
                </c:pt>
                <c:pt idx="335">
                  <c:v>-19.348738697251374</c:v>
                </c:pt>
                <c:pt idx="336">
                  <c:v>-19.65773737046695</c:v>
                </c:pt>
                <c:pt idx="337">
                  <c:v>-19.967405446251458</c:v>
                </c:pt>
                <c:pt idx="338">
                  <c:v>-20.277675991565381</c:v>
                </c:pt>
                <c:pt idx="339">
                  <c:v>-20.588481562853879</c:v>
                </c:pt>
                <c:pt idx="340">
                  <c:v>-20.899754419045806</c:v>
                </c:pt>
                <c:pt idx="341">
                  <c:v>-21.211426737651156</c:v>
                </c:pt>
                <c:pt idx="342">
                  <c:v>-21.523430833263145</c:v>
                </c:pt>
                <c:pt idx="343">
                  <c:v>-21.835699377770361</c:v>
                </c:pt>
                <c:pt idx="344">
                  <c:v>-22.148165621582514</c:v>
                </c:pt>
                <c:pt idx="345">
                  <c:v>-22.460763615174649</c:v>
                </c:pt>
                <c:pt idx="346">
                  <c:v>-22.773428430245403</c:v>
                </c:pt>
                <c:pt idx="347">
                  <c:v>-23.08609637978784</c:v>
                </c:pt>
                <c:pt idx="348">
                  <c:v>-23.398705236362446</c:v>
                </c:pt>
                <c:pt idx="349">
                  <c:v>-23.711194447857878</c:v>
                </c:pt>
                <c:pt idx="350">
                  <c:v>-24.023505350017992</c:v>
                </c:pt>
                <c:pt idx="351">
                  <c:v>-24.335581375012467</c:v>
                </c:pt>
                <c:pt idx="352">
                  <c:v>-24.647368255319076</c:v>
                </c:pt>
                <c:pt idx="353">
                  <c:v>-24.958814222188003</c:v>
                </c:pt>
                <c:pt idx="354">
                  <c:v>-25.269870197955644</c:v>
                </c:pt>
                <c:pt idx="355">
                  <c:v>-25.580489981479936</c:v>
                </c:pt>
                <c:pt idx="356">
                  <c:v>-25.890630425976756</c:v>
                </c:pt>
                <c:pt idx="357">
                  <c:v>-26.200251608547592</c:v>
                </c:pt>
                <c:pt idx="358">
                  <c:v>-26.509316990707113</c:v>
                </c:pt>
                <c:pt idx="359">
                  <c:v>-26.817793569240731</c:v>
                </c:pt>
                <c:pt idx="360">
                  <c:v>-27.125652016751506</c:v>
                </c:pt>
                <c:pt idx="361">
                  <c:v>-27.432866811291422</c:v>
                </c:pt>
                <c:pt idx="362">
                  <c:v>-27.739416354513576</c:v>
                </c:pt>
                <c:pt idx="363">
                  <c:v>-28.045283077826806</c:v>
                </c:pt>
                <c:pt idx="364">
                  <c:v>-28.350453536094381</c:v>
                </c:pt>
                <c:pt idx="365">
                  <c:v>-28.654918488469519</c:v>
                </c:pt>
                <c:pt idx="366">
                  <c:v>-28.958672966035127</c:v>
                </c:pt>
                <c:pt idx="367">
                  <c:v>-29.261716325971442</c:v>
                </c:pt>
                <c:pt idx="368">
                  <c:v>-29.564052292061831</c:v>
                </c:pt>
                <c:pt idx="369">
                  <c:v>-29.865688981406443</c:v>
                </c:pt>
                <c:pt idx="370">
                  <c:v>-30.166638917302684</c:v>
                </c:pt>
                <c:pt idx="371">
                  <c:v>-30.466919028317246</c:v>
                </c:pt>
                <c:pt idx="372">
                  <c:v>-30.76655063365456</c:v>
                </c:pt>
                <c:pt idx="373">
                  <c:v>-31.065559414997665</c:v>
                </c:pt>
                <c:pt idx="374">
                  <c:v>-31.363975375066278</c:v>
                </c:pt>
                <c:pt idx="375">
                  <c:v>-31.66183278320252</c:v>
                </c:pt>
                <c:pt idx="376">
                  <c:v>-31.959170108353693</c:v>
                </c:pt>
                <c:pt idx="377">
                  <c:v>-32.25602993987556</c:v>
                </c:pt>
                <c:pt idx="378">
                  <c:v>-32.552458896625829</c:v>
                </c:pt>
                <c:pt idx="379">
                  <c:v>-32.84850752485908</c:v>
                </c:pt>
                <c:pt idx="380">
                  <c:v>-33.144230185462938</c:v>
                </c:pt>
                <c:pt idx="381">
                  <c:v>-33.439684931103614</c:v>
                </c:pt>
                <c:pt idx="382">
                  <c:v>-33.734933373864578</c:v>
                </c:pt>
                <c:pt idx="383">
                  <c:v>-34.030040543971374</c:v>
                </c:pt>
                <c:pt idx="384">
                  <c:v>-34.325074740199128</c:v>
                </c:pt>
                <c:pt idx="385">
                  <c:v>-34.620107372557968</c:v>
                </c:pt>
                <c:pt idx="386">
                  <c:v>-34.915212797838414</c:v>
                </c:pt>
                <c:pt idx="387">
                  <c:v>-35.210468148591147</c:v>
                </c:pt>
                <c:pt idx="388">
                  <c:v>-35.505953156092723</c:v>
                </c:pt>
                <c:pt idx="389">
                  <c:v>-35.801749967832642</c:v>
                </c:pt>
                <c:pt idx="390">
                  <c:v>-36.097942960031794</c:v>
                </c:pt>
                <c:pt idx="391">
                  <c:v>-36.394618545682235</c:v>
                </c:pt>
                <c:pt idx="392">
                  <c:v>-36.691864978571928</c:v>
                </c:pt>
                <c:pt idx="393">
                  <c:v>-36.989772153736872</c:v>
                </c:pt>
                <c:pt idx="394">
                  <c:v>-37.288431404762186</c:v>
                </c:pt>
                <c:pt idx="395">
                  <c:v>-37.587935298333647</c:v>
                </c:pt>
                <c:pt idx="396">
                  <c:v>-37.888377426426956</c:v>
                </c:pt>
                <c:pt idx="397">
                  <c:v>-38.189852196506635</c:v>
                </c:pt>
                <c:pt idx="398">
                  <c:v>-38.492454620098023</c:v>
                </c:pt>
                <c:pt idx="399">
                  <c:v>-38.79628010009187</c:v>
                </c:pt>
                <c:pt idx="400">
                  <c:v>-39.101424217135225</c:v>
                </c:pt>
                <c:pt idx="401">
                  <c:v>-39.407982515465875</c:v>
                </c:pt>
                <c:pt idx="402">
                  <c:v>-39.716050288551109</c:v>
                </c:pt>
                <c:pt idx="403">
                  <c:v>-40.025722364901107</c:v>
                </c:pt>
                <c:pt idx="404">
                  <c:v>-40.337092894431812</c:v>
                </c:pt>
                <c:pt idx="405">
                  <c:v>-40.650255135769086</c:v>
                </c:pt>
                <c:pt idx="406">
                  <c:v>-40.965301244894391</c:v>
                </c:pt>
                <c:pt idx="407">
                  <c:v>-41.282322065547646</c:v>
                </c:pt>
                <c:pt idx="408">
                  <c:v>-41.601406921813322</c:v>
                </c:pt>
                <c:pt idx="409">
                  <c:v>-41.922643413328942</c:v>
                </c:pt>
                <c:pt idx="410">
                  <c:v>-42.246117213564929</c:v>
                </c:pt>
                <c:pt idx="411">
                  <c:v>-42.571911871631656</c:v>
                </c:pt>
                <c:pt idx="412">
                  <c:v>-42.900108618075862</c:v>
                </c:pt>
                <c:pt idx="413">
                  <c:v>-43.230786175128593</c:v>
                </c:pt>
                <c:pt idx="414">
                  <c:v>-43.564020571868085</c:v>
                </c:pt>
                <c:pt idx="415">
                  <c:v>-43.899884964752182</c:v>
                </c:pt>
                <c:pt idx="416">
                  <c:v>-44.238449463970511</c:v>
                </c:pt>
                <c:pt idx="417">
                  <c:v>-44.579780966048048</c:v>
                </c:pt>
                <c:pt idx="418">
                  <c:v>-44.92394299312285</c:v>
                </c:pt>
                <c:pt idx="419">
                  <c:v>-45.270995539296067</c:v>
                </c:pt>
                <c:pt idx="420">
                  <c:v>-45.620994924433475</c:v>
                </c:pt>
                <c:pt idx="421">
                  <c:v>-45.973993655774223</c:v>
                </c:pt>
                <c:pt idx="422">
                  <c:v>-46.330040297675971</c:v>
                </c:pt>
                <c:pt idx="423">
                  <c:v>-46.689179349800668</c:v>
                </c:pt>
                <c:pt idx="424">
                  <c:v>-47.051451134018556</c:v>
                </c:pt>
                <c:pt idx="425">
                  <c:v>-47.416891690281872</c:v>
                </c:pt>
                <c:pt idx="426">
                  <c:v>-47.785532681695251</c:v>
                </c:pt>
                <c:pt idx="427">
                  <c:v>-48.157401308985058</c:v>
                </c:pt>
                <c:pt idx="428">
                  <c:v>-48.53252023454899</c:v>
                </c:pt>
                <c:pt idx="429">
                  <c:v>-48.91090751624894</c:v>
                </c:pt>
                <c:pt idx="430">
                  <c:v>-49.292576551087841</c:v>
                </c:pt>
                <c:pt idx="431">
                  <c:v>-49.677536028903546</c:v>
                </c:pt>
                <c:pt idx="432">
                  <c:v>-50.065789896191369</c:v>
                </c:pt>
                <c:pt idx="433">
                  <c:v>-50.457337330164705</c:v>
                </c:pt>
                <c:pt idx="434">
                  <c:v>-50.852172723145671</c:v>
                </c:pt>
                <c:pt idx="435">
                  <c:v>-51.250285677373675</c:v>
                </c:pt>
                <c:pt idx="436">
                  <c:v>-51.651661010314996</c:v>
                </c:pt>
                <c:pt idx="437">
                  <c:v>-52.05627877054021</c:v>
                </c:pt>
                <c:pt idx="438">
                  <c:v>-52.464114264236954</c:v>
                </c:pt>
                <c:pt idx="439">
                  <c:v>-52.875138092411248</c:v>
                </c:pt>
                <c:pt idx="440">
                  <c:v>-53.289316198818931</c:v>
                </c:pt>
                <c:pt idx="441">
                  <c:v>-53.706609928659724</c:v>
                </c:pt>
                <c:pt idx="442">
                  <c:v>-54.126976098043073</c:v>
                </c:pt>
                <c:pt idx="443">
                  <c:v>-54.550367074219999</c:v>
                </c:pt>
                <c:pt idx="444">
                  <c:v>-54.97673086655184</c:v>
                </c:pt>
                <c:pt idx="445">
                  <c:v>-55.40601122815783</c:v>
                </c:pt>
                <c:pt idx="446">
                  <c:v>-55.83814776815332</c:v>
                </c:pt>
                <c:pt idx="447">
                  <c:v>-56.273076074360581</c:v>
                </c:pt>
                <c:pt idx="448">
                  <c:v>-56.710727846330769</c:v>
                </c:pt>
                <c:pt idx="449">
                  <c:v>-57.151031038483538</c:v>
                </c:pt>
                <c:pt idx="450">
                  <c:v>-57.593910013120819</c:v>
                </c:pt>
                <c:pt idx="451">
                  <c:v>-58.039285703034693</c:v>
                </c:pt>
                <c:pt idx="452">
                  <c:v>-58.487075783380298</c:v>
                </c:pt>
                <c:pt idx="453">
                  <c:v>-58.937194852438274</c:v>
                </c:pt>
                <c:pt idx="454">
                  <c:v>-59.38955462084926</c:v>
                </c:pt>
                <c:pt idx="455">
                  <c:v>-59.844064108854027</c:v>
                </c:pt>
                <c:pt idx="456">
                  <c:v>-60.3006298510291</c:v>
                </c:pt>
                <c:pt idx="457">
                  <c:v>-60.759156107968835</c:v>
                </c:pt>
                <c:pt idx="458">
                  <c:v>-61.21954508431827</c:v>
                </c:pt>
                <c:pt idx="459">
                  <c:v>-61.681697152526951</c:v>
                </c:pt>
                <c:pt idx="460">
                  <c:v>-62.145511081657204</c:v>
                </c:pt>
                <c:pt idx="461">
                  <c:v>-62.610884270546016</c:v>
                </c:pt>
                <c:pt idx="462">
                  <c:v>-63.077712984591187</c:v>
                </c:pt>
                <c:pt idx="463">
                  <c:v>-63.545892595403572</c:v>
                </c:pt>
                <c:pt idx="464">
                  <c:v>-64.0153178225452</c:v>
                </c:pt>
                <c:pt idx="465">
                  <c:v>-64.485882976549334</c:v>
                </c:pt>
                <c:pt idx="466">
                  <c:v>-64.957482202404591</c:v>
                </c:pt>
                <c:pt idx="467">
                  <c:v>-65.430009722664096</c:v>
                </c:pt>
                <c:pt idx="468">
                  <c:v>-65.903360079334945</c:v>
                </c:pt>
                <c:pt idx="469">
                  <c:v>-66.377428373691956</c:v>
                </c:pt>
                <c:pt idx="470">
                  <c:v>-66.852110503150641</c:v>
                </c:pt>
                <c:pt idx="471">
                  <c:v>-67.327303394339083</c:v>
                </c:pt>
                <c:pt idx="472">
                  <c:v>-67.802905231502592</c:v>
                </c:pt>
                <c:pt idx="473">
                  <c:v>-68.278815679384863</c:v>
                </c:pt>
                <c:pt idx="474">
                  <c:v>-68.754936099734806</c:v>
                </c:pt>
                <c:pt idx="475">
                  <c:v>-69.231169760604374</c:v>
                </c:pt>
                <c:pt idx="476">
                  <c:v>-69.707422037619509</c:v>
                </c:pt>
                <c:pt idx="477">
                  <c:v>-70.183600606428001</c:v>
                </c:pt>
                <c:pt idx="478">
                  <c:v>-70.659615625560349</c:v>
                </c:pt>
                <c:pt idx="479">
                  <c:v>-71.135379908970265</c:v>
                </c:pt>
                <c:pt idx="480">
                  <c:v>-71.610809087564704</c:v>
                </c:pt>
                <c:pt idx="481">
                  <c:v>-72.085821759076111</c:v>
                </c:pt>
                <c:pt idx="482">
                  <c:v>-72.560339625689622</c:v>
                </c:pt>
                <c:pt idx="483">
                  <c:v>-73.034287618885656</c:v>
                </c:pt>
                <c:pt idx="484">
                  <c:v>-73.507594011037767</c:v>
                </c:pt>
                <c:pt idx="485">
                  <c:v>-73.980190513363496</c:v>
                </c:pt>
                <c:pt idx="486">
                  <c:v>-74.452012359911166</c:v>
                </c:pt>
                <c:pt idx="487">
                  <c:v>-74.922998377343632</c:v>
                </c:pt>
                <c:pt idx="488">
                  <c:v>-75.393091040365491</c:v>
                </c:pt>
                <c:pt idx="489">
                  <c:v>-75.862236512731059</c:v>
                </c:pt>
                <c:pt idx="490">
                  <c:v>-76.330384673856727</c:v>
                </c:pt>
                <c:pt idx="491">
                  <c:v>-76.797489131160177</c:v>
                </c:pt>
                <c:pt idx="492">
                  <c:v>-77.263507218335789</c:v>
                </c:pt>
                <c:pt idx="493">
                  <c:v>-77.72839997986938</c:v>
                </c:pt>
                <c:pt idx="494">
                  <c:v>-78.19213214218297</c:v>
                </c:pt>
                <c:pt idx="495">
                  <c:v>-78.65467207188658</c:v>
                </c:pt>
                <c:pt idx="496">
                  <c:v>-79.115991721695238</c:v>
                </c:pt>
                <c:pt idx="497">
                  <c:v>-79.57606656464074</c:v>
                </c:pt>
                <c:pt idx="498">
                  <c:v>-80.03487551728054</c:v>
                </c:pt>
                <c:pt idx="499">
                  <c:v>-80.492400852661831</c:v>
                </c:pt>
                <c:pt idx="500">
                  <c:v>-80.9486281038551</c:v>
                </c:pt>
                <c:pt idx="501">
                  <c:v>-81.40354595890976</c:v>
                </c:pt>
                <c:pt idx="502">
                  <c:v>-81.8571461481217</c:v>
                </c:pt>
                <c:pt idx="503">
                  <c:v>-82.30942332452625</c:v>
                </c:pt>
                <c:pt idx="504">
                  <c:v>-82.760374938539471</c:v>
                </c:pt>
                <c:pt idx="505">
                  <c:v>-83.210001107683965</c:v>
                </c:pt>
                <c:pt idx="506">
                  <c:v>-83.658304482322592</c:v>
                </c:pt>
                <c:pt idx="507">
                  <c:v>-84.10529010831371</c:v>
                </c:pt>
                <c:pt idx="508">
                  <c:v>-84.550965287481716</c:v>
                </c:pt>
                <c:pt idx="509">
                  <c:v>-84.995339436761952</c:v>
                </c:pt>
                <c:pt idx="510">
                  <c:v>-85.438423946849497</c:v>
                </c:pt>
                <c:pt idx="511">
                  <c:v>-85.880232041132132</c:v>
                </c:pt>
                <c:pt idx="512">
                  <c:v>-86.320778635646818</c:v>
                </c:pt>
                <c:pt idx="513">
                  <c:v>-86.760080200742479</c:v>
                </c:pt>
                <c:pt idx="514">
                  <c:v>-87.198154625080747</c:v>
                </c:pt>
                <c:pt idx="515">
                  <c:v>-87.635021082545052</c:v>
                </c:pt>
                <c:pt idx="516">
                  <c:v>-88.070699902575399</c:v>
                </c:pt>
                <c:pt idx="517">
                  <c:v>-88.505212444378785</c:v>
                </c:pt>
                <c:pt idx="518">
                  <c:v>-88.938580975414951</c:v>
                </c:pt>
                <c:pt idx="519">
                  <c:v>-89.37082855448979</c:v>
                </c:pt>
                <c:pt idx="520">
                  <c:v>-89.801978919738815</c:v>
                </c:pt>
                <c:pt idx="521">
                  <c:v>-90.23205638172351</c:v>
                </c:pt>
                <c:pt idx="522">
                  <c:v>-90.661085721811872</c:v>
                </c:pt>
                <c:pt idx="523">
                  <c:v>-91.089092095965825</c:v>
                </c:pt>
                <c:pt idx="524">
                  <c:v>-91.516100944011072</c:v>
                </c:pt>
                <c:pt idx="525">
                  <c:v>-91.94213790442015</c:v>
                </c:pt>
                <c:pt idx="526">
                  <c:v>-92.367228734601881</c:v>
                </c:pt>
                <c:pt idx="527">
                  <c:v>-92.791399236655053</c:v>
                </c:pt>
                <c:pt idx="528">
                  <c:v>-93.21467518850838</c:v>
                </c:pt>
                <c:pt idx="529">
                  <c:v>-93.637082280345425</c:v>
                </c:pt>
                <c:pt idx="530">
                  <c:v>-94.058646056183463</c:v>
                </c:pt>
                <c:pt idx="531">
                  <c:v>-94.479391860457</c:v>
                </c:pt>
                <c:pt idx="532">
                  <c:v>-94.89934478943772</c:v>
                </c:pt>
                <c:pt idx="533">
                  <c:v>-95.318529647307045</c:v>
                </c:pt>
                <c:pt idx="534">
                  <c:v>-95.73697090668766</c:v>
                </c:pt>
                <c:pt idx="535">
                  <c:v>-96.154692673428244</c:v>
                </c:pt>
                <c:pt idx="536">
                  <c:v>-96.571718655431766</c:v>
                </c:pt>
                <c:pt idx="537">
                  <c:v>-96.988072135313601</c:v>
                </c:pt>
                <c:pt idx="538">
                  <c:v>-97.403775946670919</c:v>
                </c:pt>
                <c:pt idx="539">
                  <c:v>-97.81885245374707</c:v>
                </c:pt>
                <c:pt idx="540">
                  <c:v>-98.233323534276082</c:v>
                </c:pt>
                <c:pt idx="541">
                  <c:v>-98.647210565294884</c:v>
                </c:pt>
              </c:numCache>
            </c:numRef>
          </c:yVal>
          <c:smooth val="1"/>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88.731580770339363</c:v>
                </c:pt>
                <c:pt idx="1">
                  <c:v>88.702062984442819</c:v>
                </c:pt>
                <c:pt idx="2">
                  <c:v>88.671859605564592</c:v>
                </c:pt>
                <c:pt idx="3">
                  <c:v>88.640954804486427</c:v>
                </c:pt>
                <c:pt idx="4">
                  <c:v>88.609332393288355</c:v>
                </c:pt>
                <c:pt idx="5">
                  <c:v>88.576975817705787</c:v>
                </c:pt>
                <c:pt idx="6">
                  <c:v>88.543868149359682</c:v>
                </c:pt>
                <c:pt idx="7">
                  <c:v>88.509992077859465</c:v>
                </c:pt>
                <c:pt idx="8">
                  <c:v>88.475329902780373</c:v>
                </c:pt>
                <c:pt idx="9">
                  <c:v>88.439863525515747</c:v>
                </c:pt>
                <c:pt idx="10">
                  <c:v>88.403574441005915</c:v>
                </c:pt>
                <c:pt idx="11">
                  <c:v>88.366443729345789</c:v>
                </c:pt>
                <c:pt idx="12">
                  <c:v>88.328452047272961</c:v>
                </c:pt>
                <c:pt idx="13">
                  <c:v>88.289579619538969</c:v>
                </c:pt>
                <c:pt idx="14">
                  <c:v>88.249806230166797</c:v>
                </c:pt>
                <c:pt idx="15">
                  <c:v>88.209111213598121</c:v>
                </c:pt>
                <c:pt idx="16">
                  <c:v>88.167473445734117</c:v>
                </c:pt>
                <c:pt idx="17">
                  <c:v>88.124871334874527</c:v>
                </c:pt>
                <c:pt idx="18">
                  <c:v>88.081282812559905</c:v>
                </c:pt>
                <c:pt idx="19">
                  <c:v>88.036685324323003</c:v>
                </c:pt>
                <c:pt idx="20">
                  <c:v>87.991055820355541</c:v>
                </c:pt>
                <c:pt idx="21">
                  <c:v>87.944370746097562</c:v>
                </c:pt>
                <c:pt idx="22">
                  <c:v>87.896606032757418</c:v>
                </c:pt>
                <c:pt idx="23">
                  <c:v>87.84773708777108</c:v>
                </c:pt>
                <c:pt idx="24">
                  <c:v>87.797738785210555</c:v>
                </c:pt>
                <c:pt idx="25">
                  <c:v>87.746585456152019</c:v>
                </c:pt>
                <c:pt idx="26">
                  <c:v>87.694250879015698</c:v>
                </c:pt>
                <c:pt idx="27">
                  <c:v>87.640708269890027</c:v>
                </c:pt>
                <c:pt idx="28">
                  <c:v>87.585930272854355</c:v>
                </c:pt>
                <c:pt idx="29">
                  <c:v>87.529888950315822</c:v>
                </c:pt>
                <c:pt idx="30">
                  <c:v>87.472555773376726</c:v>
                </c:pt>
                <c:pt idx="31">
                  <c:v>87.413901612251195</c:v>
                </c:pt>
                <c:pt idx="32">
                  <c:v>87.353896726750932</c:v>
                </c:pt>
                <c:pt idx="33">
                  <c:v>87.292510756861063</c:v>
                </c:pt>
                <c:pt idx="34">
                  <c:v>87.229712713430573</c:v>
                </c:pt>
                <c:pt idx="35">
                  <c:v>87.165470969001859</c:v>
                </c:pt>
                <c:pt idx="36">
                  <c:v>87.099753248807161</c:v>
                </c:pt>
                <c:pt idx="37">
                  <c:v>87.032526621961736</c:v>
                </c:pt>
                <c:pt idx="38">
                  <c:v>86.963757492885279</c:v>
                </c:pt>
                <c:pt idx="39">
                  <c:v>86.893411592987079</c:v>
                </c:pt>
                <c:pt idx="40">
                  <c:v>86.821453972651398</c:v>
                </c:pt>
                <c:pt idx="41">
                  <c:v>86.747848993563153</c:v>
                </c:pt>
                <c:pt idx="42">
                  <c:v>86.672560321418061</c:v>
                </c:pt>
                <c:pt idx="43">
                  <c:v>86.595550919062418</c:v>
                </c:pt>
                <c:pt idx="44">
                  <c:v>86.516783040113197</c:v>
                </c:pt>
                <c:pt idx="45">
                  <c:v>86.436218223111624</c:v>
                </c:pt>
                <c:pt idx="46">
                  <c:v>86.353817286267613</c:v>
                </c:pt>
                <c:pt idx="47">
                  <c:v>86.269540322856557</c:v>
                </c:pt>
                <c:pt idx="48">
                  <c:v>86.183346697334287</c:v>
                </c:pt>
                <c:pt idx="49">
                  <c:v>86.095195042240377</c:v>
                </c:pt>
                <c:pt idx="50">
                  <c:v>86.005043255965305</c:v>
                </c:pt>
                <c:pt idx="51">
                  <c:v>85.912848501461369</c:v>
                </c:pt>
                <c:pt idx="52">
                  <c:v>85.818567205983754</c:v>
                </c:pt>
                <c:pt idx="53">
                  <c:v>85.722155061952307</c:v>
                </c:pt>
                <c:pt idx="54">
                  <c:v>85.623567029031889</c:v>
                </c:pt>
                <c:pt idx="55">
                  <c:v>85.522757337535083</c:v>
                </c:pt>
                <c:pt idx="56">
                  <c:v>85.419679493257249</c:v>
                </c:pt>
                <c:pt idx="57">
                  <c:v>85.31428628386071</c:v>
                </c:pt>
                <c:pt idx="58">
                  <c:v>85.206529786933558</c:v>
                </c:pt>
                <c:pt idx="59">
                  <c:v>85.096361379853775</c:v>
                </c:pt>
                <c:pt idx="60">
                  <c:v>84.983731751599493</c:v>
                </c:pt>
                <c:pt idx="61">
                  <c:v>84.868590916652408</c:v>
                </c:pt>
                <c:pt idx="62">
                  <c:v>84.750888231151762</c:v>
                </c:pt>
                <c:pt idx="63">
                  <c:v>84.630572411464414</c:v>
                </c:pt>
                <c:pt idx="64">
                  <c:v>84.507591555344021</c:v>
                </c:pt>
                <c:pt idx="65">
                  <c:v>84.381893165865065</c:v>
                </c:pt>
                <c:pt idx="66">
                  <c:v>84.253424178324508</c:v>
                </c:pt>
                <c:pt idx="67">
                  <c:v>84.12213099031429</c:v>
                </c:pt>
                <c:pt idx="68">
                  <c:v>83.987959495179396</c:v>
                </c:pt>
                <c:pt idx="69">
                  <c:v>83.8508551190844</c:v>
                </c:pt>
                <c:pt idx="70">
                  <c:v>83.710762861924664</c:v>
                </c:pt>
                <c:pt idx="71">
                  <c:v>83.567627342324926</c:v>
                </c:pt>
                <c:pt idx="72">
                  <c:v>83.421392846983721</c:v>
                </c:pt>
                <c:pt idx="73">
                  <c:v>83.272003384627695</c:v>
                </c:pt>
                <c:pt idx="74">
                  <c:v>83.11940274485454</c:v>
                </c:pt>
                <c:pt idx="75">
                  <c:v>82.963534562149107</c:v>
                </c:pt>
                <c:pt idx="76">
                  <c:v>82.804342385372848</c:v>
                </c:pt>
                <c:pt idx="77">
                  <c:v>82.64176975302945</c:v>
                </c:pt>
                <c:pt idx="78">
                  <c:v>82.475760274625515</c:v>
                </c:pt>
                <c:pt idx="79">
                  <c:v>82.306257718447611</c:v>
                </c:pt>
                <c:pt idx="80">
                  <c:v>82.13320610608767</c:v>
                </c:pt>
                <c:pt idx="81">
                  <c:v>81.956549814053957</c:v>
                </c:pt>
                <c:pt idx="82">
                  <c:v>81.776233682811579</c:v>
                </c:pt>
                <c:pt idx="83">
                  <c:v>81.592203133595362</c:v>
                </c:pt>
                <c:pt idx="84">
                  <c:v>81.404404293347739</c:v>
                </c:pt>
                <c:pt idx="85">
                  <c:v>81.212784128126231</c:v>
                </c:pt>
                <c:pt idx="86">
                  <c:v>81.017290585328283</c:v>
                </c:pt>
                <c:pt idx="87">
                  <c:v>80.817872745074567</c:v>
                </c:pt>
                <c:pt idx="88">
                  <c:v>80.614480981082906</c:v>
                </c:pt>
                <c:pt idx="89">
                  <c:v>80.407067131357564</c:v>
                </c:pt>
                <c:pt idx="90">
                  <c:v>80.195584679000291</c:v>
                </c:pt>
                <c:pt idx="91">
                  <c:v>79.979988943433568</c:v>
                </c:pt>
                <c:pt idx="92">
                  <c:v>79.760237282302825</c:v>
                </c:pt>
                <c:pt idx="93">
                  <c:v>79.536289304296801</c:v>
                </c:pt>
                <c:pt idx="94">
                  <c:v>79.308107093092588</c:v>
                </c:pt>
                <c:pt idx="95">
                  <c:v>79.075655442593145</c:v>
                </c:pt>
                <c:pt idx="96">
                  <c:v>78.83890210357923</c:v>
                </c:pt>
                <c:pt idx="97">
                  <c:v>78.597818041850658</c:v>
                </c:pt>
                <c:pt idx="98">
                  <c:v>78.352377707866509</c:v>
                </c:pt>
                <c:pt idx="99">
                  <c:v>78.10255931783486</c:v>
                </c:pt>
                <c:pt idx="100">
                  <c:v>77.848345146126746</c:v>
                </c:pt>
                <c:pt idx="101">
                  <c:v>77.589721828803562</c:v>
                </c:pt>
                <c:pt idx="102">
                  <c:v>77.326680677967275</c:v>
                </c:pt>
                <c:pt idx="103">
                  <c:v>77.059218006527729</c:v>
                </c:pt>
                <c:pt idx="104">
                  <c:v>76.787335462893864</c:v>
                </c:pt>
                <c:pt idx="105">
                  <c:v>76.511040374957972</c:v>
                </c:pt>
                <c:pt idx="106">
                  <c:v>76.230346102634954</c:v>
                </c:pt>
                <c:pt idx="107">
                  <c:v>75.945272398069747</c:v>
                </c:pt>
                <c:pt idx="108">
                  <c:v>75.655845772494061</c:v>
                </c:pt>
                <c:pt idx="109">
                  <c:v>75.362099868552988</c:v>
                </c:pt>
                <c:pt idx="110">
                  <c:v>75.06407583677364</c:v>
                </c:pt>
                <c:pt idx="111">
                  <c:v>74.761822714674139</c:v>
                </c:pt>
                <c:pt idx="112">
                  <c:v>74.455397806845241</c:v>
                </c:pt>
                <c:pt idx="113">
                  <c:v>74.144867064165282</c:v>
                </c:pt>
                <c:pt idx="114">
                  <c:v>73.830305460120044</c:v>
                </c:pt>
                <c:pt idx="115">
                  <c:v>73.511797362039474</c:v>
                </c:pt>
                <c:pt idx="116">
                  <c:v>73.189436894862936</c:v>
                </c:pt>
                <c:pt idx="117">
                  <c:v>72.863328294892668</c:v>
                </c:pt>
                <c:pt idx="118">
                  <c:v>72.53358625080844</c:v>
                </c:pt>
                <c:pt idx="119">
                  <c:v>72.200336229068554</c:v>
                </c:pt>
                <c:pt idx="120">
                  <c:v>71.86371478066728</c:v>
                </c:pt>
                <c:pt idx="121">
                  <c:v>71.523869826086013</c:v>
                </c:pt>
                <c:pt idx="122">
                  <c:v>71.180960915160227</c:v>
                </c:pt>
                <c:pt idx="123">
                  <c:v>70.83515945848869</c:v>
                </c:pt>
                <c:pt idx="124">
                  <c:v>70.486648926938173</c:v>
                </c:pt>
                <c:pt idx="125">
                  <c:v>70.135625015759913</c:v>
                </c:pt>
                <c:pt idx="126">
                  <c:v>69.782295769812563</c:v>
                </c:pt>
                <c:pt idx="127">
                  <c:v>69.426881666426027</c:v>
                </c:pt>
                <c:pt idx="128">
                  <c:v>69.069615652480138</c:v>
                </c:pt>
                <c:pt idx="129">
                  <c:v>68.710743132390448</c:v>
                </c:pt>
                <c:pt idx="130">
                  <c:v>68.350521903828337</c:v>
                </c:pt>
                <c:pt idx="131">
                  <c:v>67.989222038183684</c:v>
                </c:pt>
                <c:pt idx="132">
                  <c:v>67.627125703023282</c:v>
                </c:pt>
                <c:pt idx="133">
                  <c:v>67.264526924057222</c:v>
                </c:pt>
                <c:pt idx="134">
                  <c:v>66.901731284460396</c:v>
                </c:pt>
                <c:pt idx="135">
                  <c:v>66.539055559751873</c:v>
                </c:pt>
                <c:pt idx="136">
                  <c:v>66.176827286838559</c:v>
                </c:pt>
                <c:pt idx="137">
                  <c:v>65.815384266280873</c:v>
                </c:pt>
                <c:pt idx="138">
                  <c:v>65.455073997309839</c:v>
                </c:pt>
                <c:pt idx="139">
                  <c:v>65.096253045625218</c:v>
                </c:pt>
                <c:pt idx="140">
                  <c:v>64.73928634455379</c:v>
                </c:pt>
                <c:pt idx="141">
                  <c:v>64.384546430672799</c:v>
                </c:pt>
                <c:pt idx="142">
                  <c:v>64.032412615579076</c:v>
                </c:pt>
                <c:pt idx="143">
                  <c:v>63.683270096039607</c:v>
                </c:pt>
                <c:pt idx="144">
                  <c:v>63.337509005317138</c:v>
                </c:pt>
                <c:pt idx="145">
                  <c:v>62.99552340900933</c:v>
                </c:pt>
                <c:pt idx="146">
                  <c:v>62.657710249269101</c:v>
                </c:pt>
                <c:pt idx="147">
                  <c:v>62.324468241761949</c:v>
                </c:pt>
                <c:pt idx="148">
                  <c:v>61.996196730184707</c:v>
                </c:pt>
                <c:pt idx="149">
                  <c:v>61.673294503582227</c:v>
                </c:pt>
                <c:pt idx="150">
                  <c:v>61.356158582072474</c:v>
                </c:pt>
                <c:pt idx="151">
                  <c:v>61.045182976901103</c:v>
                </c:pt>
                <c:pt idx="152">
                  <c:v>60.740757431013023</c:v>
                </c:pt>
                <c:pt idx="153">
                  <c:v>60.443266146512933</c:v>
                </c:pt>
                <c:pt idx="154">
                  <c:v>60.153086505534802</c:v>
                </c:pt>
                <c:pt idx="155">
                  <c:v>59.870587791100775</c:v>
                </c:pt>
                <c:pt idx="156">
                  <c:v>59.59612991456661</c:v>
                </c:pt>
                <c:pt idx="157">
                  <c:v>59.330062156193797</c:v>
                </c:pt>
                <c:pt idx="158">
                  <c:v>59.072721925285641</c:v>
                </c:pt>
                <c:pt idx="159">
                  <c:v>58.824433546152768</c:v>
                </c:pt>
                <c:pt idx="160">
                  <c:v>58.585507075981013</c:v>
                </c:pt>
                <c:pt idx="161">
                  <c:v>58.356237160400283</c:v>
                </c:pt>
                <c:pt idx="162">
                  <c:v>58.136901932279756</c:v>
                </c:pt>
                <c:pt idx="163">
                  <c:v>57.927761958951393</c:v>
                </c:pt>
                <c:pt idx="164">
                  <c:v>57.729059242715941</c:v>
                </c:pt>
                <c:pt idx="165">
                  <c:v>57.541016279132215</c:v>
                </c:pt>
                <c:pt idx="166">
                  <c:v>57.363835177211413</c:v>
                </c:pt>
                <c:pt idx="167">
                  <c:v>57.197696845270904</c:v>
                </c:pt>
                <c:pt idx="168">
                  <c:v>57.042760245818251</c:v>
                </c:pt>
                <c:pt idx="169">
                  <c:v>56.899161722454387</c:v>
                </c:pt>
                <c:pt idx="170">
                  <c:v>56.767014401440626</c:v>
                </c:pt>
                <c:pt idx="171">
                  <c:v>56.646407670187109</c:v>
                </c:pt>
                <c:pt idx="172">
                  <c:v>56.537406734592849</c:v>
                </c:pt>
                <c:pt idx="173">
                  <c:v>56.440052256829567</c:v>
                </c:pt>
                <c:pt idx="174">
                  <c:v>56.354360074822246</c:v>
                </c:pt>
                <c:pt idx="175">
                  <c:v>56.280321004382678</c:v>
                </c:pt>
                <c:pt idx="176">
                  <c:v>56.217900724629615</c:v>
                </c:pt>
                <c:pt idx="177">
                  <c:v>56.16703974704108</c:v>
                </c:pt>
                <c:pt idx="178">
                  <c:v>56.12765346817303</c:v>
                </c:pt>
                <c:pt idx="179">
                  <c:v>56.099632305792142</c:v>
                </c:pt>
                <c:pt idx="180">
                  <c:v>56.082841917866212</c:v>
                </c:pt>
                <c:pt idx="181">
                  <c:v>56.077123503548854</c:v>
                </c:pt>
                <c:pt idx="182">
                  <c:v>56.082294184985898</c:v>
                </c:pt>
                <c:pt idx="183">
                  <c:v>56.098147468447323</c:v>
                </c:pt>
                <c:pt idx="184">
                  <c:v>56.124453782956586</c:v>
                </c:pt>
                <c:pt idx="185">
                  <c:v>56.160961094244961</c:v>
                </c:pt>
                <c:pt idx="186">
                  <c:v>56.207395591503847</c:v>
                </c:pt>
                <c:pt idx="187">
                  <c:v>56.263462444043334</c:v>
                </c:pt>
                <c:pt idx="188">
                  <c:v>56.32884662459675</c:v>
                </c:pt>
                <c:pt idx="189">
                  <c:v>56.403213795626527</c:v>
                </c:pt>
                <c:pt idx="190">
                  <c:v>56.486211254619931</c:v>
                </c:pt>
                <c:pt idx="191">
                  <c:v>56.57746893398425</c:v>
                </c:pt>
                <c:pt idx="192">
                  <c:v>56.676600450784356</c:v>
                </c:pt>
                <c:pt idx="193">
                  <c:v>56.783204201231619</c:v>
                </c:pt>
                <c:pt idx="194">
                  <c:v>56.896864494489883</c:v>
                </c:pt>
                <c:pt idx="195">
                  <c:v>57.017152720079174</c:v>
                </c:pt>
                <c:pt idx="196">
                  <c:v>57.143628542890021</c:v>
                </c:pt>
                <c:pt idx="197">
                  <c:v>57.275841119599356</c:v>
                </c:pt>
                <c:pt idx="198">
                  <c:v>57.413330330108373</c:v>
                </c:pt>
                <c:pt idx="199">
                  <c:v>57.555628017489383</c:v>
                </c:pt>
                <c:pt idx="200">
                  <c:v>57.702259229876077</c:v>
                </c:pt>
                <c:pt idx="201">
                  <c:v>57.852743457711966</c:v>
                </c:pt>
                <c:pt idx="202">
                  <c:v>58.006595859834334</c:v>
                </c:pt>
                <c:pt idx="203">
                  <c:v>58.163328471985345</c:v>
                </c:pt>
                <c:pt idx="204">
                  <c:v>58.322451391527615</c:v>
                </c:pt>
                <c:pt idx="205">
                  <c:v>58.483473932375055</c:v>
                </c:pt>
                <c:pt idx="206">
                  <c:v>58.645905744464187</c:v>
                </c:pt>
                <c:pt idx="207">
                  <c:v>58.809257892438751</c:v>
                </c:pt>
                <c:pt idx="208">
                  <c:v>58.97304388863158</c:v>
                </c:pt>
                <c:pt idx="209">
                  <c:v>59.136780675877219</c:v>
                </c:pt>
                <c:pt idx="210">
                  <c:v>59.299989556186034</c:v>
                </c:pt>
                <c:pt idx="211">
                  <c:v>59.462197061816767</c:v>
                </c:pt>
                <c:pt idx="212">
                  <c:v>59.622935765849832</c:v>
                </c:pt>
                <c:pt idx="213">
                  <c:v>59.781745029900321</c:v>
                </c:pt>
                <c:pt idx="214">
                  <c:v>59.938171687189275</c:v>
                </c:pt>
                <c:pt idx="215">
                  <c:v>60.091770659757692</c:v>
                </c:pt>
                <c:pt idx="216">
                  <c:v>60.242105509153468</c:v>
                </c:pt>
                <c:pt idx="217">
                  <c:v>60.388748920479138</c:v>
                </c:pt>
                <c:pt idx="218">
                  <c:v>60.531283120196584</c:v>
                </c:pt>
                <c:pt idx="219">
                  <c:v>60.669300228579417</c:v>
                </c:pt>
                <c:pt idx="220">
                  <c:v>60.802402548168779</c:v>
                </c:pt>
                <c:pt idx="221">
                  <c:v>60.930202790008664</c:v>
                </c:pt>
                <c:pt idx="222">
                  <c:v>61.052324239813707</c:v>
                </c:pt>
                <c:pt idx="223">
                  <c:v>61.16840086657615</c:v>
                </c:pt>
                <c:pt idx="224">
                  <c:v>61.278077376402393</c:v>
                </c:pt>
                <c:pt idx="225">
                  <c:v>61.381009214632179</c:v>
                </c:pt>
                <c:pt idx="226">
                  <c:v>61.476862519490801</c:v>
                </c:pt>
                <c:pt idx="227">
                  <c:v>61.565314030701352</c:v>
                </c:pt>
                <c:pt idx="228">
                  <c:v>61.646050956592276</c:v>
                </c:pt>
                <c:pt idx="229">
                  <c:v>61.718770803330074</c:v>
                </c:pt>
                <c:pt idx="230">
                  <c:v>61.783181169937258</c:v>
                </c:pt>
                <c:pt idx="231">
                  <c:v>61.838999512780418</c:v>
                </c:pt>
                <c:pt idx="232">
                  <c:v>61.885952883172358</c:v>
                </c:pt>
                <c:pt idx="233">
                  <c:v>61.923777641697072</c:v>
                </c:pt>
                <c:pt idx="234">
                  <c:v>61.95221915277601</c:v>
                </c:pt>
                <c:pt idx="235">
                  <c:v>61.97103146290489</c:v>
                </c:pt>
                <c:pt idx="236">
                  <c:v>61.979976965866008</c:v>
                </c:pt>
                <c:pt idx="237">
                  <c:v>61.978826058093887</c:v>
                </c:pt>
                <c:pt idx="238">
                  <c:v>61.967356787220019</c:v>
                </c:pt>
                <c:pt idx="239">
                  <c:v>61.945354496679414</c:v>
                </c:pt>
                <c:pt idx="240">
                  <c:v>61.912611469086293</c:v>
                </c:pt>
                <c:pt idx="241">
                  <c:v>61.868926570938314</c:v>
                </c:pt>
                <c:pt idx="242">
                  <c:v>61.814104901025168</c:v>
                </c:pt>
                <c:pt idx="243">
                  <c:v>61.747957444768453</c:v>
                </c:pt>
                <c:pt idx="244">
                  <c:v>61.670300736541797</c:v>
                </c:pt>
                <c:pt idx="245">
                  <c:v>61.580956531863343</c:v>
                </c:pt>
                <c:pt idx="246">
                  <c:v>61.479751491203658</c:v>
                </c:pt>
                <c:pt idx="247">
                  <c:v>61.366516876987944</c:v>
                </c:pt>
                <c:pt idx="248">
                  <c:v>61.241088265237657</c:v>
                </c:pt>
                <c:pt idx="249">
                  <c:v>61.103305273153538</c:v>
                </c:pt>
                <c:pt idx="250">
                  <c:v>60.953011303811252</c:v>
                </c:pt>
                <c:pt idx="251">
                  <c:v>60.790053309017082</c:v>
                </c:pt>
                <c:pt idx="252">
                  <c:v>60.614281571255304</c:v>
                </c:pt>
                <c:pt idx="253">
                  <c:v>60.425549505543415</c:v>
                </c:pt>
                <c:pt idx="254">
                  <c:v>60.223713481914778</c:v>
                </c:pt>
                <c:pt idx="255">
                  <c:v>60.008632669141917</c:v>
                </c:pt>
                <c:pt idx="256">
                  <c:v>59.780168900228091</c:v>
                </c:pt>
                <c:pt idx="257">
                  <c:v>59.538186560098559</c:v>
                </c:pt>
                <c:pt idx="258">
                  <c:v>59.282552495847945</c:v>
                </c:pt>
                <c:pt idx="259">
                  <c:v>59.013135949808238</c:v>
                </c:pt>
                <c:pt idx="260">
                  <c:v>58.729808515632669</c:v>
                </c:pt>
                <c:pt idx="261">
                  <c:v>58.432444117507998</c:v>
                </c:pt>
                <c:pt idx="262">
                  <c:v>58.12091901252915</c:v>
                </c:pt>
                <c:pt idx="263">
                  <c:v>57.795111816200439</c:v>
                </c:pt>
                <c:pt idx="264">
                  <c:v>57.454903550940237</c:v>
                </c:pt>
                <c:pt idx="265">
                  <c:v>57.100177717393997</c:v>
                </c:pt>
                <c:pt idx="266">
                  <c:v>56.730820388269407</c:v>
                </c:pt>
                <c:pt idx="267">
                  <c:v>56.346720324329603</c:v>
                </c:pt>
                <c:pt idx="268">
                  <c:v>55.947769112083854</c:v>
                </c:pt>
                <c:pt idx="269">
                  <c:v>55.533861322618428</c:v>
                </c:pt>
                <c:pt idx="270">
                  <c:v>55.104894690920624</c:v>
                </c:pt>
                <c:pt idx="271">
                  <c:v>54.66077031492361</c:v>
                </c:pt>
                <c:pt idx="272">
                  <c:v>54.201392873410128</c:v>
                </c:pt>
                <c:pt idx="273">
                  <c:v>53.72667086177298</c:v>
                </c:pt>
                <c:pt idx="274">
                  <c:v>53.236516844526392</c:v>
                </c:pt>
                <c:pt idx="275">
                  <c:v>52.730847723311157</c:v>
                </c:pt>
                <c:pt idx="276">
                  <c:v>52.209585019023727</c:v>
                </c:pt>
                <c:pt idx="277">
                  <c:v>51.672655166535968</c:v>
                </c:pt>
                <c:pt idx="278">
                  <c:v>51.119989820351627</c:v>
                </c:pt>
                <c:pt idx="279">
                  <c:v>50.55152616937513</c:v>
                </c:pt>
                <c:pt idx="280">
                  <c:v>49.967207258840212</c:v>
                </c:pt>
                <c:pt idx="281">
                  <c:v>49.366982317286059</c:v>
                </c:pt>
                <c:pt idx="282">
                  <c:v>48.750807086323604</c:v>
                </c:pt>
                <c:pt idx="283">
                  <c:v>48.118644150796648</c:v>
                </c:pt>
                <c:pt idx="284">
                  <c:v>47.470463266803598</c:v>
                </c:pt>
                <c:pt idx="285">
                  <c:v>46.806241684914596</c:v>
                </c:pt>
                <c:pt idx="286">
                  <c:v>46.12596446581729</c:v>
                </c:pt>
                <c:pt idx="287">
                  <c:v>45.429624785503755</c:v>
                </c:pt>
                <c:pt idx="288">
                  <c:v>44.717224227048945</c:v>
                </c:pt>
                <c:pt idx="289">
                  <c:v>43.988773055954233</c:v>
                </c:pt>
                <c:pt idx="290">
                  <c:v>43.244290476001659</c:v>
                </c:pt>
                <c:pt idx="291">
                  <c:v>42.483804862549526</c:v>
                </c:pt>
                <c:pt idx="292">
                  <c:v>41.707353970222449</c:v>
                </c:pt>
                <c:pt idx="293">
                  <c:v>40.91498511200539</c:v>
                </c:pt>
                <c:pt idx="294">
                  <c:v>40.106755306836021</c:v>
                </c:pt>
                <c:pt idx="295">
                  <c:v>39.282731392926479</c:v>
                </c:pt>
                <c:pt idx="296">
                  <c:v>38.442990104205016</c:v>
                </c:pt>
                <c:pt idx="297">
                  <c:v>37.587618107488268</c:v>
                </c:pt>
                <c:pt idx="298">
                  <c:v>36.716711998239248</c:v>
                </c:pt>
                <c:pt idx="299">
                  <c:v>35.83037825306689</c:v>
                </c:pt>
                <c:pt idx="300">
                  <c:v>34.928733137452475</c:v>
                </c:pt>
                <c:pt idx="301">
                  <c:v>34.011902567572299</c:v>
                </c:pt>
                <c:pt idx="302">
                  <c:v>33.080021925485269</c:v>
                </c:pt>
                <c:pt idx="303">
                  <c:v>32.133235827410431</c:v>
                </c:pt>
                <c:pt idx="304">
                  <c:v>31.171697845285031</c:v>
                </c:pt>
                <c:pt idx="305">
                  <c:v>30.195570182292965</c:v>
                </c:pt>
                <c:pt idx="306">
                  <c:v>29.205023303566438</c:v>
                </c:pt>
                <c:pt idx="307">
                  <c:v>28.20023552378586</c:v>
                </c:pt>
                <c:pt idx="308">
                  <c:v>27.1813925539265</c:v>
                </c:pt>
                <c:pt idx="309">
                  <c:v>26.148687009925116</c:v>
                </c:pt>
                <c:pt idx="310">
                  <c:v>25.102317886531214</c:v>
                </c:pt>
                <c:pt idx="311">
                  <c:v>24.042490000106113</c:v>
                </c:pt>
                <c:pt idx="312">
                  <c:v>22.969413404559972</c:v>
                </c:pt>
                <c:pt idx="313">
                  <c:v>21.883302785043746</c:v>
                </c:pt>
                <c:pt idx="314">
                  <c:v>20.784376834350937</c:v>
                </c:pt>
                <c:pt idx="315">
                  <c:v>19.672857617310353</c:v>
                </c:pt>
                <c:pt idx="316">
                  <c:v>18.548969928650333</c:v>
                </c:pt>
                <c:pt idx="317">
                  <c:v>17.412940650028958</c:v>
                </c:pt>
                <c:pt idx="318">
                  <c:v>16.264998111977675</c:v>
                </c:pt>
                <c:pt idx="319">
                  <c:v>15.10537146654193</c:v>
                </c:pt>
                <c:pt idx="320">
                  <c:v>13.934290076344832</c:v>
                </c:pt>
                <c:pt idx="321">
                  <c:v>12.751982925630937</c:v>
                </c:pt>
                <c:pt idx="322">
                  <c:v>11.558678058657662</c:v>
                </c:pt>
                <c:pt idx="323">
                  <c:v>10.354602050474389</c:v>
                </c:pt>
                <c:pt idx="324">
                  <c:v>9.1399795147737422</c:v>
                </c:pt>
                <c:pt idx="325">
                  <c:v>7.9150326530540767</c:v>
                </c:pt>
                <c:pt idx="326">
                  <c:v>6.6799808488328161</c:v>
                </c:pt>
                <c:pt idx="327">
                  <c:v>5.4350403100874134</c:v>
                </c:pt>
                <c:pt idx="328">
                  <c:v>4.1804237625144811</c:v>
                </c:pt>
                <c:pt idx="329">
                  <c:v>2.9163401955383539</c:v>
                </c:pt>
                <c:pt idx="330">
                  <c:v>1.6429946623593017</c:v>
                </c:pt>
                <c:pt idx="331">
                  <c:v>0.36058813462680894</c:v>
                </c:pt>
                <c:pt idx="332">
                  <c:v>-0.93068258834647954</c:v>
                </c:pt>
                <c:pt idx="333">
                  <c:v>-2.2306249166236625</c:v>
                </c:pt>
                <c:pt idx="334">
                  <c:v>-3.5390504543699208</c:v>
                </c:pt>
                <c:pt idx="335">
                  <c:v>-4.8557749343883909</c:v>
                </c:pt>
                <c:pt idx="336">
                  <c:v>-6.1806181051718321</c:v>
                </c:pt>
                <c:pt idx="337">
                  <c:v>-7.5134035737831555</c:v>
                </c:pt>
                <c:pt idx="338">
                  <c:v>-8.8539586083863409</c:v>
                </c:pt>
                <c:pt idx="339">
                  <c:v>-10.202113904734677</c:v>
                </c:pt>
                <c:pt idx="340">
                  <c:v>-11.557703321333927</c:v>
                </c:pt>
                <c:pt idx="341">
                  <c:v>-12.920563588344629</c:v>
                </c:pt>
                <c:pt idx="342">
                  <c:v>-14.290533995556526</c:v>
                </c:pt>
                <c:pt idx="343">
                  <c:v>-15.667456064972699</c:v>
                </c:pt>
                <c:pt idx="344">
                  <c:v>-17.05117321366442</c:v>
                </c:pt>
                <c:pt idx="345">
                  <c:v>-18.441530412589493</c:v>
                </c:pt>
                <c:pt idx="346">
                  <c:v>-19.8383738470393</c:v>
                </c:pt>
                <c:pt idx="347">
                  <c:v>-21.241550584254771</c:v>
                </c:pt>
                <c:pt idx="348">
                  <c:v>-22.650908253565976</c:v>
                </c:pt>
                <c:pt idx="349">
                  <c:v>-24.066294744123255</c:v>
                </c:pt>
                <c:pt idx="350">
                  <c:v>-25.487557924956995</c:v>
                </c:pt>
                <c:pt idx="351">
                  <c:v>-26.914545391684381</c:v>
                </c:pt>
                <c:pt idx="352">
                  <c:v>-28.347104243704422</c:v>
                </c:pt>
                <c:pt idx="353">
                  <c:v>-29.785080895192952</c:v>
                </c:pt>
                <c:pt idx="354">
                  <c:v>-31.228320922627333</c:v>
                </c:pt>
                <c:pt idx="355">
                  <c:v>-32.676668950932672</c:v>
                </c:pt>
                <c:pt idx="356">
                  <c:v>-34.129968579704673</c:v>
                </c:pt>
                <c:pt idx="357">
                  <c:v>-35.58806235025407</c:v>
                </c:pt>
                <c:pt idx="358">
                  <c:v>-37.050791753539897</c:v>
                </c:pt>
                <c:pt idx="359">
                  <c:v>-38.517997278341078</c:v>
                </c:pt>
                <c:pt idx="360">
                  <c:v>-39.989518498325417</c:v>
                </c:pt>
                <c:pt idx="361">
                  <c:v>-41.465194195989419</c:v>
                </c:pt>
                <c:pt idx="362">
                  <c:v>-42.944862520785023</c:v>
                </c:pt>
                <c:pt idx="363">
                  <c:v>-44.428361178138452</c:v>
                </c:pt>
                <c:pt idx="364">
                  <c:v>-45.915527645484765</c:v>
                </c:pt>
                <c:pt idx="365">
                  <c:v>-47.406199410929133</c:v>
                </c:pt>
                <c:pt idx="366">
                  <c:v>-48.900214229700232</c:v>
                </c:pt>
                <c:pt idx="367">
                  <c:v>-50.397410393164222</c:v>
                </c:pt>
                <c:pt idx="368">
                  <c:v>-51.897627004885251</c:v>
                </c:pt>
                <c:pt idx="369">
                  <c:v>-53.400704257978937</c:v>
                </c:pt>
                <c:pt idx="370">
                  <c:v>-54.906483707878849</c:v>
                </c:pt>
                <c:pt idx="371">
                  <c:v>-56.414808534592069</c:v>
                </c:pt>
                <c:pt idx="372">
                  <c:v>-57.925523788556291</c:v>
                </c:pt>
                <c:pt idx="373">
                  <c:v>-59.4384766143353</c:v>
                </c:pt>
                <c:pt idx="374">
                  <c:v>-60.953516446619112</c:v>
                </c:pt>
                <c:pt idx="375">
                  <c:v>-62.470495173274358</c:v>
                </c:pt>
                <c:pt idx="376">
                  <c:v>-63.989267260572163</c:v>
                </c:pt>
                <c:pt idx="377">
                  <c:v>-65.509689836158714</c:v>
                </c:pt>
                <c:pt idx="378">
                  <c:v>-67.031622725839526</c:v>
                </c:pt>
                <c:pt idx="379">
                  <c:v>-68.554928440805227</c:v>
                </c:pt>
                <c:pt idx="380">
                  <c:v>-70.079472112535541</c:v>
                </c:pt>
                <c:pt idx="381">
                  <c:v>-71.605121373255159</c:v>
                </c:pt>
                <c:pt idx="382">
                  <c:v>-73.1317461804868</c:v>
                </c:pt>
                <c:pt idx="383">
                  <c:v>-74.659218584932262</c:v>
                </c:pt>
                <c:pt idx="384">
                  <c:v>-76.187412441606909</c:v>
                </c:pt>
                <c:pt idx="385">
                  <c:v>-77.716203064845146</c:v>
                </c:pt>
                <c:pt idx="386">
                  <c:v>-79.245466828479081</c:v>
                </c:pt>
                <c:pt idx="387">
                  <c:v>-80.775080713161543</c:v>
                </c:pt>
                <c:pt idx="388">
                  <c:v>-82.304921803432677</c:v>
                </c:pt>
                <c:pt idx="389">
                  <c:v>-83.834866737751952</c:v>
                </c:pt>
                <c:pt idx="390">
                  <c:v>-85.364791115266243</c:v>
                </c:pt>
                <c:pt idx="391">
                  <c:v>-86.894568863623803</c:v>
                </c:pt>
                <c:pt idx="392">
                  <c:v>-88.424071572600482</c:v>
                </c:pt>
                <c:pt idx="393">
                  <c:v>-89.95316779873346</c:v>
                </c:pt>
                <c:pt idx="394">
                  <c:v>-91.481722346508505</c:v>
                </c:pt>
                <c:pt idx="395">
                  <c:v>-93.009595531958198</c:v>
                </c:pt>
                <c:pt idx="396">
                  <c:v>-94.536642434751826</c:v>
                </c:pt>
                <c:pt idx="397">
                  <c:v>-96.062712145046561</c:v>
                </c:pt>
                <c:pt idx="398">
                  <c:v>-97.587647011470835</c:v>
                </c:pt>
                <c:pt idx="399">
                  <c:v>-99.111281896662319</c:v>
                </c:pt>
                <c:pt idx="400">
                  <c:v>-100.63344344676247</c:v>
                </c:pt>
                <c:pt idx="401">
                  <c:v>-102.15394938119748</c:v>
                </c:pt>
                <c:pt idx="402">
                  <c:v>-103.6726078089317</c:v>
                </c:pt>
                <c:pt idx="403">
                  <c:v>-105.1892165771845</c:v>
                </c:pt>
                <c:pt idx="404">
                  <c:v>-106.70356265835842</c:v>
                </c:pt>
                <c:pt idx="405">
                  <c:v>-108.21542158061081</c:v>
                </c:pt>
                <c:pt idx="406">
                  <c:v>-109.72455690717312</c:v>
                </c:pt>
                <c:pt idx="407">
                  <c:v>-111.23071976911281</c:v>
                </c:pt>
                <c:pt idx="408">
                  <c:v>-112.73364845582326</c:v>
                </c:pt>
                <c:pt idx="409">
                  <c:v>-114.23306806705969</c:v>
                </c:pt>
                <c:pt idx="410">
                  <c:v>-115.72869022986114</c:v>
                </c:pt>
                <c:pt idx="411">
                  <c:v>-117.22021288320104</c:v>
                </c:pt>
                <c:pt idx="412">
                  <c:v>-118.70732013269129</c:v>
                </c:pt>
                <c:pt idx="413">
                  <c:v>-120.18968217715224</c:v>
                </c:pt>
                <c:pt idx="414">
                  <c:v>-121.66695530834306</c:v>
                </c:pt>
                <c:pt idx="415">
                  <c:v>-123.13878198464526</c:v>
                </c:pt>
                <c:pt idx="416">
                  <c:v>-124.60479097898637</c:v>
                </c:pt>
                <c:pt idx="417">
                  <c:v>-126.06459760083239</c:v>
                </c:pt>
                <c:pt idx="418">
                  <c:v>-127.51780399162418</c:v>
                </c:pt>
                <c:pt idx="419">
                  <c:v>-128.96399949260726</c:v>
                </c:pt>
                <c:pt idx="420">
                  <c:v>-130.40276108363432</c:v>
                </c:pt>
                <c:pt idx="421">
                  <c:v>-131.83365389115946</c:v>
                </c:pt>
                <c:pt idx="422">
                  <c:v>-133.25623176333772</c:v>
                </c:pt>
                <c:pt idx="423">
                  <c:v>-134.67003790986925</c:v>
                </c:pt>
                <c:pt idx="424">
                  <c:v>-136.07460560399096</c:v>
                </c:pt>
                <c:pt idx="425">
                  <c:v>-137.46945894382654</c:v>
                </c:pt>
                <c:pt idx="426">
                  <c:v>-138.85411367013668</c:v>
                </c:pt>
                <c:pt idx="427">
                  <c:v>-140.22807803737265</c:v>
                </c:pt>
                <c:pt idx="428">
                  <c:v>-141.5908537348468</c:v>
                </c:pt>
                <c:pt idx="429">
                  <c:v>-142.94193685474204</c:v>
                </c:pt>
                <c:pt idx="430">
                  <c:v>-144.28081890360266</c:v>
                </c:pt>
                <c:pt idx="431">
                  <c:v>-145.60698785393205</c:v>
                </c:pt>
                <c:pt idx="432">
                  <c:v>-146.91992923243978</c:v>
                </c:pt>
                <c:pt idx="433">
                  <c:v>-148.21912724147955</c:v>
                </c:pt>
                <c:pt idx="434">
                  <c:v>-149.50406591014263</c:v>
                </c:pt>
                <c:pt idx="435">
                  <c:v>-150.77423027146102</c:v>
                </c:pt>
                <c:pt idx="436">
                  <c:v>-152.02910756210463</c:v>
                </c:pt>
                <c:pt idx="437">
                  <c:v>-153.26818844090317</c:v>
                </c:pt>
                <c:pt idx="438">
                  <c:v>-154.49096822246443</c:v>
                </c:pt>
                <c:pt idx="439">
                  <c:v>-155.69694812206936</c:v>
                </c:pt>
                <c:pt idx="440">
                  <c:v>-156.88563650795547</c:v>
                </c:pt>
                <c:pt idx="441">
                  <c:v>-158.05655015699818</c:v>
                </c:pt>
                <c:pt idx="442">
                  <c:v>-159.20921550970405</c:v>
                </c:pt>
                <c:pt idx="443">
                  <c:v>-160.34316992034309</c:v>
                </c:pt>
                <c:pt idx="444">
                  <c:v>-161.45796289793813</c:v>
                </c:pt>
                <c:pt idx="445">
                  <c:v>-162.55315733376077</c:v>
                </c:pt>
                <c:pt idx="446">
                  <c:v>-163.62833071088366</c:v>
                </c:pt>
                <c:pt idx="447">
                  <c:v>-164.68307629129896</c:v>
                </c:pt>
                <c:pt idx="448">
                  <c:v>-165.71700427605327</c:v>
                </c:pt>
                <c:pt idx="449">
                  <c:v>-166.72974293382941</c:v>
                </c:pt>
                <c:pt idx="450">
                  <c:v>-167.72093969341682</c:v>
                </c:pt>
                <c:pt idx="451">
                  <c:v>-168.69026219552546</c:v>
                </c:pt>
                <c:pt idx="452">
                  <c:v>-169.63739929946405</c:v>
                </c:pt>
                <c:pt idx="453">
                  <c:v>-170.56206204029428</c:v>
                </c:pt>
                <c:pt idx="454">
                  <c:v>-171.46398453217338</c:v>
                </c:pt>
                <c:pt idx="455">
                  <c:v>-172.34292481375826</c:v>
                </c:pt>
                <c:pt idx="456">
                  <c:v>-173.19866563170311</c:v>
                </c:pt>
                <c:pt idx="457">
                  <c:v>-174.03101515849536</c:v>
                </c:pt>
                <c:pt idx="458">
                  <c:v>-174.83980764108745</c:v>
                </c:pt>
                <c:pt idx="459">
                  <c:v>-175.62490397703715</c:v>
                </c:pt>
                <c:pt idx="460">
                  <c:v>-176.38619221513329</c:v>
                </c:pt>
                <c:pt idx="461">
                  <c:v>-177.12358797776818</c:v>
                </c:pt>
                <c:pt idx="462">
                  <c:v>-177.83703480262579</c:v>
                </c:pt>
                <c:pt idx="463">
                  <c:v>-178.52650440156671</c:v>
                </c:pt>
                <c:pt idx="464">
                  <c:v>-179.19199683491655</c:v>
                </c:pt>
                <c:pt idx="465">
                  <c:v>-179.83354059971234</c:v>
                </c:pt>
                <c:pt idx="466">
                  <c:v>179.54880736919577</c:v>
                </c:pt>
                <c:pt idx="467">
                  <c:v>178.95496178593072</c:v>
                </c:pt>
                <c:pt idx="468">
                  <c:v>178.38480918863712</c:v>
                </c:pt>
                <c:pt idx="469">
                  <c:v>177.83820820279323</c:v>
                </c:pt>
                <c:pt idx="470">
                  <c:v>177.31498989240404</c:v>
                </c:pt>
                <c:pt idx="471">
                  <c:v>176.81495819830172</c:v>
                </c:pt>
                <c:pt idx="472">
                  <c:v>176.33789046238238</c:v>
                </c:pt>
                <c:pt idx="473">
                  <c:v>175.88353803620294</c:v>
                </c:pt>
                <c:pt idx="474">
                  <c:v>175.45162697194723</c:v>
                </c:pt>
                <c:pt idx="475">
                  <c:v>175.04185879335316</c:v>
                </c:pt>
                <c:pt idx="476">
                  <c:v>174.65391134377944</c:v>
                </c:pt>
                <c:pt idx="477">
                  <c:v>174.28743970815029</c:v>
                </c:pt>
                <c:pt idx="478">
                  <c:v>173.9420772051154</c:v>
                </c:pt>
                <c:pt idx="479">
                  <c:v>173.61743644532814</c:v>
                </c:pt>
                <c:pt idx="480">
                  <c:v>173.31311045133913</c:v>
                </c:pt>
                <c:pt idx="481">
                  <c:v>173.02867383421955</c:v>
                </c:pt>
                <c:pt idx="482">
                  <c:v>172.76368402162677</c:v>
                </c:pt>
                <c:pt idx="483">
                  <c:v>172.51768253169072</c:v>
                </c:pt>
                <c:pt idx="484">
                  <c:v>172.29019628676159</c:v>
                </c:pt>
                <c:pt idx="485">
                  <c:v>172.08073896076908</c:v>
                </c:pt>
                <c:pt idx="486">
                  <c:v>171.88881235370221</c:v>
                </c:pt>
                <c:pt idx="487">
                  <c:v>171.71390778649541</c:v>
                </c:pt>
                <c:pt idx="488">
                  <c:v>171.55550750947279</c:v>
                </c:pt>
                <c:pt idx="489">
                  <c:v>171.41308611738467</c:v>
                </c:pt>
                <c:pt idx="490">
                  <c:v>171.28611196404762</c:v>
                </c:pt>
                <c:pt idx="491">
                  <c:v>171.17404856960354</c:v>
                </c:pt>
                <c:pt idx="492">
                  <c:v>171.07635601351117</c:v>
                </c:pt>
                <c:pt idx="493">
                  <c:v>170.99249230652677</c:v>
                </c:pt>
                <c:pt idx="494">
                  <c:v>170.92191473513975</c:v>
                </c:pt>
                <c:pt idx="495">
                  <c:v>170.86408117220449</c:v>
                </c:pt>
                <c:pt idx="496">
                  <c:v>170.81845134784459</c:v>
                </c:pt>
                <c:pt idx="497">
                  <c:v>170.78448807508403</c:v>
                </c:pt>
                <c:pt idx="498">
                  <c:v>170.76165842509729</c:v>
                </c:pt>
                <c:pt idx="499">
                  <c:v>170.74943484745722</c:v>
                </c:pt>
                <c:pt idx="500">
                  <c:v>170.74729623125535</c:v>
                </c:pt>
                <c:pt idx="501">
                  <c:v>170.75472890353458</c:v>
                </c:pt>
                <c:pt idx="502">
                  <c:v>170.77122756202547</c:v>
                </c:pt>
                <c:pt idx="503">
                  <c:v>170.79629613975462</c:v>
                </c:pt>
                <c:pt idx="504">
                  <c:v>170.82944859969052</c:v>
                </c:pt>
                <c:pt idx="505">
                  <c:v>170.87020965816265</c:v>
                </c:pt>
                <c:pt idx="506">
                  <c:v>170.91811543635833</c:v>
                </c:pt>
                <c:pt idx="507">
                  <c:v>170.97271403977092</c:v>
                </c:pt>
                <c:pt idx="508">
                  <c:v>171.03356606598521</c:v>
                </c:pt>
                <c:pt idx="509">
                  <c:v>171.10024504170144</c:v>
                </c:pt>
                <c:pt idx="510">
                  <c:v>171.17233779035681</c:v>
                </c:pt>
                <c:pt idx="511">
                  <c:v>171.24944473213796</c:v>
                </c:pt>
                <c:pt idx="512">
                  <c:v>171.33118011855831</c:v>
                </c:pt>
                <c:pt idx="513">
                  <c:v>171.41717220412275</c:v>
                </c:pt>
                <c:pt idx="514">
                  <c:v>171.50706335789323</c:v>
                </c:pt>
                <c:pt idx="515">
                  <c:v>171.60051011802352</c:v>
                </c:pt>
                <c:pt idx="516">
                  <c:v>171.69718319253485</c:v>
                </c:pt>
                <c:pt idx="517">
                  <c:v>171.79676740976223</c:v>
                </c:pt>
                <c:pt idx="518">
                  <c:v>171.89896162201515</c:v>
                </c:pt>
                <c:pt idx="519">
                  <c:v>172.00347856608101</c:v>
                </c:pt>
                <c:pt idx="520">
                  <c:v>172.11004468421532</c:v>
                </c:pt>
                <c:pt idx="521">
                  <c:v>172.21839990928399</c:v>
                </c:pt>
                <c:pt idx="522">
                  <c:v>172.32829741766682</c:v>
                </c:pt>
                <c:pt idx="523">
                  <c:v>172.43950335348606</c:v>
                </c:pt>
                <c:pt idx="524">
                  <c:v>172.55179652761967</c:v>
                </c:pt>
                <c:pt idx="525">
                  <c:v>172.66496809485255</c:v>
                </c:pt>
                <c:pt idx="526">
                  <c:v>172.77882121238625</c:v>
                </c:pt>
                <c:pt idx="527">
                  <c:v>172.89317068277606</c:v>
                </c:pt>
                <c:pt idx="528">
                  <c:v>173.00784258420532</c:v>
                </c:pt>
                <c:pt idx="529">
                  <c:v>173.12267389083925</c:v>
                </c:pt>
                <c:pt idx="530">
                  <c:v>173.23751208581254</c:v>
                </c:pt>
                <c:pt idx="531">
                  <c:v>173.35221476923863</c:v>
                </c:pt>
                <c:pt idx="532">
                  <c:v>173.46664926342842</c:v>
                </c:pt>
                <c:pt idx="533">
                  <c:v>173.58069221733879</c:v>
                </c:pt>
                <c:pt idx="534">
                  <c:v>173.69422921207567</c:v>
                </c:pt>
                <c:pt idx="535">
                  <c:v>173.807154369111</c:v>
                </c:pt>
                <c:pt idx="536">
                  <c:v>173.91936996269314</c:v>
                </c:pt>
                <c:pt idx="537">
                  <c:v>174.03078603776899</c:v>
                </c:pt>
                <c:pt idx="538">
                  <c:v>174.14132003457394</c:v>
                </c:pt>
                <c:pt idx="539">
                  <c:v>174.25089642090003</c:v>
                </c:pt>
                <c:pt idx="540">
                  <c:v>174.35944633290492</c:v>
                </c:pt>
                <c:pt idx="541">
                  <c:v>174.46690722519514</c:v>
                </c:pt>
              </c:numCache>
            </c:numRef>
          </c:yVal>
          <c:smooth val="1"/>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layout/>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layout/>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3"/>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749300</xdr:colOff>
          <xdr:row>58</xdr:row>
          <xdr:rowOff>0</xdr:rowOff>
        </xdr:from>
        <xdr:to>
          <xdr:col>8</xdr:col>
          <xdr:colOff>12700</xdr:colOff>
          <xdr:row>60</xdr:row>
          <xdr:rowOff>0</xdr:rowOff>
        </xdr:to>
        <xdr:sp macro="" textlink="">
          <xdr:nvSpPr>
            <xdr:cNvPr id="1060" name="Spinner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13</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13</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AA102"/>
  <sheetViews>
    <sheetView tabSelected="1" zoomScale="85" zoomScaleNormal="85" workbookViewId="0">
      <selection activeCell="F17" sqref="F17"/>
    </sheetView>
  </sheetViews>
  <sheetFormatPr defaultColWidth="8.81640625" defaultRowHeight="14.5" x14ac:dyDescent="0.35"/>
  <cols>
    <col min="1" max="6" width="8.81640625" style="120" customWidth="1"/>
    <col min="7" max="7" width="8.81640625" style="188" customWidth="1"/>
    <col min="8" max="8" width="12" style="120" bestFit="1" customWidth="1"/>
    <col min="9" max="9" width="4.1796875" style="120" bestFit="1" customWidth="1"/>
    <col min="10" max="10" width="4.81640625" style="120" customWidth="1"/>
    <col min="11" max="20" width="8.81640625" style="120" customWidth="1"/>
    <col min="21" max="21" width="8.81640625" style="124" customWidth="1"/>
    <col min="22" max="22" width="7.1796875" style="120" customWidth="1"/>
    <col min="23" max="26" width="8.81640625" style="120" customWidth="1"/>
    <col min="27" max="27" width="1.81640625" style="189" customWidth="1"/>
    <col min="28" max="16384" width="8.81640625" style="120"/>
  </cols>
  <sheetData>
    <row r="1" spans="1:27" ht="46.75" customHeight="1" x14ac:dyDescent="0.25">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35">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35">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35">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35">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 thickBot="1" x14ac:dyDescent="0.4">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ht="15" x14ac:dyDescent="0.4">
      <c r="A7" s="138"/>
      <c r="B7" s="139"/>
      <c r="C7" s="139"/>
      <c r="D7" s="139"/>
      <c r="E7" s="139"/>
      <c r="F7" s="139"/>
      <c r="G7" s="140" t="s">
        <v>4</v>
      </c>
      <c r="H7" s="191">
        <v>6</v>
      </c>
      <c r="I7" s="141" t="s">
        <v>10</v>
      </c>
      <c r="J7" s="133"/>
      <c r="K7" s="133"/>
      <c r="L7" s="133"/>
      <c r="M7" s="133"/>
      <c r="N7" s="133"/>
      <c r="O7" s="133"/>
      <c r="P7" s="133"/>
      <c r="Q7" s="133"/>
      <c r="R7" s="133"/>
      <c r="S7" s="133"/>
      <c r="T7" s="133"/>
      <c r="U7" s="136"/>
      <c r="V7" s="133"/>
      <c r="W7" s="133"/>
      <c r="X7" s="133"/>
      <c r="Y7" s="133"/>
      <c r="Z7" s="133"/>
      <c r="AA7" s="119"/>
    </row>
    <row r="8" spans="1:27" ht="15" x14ac:dyDescent="0.4">
      <c r="A8" s="142"/>
      <c r="B8" s="136"/>
      <c r="C8" s="136"/>
      <c r="D8" s="136"/>
      <c r="E8" s="136"/>
      <c r="F8" s="136"/>
      <c r="G8" s="143" t="s">
        <v>5</v>
      </c>
      <c r="H8" s="192">
        <v>14</v>
      </c>
      <c r="I8" s="144" t="s">
        <v>10</v>
      </c>
      <c r="J8" s="133"/>
      <c r="K8" s="133"/>
      <c r="L8" s="133"/>
      <c r="M8" s="133"/>
      <c r="N8" s="133"/>
      <c r="O8" s="133"/>
      <c r="P8" s="133"/>
      <c r="Q8" s="133"/>
      <c r="R8" s="133"/>
      <c r="S8" s="133"/>
      <c r="T8" s="133"/>
      <c r="U8" s="136"/>
      <c r="V8" s="133"/>
      <c r="W8" s="133"/>
      <c r="X8" s="133"/>
      <c r="Y8" s="133"/>
      <c r="Z8" s="133"/>
      <c r="AA8" s="119"/>
    </row>
    <row r="9" spans="1:27" ht="15" x14ac:dyDescent="0.4">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ht="15" x14ac:dyDescent="0.4">
      <c r="A10" s="142"/>
      <c r="B10" s="136"/>
      <c r="C10" s="136"/>
      <c r="D10" s="136"/>
      <c r="E10" s="136"/>
      <c r="F10" s="136"/>
      <c r="G10" s="143" t="s">
        <v>7</v>
      </c>
      <c r="H10" s="192">
        <v>15</v>
      </c>
      <c r="I10" s="144" t="s">
        <v>10</v>
      </c>
      <c r="J10" s="133"/>
      <c r="K10" s="133"/>
      <c r="L10" s="133"/>
      <c r="M10" s="133"/>
      <c r="N10" s="133"/>
      <c r="O10" s="133"/>
      <c r="P10" s="133"/>
      <c r="Q10" s="133"/>
      <c r="R10" s="133"/>
      <c r="S10" s="133"/>
      <c r="T10" s="133"/>
      <c r="U10" s="136"/>
      <c r="V10" s="133"/>
      <c r="W10" s="133"/>
      <c r="X10" s="133"/>
      <c r="Y10" s="133"/>
      <c r="Z10" s="133"/>
      <c r="AA10" s="119"/>
    </row>
    <row r="11" spans="1:27" ht="15" x14ac:dyDescent="0.4">
      <c r="A11" s="142"/>
      <c r="B11" s="136"/>
      <c r="C11" s="136"/>
      <c r="D11" s="136"/>
      <c r="E11" s="136"/>
      <c r="F11" s="136"/>
      <c r="G11" s="143" t="s">
        <v>8</v>
      </c>
      <c r="H11" s="192">
        <v>2</v>
      </c>
      <c r="I11" s="144" t="s">
        <v>11</v>
      </c>
      <c r="J11" s="133"/>
      <c r="K11" s="133"/>
      <c r="L11" s="133"/>
      <c r="M11" s="133"/>
      <c r="N11" s="133"/>
      <c r="O11" s="133"/>
      <c r="P11" s="133"/>
      <c r="Q11" s="133"/>
      <c r="R11" s="133"/>
      <c r="S11" s="133"/>
      <c r="T11" s="133"/>
      <c r="U11" s="136"/>
      <c r="V11" s="133"/>
      <c r="W11" s="133"/>
      <c r="X11" s="133"/>
      <c r="Y11" s="133"/>
      <c r="Z11" s="133"/>
      <c r="AA11" s="119"/>
    </row>
    <row r="12" spans="1:27" ht="15" x14ac:dyDescent="0.4">
      <c r="A12" s="142"/>
      <c r="B12" s="136"/>
      <c r="C12" s="136"/>
      <c r="D12" s="136"/>
      <c r="E12" s="136"/>
      <c r="F12" s="136"/>
      <c r="G12" s="143" t="s">
        <v>9</v>
      </c>
      <c r="H12" s="192">
        <v>440</v>
      </c>
      <c r="I12" s="144" t="s">
        <v>12</v>
      </c>
      <c r="J12" s="133"/>
      <c r="K12" s="133"/>
      <c r="L12" s="133"/>
      <c r="M12" s="133"/>
      <c r="N12" s="133"/>
      <c r="O12" s="133"/>
      <c r="P12" s="133"/>
      <c r="Q12" s="133"/>
      <c r="R12" s="133"/>
      <c r="S12" s="133"/>
      <c r="T12" s="133"/>
      <c r="U12" s="136"/>
      <c r="V12" s="133"/>
      <c r="W12" s="133"/>
      <c r="X12" s="133"/>
      <c r="Y12" s="133"/>
      <c r="Z12" s="133"/>
      <c r="AA12" s="119"/>
    </row>
    <row r="13" spans="1:27" ht="15" x14ac:dyDescent="0.4">
      <c r="A13" s="142"/>
      <c r="B13" s="136"/>
      <c r="C13" s="136"/>
      <c r="D13" s="136"/>
      <c r="E13" s="136"/>
      <c r="F13" s="136"/>
      <c r="G13" s="143" t="s">
        <v>72</v>
      </c>
      <c r="H13" s="193">
        <f>RT/1000</f>
        <v>49.272272727272728</v>
      </c>
      <c r="I13" s="144" t="s">
        <v>73</v>
      </c>
      <c r="J13" s="133"/>
      <c r="K13" s="133"/>
      <c r="L13" s="133"/>
      <c r="M13" s="133"/>
      <c r="N13" s="133"/>
      <c r="O13" s="133"/>
      <c r="P13" s="133"/>
      <c r="Q13" s="133"/>
      <c r="R13" s="133"/>
      <c r="S13" s="133"/>
      <c r="T13" s="133"/>
      <c r="U13" s="136"/>
      <c r="V13" s="133"/>
      <c r="W13" s="133"/>
      <c r="X13" s="133"/>
      <c r="Y13" s="133"/>
      <c r="Z13" s="133"/>
      <c r="AA13" s="119"/>
    </row>
    <row r="14" spans="1:27" ht="15" x14ac:dyDescent="0.4">
      <c r="A14" s="142"/>
      <c r="B14" s="136"/>
      <c r="C14" s="136"/>
      <c r="D14" s="136"/>
      <c r="E14" s="136"/>
      <c r="F14" s="136"/>
      <c r="G14" s="143" t="s">
        <v>14</v>
      </c>
      <c r="H14" s="194">
        <f>POUT</f>
        <v>30</v>
      </c>
      <c r="I14" s="144" t="s">
        <v>38</v>
      </c>
      <c r="J14" s="133"/>
      <c r="K14" s="133"/>
      <c r="L14" s="133"/>
      <c r="M14" s="133"/>
      <c r="N14" s="133"/>
      <c r="O14" s="133"/>
      <c r="P14" s="133"/>
      <c r="Q14" s="133"/>
      <c r="R14" s="133"/>
      <c r="S14" s="133"/>
      <c r="T14" s="133"/>
      <c r="U14" s="136"/>
      <c r="V14" s="133"/>
      <c r="W14" s="133"/>
      <c r="X14" s="133"/>
      <c r="Y14" s="133"/>
      <c r="Z14" s="133"/>
      <c r="AA14" s="119"/>
    </row>
    <row r="15" spans="1:27" ht="15" x14ac:dyDescent="0.45">
      <c r="A15" s="145"/>
      <c r="B15" s="146"/>
      <c r="C15" s="146"/>
      <c r="D15" s="146"/>
      <c r="E15" s="146"/>
      <c r="F15" s="136"/>
      <c r="G15" s="147" t="s">
        <v>588</v>
      </c>
      <c r="H15" s="221">
        <f>Dc_max_IC*100</f>
        <v>90</v>
      </c>
      <c r="I15" s="144" t="s">
        <v>13</v>
      </c>
      <c r="J15" s="133"/>
      <c r="K15" s="133"/>
      <c r="L15" s="133"/>
      <c r="M15" s="133"/>
      <c r="N15" s="133"/>
      <c r="O15" s="133"/>
      <c r="P15" s="133"/>
      <c r="Q15" s="133"/>
      <c r="R15" s="133"/>
      <c r="S15" s="133"/>
      <c r="T15" s="133"/>
      <c r="U15" s="136"/>
      <c r="V15" s="133"/>
      <c r="W15" s="133"/>
      <c r="X15" s="133"/>
      <c r="Y15" s="133"/>
      <c r="Z15" s="133"/>
      <c r="AA15" s="119"/>
    </row>
    <row r="16" spans="1:27" ht="15.5" thickBot="1" x14ac:dyDescent="0.45">
      <c r="A16" s="148"/>
      <c r="B16" s="149"/>
      <c r="C16" s="149"/>
      <c r="D16" s="149"/>
      <c r="E16" s="149"/>
      <c r="F16" s="150"/>
      <c r="G16" s="151" t="s">
        <v>425</v>
      </c>
      <c r="H16" s="222">
        <f>Variable_Management!B19*100</f>
        <v>71.428571428571431</v>
      </c>
      <c r="I16" s="152" t="s">
        <v>13</v>
      </c>
      <c r="J16" s="133"/>
      <c r="K16" s="133"/>
      <c r="L16" s="133"/>
      <c r="M16" s="133"/>
      <c r="N16" s="133"/>
      <c r="O16" s="133"/>
      <c r="P16" s="133"/>
      <c r="Q16" s="133"/>
      <c r="R16" s="133"/>
      <c r="S16" s="133"/>
      <c r="T16" s="133"/>
      <c r="U16" s="136"/>
      <c r="V16" s="133"/>
      <c r="W16" s="133"/>
      <c r="X16" s="133"/>
      <c r="Y16" s="133"/>
      <c r="Z16" s="133"/>
      <c r="AA16" s="119"/>
    </row>
    <row r="17" spans="1:27" x14ac:dyDescent="0.35">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 thickBot="1" x14ac:dyDescent="0.4">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ht="14.65" x14ac:dyDescent="0.4">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ht="15" x14ac:dyDescent="0.4">
      <c r="A20" s="145"/>
      <c r="B20" s="146"/>
      <c r="C20" s="146"/>
      <c r="D20" s="146"/>
      <c r="E20" s="146"/>
      <c r="F20" s="136"/>
      <c r="G20" s="143" t="s">
        <v>426</v>
      </c>
      <c r="H20" s="192">
        <v>60</v>
      </c>
      <c r="I20" s="144" t="s">
        <v>13</v>
      </c>
      <c r="J20" s="133"/>
      <c r="K20" s="133"/>
      <c r="L20" s="133"/>
      <c r="M20" s="133"/>
      <c r="N20" s="133"/>
      <c r="O20" s="133"/>
      <c r="P20" s="133"/>
      <c r="Q20" s="133"/>
      <c r="R20" s="133"/>
      <c r="S20" s="133"/>
      <c r="T20" s="133"/>
      <c r="U20" s="136"/>
      <c r="V20" s="133"/>
      <c r="W20" s="133"/>
      <c r="X20" s="133"/>
      <c r="Y20" s="133"/>
      <c r="Z20" s="133"/>
      <c r="AA20" s="119"/>
    </row>
    <row r="21" spans="1:27" ht="15" x14ac:dyDescent="0.4">
      <c r="A21" s="142"/>
      <c r="B21" s="136"/>
      <c r="C21" s="136"/>
      <c r="D21" s="136"/>
      <c r="E21" s="136"/>
      <c r="F21" s="136"/>
      <c r="G21" s="143" t="s">
        <v>397</v>
      </c>
      <c r="H21" s="199">
        <f>Variable_Management!B38*10^6</f>
        <v>6.4002089864158833</v>
      </c>
      <c r="I21" s="144" t="s">
        <v>90</v>
      </c>
      <c r="J21" s="133"/>
      <c r="K21" s="133"/>
      <c r="L21" s="133"/>
      <c r="M21" s="133"/>
      <c r="N21" s="133"/>
      <c r="O21" s="133"/>
      <c r="P21" s="133"/>
      <c r="Q21" s="133"/>
      <c r="R21" s="133"/>
      <c r="S21" s="133"/>
      <c r="T21" s="133"/>
      <c r="U21" s="136"/>
      <c r="V21" s="133"/>
      <c r="W21" s="133"/>
      <c r="X21" s="133"/>
      <c r="Y21" s="133"/>
      <c r="Z21" s="133"/>
      <c r="AA21" s="119"/>
    </row>
    <row r="22" spans="1:27" ht="15" x14ac:dyDescent="0.45">
      <c r="A22" s="142"/>
      <c r="B22" s="136"/>
      <c r="C22" s="136"/>
      <c r="D22" s="136"/>
      <c r="E22" s="136"/>
      <c r="F22" s="136"/>
      <c r="G22" s="143" t="s">
        <v>398</v>
      </c>
      <c r="H22" s="192">
        <v>10</v>
      </c>
      <c r="I22" s="144" t="s">
        <v>90</v>
      </c>
      <c r="J22" s="133"/>
      <c r="K22" s="133"/>
      <c r="L22" s="133"/>
      <c r="M22" s="133"/>
      <c r="N22" s="133"/>
      <c r="O22" s="133"/>
      <c r="P22" s="133"/>
      <c r="Q22" s="133"/>
      <c r="R22" s="133"/>
      <c r="S22" s="133"/>
      <c r="T22" s="133"/>
      <c r="U22" s="136"/>
      <c r="V22" s="133"/>
      <c r="W22" s="133"/>
      <c r="X22" s="133"/>
      <c r="Y22" s="133"/>
      <c r="Z22" s="133"/>
      <c r="AA22" s="119"/>
    </row>
    <row r="23" spans="1:27" ht="15.5" thickBot="1" x14ac:dyDescent="0.5">
      <c r="A23" s="156"/>
      <c r="B23" s="150"/>
      <c r="C23" s="150"/>
      <c r="D23" s="150"/>
      <c r="E23" s="150"/>
      <c r="F23" s="150"/>
      <c r="G23" s="157" t="s">
        <v>93</v>
      </c>
      <c r="H23" s="195">
        <f>ISW_peak_VIN_min</f>
        <v>7.9740259740259738</v>
      </c>
      <c r="I23" s="152" t="s">
        <v>11</v>
      </c>
      <c r="J23" s="133"/>
      <c r="K23" s="133"/>
      <c r="L23" s="133"/>
      <c r="M23" s="133"/>
      <c r="N23" s="133"/>
      <c r="O23" s="133"/>
      <c r="P23" s="133"/>
      <c r="Q23" s="133"/>
      <c r="R23" s="133"/>
      <c r="S23" s="133"/>
      <c r="T23" s="133"/>
      <c r="U23" s="136"/>
      <c r="V23" s="133"/>
      <c r="W23" s="133"/>
      <c r="X23" s="133"/>
      <c r="Y23" s="133"/>
      <c r="Z23" s="133"/>
      <c r="AA23" s="119"/>
    </row>
    <row r="24" spans="1:27" x14ac:dyDescent="0.35">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 thickBot="1" x14ac:dyDescent="0.45">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ht="14.65" x14ac:dyDescent="0.4">
      <c r="A26" s="138"/>
      <c r="B26" s="139"/>
      <c r="C26" s="139"/>
      <c r="D26" s="139"/>
      <c r="E26" s="139"/>
      <c r="F26" s="139"/>
      <c r="G26" s="140" t="s">
        <v>427</v>
      </c>
      <c r="H26" s="191">
        <v>30</v>
      </c>
      <c r="I26" s="141" t="s">
        <v>13</v>
      </c>
      <c r="J26" s="133"/>
      <c r="K26" s="133"/>
      <c r="L26" s="133"/>
      <c r="M26" s="133"/>
      <c r="N26" s="133"/>
      <c r="O26" s="133"/>
      <c r="P26" s="133"/>
      <c r="Q26" s="133"/>
      <c r="R26" s="133"/>
      <c r="S26" s="133"/>
      <c r="T26" s="133"/>
      <c r="U26" s="136"/>
      <c r="V26" s="133"/>
      <c r="W26" s="133"/>
      <c r="X26" s="133"/>
      <c r="Y26" s="133"/>
      <c r="Z26" s="133"/>
      <c r="AA26" s="119"/>
    </row>
    <row r="27" spans="1:27" ht="17.149999999999999" x14ac:dyDescent="0.55000000000000004">
      <c r="A27" s="142"/>
      <c r="B27" s="136"/>
      <c r="C27" s="136"/>
      <c r="D27" s="136"/>
      <c r="E27" s="136"/>
      <c r="F27" s="136"/>
      <c r="G27" s="158" t="s">
        <v>589</v>
      </c>
      <c r="H27" s="193">
        <f>Ipk_selected</f>
        <v>10.366233766233766</v>
      </c>
      <c r="I27" s="144" t="s">
        <v>11</v>
      </c>
      <c r="J27" s="133"/>
      <c r="K27" s="133"/>
      <c r="L27" s="133"/>
      <c r="M27" s="133"/>
      <c r="N27" s="133"/>
      <c r="O27" s="133"/>
      <c r="P27" s="133"/>
      <c r="Q27" s="133"/>
      <c r="R27" s="133"/>
      <c r="S27" s="133"/>
      <c r="T27" s="133"/>
      <c r="U27" s="136"/>
      <c r="V27" s="133"/>
      <c r="W27" s="133"/>
      <c r="X27" s="133"/>
      <c r="Y27" s="133"/>
      <c r="Z27" s="133"/>
      <c r="AA27" s="119"/>
    </row>
    <row r="28" spans="1:27" ht="16.5" x14ac:dyDescent="0.45">
      <c r="A28" s="142"/>
      <c r="B28" s="136"/>
      <c r="C28" s="136"/>
      <c r="D28" s="136"/>
      <c r="E28" s="136"/>
      <c r="F28" s="136"/>
      <c r="G28" s="158" t="s">
        <v>432</v>
      </c>
      <c r="H28" s="193">
        <f>Variable_Management!B115*1000</f>
        <v>9.6467050864445003</v>
      </c>
      <c r="I28" s="144" t="s">
        <v>92</v>
      </c>
      <c r="J28" s="133"/>
      <c r="K28" s="133"/>
      <c r="L28" s="133"/>
      <c r="M28" s="133"/>
      <c r="N28" s="133"/>
      <c r="O28" s="133"/>
      <c r="P28" s="133"/>
      <c r="Q28" s="133"/>
      <c r="R28" s="133"/>
      <c r="S28" s="133"/>
      <c r="T28" s="133"/>
      <c r="U28" s="136"/>
      <c r="V28" s="133"/>
      <c r="W28" s="133"/>
      <c r="X28" s="133"/>
      <c r="Y28" s="133"/>
      <c r="Z28" s="133"/>
      <c r="AA28" s="119"/>
    </row>
    <row r="29" spans="1:27" ht="16.5" x14ac:dyDescent="0.4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6.5" x14ac:dyDescent="0.45">
      <c r="A30" s="142"/>
      <c r="B30" s="136"/>
      <c r="C30" s="136"/>
      <c r="D30" s="136"/>
      <c r="E30" s="136"/>
      <c r="F30" s="136"/>
      <c r="G30" s="158" t="s">
        <v>433</v>
      </c>
      <c r="H30" s="192">
        <v>9</v>
      </c>
      <c r="I30" s="144" t="s">
        <v>92</v>
      </c>
      <c r="J30" s="133"/>
      <c r="K30" s="133"/>
      <c r="L30" s="133"/>
      <c r="M30" s="133"/>
      <c r="N30" s="133"/>
      <c r="O30" s="133"/>
      <c r="P30" s="133"/>
      <c r="Q30" s="133"/>
      <c r="R30" s="133"/>
      <c r="S30" s="133"/>
      <c r="T30" s="133"/>
      <c r="U30" s="136"/>
      <c r="V30" s="133"/>
      <c r="W30" s="133"/>
      <c r="X30" s="133"/>
      <c r="Y30" s="133"/>
      <c r="Z30" s="133"/>
      <c r="AA30" s="119"/>
    </row>
    <row r="31" spans="1:27" ht="16.5" x14ac:dyDescent="0.4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 thickBot="1" x14ac:dyDescent="0.45">
      <c r="A32" s="156"/>
      <c r="B32" s="150"/>
      <c r="C32" s="150"/>
      <c r="D32" s="150"/>
      <c r="E32" s="150"/>
      <c r="F32" s="150"/>
      <c r="G32" s="160" t="s">
        <v>553</v>
      </c>
      <c r="H32" s="197">
        <f>IL_pk_max</f>
        <v>11.111111111111112</v>
      </c>
      <c r="I32" s="161" t="s">
        <v>11</v>
      </c>
      <c r="J32" s="133"/>
      <c r="K32" s="133"/>
      <c r="L32" s="133"/>
      <c r="M32" s="133"/>
      <c r="N32" s="133"/>
      <c r="O32" s="133"/>
      <c r="P32" s="133"/>
      <c r="Q32" s="133"/>
      <c r="R32" s="133"/>
      <c r="S32" s="133"/>
      <c r="T32" s="133"/>
      <c r="U32" s="136"/>
      <c r="V32" s="133"/>
      <c r="W32" s="133"/>
      <c r="X32" s="133"/>
      <c r="Y32" s="133"/>
      <c r="Z32" s="133"/>
      <c r="AA32" s="119"/>
    </row>
    <row r="33" spans="1:27" ht="14.65" x14ac:dyDescent="0.4">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7.649999999999999" thickBot="1" x14ac:dyDescent="0.6">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7.149999999999999" x14ac:dyDescent="0.55000000000000004">
      <c r="A35" s="138"/>
      <c r="B35" s="139"/>
      <c r="C35" s="139"/>
      <c r="D35" s="139"/>
      <c r="E35" s="139"/>
      <c r="F35" s="139"/>
      <c r="G35" s="162" t="s">
        <v>555</v>
      </c>
      <c r="H35" s="233">
        <f>Cac_min*(10^6)</f>
        <v>3.6075036075036073</v>
      </c>
      <c r="I35" s="141" t="s">
        <v>153</v>
      </c>
      <c r="J35" s="133"/>
      <c r="K35" s="133"/>
      <c r="L35" s="133"/>
      <c r="M35" s="133"/>
      <c r="N35" s="133"/>
      <c r="O35" s="133"/>
      <c r="P35" s="133"/>
      <c r="Q35" s="133"/>
      <c r="R35" s="133"/>
      <c r="S35" s="133"/>
      <c r="T35" s="133"/>
      <c r="U35" s="136"/>
      <c r="V35" s="133"/>
      <c r="W35" s="133"/>
      <c r="X35" s="133"/>
      <c r="Y35" s="133"/>
      <c r="Z35" s="133"/>
      <c r="AA35" s="119"/>
    </row>
    <row r="36" spans="1:27" ht="17.149999999999999" x14ac:dyDescent="0.55000000000000004">
      <c r="A36" s="142"/>
      <c r="B36" s="136"/>
      <c r="C36" s="136"/>
      <c r="D36" s="136"/>
      <c r="E36" s="136"/>
      <c r="F36" s="136"/>
      <c r="G36" s="158" t="s">
        <v>556</v>
      </c>
      <c r="H36" s="192">
        <v>3.3</v>
      </c>
      <c r="I36" s="144" t="s">
        <v>153</v>
      </c>
      <c r="J36" s="133"/>
      <c r="K36" s="133"/>
      <c r="L36" s="133"/>
      <c r="M36" s="133"/>
      <c r="N36" s="133"/>
      <c r="O36" s="133"/>
      <c r="P36" s="133"/>
      <c r="Q36" s="133"/>
      <c r="R36" s="133"/>
      <c r="S36" s="133"/>
      <c r="T36" s="133"/>
      <c r="U36" s="136"/>
      <c r="V36" s="133"/>
      <c r="W36" s="133"/>
      <c r="X36" s="133"/>
      <c r="Y36" s="133"/>
      <c r="Z36" s="133"/>
      <c r="AA36" s="119"/>
    </row>
    <row r="37" spans="1:27" ht="17.649999999999999" thickBot="1" x14ac:dyDescent="0.6">
      <c r="A37" s="156"/>
      <c r="B37" s="150"/>
      <c r="C37" s="150"/>
      <c r="D37" s="150"/>
      <c r="E37" s="150"/>
      <c r="F37" s="150"/>
      <c r="G37" s="160" t="s">
        <v>557</v>
      </c>
      <c r="H37" s="197">
        <f>Variable_Management!B134</f>
        <v>3.1622776601683795</v>
      </c>
      <c r="I37" s="152" t="s">
        <v>11</v>
      </c>
      <c r="J37" s="133"/>
      <c r="K37" s="133"/>
      <c r="L37" s="133"/>
      <c r="M37" s="133"/>
      <c r="N37" s="133"/>
      <c r="O37" s="133"/>
      <c r="P37" s="133"/>
      <c r="Q37" s="133"/>
      <c r="R37" s="133"/>
      <c r="S37" s="133"/>
      <c r="T37" s="133"/>
      <c r="U37" s="136"/>
      <c r="V37" s="133"/>
      <c r="W37" s="133"/>
      <c r="X37" s="133"/>
      <c r="Y37" s="133"/>
      <c r="Z37" s="133"/>
      <c r="AA37" s="119"/>
    </row>
    <row r="38" spans="1:27" ht="14.65" x14ac:dyDescent="0.4">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 thickBot="1" x14ac:dyDescent="0.45">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6.5" x14ac:dyDescent="0.45">
      <c r="A40" s="138"/>
      <c r="B40" s="139"/>
      <c r="C40" s="139"/>
      <c r="D40" s="139"/>
      <c r="E40" s="139"/>
      <c r="F40" s="139"/>
      <c r="G40" s="162" t="s">
        <v>468</v>
      </c>
      <c r="H40" s="191">
        <v>750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35">
      <c r="A41" s="142"/>
      <c r="B41" s="136"/>
      <c r="C41" s="136"/>
      <c r="D41" s="136"/>
      <c r="E41" s="136"/>
      <c r="F41" s="136"/>
      <c r="G41" s="158" t="s">
        <v>152</v>
      </c>
      <c r="H41" s="193">
        <f>Cout_min*10^6</f>
        <v>93.333333333333357</v>
      </c>
      <c r="I41" s="144" t="s">
        <v>153</v>
      </c>
      <c r="J41" s="133"/>
      <c r="K41" s="133"/>
      <c r="L41" s="133"/>
      <c r="M41" s="133"/>
      <c r="N41" s="133"/>
      <c r="O41" s="133"/>
      <c r="P41" s="133"/>
      <c r="Q41" s="133"/>
      <c r="R41" s="133"/>
      <c r="S41" s="133"/>
      <c r="T41" s="133"/>
      <c r="U41" s="136"/>
      <c r="V41" s="133"/>
      <c r="W41" s="133"/>
      <c r="X41" s="133"/>
      <c r="Y41" s="133"/>
      <c r="Z41" s="133"/>
      <c r="AA41" s="119"/>
    </row>
    <row r="42" spans="1:27" ht="16.5" x14ac:dyDescent="0.45">
      <c r="A42" s="142"/>
      <c r="B42" s="136"/>
      <c r="C42" s="136"/>
      <c r="D42" s="136"/>
      <c r="E42" s="136"/>
      <c r="F42" s="136"/>
      <c r="G42" s="158" t="s">
        <v>160</v>
      </c>
      <c r="H42" s="193">
        <f>IRMS_COUT</f>
        <v>3.1622776601683795</v>
      </c>
      <c r="I42" s="144" t="s">
        <v>11</v>
      </c>
      <c r="J42" s="133"/>
      <c r="K42" s="133"/>
      <c r="L42" s="133"/>
      <c r="M42" s="133"/>
      <c r="N42" s="133"/>
      <c r="O42" s="133"/>
      <c r="P42" s="133"/>
      <c r="Q42" s="133"/>
      <c r="R42" s="133"/>
      <c r="S42" s="133"/>
      <c r="T42" s="133"/>
      <c r="U42" s="136"/>
      <c r="V42" s="133"/>
      <c r="W42" s="133"/>
      <c r="X42" s="133"/>
      <c r="Y42" s="133"/>
      <c r="Z42" s="133"/>
      <c r="AA42" s="119"/>
    </row>
    <row r="43" spans="1:27" ht="16.5" x14ac:dyDescent="0.45">
      <c r="A43" s="142"/>
      <c r="B43" s="136"/>
      <c r="C43" s="136"/>
      <c r="D43" s="136"/>
      <c r="E43" s="136"/>
      <c r="F43" s="136"/>
      <c r="G43" s="158" t="s">
        <v>154</v>
      </c>
      <c r="H43" s="192">
        <v>100</v>
      </c>
      <c r="I43" s="144" t="s">
        <v>153</v>
      </c>
      <c r="J43" s="133"/>
      <c r="K43" s="133"/>
      <c r="L43" s="133"/>
      <c r="M43" s="133"/>
      <c r="N43" s="133"/>
      <c r="O43" s="133"/>
      <c r="P43" s="133"/>
      <c r="Q43" s="133"/>
      <c r="R43" s="133"/>
      <c r="S43" s="133"/>
      <c r="T43" s="133"/>
      <c r="U43" s="136"/>
      <c r="V43" s="133"/>
      <c r="W43" s="133"/>
      <c r="X43" s="133"/>
      <c r="Y43" s="133"/>
      <c r="Z43" s="133"/>
      <c r="AA43" s="119"/>
    </row>
    <row r="44" spans="1:27" ht="17" thickBot="1" x14ac:dyDescent="0.5">
      <c r="A44" s="156"/>
      <c r="B44" s="150"/>
      <c r="C44" s="150"/>
      <c r="D44" s="150"/>
      <c r="E44" s="150"/>
      <c r="F44" s="150"/>
      <c r="G44" s="160" t="s">
        <v>162</v>
      </c>
      <c r="H44" s="198">
        <v>2</v>
      </c>
      <c r="I44" s="152" t="s">
        <v>92</v>
      </c>
      <c r="J44" s="133"/>
      <c r="K44" s="133"/>
      <c r="L44" s="133"/>
      <c r="M44" s="133"/>
      <c r="N44" s="133"/>
      <c r="O44" s="133"/>
      <c r="P44" s="133"/>
      <c r="Q44" s="133"/>
      <c r="R44" s="133"/>
      <c r="S44" s="133"/>
      <c r="T44" s="133"/>
      <c r="U44" s="136"/>
      <c r="V44" s="133"/>
      <c r="W44" s="133"/>
      <c r="X44" s="133"/>
      <c r="Y44" s="133"/>
      <c r="Z44" s="133"/>
      <c r="AA44" s="119"/>
    </row>
    <row r="45" spans="1:27" ht="14.65" x14ac:dyDescent="0.4">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 thickBot="1" x14ac:dyDescent="0.4">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6.5" x14ac:dyDescent="0.45">
      <c r="A47" s="138"/>
      <c r="B47" s="139"/>
      <c r="C47" s="139"/>
      <c r="D47" s="139"/>
      <c r="E47" s="139"/>
      <c r="F47" s="139"/>
      <c r="G47" s="162" t="s">
        <v>285</v>
      </c>
      <c r="H47" s="201">
        <f>Variable_Management!B149*(10^9)</f>
        <v>7.4999999999999991</v>
      </c>
      <c r="I47" s="141" t="s">
        <v>180</v>
      </c>
      <c r="J47" s="133"/>
      <c r="K47" s="133"/>
      <c r="L47" s="133"/>
      <c r="M47" s="133"/>
      <c r="N47" s="133"/>
      <c r="O47" s="133"/>
      <c r="P47" s="133"/>
      <c r="Q47" s="133"/>
      <c r="R47" s="133"/>
      <c r="S47" s="133"/>
      <c r="T47" s="133"/>
      <c r="U47" s="136"/>
      <c r="V47" s="133"/>
      <c r="W47" s="133"/>
      <c r="X47" s="133"/>
      <c r="Y47" s="133"/>
      <c r="Z47" s="133"/>
      <c r="AA47" s="119"/>
    </row>
    <row r="48" spans="1:27" ht="16.5" x14ac:dyDescent="0.4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7" thickBot="1" x14ac:dyDescent="0.5">
      <c r="A49" s="156"/>
      <c r="B49" s="150"/>
      <c r="C49" s="150"/>
      <c r="D49" s="150"/>
      <c r="E49" s="150"/>
      <c r="F49" s="150"/>
      <c r="G49" s="160" t="s">
        <v>289</v>
      </c>
      <c r="H49" s="202">
        <f>Variable_Management!B151*(10^9)</f>
        <v>333.33333333333337</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35">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 thickBot="1" x14ac:dyDescent="0.4">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6.5" x14ac:dyDescent="0.45">
      <c r="A52" s="138"/>
      <c r="B52" s="139"/>
      <c r="C52" s="139"/>
      <c r="D52" s="139"/>
      <c r="E52" s="139"/>
      <c r="F52" s="139"/>
      <c r="G52" s="162" t="s">
        <v>292</v>
      </c>
      <c r="H52" s="191">
        <v>5.8</v>
      </c>
      <c r="I52" s="141" t="s">
        <v>10</v>
      </c>
      <c r="J52" s="133"/>
      <c r="K52" s="133"/>
      <c r="L52" s="133"/>
      <c r="M52" s="133"/>
      <c r="N52" s="133"/>
      <c r="O52" s="133"/>
      <c r="P52" s="133"/>
      <c r="Q52" s="133"/>
      <c r="R52" s="133"/>
      <c r="S52" s="133"/>
      <c r="T52" s="133"/>
      <c r="U52" s="136"/>
      <c r="V52" s="133"/>
      <c r="W52" s="133"/>
      <c r="X52" s="133"/>
      <c r="Y52" s="133"/>
      <c r="Z52" s="133"/>
      <c r="AA52" s="119"/>
    </row>
    <row r="53" spans="1:27" ht="16.5" x14ac:dyDescent="0.45">
      <c r="A53" s="142"/>
      <c r="B53" s="136"/>
      <c r="C53" s="136"/>
      <c r="D53" s="136"/>
      <c r="E53" s="136"/>
      <c r="F53" s="136"/>
      <c r="G53" s="158" t="s">
        <v>291</v>
      </c>
      <c r="H53" s="192">
        <v>5.4</v>
      </c>
      <c r="I53" s="144" t="s">
        <v>10</v>
      </c>
      <c r="J53" s="133"/>
      <c r="K53" s="133"/>
      <c r="L53" s="133"/>
      <c r="M53" s="133"/>
      <c r="N53" s="133"/>
      <c r="O53" s="133"/>
      <c r="P53" s="133"/>
      <c r="Q53" s="190">
        <f>VIN_min</f>
        <v>6</v>
      </c>
      <c r="R53" s="133"/>
      <c r="S53" s="133"/>
      <c r="T53" s="133"/>
      <c r="U53" s="136"/>
      <c r="V53" s="133"/>
      <c r="W53" s="133"/>
      <c r="X53" s="133"/>
      <c r="Y53" s="133"/>
      <c r="Z53" s="133"/>
      <c r="AA53" s="119"/>
    </row>
    <row r="54" spans="1:27" ht="16.5" x14ac:dyDescent="0.45">
      <c r="A54" s="142"/>
      <c r="B54" s="136"/>
      <c r="C54" s="136"/>
      <c r="D54" s="136"/>
      <c r="E54" s="136"/>
      <c r="F54" s="136"/>
      <c r="G54" s="158" t="s">
        <v>402</v>
      </c>
      <c r="H54" s="199">
        <f>Ruvlo_top_calc/1000</f>
        <v>41.719999999999942</v>
      </c>
      <c r="I54" s="159" t="s">
        <v>177</v>
      </c>
      <c r="J54" s="133"/>
      <c r="K54" s="133"/>
      <c r="L54" s="133"/>
      <c r="M54" s="133"/>
      <c r="N54" s="133"/>
      <c r="O54" s="133"/>
      <c r="P54" s="133"/>
      <c r="Q54" s="133"/>
      <c r="R54" s="133"/>
      <c r="S54" s="133"/>
      <c r="T54" s="133"/>
      <c r="U54" s="136"/>
      <c r="V54" s="133"/>
      <c r="W54" s="133"/>
      <c r="X54" s="133"/>
      <c r="Y54" s="133"/>
      <c r="Z54" s="133"/>
      <c r="AA54" s="119"/>
    </row>
    <row r="55" spans="1:27" ht="16.5" x14ac:dyDescent="0.45">
      <c r="A55" s="142"/>
      <c r="B55" s="136"/>
      <c r="C55" s="136"/>
      <c r="D55" s="136"/>
      <c r="E55" s="136"/>
      <c r="F55" s="136"/>
      <c r="G55" s="158" t="s">
        <v>403</v>
      </c>
      <c r="H55" s="192">
        <v>21</v>
      </c>
      <c r="I55" s="159" t="s">
        <v>177</v>
      </c>
      <c r="J55" s="133"/>
      <c r="K55" s="133"/>
      <c r="L55" s="133"/>
      <c r="M55" s="133"/>
      <c r="N55" s="133"/>
      <c r="O55" s="133"/>
      <c r="P55" s="133"/>
      <c r="Q55" s="133"/>
      <c r="R55" s="133"/>
      <c r="S55" s="133"/>
      <c r="T55" s="133"/>
      <c r="U55" s="136"/>
      <c r="V55" s="133"/>
      <c r="W55" s="133"/>
      <c r="X55" s="133"/>
      <c r="Y55" s="133"/>
      <c r="Z55" s="133"/>
      <c r="AA55" s="119"/>
    </row>
    <row r="56" spans="1:27" ht="17" thickBot="1" x14ac:dyDescent="0.5">
      <c r="A56" s="156"/>
      <c r="B56" s="150"/>
      <c r="C56" s="150"/>
      <c r="D56" s="150"/>
      <c r="E56" s="150"/>
      <c r="F56" s="150"/>
      <c r="G56" s="160" t="s">
        <v>404</v>
      </c>
      <c r="H56" s="200">
        <f>Ruvlo_bottom_calc/1000</f>
        <v>7.3255813953488378</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35">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 thickBot="1" x14ac:dyDescent="0.4">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6.5" x14ac:dyDescent="0.45">
      <c r="A59" s="163"/>
      <c r="B59" s="139"/>
      <c r="C59" s="139"/>
      <c r="D59" s="139"/>
      <c r="E59" s="139"/>
      <c r="F59" s="139"/>
      <c r="G59" s="164" t="s">
        <v>428</v>
      </c>
      <c r="H59" s="203" t="str">
        <f>VIN_var&amp;"V"</f>
        <v>13V</v>
      </c>
      <c r="I59" s="141"/>
      <c r="J59" s="133"/>
      <c r="K59" s="133"/>
      <c r="L59" s="133"/>
      <c r="M59" s="133"/>
      <c r="N59" s="133"/>
      <c r="O59" s="133"/>
      <c r="P59" s="133"/>
      <c r="Q59" s="133"/>
      <c r="R59" s="133"/>
      <c r="S59" s="133"/>
      <c r="T59" s="133"/>
      <c r="U59" s="136"/>
      <c r="V59" s="133"/>
      <c r="W59" s="133"/>
      <c r="X59" s="133"/>
      <c r="Y59" s="133"/>
      <c r="Z59" s="133"/>
      <c r="AA59" s="119"/>
    </row>
    <row r="60" spans="1:27" x14ac:dyDescent="0.35">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35">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6.5" x14ac:dyDescent="0.4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6.5" x14ac:dyDescent="0.45">
      <c r="A63" s="165"/>
      <c r="B63" s="136"/>
      <c r="C63" s="136"/>
      <c r="D63" s="136"/>
      <c r="E63" s="136"/>
      <c r="F63" s="136"/>
      <c r="G63" s="158" t="s">
        <v>253</v>
      </c>
      <c r="H63" s="199">
        <f>RFBB_calc/1000</f>
        <v>10.714285714285714</v>
      </c>
      <c r="I63" s="159" t="s">
        <v>177</v>
      </c>
      <c r="J63" s="133"/>
      <c r="K63" s="133"/>
      <c r="L63" s="133"/>
      <c r="M63" s="133"/>
      <c r="N63" s="133"/>
      <c r="O63" s="133"/>
      <c r="P63" s="133"/>
      <c r="Q63" s="133"/>
      <c r="R63" s="133"/>
      <c r="S63" s="133"/>
      <c r="T63" s="133"/>
      <c r="U63" s="136"/>
      <c r="V63" s="133"/>
      <c r="W63" s="133"/>
      <c r="X63" s="133"/>
      <c r="Y63" s="133"/>
      <c r="Z63" s="133"/>
      <c r="AA63" s="119"/>
    </row>
    <row r="64" spans="1:27" ht="16.5" x14ac:dyDescent="0.45">
      <c r="A64" s="165"/>
      <c r="B64" s="136"/>
      <c r="C64" s="136"/>
      <c r="D64" s="136"/>
      <c r="E64" s="136"/>
      <c r="F64" s="136"/>
      <c r="G64" s="158" t="s">
        <v>265</v>
      </c>
      <c r="H64" s="192">
        <v>10.71</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35">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35">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35">
      <c r="A67" s="142"/>
      <c r="B67" s="136"/>
      <c r="C67" s="136"/>
      <c r="D67" s="136"/>
      <c r="E67" s="136"/>
      <c r="F67" s="136"/>
      <c r="G67" s="158" t="s">
        <v>175</v>
      </c>
      <c r="H67" s="205">
        <f>fcross_est/1000</f>
        <v>2.2736420441699328</v>
      </c>
      <c r="I67" s="144" t="s">
        <v>12</v>
      </c>
      <c r="J67" s="133"/>
      <c r="K67" s="133"/>
      <c r="L67" s="133"/>
      <c r="M67" s="133"/>
      <c r="N67" s="133"/>
      <c r="O67" s="133"/>
      <c r="P67" s="133"/>
      <c r="Q67" s="133"/>
      <c r="R67" s="133"/>
      <c r="S67" s="133"/>
      <c r="T67" s="133"/>
      <c r="U67" s="136"/>
      <c r="V67" s="133"/>
      <c r="W67" s="133"/>
      <c r="X67" s="133"/>
      <c r="Y67" s="133"/>
      <c r="Z67" s="133"/>
      <c r="AA67" s="119"/>
    </row>
    <row r="68" spans="1:27" ht="16.5" x14ac:dyDescent="0.45">
      <c r="A68" s="142"/>
      <c r="B68" s="136"/>
      <c r="C68" s="136"/>
      <c r="D68" s="136"/>
      <c r="E68" s="136"/>
      <c r="F68" s="136"/>
      <c r="G68" s="158" t="s">
        <v>401</v>
      </c>
      <c r="H68" s="192">
        <v>2.7280000000000002</v>
      </c>
      <c r="I68" s="144" t="s">
        <v>12</v>
      </c>
      <c r="J68" s="133"/>
      <c r="K68" s="133"/>
      <c r="L68" s="133"/>
      <c r="M68" s="133"/>
      <c r="N68" s="133"/>
      <c r="O68" s="133"/>
      <c r="P68" s="133"/>
      <c r="Q68" s="133"/>
      <c r="R68" s="133"/>
      <c r="S68" s="133"/>
      <c r="T68" s="133"/>
      <c r="U68" s="136"/>
      <c r="V68" s="133"/>
      <c r="W68" s="133"/>
      <c r="X68" s="133"/>
      <c r="Y68" s="133"/>
      <c r="Z68" s="133"/>
      <c r="AA68" s="119"/>
    </row>
    <row r="69" spans="1:27" x14ac:dyDescent="0.35">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 thickBot="1" x14ac:dyDescent="0.4">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7" thickBot="1" x14ac:dyDescent="0.5">
      <c r="A71" s="142"/>
      <c r="B71" s="136"/>
      <c r="C71" s="136"/>
      <c r="D71" s="136"/>
      <c r="E71" s="158" t="s">
        <v>267</v>
      </c>
      <c r="F71" s="208">
        <f>RCOMP_Calc/1000</f>
        <v>2.7927242059477049</v>
      </c>
      <c r="G71" s="212" t="s">
        <v>177</v>
      </c>
      <c r="H71" s="209">
        <v>2.7930000000000001</v>
      </c>
      <c r="I71" s="159" t="s">
        <v>177</v>
      </c>
      <c r="J71" s="133"/>
      <c r="K71" s="133"/>
      <c r="L71" s="133"/>
      <c r="M71" s="133"/>
      <c r="N71" s="133"/>
      <c r="O71" s="133"/>
      <c r="P71" s="133"/>
      <c r="Q71" s="133"/>
      <c r="R71" s="133"/>
      <c r="S71" s="133"/>
      <c r="T71" s="133"/>
      <c r="U71" s="136"/>
      <c r="V71" s="133"/>
      <c r="W71" s="133"/>
      <c r="X71" s="133"/>
      <c r="Y71" s="133"/>
      <c r="Z71" s="133"/>
      <c r="AA71" s="119"/>
    </row>
    <row r="72" spans="1:27" ht="17" thickBot="1" x14ac:dyDescent="0.5">
      <c r="A72" s="142"/>
      <c r="B72" s="136"/>
      <c r="C72" s="136"/>
      <c r="D72" s="136"/>
      <c r="E72" s="158" t="s">
        <v>387</v>
      </c>
      <c r="F72" s="210">
        <f>CCOMP_Calc*(10^9)</f>
        <v>57.206959001143893</v>
      </c>
      <c r="G72" s="212" t="s">
        <v>180</v>
      </c>
      <c r="H72" s="209">
        <v>57</v>
      </c>
      <c r="I72" s="144" t="s">
        <v>180</v>
      </c>
      <c r="J72" s="133"/>
      <c r="K72" s="133"/>
      <c r="L72" s="133"/>
      <c r="M72" s="133"/>
      <c r="N72" s="133"/>
      <c r="O72" s="133"/>
      <c r="P72" s="133"/>
      <c r="Q72" s="133"/>
      <c r="R72" s="133"/>
      <c r="S72" s="133"/>
      <c r="T72" s="133"/>
      <c r="U72" s="136"/>
      <c r="V72" s="133"/>
      <c r="W72" s="133"/>
      <c r="X72" s="133"/>
      <c r="Y72" s="133"/>
      <c r="Z72" s="133"/>
      <c r="AA72" s="119"/>
    </row>
    <row r="73" spans="1:27" ht="17" thickBot="1" x14ac:dyDescent="0.5">
      <c r="A73" s="156"/>
      <c r="B73" s="150"/>
      <c r="C73" s="150"/>
      <c r="D73" s="150"/>
      <c r="E73" s="160" t="s">
        <v>388</v>
      </c>
      <c r="F73" s="207">
        <f>CHF_calc*(10^12)</f>
        <v>4177.5219485762318</v>
      </c>
      <c r="G73" s="213" t="s">
        <v>179</v>
      </c>
      <c r="H73" s="198">
        <v>4100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35">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5" x14ac:dyDescent="0.55000000000000004">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35">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 thickBot="1" x14ac:dyDescent="0.4">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5" x14ac:dyDescent="0.4">
      <c r="A78" s="138"/>
      <c r="B78" s="139"/>
      <c r="C78" s="139"/>
      <c r="D78" s="139"/>
      <c r="E78" s="139"/>
      <c r="F78" s="139"/>
      <c r="G78" s="178" t="s">
        <v>328</v>
      </c>
      <c r="H78" s="191">
        <v>4.5</v>
      </c>
      <c r="I78" s="179" t="s">
        <v>335</v>
      </c>
      <c r="J78" s="180"/>
      <c r="K78" s="180"/>
      <c r="L78" s="180"/>
      <c r="M78" s="180"/>
      <c r="N78" s="180"/>
      <c r="O78" s="180"/>
      <c r="P78" s="180"/>
      <c r="Q78" s="180"/>
      <c r="R78" s="180"/>
      <c r="S78" s="180"/>
      <c r="T78" s="180"/>
      <c r="U78" s="167"/>
      <c r="V78" s="171"/>
      <c r="W78" s="180"/>
      <c r="X78" s="180"/>
      <c r="Y78" s="180"/>
      <c r="Z78" s="180"/>
      <c r="AA78" s="119"/>
    </row>
    <row r="79" spans="1:27" ht="15.5" x14ac:dyDescent="0.4">
      <c r="A79" s="165"/>
      <c r="B79" s="136"/>
      <c r="C79" s="136"/>
      <c r="D79" s="136"/>
      <c r="E79" s="136"/>
      <c r="F79" s="136"/>
      <c r="G79" s="181" t="s">
        <v>329</v>
      </c>
      <c r="H79" s="192">
        <v>17</v>
      </c>
      <c r="I79" s="182" t="s">
        <v>336</v>
      </c>
      <c r="J79" s="180"/>
      <c r="K79" s="180"/>
      <c r="L79" s="180"/>
      <c r="M79" s="180"/>
      <c r="N79" s="180"/>
      <c r="O79" s="180"/>
      <c r="P79" s="180"/>
      <c r="Q79" s="180"/>
      <c r="R79" s="180"/>
      <c r="S79" s="180"/>
      <c r="T79" s="180"/>
      <c r="U79" s="167"/>
      <c r="V79" s="171"/>
      <c r="W79" s="180"/>
      <c r="X79" s="180"/>
      <c r="Y79" s="180"/>
      <c r="Z79" s="180"/>
      <c r="AA79" s="119"/>
    </row>
    <row r="80" spans="1:27" ht="15.5" x14ac:dyDescent="0.4">
      <c r="A80" s="165"/>
      <c r="B80" s="136"/>
      <c r="C80" s="136"/>
      <c r="D80" s="136"/>
      <c r="E80" s="136"/>
      <c r="F80" s="136"/>
      <c r="G80" s="181" t="s">
        <v>330</v>
      </c>
      <c r="H80" s="192">
        <v>2.7</v>
      </c>
      <c r="I80" s="182" t="s">
        <v>336</v>
      </c>
      <c r="J80" s="180"/>
      <c r="K80" s="180"/>
      <c r="L80" s="180"/>
      <c r="M80" s="180"/>
      <c r="N80" s="180"/>
      <c r="O80" s="180"/>
      <c r="P80" s="180"/>
      <c r="Q80" s="180"/>
      <c r="R80" s="180"/>
      <c r="S80" s="180"/>
      <c r="T80" s="180"/>
      <c r="U80" s="167"/>
      <c r="V80" s="171"/>
      <c r="W80" s="180"/>
      <c r="X80" s="180"/>
      <c r="Y80" s="180"/>
      <c r="Z80" s="180"/>
      <c r="AA80" s="119"/>
    </row>
    <row r="81" spans="1:27" ht="15.5" x14ac:dyDescent="0.4">
      <c r="A81" s="142"/>
      <c r="B81" s="136"/>
      <c r="C81" s="136"/>
      <c r="D81" s="136"/>
      <c r="E81" s="136"/>
      <c r="F81" s="136"/>
      <c r="G81" s="181" t="s">
        <v>331</v>
      </c>
      <c r="H81" s="192">
        <v>3.6</v>
      </c>
      <c r="I81" s="182" t="s">
        <v>336</v>
      </c>
      <c r="J81" s="180"/>
      <c r="K81" s="180"/>
      <c r="L81" s="180"/>
      <c r="M81" s="180"/>
      <c r="N81" s="180"/>
      <c r="O81" s="180"/>
      <c r="P81" s="180"/>
      <c r="Q81" s="180"/>
      <c r="R81" s="180"/>
      <c r="S81" s="180"/>
      <c r="T81" s="180"/>
      <c r="U81" s="167"/>
      <c r="V81" s="171"/>
      <c r="W81" s="180"/>
      <c r="X81" s="180"/>
      <c r="Y81" s="180"/>
      <c r="Z81" s="180"/>
      <c r="AA81" s="119"/>
    </row>
    <row r="82" spans="1:27" ht="15.5" x14ac:dyDescent="0.4">
      <c r="A82" s="142"/>
      <c r="B82" s="136"/>
      <c r="C82" s="136"/>
      <c r="D82" s="136"/>
      <c r="E82" s="136"/>
      <c r="F82" s="136"/>
      <c r="G82" s="181" t="s">
        <v>332</v>
      </c>
      <c r="H82" s="192">
        <v>1.5</v>
      </c>
      <c r="I82" s="182" t="s">
        <v>337</v>
      </c>
      <c r="J82" s="180"/>
      <c r="K82" s="180"/>
      <c r="L82" s="180"/>
      <c r="M82" s="180"/>
      <c r="N82" s="180"/>
      <c r="O82" s="180"/>
      <c r="P82" s="180"/>
      <c r="Q82" s="180"/>
      <c r="R82" s="180"/>
      <c r="S82" s="180"/>
      <c r="T82" s="180"/>
      <c r="U82" s="167"/>
      <c r="V82" s="171"/>
      <c r="W82" s="180"/>
      <c r="X82" s="180"/>
      <c r="Y82" s="180"/>
      <c r="Z82" s="180"/>
      <c r="AA82" s="119"/>
    </row>
    <row r="83" spans="1:27" ht="15.5" x14ac:dyDescent="0.4">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 thickBot="1" x14ac:dyDescent="0.45">
      <c r="A84" s="156"/>
      <c r="B84" s="150"/>
      <c r="C84" s="150"/>
      <c r="D84" s="150"/>
      <c r="E84" s="150"/>
      <c r="F84" s="150"/>
      <c r="G84" s="183" t="s">
        <v>334</v>
      </c>
      <c r="H84" s="198">
        <v>1.6</v>
      </c>
      <c r="I84" s="184" t="s">
        <v>10</v>
      </c>
      <c r="J84" s="180"/>
      <c r="K84" s="180"/>
      <c r="L84" s="180"/>
      <c r="M84" s="180"/>
      <c r="N84" s="180"/>
      <c r="O84" s="180"/>
      <c r="P84" s="180"/>
      <c r="Q84" s="180"/>
      <c r="R84" s="180"/>
      <c r="S84" s="180"/>
      <c r="T84" s="180"/>
      <c r="U84" s="167"/>
      <c r="V84" s="171"/>
      <c r="W84" s="180"/>
      <c r="X84" s="180"/>
      <c r="Y84" s="180"/>
      <c r="Z84" s="180"/>
      <c r="AA84" s="119"/>
    </row>
    <row r="85" spans="1:27" x14ac:dyDescent="0.35">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 thickBot="1" x14ac:dyDescent="0.4">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6.5" x14ac:dyDescent="0.45">
      <c r="A87" s="138"/>
      <c r="B87" s="139"/>
      <c r="C87" s="139"/>
      <c r="D87" s="139"/>
      <c r="E87" s="139"/>
      <c r="F87" s="139"/>
      <c r="G87" s="162" t="s">
        <v>431</v>
      </c>
      <c r="H87" s="211">
        <f>IOUT</f>
        <v>2</v>
      </c>
      <c r="I87" s="141" t="s">
        <v>11</v>
      </c>
      <c r="J87" s="180"/>
      <c r="K87" s="180"/>
      <c r="L87" s="180"/>
      <c r="M87" s="180"/>
      <c r="N87" s="180"/>
      <c r="O87" s="180"/>
      <c r="P87" s="180"/>
      <c r="Q87" s="180"/>
      <c r="R87" s="180"/>
      <c r="S87" s="180"/>
      <c r="T87" s="180"/>
      <c r="U87" s="167"/>
      <c r="V87" s="171"/>
      <c r="W87" s="180"/>
      <c r="X87" s="180"/>
      <c r="Y87" s="180"/>
      <c r="Z87" s="180"/>
      <c r="AA87" s="119"/>
    </row>
    <row r="88" spans="1:27" ht="16.5" x14ac:dyDescent="0.45">
      <c r="A88" s="142"/>
      <c r="B88" s="136"/>
      <c r="C88" s="136"/>
      <c r="D88" s="136"/>
      <c r="E88" s="136"/>
      <c r="F88" s="136"/>
      <c r="G88" s="158" t="s">
        <v>341</v>
      </c>
      <c r="H88" s="192">
        <v>700</v>
      </c>
      <c r="I88" s="144" t="s">
        <v>151</v>
      </c>
      <c r="J88" s="180"/>
      <c r="K88" s="180"/>
      <c r="L88" s="180"/>
      <c r="M88" s="180"/>
      <c r="N88" s="180"/>
      <c r="O88" s="180"/>
      <c r="P88" s="180"/>
      <c r="Q88" s="180"/>
      <c r="R88" s="180"/>
      <c r="S88" s="180"/>
      <c r="T88" s="180"/>
      <c r="U88" s="167"/>
      <c r="V88" s="171"/>
      <c r="W88" s="180"/>
      <c r="X88" s="180"/>
      <c r="Y88" s="180"/>
      <c r="Z88" s="180"/>
      <c r="AA88" s="119"/>
    </row>
    <row r="89" spans="1:27" ht="15" thickBot="1" x14ac:dyDescent="0.4">
      <c r="A89" s="156"/>
      <c r="B89" s="150"/>
      <c r="C89" s="150"/>
      <c r="D89" s="150"/>
      <c r="E89" s="150"/>
      <c r="F89" s="150"/>
      <c r="G89" s="160" t="s">
        <v>349</v>
      </c>
      <c r="H89" s="198">
        <v>10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35">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35">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35">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35">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35">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35">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35">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35">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35">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35">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35">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35">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35">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749300</xdr:colOff>
                    <xdr:row>58</xdr:row>
                    <xdr:rowOff>0</xdr:rowOff>
                  </from>
                  <to>
                    <xdr:col>8</xdr:col>
                    <xdr:colOff>12700</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Q263"/>
  <sheetViews>
    <sheetView zoomScale="85" zoomScaleNormal="85" workbookViewId="0">
      <pane ySplit="5" topLeftCell="A6" activePane="bottomLeft" state="frozen"/>
      <selection pane="bottomLeft" activeCell="B21" sqref="B21"/>
    </sheetView>
  </sheetViews>
  <sheetFormatPr defaultRowHeight="14.5" x14ac:dyDescent="0.35"/>
  <cols>
    <col min="1" max="1" width="28.81640625" customWidth="1"/>
    <col min="2" max="2" width="19.54296875" customWidth="1"/>
    <col min="3" max="3" width="10.81640625" customWidth="1"/>
    <col min="4" max="4" width="10" bestFit="1" customWidth="1"/>
    <col min="5" max="5" width="18.54296875" customWidth="1"/>
    <col min="6" max="6" width="14.81640625" customWidth="1"/>
    <col min="7" max="7" width="15.1796875" customWidth="1"/>
    <col min="8" max="8" width="12.54296875" customWidth="1"/>
    <col min="9" max="9" width="12.54296875" style="4" customWidth="1"/>
    <col min="12" max="12" width="12.36328125" bestFit="1" customWidth="1"/>
  </cols>
  <sheetData>
    <row r="1" spans="1:17" ht="27.75" x14ac:dyDescent="0.4">
      <c r="A1" s="235" t="s">
        <v>15</v>
      </c>
      <c r="B1" s="235"/>
      <c r="C1" s="235"/>
      <c r="D1" s="235"/>
      <c r="E1" s="235"/>
      <c r="F1" s="235"/>
      <c r="G1" s="235"/>
      <c r="H1" s="235"/>
      <c r="I1" s="235"/>
      <c r="J1" s="235"/>
    </row>
    <row r="2" spans="1:17" ht="15" x14ac:dyDescent="0.25">
      <c r="A2" s="6"/>
      <c r="B2" s="6" t="s">
        <v>16</v>
      </c>
      <c r="C2" s="7"/>
      <c r="D2" s="5"/>
      <c r="E2" s="6"/>
      <c r="F2" s="6"/>
      <c r="G2" s="6"/>
      <c r="H2" s="6"/>
      <c r="I2" s="12"/>
      <c r="J2" s="6"/>
    </row>
    <row r="3" spans="1:17" ht="15" x14ac:dyDescent="0.25">
      <c r="A3" s="6"/>
      <c r="B3" s="6" t="s">
        <v>17</v>
      </c>
      <c r="C3" s="8"/>
      <c r="D3" s="5"/>
      <c r="E3" s="6"/>
      <c r="F3" s="24" t="s">
        <v>61</v>
      </c>
      <c r="G3" s="25" t="s">
        <v>62</v>
      </c>
      <c r="H3" s="40" t="s">
        <v>65</v>
      </c>
      <c r="I3" s="12"/>
      <c r="J3" s="6"/>
    </row>
    <row r="4" spans="1:17" ht="15" x14ac:dyDescent="0.25">
      <c r="A4" s="6"/>
      <c r="B4" s="6" t="s">
        <v>18</v>
      </c>
      <c r="C4" s="9"/>
      <c r="D4" s="5"/>
      <c r="E4" s="6"/>
      <c r="F4" s="6"/>
      <c r="G4" s="6"/>
      <c r="H4" s="6"/>
      <c r="I4" s="12"/>
      <c r="J4" s="6"/>
    </row>
    <row r="5" spans="1:17" ht="15" x14ac:dyDescent="0.25">
      <c r="A5" s="11" t="s">
        <v>19</v>
      </c>
      <c r="B5" s="11" t="s">
        <v>20</v>
      </c>
      <c r="C5" s="11" t="s">
        <v>21</v>
      </c>
      <c r="D5" s="10"/>
      <c r="E5" s="236" t="s">
        <v>22</v>
      </c>
      <c r="F5" s="236"/>
      <c r="G5" s="236"/>
      <c r="H5" s="236"/>
      <c r="I5" s="20"/>
      <c r="J5" s="26" t="s">
        <v>23</v>
      </c>
      <c r="K5" s="11" t="s">
        <v>69</v>
      </c>
      <c r="L5" s="10"/>
      <c r="M5" s="10"/>
      <c r="N5" s="10"/>
      <c r="O5" s="10"/>
      <c r="P5" s="10"/>
      <c r="Q5" s="10"/>
    </row>
    <row r="6" spans="1:17" ht="15.75" x14ac:dyDescent="0.25">
      <c r="A6" s="19" t="s">
        <v>24</v>
      </c>
      <c r="B6" s="16"/>
      <c r="C6" s="16"/>
      <c r="D6" s="16"/>
      <c r="E6" s="17"/>
      <c r="F6" s="17"/>
      <c r="G6" s="17"/>
      <c r="H6" s="17"/>
      <c r="I6" s="17"/>
      <c r="J6" s="16"/>
      <c r="K6" s="10"/>
      <c r="L6" s="10"/>
      <c r="M6" s="10"/>
      <c r="N6" s="10"/>
      <c r="O6" s="10"/>
      <c r="P6" s="10"/>
      <c r="Q6" s="10"/>
    </row>
    <row r="7" spans="1:17" ht="15" x14ac:dyDescent="0.25">
      <c r="A7" t="s">
        <v>25</v>
      </c>
      <c r="B7" s="3">
        <f>'Design Converter'!H7</f>
        <v>6</v>
      </c>
      <c r="C7" t="s">
        <v>10</v>
      </c>
      <c r="E7" t="s">
        <v>28</v>
      </c>
    </row>
    <row r="8" spans="1:17" ht="15" x14ac:dyDescent="0.25">
      <c r="A8" t="s">
        <v>26</v>
      </c>
      <c r="B8" s="3">
        <f>'Design Converter'!H8</f>
        <v>14</v>
      </c>
      <c r="C8" t="s">
        <v>10</v>
      </c>
      <c r="E8" t="s">
        <v>29</v>
      </c>
      <c r="K8">
        <f>IF(VIN_min&lt;VIN_min,1,IF(VIN_nom&gt;VIN_max,1,0))</f>
        <v>0</v>
      </c>
    </row>
    <row r="9" spans="1:17" ht="15" x14ac:dyDescent="0.25">
      <c r="A9" t="s">
        <v>27</v>
      </c>
      <c r="B9" s="3">
        <f>'Design Converter'!H9</f>
        <v>18</v>
      </c>
      <c r="C9" t="s">
        <v>10</v>
      </c>
      <c r="E9" t="s">
        <v>30</v>
      </c>
    </row>
    <row r="10" spans="1:17" s="4" customFormat="1" ht="15" x14ac:dyDescent="0.25">
      <c r="A10" s="4" t="s">
        <v>66</v>
      </c>
      <c r="B10" s="3">
        <f>'Design Converter'!H12*1000</f>
        <v>440000</v>
      </c>
      <c r="C10" s="4" t="s">
        <v>67</v>
      </c>
      <c r="E10" s="4" t="s">
        <v>68</v>
      </c>
    </row>
    <row r="11" spans="1:17" s="4" customFormat="1" x14ac:dyDescent="0.35">
      <c r="A11" s="4" t="s">
        <v>70</v>
      </c>
      <c r="B11" s="30">
        <f>((2.21*10^10)/Fsw)-955</f>
        <v>49272.272727272728</v>
      </c>
      <c r="C11" s="2" t="s">
        <v>36</v>
      </c>
      <c r="E11" s="4" t="s">
        <v>71</v>
      </c>
    </row>
    <row r="13" spans="1:17" ht="15" x14ac:dyDescent="0.25">
      <c r="A13" t="s">
        <v>31</v>
      </c>
      <c r="B13" s="3">
        <f>'Design Converter'!H10</f>
        <v>15</v>
      </c>
      <c r="C13" t="s">
        <v>10</v>
      </c>
      <c r="E13" t="s">
        <v>32</v>
      </c>
    </row>
    <row r="14" spans="1:17" ht="15" x14ac:dyDescent="0.25">
      <c r="A14" t="s">
        <v>33</v>
      </c>
      <c r="B14" s="3">
        <f>'Design Converter'!H11</f>
        <v>2</v>
      </c>
      <c r="C14" t="s">
        <v>11</v>
      </c>
      <c r="E14" t="s">
        <v>34</v>
      </c>
    </row>
    <row r="15" spans="1:17" x14ac:dyDescent="0.35">
      <c r="A15" t="s">
        <v>35</v>
      </c>
      <c r="B15" s="1">
        <f>VOUT/IOUT</f>
        <v>7.5</v>
      </c>
      <c r="C15" s="2" t="s">
        <v>36</v>
      </c>
      <c r="E15" t="s">
        <v>41</v>
      </c>
    </row>
    <row r="16" spans="1:17" ht="15" x14ac:dyDescent="0.25">
      <c r="A16" t="s">
        <v>37</v>
      </c>
      <c r="B16" s="1">
        <f>VOUT*IOUT</f>
        <v>30</v>
      </c>
      <c r="C16" s="2" t="s">
        <v>38</v>
      </c>
      <c r="E16" t="s">
        <v>40</v>
      </c>
    </row>
    <row r="17" spans="1:11" ht="15" x14ac:dyDescent="0.25">
      <c r="A17" t="s">
        <v>39</v>
      </c>
      <c r="B17" s="21">
        <v>1</v>
      </c>
      <c r="E17" t="s">
        <v>434</v>
      </c>
    </row>
    <row r="19" spans="1:11" ht="15" x14ac:dyDescent="0.25">
      <c r="A19" t="s">
        <v>42</v>
      </c>
      <c r="B19" s="1">
        <f>(VOUT)/(VIN_min+VOUT)</f>
        <v>0.7142857142857143</v>
      </c>
      <c r="E19" t="s">
        <v>435</v>
      </c>
    </row>
    <row r="20" spans="1:11" s="4" customFormat="1" ht="15" x14ac:dyDescent="0.25">
      <c r="A20" t="s">
        <v>43</v>
      </c>
      <c r="B20" s="22">
        <f>Constants!B20</f>
        <v>0.9</v>
      </c>
      <c r="C20"/>
      <c r="D20"/>
      <c r="E20" t="s">
        <v>44</v>
      </c>
    </row>
    <row r="21" spans="1:11" s="32" customFormat="1" ht="15" x14ac:dyDescent="0.25">
      <c r="A21" s="32" t="s">
        <v>439</v>
      </c>
      <c r="B21" s="214">
        <f>IF(B19&gt;Dc_max_IC,1,0)</f>
        <v>0</v>
      </c>
      <c r="E21" s="32" t="s">
        <v>438</v>
      </c>
      <c r="K21" s="32">
        <f>B21</f>
        <v>0</v>
      </c>
    </row>
    <row r="22" spans="1:11" s="32" customFormat="1" ht="14.65" x14ac:dyDescent="0.4">
      <c r="E22" s="48" t="s">
        <v>518</v>
      </c>
    </row>
    <row r="23" spans="1:11" s="32" customFormat="1" ht="14.65" x14ac:dyDescent="0.4">
      <c r="E23" s="48"/>
    </row>
    <row r="24" spans="1:11" s="32" customFormat="1" ht="14.65" x14ac:dyDescent="0.4">
      <c r="A24" s="32" t="s">
        <v>524</v>
      </c>
      <c r="B24" s="45">
        <v>1</v>
      </c>
      <c r="E24" s="39" t="s">
        <v>525</v>
      </c>
    </row>
    <row r="26" spans="1:11" ht="14.65" x14ac:dyDescent="0.4">
      <c r="A26" s="31" t="s">
        <v>74</v>
      </c>
      <c r="E26" s="32"/>
    </row>
    <row r="27" spans="1:11" s="32" customFormat="1" ht="14.65" x14ac:dyDescent="0.4">
      <c r="A27" s="215" t="s">
        <v>440</v>
      </c>
      <c r="E27" s="32" t="s">
        <v>516</v>
      </c>
    </row>
    <row r="28" spans="1:11" ht="14.65" x14ac:dyDescent="0.4">
      <c r="A28" t="s">
        <v>87</v>
      </c>
      <c r="B28" s="3">
        <f>'Design Converter'!H20/100</f>
        <v>0.6</v>
      </c>
      <c r="E28" t="s">
        <v>99</v>
      </c>
    </row>
    <row r="29" spans="1:11" s="32" customFormat="1" ht="14.65" x14ac:dyDescent="0.4">
      <c r="A29" s="32" t="s">
        <v>94</v>
      </c>
      <c r="B29" s="38">
        <f>(VIN_nom^2)/(2*ILrip*IOUT*Fsw*(VIN_nom+VOUT))</f>
        <v>6.4002089864158834E-6</v>
      </c>
      <c r="C29" s="32" t="s">
        <v>86</v>
      </c>
      <c r="E29" s="32" t="s">
        <v>517</v>
      </c>
    </row>
    <row r="31" spans="1:11" s="32" customFormat="1" ht="15" x14ac:dyDescent="0.25">
      <c r="A31" s="216" t="s">
        <v>441</v>
      </c>
      <c r="E31" s="32" t="s">
        <v>515</v>
      </c>
    </row>
    <row r="32" spans="1:11" s="32" customFormat="1" ht="15" x14ac:dyDescent="0.25">
      <c r="A32" s="39" t="s">
        <v>444</v>
      </c>
      <c r="B32" s="219">
        <v>0.7</v>
      </c>
      <c r="E32" s="32" t="s">
        <v>445</v>
      </c>
    </row>
    <row r="33" spans="1:5" s="32" customFormat="1" ht="15" x14ac:dyDescent="0.25">
      <c r="A33" s="32" t="s">
        <v>443</v>
      </c>
      <c r="B33" s="38">
        <f>((DC_DCM_max^2)*(VIN_min^2))/(2*IOUT*VOUT*Fsw-2*IOUT*VIN_min*Fsw)</f>
        <v>1.1136363636363635E-6</v>
      </c>
      <c r="C33" s="32" t="s">
        <v>86</v>
      </c>
      <c r="E33" s="32" t="s">
        <v>442</v>
      </c>
    </row>
    <row r="34" spans="1:5" s="32" customFormat="1" ht="15" x14ac:dyDescent="0.25">
      <c r="A34" s="32" t="s">
        <v>446</v>
      </c>
      <c r="B34" s="22">
        <v>0.2</v>
      </c>
      <c r="E34" s="32" t="s">
        <v>447</v>
      </c>
    </row>
    <row r="35" spans="1:5" s="32" customFormat="1" ht="15" x14ac:dyDescent="0.25">
      <c r="A35" s="32" t="s">
        <v>448</v>
      </c>
      <c r="B35" s="38">
        <f>(1-M_L_DCM)*((VIN_min^2)*(1-(VIN_min/VOUT)))/(2*IOUT*VOUT*Fsw)</f>
        <v>6.5454545454545446E-7</v>
      </c>
      <c r="C35" s="32" t="s">
        <v>86</v>
      </c>
      <c r="E35" s="32" t="s">
        <v>449</v>
      </c>
    </row>
    <row r="36" spans="1:5" s="32" customFormat="1" ht="15" x14ac:dyDescent="0.25">
      <c r="A36" s="32" t="s">
        <v>450</v>
      </c>
      <c r="B36" s="38">
        <f>MIN(B33,B35)</f>
        <v>6.5454545454545446E-7</v>
      </c>
      <c r="C36" s="32" t="s">
        <v>86</v>
      </c>
      <c r="E36" s="32" t="s">
        <v>451</v>
      </c>
    </row>
    <row r="37" spans="1:5" s="32" customFormat="1" ht="15" x14ac:dyDescent="0.25">
      <c r="B37" s="220"/>
    </row>
    <row r="38" spans="1:5" s="32" customFormat="1" ht="15" x14ac:dyDescent="0.25">
      <c r="A38" s="32" t="s">
        <v>454</v>
      </c>
      <c r="B38" s="38">
        <f>IF(B21=1,B36,Lopt_2)</f>
        <v>6.4002089864158834E-6</v>
      </c>
      <c r="E38" s="32" t="s">
        <v>452</v>
      </c>
    </row>
    <row r="39" spans="1:5" s="32" customFormat="1" ht="15" x14ac:dyDescent="0.25"/>
    <row r="40" spans="1:5" ht="14.65" x14ac:dyDescent="0.4">
      <c r="A40" t="s">
        <v>88</v>
      </c>
      <c r="B40" s="34">
        <f>'Design Converter'!H22*10^-6</f>
        <v>9.9999999999999991E-6</v>
      </c>
      <c r="C40" t="s">
        <v>86</v>
      </c>
      <c r="E40" t="s">
        <v>89</v>
      </c>
    </row>
    <row r="41" spans="1:5" s="32" customFormat="1" ht="14.65" x14ac:dyDescent="0.4">
      <c r="B41" s="34">
        <f>Lm</f>
        <v>9.9999999999999991E-6</v>
      </c>
      <c r="E41" s="32" t="s">
        <v>527</v>
      </c>
    </row>
    <row r="42" spans="1:5" s="32" customFormat="1" ht="15.5" customHeight="1" x14ac:dyDescent="0.4">
      <c r="A42" s="32" t="s">
        <v>521</v>
      </c>
      <c r="B42" s="230">
        <f>Lm</f>
        <v>9.9999999999999991E-6</v>
      </c>
      <c r="E42" s="32" t="s">
        <v>522</v>
      </c>
    </row>
    <row r="43" spans="1:5" s="32" customFormat="1" ht="15.5" customHeight="1" x14ac:dyDescent="0.4">
      <c r="B43" s="34">
        <f>Lm</f>
        <v>9.9999999999999991E-6</v>
      </c>
      <c r="E43" s="32" t="s">
        <v>527</v>
      </c>
    </row>
    <row r="44" spans="1:5" s="32" customFormat="1" ht="14.65" x14ac:dyDescent="0.4">
      <c r="A44" s="32" t="s">
        <v>526</v>
      </c>
      <c r="B44" s="230">
        <f>Lm</f>
        <v>9.9999999999999991E-6</v>
      </c>
      <c r="E44" s="32" t="s">
        <v>523</v>
      </c>
    </row>
    <row r="45" spans="1:5" s="32" customFormat="1" ht="14.65" x14ac:dyDescent="0.4">
      <c r="B45" s="230"/>
    </row>
    <row r="46" spans="1:5" x14ac:dyDescent="0.35">
      <c r="A46" t="s">
        <v>91</v>
      </c>
      <c r="B46" s="3">
        <f>10*10^-3</f>
        <v>0.01</v>
      </c>
      <c r="C46" s="2" t="s">
        <v>36</v>
      </c>
      <c r="E46" t="s">
        <v>109</v>
      </c>
    </row>
    <row r="47" spans="1:5" s="32" customFormat="1" ht="15" x14ac:dyDescent="0.25">
      <c r="A47" s="32" t="s">
        <v>110</v>
      </c>
      <c r="B47" s="22">
        <v>0.2</v>
      </c>
      <c r="C47" s="2"/>
      <c r="E47" s="32" t="s">
        <v>111</v>
      </c>
    </row>
    <row r="48" spans="1:5" ht="15" x14ac:dyDescent="0.25">
      <c r="B48" t="s">
        <v>95</v>
      </c>
    </row>
    <row r="49" spans="1:5" s="32" customFormat="1" ht="15" x14ac:dyDescent="0.25">
      <c r="A49" s="48" t="s">
        <v>455</v>
      </c>
    </row>
    <row r="50" spans="1:5" s="32" customFormat="1" ht="15" x14ac:dyDescent="0.25"/>
    <row r="51" spans="1:5" s="32" customFormat="1" ht="15" x14ac:dyDescent="0.25">
      <c r="A51" s="35" t="s">
        <v>456</v>
      </c>
    </row>
    <row r="52" spans="1:5" s="32" customFormat="1" ht="14.65" x14ac:dyDescent="0.4">
      <c r="A52" s="32" t="s">
        <v>457</v>
      </c>
      <c r="B52" s="32">
        <v>1</v>
      </c>
      <c r="E52" s="32" t="s">
        <v>579</v>
      </c>
    </row>
    <row r="53" spans="1:5" s="32" customFormat="1" ht="15" x14ac:dyDescent="0.25">
      <c r="A53" s="32" t="s">
        <v>78</v>
      </c>
      <c r="B53" s="228">
        <f>IF(B52=0,SQRT((2*IOUT*Lm*Fsw*VOUT/(VIN_min^2))),(VOUT/(VIN_min+VOUT)))</f>
        <v>0.7142857142857143</v>
      </c>
      <c r="E53" s="32" t="s">
        <v>541</v>
      </c>
    </row>
    <row r="54" spans="1:5" s="32" customFormat="1" ht="14.65" x14ac:dyDescent="0.4">
      <c r="B54" s="23">
        <f>B53/Fsw</f>
        <v>1.6233766233766235E-6</v>
      </c>
      <c r="C54" s="32" t="s">
        <v>52</v>
      </c>
      <c r="E54" s="32" t="s">
        <v>276</v>
      </c>
    </row>
    <row r="55" spans="1:5" s="32" customFormat="1" ht="14.65" x14ac:dyDescent="0.4">
      <c r="A55" s="231" t="s">
        <v>520</v>
      </c>
      <c r="B55" s="229"/>
    </row>
    <row r="56" spans="1:5" s="32" customFormat="1" ht="14.65" x14ac:dyDescent="0.4">
      <c r="A56" s="32" t="s">
        <v>528</v>
      </c>
      <c r="B56" s="29">
        <f>(VOUT*IOUT)/(VIN_min)</f>
        <v>5</v>
      </c>
      <c r="C56" s="32" t="s">
        <v>11</v>
      </c>
      <c r="E56" s="32" t="s">
        <v>83</v>
      </c>
    </row>
    <row r="57" spans="1:5" s="32" customFormat="1" ht="14.65" x14ac:dyDescent="0.4">
      <c r="A57" s="32" t="s">
        <v>529</v>
      </c>
      <c r="B57" s="28">
        <f>(VIN_min*Dc_VIN_min)/(Lm_A*Fsw)</f>
        <v>0.97402597402597413</v>
      </c>
      <c r="C57" s="32" t="s">
        <v>11</v>
      </c>
      <c r="E57" s="32" t="s">
        <v>97</v>
      </c>
    </row>
    <row r="58" spans="1:5" ht="14.65" x14ac:dyDescent="0.4">
      <c r="A58" t="s">
        <v>530</v>
      </c>
      <c r="B58" s="28">
        <f>IF(B52=0,(VIN_min*Dc_VIN_min)/(Lm*Fsw),(ILA_avg_VIN_min/EFF_est)+(ILArip_VINmin/2))</f>
        <v>5.4870129870129869</v>
      </c>
      <c r="C58" t="s">
        <v>11</v>
      </c>
      <c r="E58" t="s">
        <v>96</v>
      </c>
    </row>
    <row r="59" spans="1:5" s="32" customFormat="1" ht="14.65" x14ac:dyDescent="0.4">
      <c r="B59" s="23"/>
    </row>
    <row r="60" spans="1:5" s="32" customFormat="1" ht="14.65" x14ac:dyDescent="0.4">
      <c r="A60" s="231" t="s">
        <v>537</v>
      </c>
      <c r="B60" s="23"/>
      <c r="E60" s="32" t="s">
        <v>552</v>
      </c>
    </row>
    <row r="61" spans="1:5" s="32" customFormat="1" ht="14.65" x14ac:dyDescent="0.4">
      <c r="A61" s="32" t="s">
        <v>538</v>
      </c>
      <c r="B61" s="23">
        <f>IOUT</f>
        <v>2</v>
      </c>
      <c r="C61" s="32" t="s">
        <v>11</v>
      </c>
    </row>
    <row r="62" spans="1:5" s="32" customFormat="1" ht="14.65" x14ac:dyDescent="0.4">
      <c r="A62" s="32" t="s">
        <v>539</v>
      </c>
      <c r="B62" s="23">
        <f>(VIN_min*Dc_VIN_min)/(Lm*Fsw)</f>
        <v>0.97402597402597413</v>
      </c>
      <c r="C62" s="32" t="s">
        <v>11</v>
      </c>
    </row>
    <row r="63" spans="1:5" s="32" customFormat="1" ht="14.65" x14ac:dyDescent="0.4">
      <c r="A63" s="32" t="s">
        <v>540</v>
      </c>
      <c r="B63" s="23">
        <f>B61+B62/2</f>
        <v>2.4870129870129869</v>
      </c>
      <c r="C63" s="32" t="s">
        <v>11</v>
      </c>
    </row>
    <row r="64" spans="1:5" s="32" customFormat="1" ht="14.65" x14ac:dyDescent="0.4">
      <c r="B64" s="28"/>
    </row>
    <row r="65" spans="1:5" s="32" customFormat="1" ht="14.65" x14ac:dyDescent="0.4">
      <c r="A65" s="231" t="s">
        <v>542</v>
      </c>
      <c r="B65" s="232"/>
    </row>
    <row r="66" spans="1:5" s="32" customFormat="1" ht="14.65" x14ac:dyDescent="0.4">
      <c r="A66" s="32" t="s">
        <v>543</v>
      </c>
      <c r="B66" s="28">
        <f>ILA_avg_VIN_min+B61+B62</f>
        <v>7.9740259740259738</v>
      </c>
      <c r="C66" s="32" t="s">
        <v>11</v>
      </c>
    </row>
    <row r="67" spans="1:5" s="32" customFormat="1" ht="14.65" x14ac:dyDescent="0.4">
      <c r="B67" s="232"/>
    </row>
    <row r="68" spans="1:5" s="32" customFormat="1" ht="14.65" x14ac:dyDescent="0.4">
      <c r="A68" s="35" t="s">
        <v>29</v>
      </c>
      <c r="B68" s="27"/>
    </row>
    <row r="69" spans="1:5" s="32" customFormat="1" ht="15" x14ac:dyDescent="0.25">
      <c r="A69" s="32" t="s">
        <v>459</v>
      </c>
      <c r="B69" s="32">
        <f>IF(((VIN_nom^2)*VOUT)/(2*Fsw*Lm*((VIN_nom+VOUT)^2))&gt;IOUT,0,1)</f>
        <v>1</v>
      </c>
      <c r="E69" s="32" t="s">
        <v>458</v>
      </c>
    </row>
    <row r="70" spans="1:5" s="32" customFormat="1" ht="15" x14ac:dyDescent="0.25">
      <c r="A70" s="32" t="s">
        <v>79</v>
      </c>
      <c r="B70" s="1">
        <f>IF(B52=0,SQRT((2*IOUT*Lm*Fsw*VOUT/(VIN_nom^2))),(VOUT/(VIN_nom+VOUT)))</f>
        <v>0.51724137931034486</v>
      </c>
      <c r="E70" s="32" t="s">
        <v>436</v>
      </c>
    </row>
    <row r="71" spans="1:5" s="32" customFormat="1" ht="14.65" x14ac:dyDescent="0.4">
      <c r="B71" s="23">
        <f>B70/Fsw</f>
        <v>1.1755485893416929E-6</v>
      </c>
      <c r="C71" s="32" t="s">
        <v>52</v>
      </c>
      <c r="E71" s="32" t="s">
        <v>276</v>
      </c>
    </row>
    <row r="72" spans="1:5" s="32" customFormat="1" ht="14.65" x14ac:dyDescent="0.4">
      <c r="A72" s="231" t="s">
        <v>520</v>
      </c>
      <c r="B72" s="229"/>
    </row>
    <row r="73" spans="1:5" s="32" customFormat="1" ht="14.65" x14ac:dyDescent="0.4">
      <c r="A73" s="32" t="s">
        <v>531</v>
      </c>
      <c r="B73" s="29">
        <f>(VOUT*IOUT)/(VIN_nom)</f>
        <v>2.1428571428571428</v>
      </c>
      <c r="C73" s="32" t="s">
        <v>11</v>
      </c>
      <c r="E73" s="32" t="s">
        <v>84</v>
      </c>
    </row>
    <row r="74" spans="1:5" ht="15" x14ac:dyDescent="0.25">
      <c r="A74" s="32" t="s">
        <v>532</v>
      </c>
      <c r="B74" s="28">
        <f>(VIN_nom*Dc_VIN_nom)/(Lm*Fsw)</f>
        <v>1.6457680250783702</v>
      </c>
      <c r="C74" s="32" t="s">
        <v>11</v>
      </c>
      <c r="E74" s="32" t="s">
        <v>100</v>
      </c>
    </row>
    <row r="75" spans="1:5" ht="14.65" x14ac:dyDescent="0.4">
      <c r="A75" s="32" t="s">
        <v>533</v>
      </c>
      <c r="B75" s="28">
        <f>IF(B69=0,(VIN_nom*Dc_VIN_nom)/(Lm*Fsw),(ILA_avg_VIN_nom/EFF_est)+(ILArip_VINnom/2))</f>
        <v>2.9657411553963278</v>
      </c>
      <c r="C75" s="32" t="s">
        <v>11</v>
      </c>
      <c r="E75" s="32" t="s">
        <v>101</v>
      </c>
    </row>
    <row r="76" spans="1:5" s="32" customFormat="1" ht="14.65" x14ac:dyDescent="0.4">
      <c r="B76" s="232"/>
    </row>
    <row r="77" spans="1:5" s="32" customFormat="1" x14ac:dyDescent="0.35">
      <c r="A77" s="231" t="s">
        <v>537</v>
      </c>
      <c r="B77" s="229"/>
    </row>
    <row r="78" spans="1:5" s="32" customFormat="1" x14ac:dyDescent="0.35">
      <c r="A78" s="32" t="s">
        <v>544</v>
      </c>
      <c r="B78" s="23">
        <f>IOUT</f>
        <v>2</v>
      </c>
      <c r="C78" s="32" t="s">
        <v>11</v>
      </c>
      <c r="E78" s="32" t="s">
        <v>552</v>
      </c>
    </row>
    <row r="79" spans="1:5" s="32" customFormat="1" x14ac:dyDescent="0.35">
      <c r="A79" s="32" t="s">
        <v>545</v>
      </c>
      <c r="B79" s="23">
        <f>(VIN_nom*Dc_VIN_nom)/(Lm*Fsw)</f>
        <v>1.6457680250783702</v>
      </c>
      <c r="C79" s="32" t="s">
        <v>11</v>
      </c>
    </row>
    <row r="80" spans="1:5" s="32" customFormat="1" x14ac:dyDescent="0.35">
      <c r="A80" s="32" t="s">
        <v>546</v>
      </c>
      <c r="B80" s="23">
        <f>B78+B79/2</f>
        <v>2.822884012539185</v>
      </c>
      <c r="C80" s="32" t="s">
        <v>11</v>
      </c>
    </row>
    <row r="81" spans="1:5" s="32" customFormat="1" x14ac:dyDescent="0.35">
      <c r="B81" s="232"/>
    </row>
    <row r="82" spans="1:5" s="32" customFormat="1" x14ac:dyDescent="0.35">
      <c r="A82" s="231" t="s">
        <v>542</v>
      </c>
      <c r="B82" s="232"/>
    </row>
    <row r="83" spans="1:5" s="32" customFormat="1" x14ac:dyDescent="0.35">
      <c r="A83" s="32" t="s">
        <v>547</v>
      </c>
      <c r="B83" s="28">
        <f>ILA_avg_VIN_nom+B78+B79</f>
        <v>5.7886251679355123</v>
      </c>
      <c r="C83" s="32" t="s">
        <v>11</v>
      </c>
    </row>
    <row r="84" spans="1:5" s="32" customFormat="1" x14ac:dyDescent="0.35">
      <c r="B84" s="27"/>
    </row>
    <row r="85" spans="1:5" s="32" customFormat="1" x14ac:dyDescent="0.35">
      <c r="A85" s="35" t="s">
        <v>30</v>
      </c>
      <c r="B85" s="27"/>
    </row>
    <row r="86" spans="1:5" s="32" customFormat="1" x14ac:dyDescent="0.35">
      <c r="A86" s="32" t="s">
        <v>460</v>
      </c>
      <c r="B86" s="32">
        <f>IF(((VIN_nom^2)*VOUT)/(2*Fsw*Lm*((VIN_nom+VOUT)^2))&gt;IOUT,0,1)</f>
        <v>1</v>
      </c>
      <c r="E86" s="32" t="s">
        <v>458</v>
      </c>
    </row>
    <row r="87" spans="1:5" s="32" customFormat="1" x14ac:dyDescent="0.35">
      <c r="A87" s="32" t="s">
        <v>80</v>
      </c>
      <c r="B87" s="1">
        <f>IF(B86=0,SQRT((2*IOUT*Lm*Fsw*VOUT/(VIN_max^2))),(VOUT/(VIN_max+VOUT)))</f>
        <v>0.45454545454545453</v>
      </c>
      <c r="E87" s="32" t="s">
        <v>437</v>
      </c>
    </row>
    <row r="88" spans="1:5" s="32" customFormat="1" x14ac:dyDescent="0.35">
      <c r="B88" s="23">
        <f>B87/Fsw</f>
        <v>1.0330578512396695E-6</v>
      </c>
      <c r="C88" s="32" t="s">
        <v>52</v>
      </c>
      <c r="E88" s="32" t="s">
        <v>276</v>
      </c>
    </row>
    <row r="89" spans="1:5" s="32" customFormat="1" x14ac:dyDescent="0.35">
      <c r="A89" s="231" t="s">
        <v>520</v>
      </c>
      <c r="B89" s="229"/>
    </row>
    <row r="90" spans="1:5" s="32" customFormat="1" x14ac:dyDescent="0.35">
      <c r="A90" s="32" t="s">
        <v>534</v>
      </c>
      <c r="B90" s="29">
        <f>(VOUT*IOUT)/(VIN_max)</f>
        <v>1.6666666666666667</v>
      </c>
      <c r="C90" s="32" t="s">
        <v>11</v>
      </c>
      <c r="E90" s="32" t="s">
        <v>85</v>
      </c>
    </row>
    <row r="91" spans="1:5" x14ac:dyDescent="0.35">
      <c r="A91" s="32" t="s">
        <v>535</v>
      </c>
      <c r="B91" s="28">
        <f>(VIN_max*Dc_VIN_max)/(Lm*Fsw)</f>
        <v>1.8595041322314052</v>
      </c>
      <c r="C91" s="32" t="s">
        <v>11</v>
      </c>
      <c r="E91" s="32" t="s">
        <v>102</v>
      </c>
    </row>
    <row r="92" spans="1:5" x14ac:dyDescent="0.35">
      <c r="A92" s="32" t="s">
        <v>536</v>
      </c>
      <c r="B92" s="28">
        <f>ILA_avg_VIN_max+ILArip_VINmax/2</f>
        <v>2.5964187327823693</v>
      </c>
      <c r="C92" s="32" t="s">
        <v>11</v>
      </c>
      <c r="E92" s="32" t="s">
        <v>103</v>
      </c>
    </row>
    <row r="94" spans="1:5" s="32" customFormat="1" x14ac:dyDescent="0.35">
      <c r="A94" s="231" t="s">
        <v>537</v>
      </c>
      <c r="B94" s="229"/>
      <c r="E94" s="32" t="s">
        <v>552</v>
      </c>
    </row>
    <row r="95" spans="1:5" s="32" customFormat="1" x14ac:dyDescent="0.35">
      <c r="A95" s="32" t="s">
        <v>548</v>
      </c>
      <c r="B95" s="23">
        <f>IOUT</f>
        <v>2</v>
      </c>
      <c r="C95" s="32" t="s">
        <v>11</v>
      </c>
    </row>
    <row r="96" spans="1:5" s="32" customFormat="1" x14ac:dyDescent="0.35">
      <c r="A96" s="32" t="s">
        <v>549</v>
      </c>
      <c r="B96" s="23">
        <f>(VIN_max*Dc_VIN_max)/(Lm*Fsw)</f>
        <v>1.8595041322314052</v>
      </c>
      <c r="C96" s="32" t="s">
        <v>11</v>
      </c>
    </row>
    <row r="97" spans="1:5" s="32" customFormat="1" x14ac:dyDescent="0.35">
      <c r="A97" s="32" t="s">
        <v>550</v>
      </c>
      <c r="B97" s="23">
        <f>B95+B96/2</f>
        <v>2.9297520661157028</v>
      </c>
      <c r="C97" s="32" t="s">
        <v>11</v>
      </c>
    </row>
    <row r="98" spans="1:5" s="32" customFormat="1" x14ac:dyDescent="0.35">
      <c r="B98" s="28"/>
    </row>
    <row r="99" spans="1:5" s="32" customFormat="1" x14ac:dyDescent="0.35">
      <c r="A99" s="231" t="s">
        <v>542</v>
      </c>
      <c r="B99" s="232"/>
    </row>
    <row r="100" spans="1:5" s="32" customFormat="1" x14ac:dyDescent="0.35">
      <c r="A100" s="32" t="s">
        <v>551</v>
      </c>
      <c r="B100" s="28">
        <f>ILA_avg_VIN_max+B95+B96</f>
        <v>5.5261707988980717</v>
      </c>
      <c r="C100" s="32" t="s">
        <v>11</v>
      </c>
    </row>
    <row r="101" spans="1:5" s="32" customFormat="1" x14ac:dyDescent="0.35">
      <c r="B101" s="232"/>
    </row>
    <row r="102" spans="1:5" x14ac:dyDescent="0.35">
      <c r="A102" s="31" t="s">
        <v>98</v>
      </c>
    </row>
    <row r="103" spans="1:5" x14ac:dyDescent="0.35">
      <c r="A103" t="s">
        <v>105</v>
      </c>
      <c r="B103" s="3">
        <f>'Design Converter'!H26/100</f>
        <v>0.3</v>
      </c>
      <c r="E103" t="s">
        <v>106</v>
      </c>
    </row>
    <row r="104" spans="1:5" x14ac:dyDescent="0.35">
      <c r="A104" t="s">
        <v>107</v>
      </c>
      <c r="B104" s="29">
        <f>(1+Ipk_margin)*ISW_peak_VIN_min</f>
        <v>10.366233766233766</v>
      </c>
      <c r="C104" t="s">
        <v>11</v>
      </c>
      <c r="E104" t="s">
        <v>108</v>
      </c>
    </row>
    <row r="105" spans="1:5" s="32" customFormat="1" x14ac:dyDescent="0.35">
      <c r="B105" s="29"/>
    </row>
    <row r="106" spans="1:5" s="32" customFormat="1" x14ac:dyDescent="0.35">
      <c r="A106" s="32" t="s">
        <v>114</v>
      </c>
      <c r="B106" s="22">
        <v>0.7</v>
      </c>
      <c r="E106" s="32" t="s">
        <v>115</v>
      </c>
    </row>
    <row r="107" spans="1:5" x14ac:dyDescent="0.35">
      <c r="A107" t="s">
        <v>112</v>
      </c>
      <c r="B107" s="38">
        <f>(1/B106)*((Fsw*Isl*Rsl_int*Lm)/(VOUT))</f>
        <v>1.6757714285714286E-2</v>
      </c>
      <c r="C107" s="2" t="s">
        <v>36</v>
      </c>
      <c r="E107" t="s">
        <v>113</v>
      </c>
    </row>
    <row r="108" spans="1:5" x14ac:dyDescent="0.35">
      <c r="A108" t="s">
        <v>120</v>
      </c>
      <c r="B108" s="38">
        <f>Vcl/Ipk_selected</f>
        <v>9.6467050864445011E-3</v>
      </c>
      <c r="C108" s="2" t="s">
        <v>36</v>
      </c>
      <c r="E108" t="s">
        <v>121</v>
      </c>
    </row>
    <row r="109" spans="1:5" s="32" customFormat="1" x14ac:dyDescent="0.35">
      <c r="B109" s="27"/>
    </row>
    <row r="110" spans="1:5" s="32" customFormat="1" x14ac:dyDescent="0.35">
      <c r="A110" s="32" t="s">
        <v>126</v>
      </c>
      <c r="B110" s="22">
        <v>0.83299999999999996</v>
      </c>
      <c r="E110" s="32" t="s">
        <v>464</v>
      </c>
    </row>
    <row r="111" spans="1:5" x14ac:dyDescent="0.35">
      <c r="A111" t="s">
        <v>125</v>
      </c>
      <c r="B111" s="37">
        <f>(Lm*Fsw*(Vcl+(Dc_VIN_min*Isl*Rsl_int)))/((Dc_VIN_min*Kslope*VOUT)+(Ipk_selected*Lm*Fsw))</f>
        <v>1.0372568794121883E-2</v>
      </c>
      <c r="C111" s="2" t="s">
        <v>36</v>
      </c>
      <c r="E111" t="s">
        <v>133</v>
      </c>
    </row>
    <row r="112" spans="1:5" x14ac:dyDescent="0.35">
      <c r="A112" t="s">
        <v>127</v>
      </c>
      <c r="B112" s="28">
        <f>(Vcl-(Ipk_selected*Rcs_w_sl))/(Isl*Dc_VIN_min)</f>
        <v>-351.14206755641607</v>
      </c>
      <c r="C112" s="2" t="s">
        <v>36</v>
      </c>
      <c r="E112" s="32" t="s">
        <v>132</v>
      </c>
    </row>
    <row r="114" spans="1:11" x14ac:dyDescent="0.35">
      <c r="A114" t="s">
        <v>124</v>
      </c>
      <c r="B114" s="1">
        <f>IF(Rcs_wo_sl&gt;Rcs_max,1,0)</f>
        <v>0</v>
      </c>
      <c r="E114" t="s">
        <v>463</v>
      </c>
    </row>
    <row r="115" spans="1:11" x14ac:dyDescent="0.35">
      <c r="A115" t="s">
        <v>128</v>
      </c>
      <c r="B115" s="41">
        <f>IF(B52=0,Rcs_wo_sl,IF(B114=0,Rcs_wo_sl,Rcs_w_sl))</f>
        <v>9.6467050864445011E-3</v>
      </c>
      <c r="C115" s="2" t="s">
        <v>36</v>
      </c>
      <c r="E115" t="s">
        <v>461</v>
      </c>
    </row>
    <row r="116" spans="1:11" x14ac:dyDescent="0.35">
      <c r="A116" t="s">
        <v>129</v>
      </c>
      <c r="B116" s="1">
        <f>IF(B52=0,0,IF(B114=0,0,B112))</f>
        <v>0</v>
      </c>
      <c r="C116" s="2" t="s">
        <v>36</v>
      </c>
      <c r="E116" t="s">
        <v>462</v>
      </c>
    </row>
    <row r="118" spans="1:11" x14ac:dyDescent="0.35">
      <c r="A118" t="s">
        <v>130</v>
      </c>
      <c r="B118" s="42">
        <f>'Design Converter'!H30/1000</f>
        <v>8.9999999999999993E-3</v>
      </c>
      <c r="C118" s="2" t="s">
        <v>36</v>
      </c>
      <c r="E118" t="s">
        <v>135</v>
      </c>
    </row>
    <row r="119" spans="1:11" x14ac:dyDescent="0.35">
      <c r="A119" t="s">
        <v>131</v>
      </c>
      <c r="B119" s="3">
        <f>'Design Converter'!H31</f>
        <v>0</v>
      </c>
      <c r="C119" s="2" t="s">
        <v>36</v>
      </c>
      <c r="E119" t="s">
        <v>136</v>
      </c>
    </row>
    <row r="121" spans="1:11" x14ac:dyDescent="0.35">
      <c r="A121" t="s">
        <v>140</v>
      </c>
      <c r="B121" s="1">
        <f>(Isl*(Rsl_int+R_sl)*Fsw)/(((VOUT-VIN_min)/Lm)*R_cs)</f>
        <v>2.1722962962962962</v>
      </c>
      <c r="C121" t="s">
        <v>147</v>
      </c>
      <c r="E121" t="s">
        <v>138</v>
      </c>
      <c r="K121">
        <f>IF(B69=0,0,IF(B121&lt;0.5,1,0))</f>
        <v>0</v>
      </c>
    </row>
    <row r="122" spans="1:11" s="32" customFormat="1" x14ac:dyDescent="0.35">
      <c r="A122" s="32" t="s">
        <v>141</v>
      </c>
      <c r="B122" s="29">
        <f>(Vcl-(Isl*R_sl*Dc_VIN_min))/R_cs</f>
        <v>11.111111111111112</v>
      </c>
      <c r="C122" s="32" t="s">
        <v>11</v>
      </c>
      <c r="E122" s="32" t="s">
        <v>143</v>
      </c>
      <c r="K122">
        <f>IF(IL_pk&lt;Ipk_selected,1,0)</f>
        <v>0</v>
      </c>
    </row>
    <row r="123" spans="1:11" x14ac:dyDescent="0.35">
      <c r="A123" t="s">
        <v>142</v>
      </c>
      <c r="B123" s="29">
        <f>(Vcl-(Isl*R_sl*Dc_VIN_max))/R_cs</f>
        <v>11.111111111111112</v>
      </c>
      <c r="C123" t="s">
        <v>11</v>
      </c>
      <c r="E123" t="s">
        <v>144</v>
      </c>
    </row>
    <row r="124" spans="1:11" x14ac:dyDescent="0.35">
      <c r="A124" t="s">
        <v>145</v>
      </c>
      <c r="B124" s="1">
        <f>0.15</f>
        <v>0.15</v>
      </c>
      <c r="E124" t="s">
        <v>146</v>
      </c>
    </row>
    <row r="125" spans="1:11" x14ac:dyDescent="0.35">
      <c r="A125" t="s">
        <v>148</v>
      </c>
      <c r="B125" s="28">
        <f>(1+B124)*B123</f>
        <v>12.777777777777779</v>
      </c>
      <c r="C125" t="s">
        <v>11</v>
      </c>
      <c r="E125" t="s">
        <v>149</v>
      </c>
    </row>
    <row r="127" spans="1:11" x14ac:dyDescent="0.35">
      <c r="A127" s="35" t="s">
        <v>150</v>
      </c>
    </row>
    <row r="129" spans="1:5" s="32" customFormat="1" x14ac:dyDescent="0.35">
      <c r="A129" s="44" t="s">
        <v>562</v>
      </c>
    </row>
    <row r="130" spans="1:5" s="32" customFormat="1" x14ac:dyDescent="0.35">
      <c r="A130" s="32" t="s">
        <v>566</v>
      </c>
      <c r="B130" s="22">
        <v>0.05</v>
      </c>
    </row>
    <row r="131" spans="1:5" s="32" customFormat="1" x14ac:dyDescent="0.35">
      <c r="A131" s="32" t="s">
        <v>563</v>
      </c>
      <c r="B131" s="1">
        <f>IOUT*Dc_VIN_min/(VIN_max*VCrr*Fsw)</f>
        <v>3.6075036075036075E-6</v>
      </c>
      <c r="C131" s="32" t="s">
        <v>158</v>
      </c>
      <c r="E131" s="32" t="s">
        <v>565</v>
      </c>
    </row>
    <row r="132" spans="1:5" s="32" customFormat="1" x14ac:dyDescent="0.35">
      <c r="A132" s="32" t="s">
        <v>564</v>
      </c>
      <c r="B132" s="45">
        <f>'Design Converter'!H36*(10^-6)</f>
        <v>3.2999999999999997E-6</v>
      </c>
      <c r="C132" s="32" t="s">
        <v>158</v>
      </c>
      <c r="E132" s="32" t="s">
        <v>567</v>
      </c>
    </row>
    <row r="133" spans="1:5" s="32" customFormat="1" x14ac:dyDescent="0.35">
      <c r="A133" s="32" t="s">
        <v>569</v>
      </c>
      <c r="B133" s="29">
        <f>(IOUT*Dc_VIN_min)/(Cac*Fsw)</f>
        <v>0.9838646202282566</v>
      </c>
      <c r="C133" s="32" t="s">
        <v>10</v>
      </c>
      <c r="E133" s="32" t="s">
        <v>570</v>
      </c>
    </row>
    <row r="134" spans="1:5" s="32" customFormat="1" x14ac:dyDescent="0.35">
      <c r="A134" s="32" t="s">
        <v>568</v>
      </c>
      <c r="B134" s="29">
        <f>IOUT*SQRT(VOUT/VIN_min)</f>
        <v>3.1622776601683795</v>
      </c>
      <c r="C134" s="32" t="s">
        <v>11</v>
      </c>
      <c r="E134" s="32" t="s">
        <v>571</v>
      </c>
    </row>
    <row r="135" spans="1:5" s="32" customFormat="1" x14ac:dyDescent="0.35"/>
    <row r="137" spans="1:5" x14ac:dyDescent="0.35">
      <c r="A137" s="44" t="s">
        <v>558</v>
      </c>
      <c r="E137" t="s">
        <v>465</v>
      </c>
    </row>
    <row r="139" spans="1:5" s="32" customFormat="1" x14ac:dyDescent="0.35">
      <c r="A139" s="32" t="s">
        <v>466</v>
      </c>
      <c r="B139" s="1">
        <f>IF(B52=0,Fsw/20,(((VOUT/IOUT)*((1-Dc_VIN_min)^2))/(Lm*Dc_VIN_min))/6)</f>
        <v>14285.714285714283</v>
      </c>
      <c r="C139" s="32" t="s">
        <v>511</v>
      </c>
      <c r="E139" s="32" t="s">
        <v>572</v>
      </c>
    </row>
    <row r="140" spans="1:5" x14ac:dyDescent="0.35">
      <c r="A140" t="s">
        <v>156</v>
      </c>
      <c r="B140" s="45">
        <f>'Design Converter'!H40/1000</f>
        <v>0.75</v>
      </c>
      <c r="C140" t="s">
        <v>10</v>
      </c>
      <c r="E140" t="s">
        <v>155</v>
      </c>
    </row>
    <row r="141" spans="1:5" s="32" customFormat="1" x14ac:dyDescent="0.35">
      <c r="A141" s="32" t="s">
        <v>467</v>
      </c>
      <c r="B141" s="1">
        <f>IOUT-0.5*IOUT</f>
        <v>1</v>
      </c>
      <c r="C141" s="32" t="s">
        <v>11</v>
      </c>
    </row>
    <row r="142" spans="1:5" x14ac:dyDescent="0.35">
      <c r="A142" t="s">
        <v>157</v>
      </c>
      <c r="B142" s="1">
        <f>B141/(Vout_rip_sel*B139)</f>
        <v>9.3333333333333357E-5</v>
      </c>
      <c r="C142" t="s">
        <v>158</v>
      </c>
      <c r="E142" t="s">
        <v>159</v>
      </c>
    </row>
    <row r="143" spans="1:5" x14ac:dyDescent="0.35">
      <c r="A143" t="s">
        <v>161</v>
      </c>
      <c r="B143" s="28">
        <f>IOUT*SQRT(VOUT/VIN_min)</f>
        <v>3.1622776601683795</v>
      </c>
      <c r="C143" t="s">
        <v>11</v>
      </c>
      <c r="E143" t="s">
        <v>573</v>
      </c>
    </row>
    <row r="144" spans="1:5" x14ac:dyDescent="0.35">
      <c r="A144" t="s">
        <v>165</v>
      </c>
      <c r="B144" s="3">
        <f>'Design Converter'!H43*(10^-6)</f>
        <v>9.9999999999999991E-5</v>
      </c>
      <c r="C144" t="s">
        <v>158</v>
      </c>
      <c r="E144" t="s">
        <v>164</v>
      </c>
    </row>
    <row r="145" spans="1:5" x14ac:dyDescent="0.35">
      <c r="A145" t="s">
        <v>163</v>
      </c>
      <c r="B145" s="3">
        <f>'Design Converter'!H44/1000</f>
        <v>2E-3</v>
      </c>
      <c r="C145" s="2" t="s">
        <v>36</v>
      </c>
      <c r="E145" t="s">
        <v>574</v>
      </c>
    </row>
    <row r="146" spans="1:5" s="32" customFormat="1" x14ac:dyDescent="0.35"/>
    <row r="147" spans="1:5" s="32" customFormat="1" x14ac:dyDescent="0.35">
      <c r="A147" s="44" t="s">
        <v>575</v>
      </c>
    </row>
    <row r="148" spans="1:5" s="32" customFormat="1" x14ac:dyDescent="0.35">
      <c r="A148" s="32" t="s">
        <v>278</v>
      </c>
      <c r="B148" s="22">
        <f>Iss</f>
        <v>9.9999999999999991E-6</v>
      </c>
      <c r="C148" s="32" t="s">
        <v>11</v>
      </c>
      <c r="E148" s="32" t="s">
        <v>280</v>
      </c>
    </row>
    <row r="149" spans="1:5" s="32" customFormat="1" x14ac:dyDescent="0.35">
      <c r="A149" s="32" t="s">
        <v>281</v>
      </c>
      <c r="B149" s="1">
        <f>Iss*VOUT*Cout/(Vref*IOUT)</f>
        <v>7.4999999999999993E-9</v>
      </c>
      <c r="C149" s="32" t="s">
        <v>158</v>
      </c>
      <c r="E149" s="32" t="s">
        <v>282</v>
      </c>
    </row>
    <row r="150" spans="1:5" s="32" customFormat="1" x14ac:dyDescent="0.35">
      <c r="A150" s="32" t="s">
        <v>283</v>
      </c>
      <c r="B150" s="3">
        <f>'Design Converter'!H48*(10^-3)</f>
        <v>0.02</v>
      </c>
      <c r="C150" s="32" t="s">
        <v>52</v>
      </c>
      <c r="E150" s="32" t="s">
        <v>284</v>
      </c>
    </row>
    <row r="151" spans="1:5" s="32" customFormat="1" x14ac:dyDescent="0.35">
      <c r="A151" s="32" t="s">
        <v>287</v>
      </c>
      <c r="B151" s="1">
        <f>(tss*Iss)/(Vref*(1-(VIN_min/VOUT)))</f>
        <v>3.3333333333333335E-7</v>
      </c>
      <c r="C151" s="32" t="s">
        <v>158</v>
      </c>
      <c r="E151" s="32" t="s">
        <v>288</v>
      </c>
    </row>
    <row r="152" spans="1:5" s="32" customFormat="1" x14ac:dyDescent="0.35"/>
    <row r="153" spans="1:5" s="32" customFormat="1" x14ac:dyDescent="0.35">
      <c r="A153" s="44" t="s">
        <v>576</v>
      </c>
    </row>
    <row r="154" spans="1:5" s="32" customFormat="1" x14ac:dyDescent="0.35">
      <c r="A154" s="32" t="s">
        <v>293</v>
      </c>
      <c r="B154" s="3">
        <f>'Design Converter'!H52</f>
        <v>5.8</v>
      </c>
      <c r="C154" s="32" t="s">
        <v>10</v>
      </c>
      <c r="E154" s="32" t="s">
        <v>295</v>
      </c>
    </row>
    <row r="155" spans="1:5" s="32" customFormat="1" x14ac:dyDescent="0.35">
      <c r="A155" s="32" t="s">
        <v>294</v>
      </c>
      <c r="B155" s="3">
        <f>'Design Converter'!H53</f>
        <v>5.4</v>
      </c>
      <c r="C155" s="32" t="s">
        <v>10</v>
      </c>
      <c r="E155" s="32" t="s">
        <v>296</v>
      </c>
    </row>
    <row r="156" spans="1:5" s="32" customFormat="1" x14ac:dyDescent="0.35">
      <c r="A156" s="32" t="s">
        <v>298</v>
      </c>
      <c r="B156" s="22">
        <f>UV_rise</f>
        <v>1.5</v>
      </c>
      <c r="C156" s="32" t="s">
        <v>10</v>
      </c>
      <c r="E156" s="32" t="s">
        <v>303</v>
      </c>
    </row>
    <row r="157" spans="1:5" s="32" customFormat="1" x14ac:dyDescent="0.35">
      <c r="A157" s="32" t="s">
        <v>299</v>
      </c>
      <c r="B157" s="22">
        <f>UV_fall</f>
        <v>1.45</v>
      </c>
      <c r="C157" s="32" t="s">
        <v>10</v>
      </c>
      <c r="E157" s="32" t="s">
        <v>302</v>
      </c>
    </row>
    <row r="158" spans="1:5" s="32" customFormat="1" x14ac:dyDescent="0.35">
      <c r="A158" s="32" t="s">
        <v>304</v>
      </c>
      <c r="B158" s="22">
        <f>UV_I_hyst</f>
        <v>4.9999999999999996E-6</v>
      </c>
      <c r="C158" s="32" t="s">
        <v>11</v>
      </c>
      <c r="E158" s="32" t="s">
        <v>306</v>
      </c>
    </row>
    <row r="159" spans="1:5" s="32" customFormat="1" x14ac:dyDescent="0.35">
      <c r="A159" s="32" t="s">
        <v>307</v>
      </c>
      <c r="B159" s="30">
        <f>((Vuvlo_on*0.967)-Vuvlo_off)/(UV_I_hyst)</f>
        <v>41719.999999999942</v>
      </c>
      <c r="C159" s="2" t="s">
        <v>36</v>
      </c>
      <c r="E159" s="32" t="s">
        <v>405</v>
      </c>
    </row>
    <row r="160" spans="1:5" s="32" customFormat="1" x14ac:dyDescent="0.35">
      <c r="A160" s="32" t="s">
        <v>307</v>
      </c>
      <c r="B160" s="3">
        <f>'Design Converter'!H55*1000</f>
        <v>21000</v>
      </c>
      <c r="C160" s="2" t="s">
        <v>36</v>
      </c>
      <c r="E160" s="32" t="s">
        <v>406</v>
      </c>
    </row>
    <row r="161" spans="1:5" s="32" customFormat="1" x14ac:dyDescent="0.35">
      <c r="A161" s="32" t="s">
        <v>308</v>
      </c>
      <c r="B161" s="30">
        <f>UV_rise*Ruvlo_top/(Vuvlo_on-UV_rise)</f>
        <v>7325.5813953488378</v>
      </c>
      <c r="C161" s="2" t="s">
        <v>36</v>
      </c>
      <c r="E161" s="32" t="s">
        <v>407</v>
      </c>
    </row>
    <row r="162" spans="1:5" s="32" customFormat="1" x14ac:dyDescent="0.35">
      <c r="A162" s="32" t="s">
        <v>309</v>
      </c>
      <c r="B162" s="29">
        <f>UV_rise*(Ruvlo_top+Ruvlo_bottom_calc)/Ruvlo_bottom_calc</f>
        <v>5.8</v>
      </c>
      <c r="E162" s="32" t="s">
        <v>311</v>
      </c>
    </row>
    <row r="163" spans="1:5" s="32" customFormat="1" x14ac:dyDescent="0.35">
      <c r="A163" s="32" t="s">
        <v>310</v>
      </c>
      <c r="B163" s="29">
        <f>Ruvlo_top*((UV_fall/Ruvlo_top)-(UV_I_hyst)+(UV_fall/Ruvlo_bottom_calc))</f>
        <v>5.5016666666666669</v>
      </c>
      <c r="E163" s="32" t="s">
        <v>312</v>
      </c>
    </row>
    <row r="164" spans="1:5" s="32" customFormat="1" x14ac:dyDescent="0.35"/>
    <row r="165" spans="1:5" s="32" customFormat="1" x14ac:dyDescent="0.35"/>
    <row r="166" spans="1:5" x14ac:dyDescent="0.35">
      <c r="A166" s="44" t="s">
        <v>577</v>
      </c>
    </row>
    <row r="167" spans="1:5" s="32" customFormat="1" x14ac:dyDescent="0.35">
      <c r="A167" s="49" t="s">
        <v>194</v>
      </c>
      <c r="B167" s="3" t="str">
        <f>'Design Converter'!H59</f>
        <v>13V</v>
      </c>
      <c r="C167" s="32" t="s">
        <v>10</v>
      </c>
      <c r="E167" s="32" t="s">
        <v>236</v>
      </c>
    </row>
    <row r="168" spans="1:5" s="32" customFormat="1" x14ac:dyDescent="0.35">
      <c r="A168" s="49"/>
      <c r="B168" s="27"/>
    </row>
    <row r="169" spans="1:5" x14ac:dyDescent="0.35">
      <c r="A169" s="48" t="s">
        <v>251</v>
      </c>
    </row>
    <row r="170" spans="1:5" s="32" customFormat="1" x14ac:dyDescent="0.35">
      <c r="A170" s="32" t="s">
        <v>186</v>
      </c>
      <c r="B170" s="3">
        <f>'Design Converter'!H62*(10^3)</f>
        <v>150000</v>
      </c>
      <c r="C170" s="2" t="s">
        <v>36</v>
      </c>
      <c r="E170" s="32" t="s">
        <v>237</v>
      </c>
    </row>
    <row r="171" spans="1:5" s="32" customFormat="1" x14ac:dyDescent="0.35">
      <c r="A171" s="32" t="s">
        <v>241</v>
      </c>
      <c r="B171" s="30">
        <f>(RFBT*Vref)/(VOUT-Vref)</f>
        <v>10714.285714285714</v>
      </c>
      <c r="C171" s="2" t="s">
        <v>36</v>
      </c>
      <c r="E171" s="32" t="s">
        <v>244</v>
      </c>
    </row>
    <row r="172" spans="1:5" x14ac:dyDescent="0.35">
      <c r="A172" t="s">
        <v>187</v>
      </c>
      <c r="B172" s="3">
        <f>'Design Converter'!H64*(10^3)</f>
        <v>10710</v>
      </c>
      <c r="C172" s="2" t="s">
        <v>36</v>
      </c>
      <c r="E172" t="s">
        <v>245</v>
      </c>
    </row>
    <row r="173" spans="1:5" x14ac:dyDescent="0.35">
      <c r="A173" t="s">
        <v>246</v>
      </c>
      <c r="B173" s="1">
        <f>VOUT/(RFBB+RFBT)</f>
        <v>9.3335822288594366E-5</v>
      </c>
      <c r="C173" s="2" t="s">
        <v>11</v>
      </c>
      <c r="E173" t="s">
        <v>247</v>
      </c>
    </row>
    <row r="174" spans="1:5" s="32" customFormat="1" x14ac:dyDescent="0.35">
      <c r="B174" s="27"/>
      <c r="C174" s="2"/>
    </row>
    <row r="175" spans="1:5" s="32" customFormat="1" x14ac:dyDescent="0.35">
      <c r="A175" s="48" t="s">
        <v>252</v>
      </c>
      <c r="E175" s="32" t="s">
        <v>395</v>
      </c>
    </row>
    <row r="176" spans="1:5" s="32" customFormat="1" x14ac:dyDescent="0.35"/>
    <row r="177" spans="1:5" s="32" customFormat="1" x14ac:dyDescent="0.35">
      <c r="A177" s="35" t="s">
        <v>469</v>
      </c>
    </row>
    <row r="178" spans="1:5" s="32" customFormat="1" x14ac:dyDescent="0.35">
      <c r="A178" s="32" t="s">
        <v>409</v>
      </c>
      <c r="B178" s="32">
        <f>(Gcomp*(VOUT/IOUT)*(1-Dc_VIN_min))/(R_cs*Acs*(1+Dc_VIN_min))</f>
        <v>20.138888888888886</v>
      </c>
    </row>
    <row r="179" spans="1:5" s="32" customFormat="1" x14ac:dyDescent="0.35"/>
    <row r="180" spans="1:5" s="32" customFormat="1" x14ac:dyDescent="0.35">
      <c r="A180" s="32" t="s">
        <v>410</v>
      </c>
      <c r="B180" s="22">
        <f>(1+Dc_VIN_min)/(Cout*(VOUT/IOUT))</f>
        <v>2285.7142857142862</v>
      </c>
      <c r="C180" s="32" t="s">
        <v>392</v>
      </c>
      <c r="E180" s="32" t="s">
        <v>391</v>
      </c>
    </row>
    <row r="181" spans="1:5" s="32" customFormat="1" x14ac:dyDescent="0.35">
      <c r="A181" s="32" t="s">
        <v>411</v>
      </c>
      <c r="B181" s="1">
        <f>B180/(2*PI())</f>
        <v>363.78272706718946</v>
      </c>
      <c r="C181" s="32" t="s">
        <v>67</v>
      </c>
      <c r="E181" s="32" t="s">
        <v>248</v>
      </c>
    </row>
    <row r="182" spans="1:5" s="32" customFormat="1" x14ac:dyDescent="0.35">
      <c r="B182" s="27"/>
    </row>
    <row r="183" spans="1:5" s="32" customFormat="1" x14ac:dyDescent="0.35">
      <c r="A183" s="32" t="s">
        <v>412</v>
      </c>
      <c r="B183" s="22">
        <f>1/(Cout*Resr)</f>
        <v>5000000</v>
      </c>
      <c r="C183" s="32" t="s">
        <v>393</v>
      </c>
      <c r="E183" s="32" t="s">
        <v>394</v>
      </c>
    </row>
    <row r="184" spans="1:5" s="32" customFormat="1" x14ac:dyDescent="0.35">
      <c r="A184" s="32" t="s">
        <v>413</v>
      </c>
      <c r="B184" s="1">
        <f>B183/(2*PI())</f>
        <v>795774.71545947669</v>
      </c>
      <c r="C184" s="32" t="s">
        <v>67</v>
      </c>
      <c r="E184" s="32" t="s">
        <v>250</v>
      </c>
    </row>
    <row r="185" spans="1:5" s="32" customFormat="1" x14ac:dyDescent="0.35">
      <c r="B185" s="27"/>
    </row>
    <row r="186" spans="1:5" s="32" customFormat="1" x14ac:dyDescent="0.35">
      <c r="A186" s="32" t="s">
        <v>414</v>
      </c>
      <c r="B186" s="22">
        <f>((VOUT/IOUT)*((1-Dc_VIN_min)^2))/(Lm*Dc_VIN_min)</f>
        <v>85714.285714285696</v>
      </c>
      <c r="E186" s="32" t="s">
        <v>390</v>
      </c>
    </row>
    <row r="187" spans="1:5" s="32" customFormat="1" x14ac:dyDescent="0.35">
      <c r="A187" s="32" t="s">
        <v>415</v>
      </c>
      <c r="B187" s="30">
        <f>B186/(2*PI())</f>
        <v>13641.852265019597</v>
      </c>
      <c r="C187" s="32" t="s">
        <v>67</v>
      </c>
      <c r="E187" s="32" t="s">
        <v>249</v>
      </c>
    </row>
    <row r="188" spans="1:5" s="32" customFormat="1" x14ac:dyDescent="0.35">
      <c r="B188" s="27">
        <f>Fsw/10</f>
        <v>44000</v>
      </c>
      <c r="C188" s="32" t="s">
        <v>67</v>
      </c>
      <c r="E188" s="32" t="s">
        <v>256</v>
      </c>
    </row>
    <row r="189" spans="1:5" s="32" customFormat="1" x14ac:dyDescent="0.35">
      <c r="B189" s="32">
        <f>IF((B187/5)&lt;(B188),0,1)</f>
        <v>0</v>
      </c>
      <c r="E189" s="32" t="s">
        <v>578</v>
      </c>
    </row>
    <row r="190" spans="1:5" s="32" customFormat="1" x14ac:dyDescent="0.35"/>
    <row r="191" spans="1:5" s="32" customFormat="1" x14ac:dyDescent="0.35">
      <c r="A191" s="32" t="s">
        <v>416</v>
      </c>
      <c r="B191" s="1">
        <f>(Isl*(Rsl_int+R_sl)*Fsw)</f>
        <v>17595.599999999999</v>
      </c>
      <c r="C191" s="32" t="s">
        <v>147</v>
      </c>
      <c r="E191" s="32" t="s">
        <v>210</v>
      </c>
    </row>
    <row r="192" spans="1:5" s="32" customFormat="1" x14ac:dyDescent="0.35">
      <c r="A192" s="32" t="s">
        <v>417</v>
      </c>
      <c r="B192" s="1">
        <f>(R_cs*VIN_min*Acs)/Lm</f>
        <v>5400</v>
      </c>
      <c r="C192" s="32" t="s">
        <v>147</v>
      </c>
      <c r="E192" s="32" t="s">
        <v>211</v>
      </c>
    </row>
    <row r="193" spans="1:5" s="32" customFormat="1" x14ac:dyDescent="0.35">
      <c r="B193" s="1"/>
    </row>
    <row r="194" spans="1:5" s="32" customFormat="1" x14ac:dyDescent="0.35">
      <c r="A194" s="32" t="s">
        <v>418</v>
      </c>
      <c r="B194" s="1">
        <f>2*PI()*Fsw</f>
        <v>2764601.5351590179</v>
      </c>
      <c r="C194" s="32" t="s">
        <v>213</v>
      </c>
    </row>
    <row r="195" spans="1:5" s="32" customFormat="1" x14ac:dyDescent="0.35">
      <c r="A195" s="32" t="s">
        <v>419</v>
      </c>
      <c r="B195" s="1">
        <f>1/(PI()*(((1-Dc_VIN_min)*(1+(B191/B192)))-0.5))</f>
        <v>0.44413365586416581</v>
      </c>
    </row>
    <row r="196" spans="1:5" s="32" customFormat="1" x14ac:dyDescent="0.35">
      <c r="E196" s="32">
        <f>fcross</f>
        <v>2728</v>
      </c>
    </row>
    <row r="197" spans="1:5" s="32" customFormat="1" x14ac:dyDescent="0.35">
      <c r="B197" s="27"/>
    </row>
    <row r="198" spans="1:5" s="32" customFormat="1" x14ac:dyDescent="0.35">
      <c r="A198" s="32" t="s">
        <v>489</v>
      </c>
      <c r="B198" s="29">
        <f>IF(B189=0,fz_rhp/6,Fsw/10)</f>
        <v>2273.6420441699329</v>
      </c>
      <c r="C198" s="32" t="s">
        <v>67</v>
      </c>
      <c r="E198" s="32" t="s">
        <v>585</v>
      </c>
    </row>
    <row r="199" spans="1:5" s="32" customFormat="1" x14ac:dyDescent="0.35"/>
    <row r="200" spans="1:5" s="32" customFormat="1" x14ac:dyDescent="0.35"/>
    <row r="201" spans="1:5" s="32" customFormat="1" x14ac:dyDescent="0.35">
      <c r="A201" s="32" t="s">
        <v>261</v>
      </c>
      <c r="B201" s="72">
        <f>SQRT(B181*fcross)</f>
        <v>996.19239077564373</v>
      </c>
      <c r="C201" s="32" t="s">
        <v>67</v>
      </c>
      <c r="E201" s="32" t="s">
        <v>513</v>
      </c>
    </row>
    <row r="202" spans="1:5" s="32" customFormat="1" x14ac:dyDescent="0.35">
      <c r="A202" s="32" t="s">
        <v>263</v>
      </c>
      <c r="B202" s="46">
        <f>fz_rhp</f>
        <v>13641.852265019597</v>
      </c>
      <c r="C202" s="32" t="s">
        <v>67</v>
      </c>
      <c r="E202" s="32" t="s">
        <v>429</v>
      </c>
    </row>
    <row r="203" spans="1:5" s="32" customFormat="1" x14ac:dyDescent="0.35">
      <c r="A203" s="32" t="s">
        <v>254</v>
      </c>
      <c r="B203" s="3">
        <f>fcross</f>
        <v>2728</v>
      </c>
      <c r="C203" s="32" t="s">
        <v>67</v>
      </c>
      <c r="E203" s="32" t="s">
        <v>430</v>
      </c>
    </row>
    <row r="204" spans="1:5" s="32" customFormat="1" x14ac:dyDescent="0.35"/>
    <row r="205" spans="1:5" s="32" customFormat="1" x14ac:dyDescent="0.35"/>
    <row r="206" spans="1:5" s="32" customFormat="1" x14ac:dyDescent="0.35">
      <c r="A206" s="32" t="s">
        <v>493</v>
      </c>
      <c r="B206" s="29">
        <f>(2*PI()*Acs*Cout*R_cs*VOUT*fcross)/(Gcomp*Vref*gm_ea*(1-Dc_VIN_min))</f>
        <v>2792.7242059477048</v>
      </c>
      <c r="C206" s="2" t="s">
        <v>36</v>
      </c>
      <c r="E206" s="32" t="s">
        <v>260</v>
      </c>
    </row>
    <row r="207" spans="1:5" s="32" customFormat="1" x14ac:dyDescent="0.35">
      <c r="A207" s="32" t="s">
        <v>494</v>
      </c>
      <c r="B207" s="23">
        <f>1/(2*PI()*fz_ea_est*Rcomp_calc_CCM)</f>
        <v>5.7206959001143892E-8</v>
      </c>
      <c r="C207" s="2" t="s">
        <v>158</v>
      </c>
      <c r="E207" s="32" t="s">
        <v>487</v>
      </c>
    </row>
    <row r="208" spans="1:5" s="32" customFormat="1" x14ac:dyDescent="0.35">
      <c r="A208" s="32" t="s">
        <v>495</v>
      </c>
      <c r="B208" s="234">
        <f>(IOUT*Lm)/(Rcomp_calc_CCM*((1-Dc_VIN_min)^2)*(VIN_min+VOUT))</f>
        <v>4.177521948576232E-9</v>
      </c>
      <c r="C208" s="32" t="s">
        <v>158</v>
      </c>
      <c r="E208" s="32" t="s">
        <v>488</v>
      </c>
    </row>
    <row r="211" spans="1:5" x14ac:dyDescent="0.35">
      <c r="A211" s="35" t="s">
        <v>470</v>
      </c>
      <c r="E211" s="48" t="s">
        <v>580</v>
      </c>
    </row>
    <row r="212" spans="1:5" s="32" customFormat="1" x14ac:dyDescent="0.35"/>
    <row r="213" spans="1:5" s="32" customFormat="1" x14ac:dyDescent="0.35">
      <c r="A213" s="32" t="s">
        <v>476</v>
      </c>
      <c r="B213" s="32">
        <f>Fsw/((R_cs*Acs*(VIN_min/Lm))+((R_sl+Rsl_int)*Isl))</f>
        <v>81.480878070312215</v>
      </c>
      <c r="C213" s="32" t="s">
        <v>147</v>
      </c>
      <c r="E213" s="32" t="s">
        <v>500</v>
      </c>
    </row>
    <row r="214" spans="1:5" s="32" customFormat="1" x14ac:dyDescent="0.35">
      <c r="A214" s="32" t="s">
        <v>475</v>
      </c>
      <c r="B214" s="32">
        <f>(B213*2*VOUT/Dc_VIN_min)*(((VOUT/VIN_min)-1)/((2*VOUT/VIN_min)-1))</f>
        <v>1283.3238296074173</v>
      </c>
      <c r="C214" s="32" t="s">
        <v>147</v>
      </c>
    </row>
    <row r="215" spans="1:5" s="32" customFormat="1" x14ac:dyDescent="0.35">
      <c r="A215" s="32" t="s">
        <v>477</v>
      </c>
      <c r="B215" s="32">
        <f>(IOUT*((2*VOUT)-VIN_min))/(Cout*VOUT*(VOUT-VIN_min))</f>
        <v>3555.5555555555561</v>
      </c>
      <c r="C215" s="32" t="s">
        <v>392</v>
      </c>
    </row>
    <row r="216" spans="1:5" s="32" customFormat="1" x14ac:dyDescent="0.35">
      <c r="B216" s="32">
        <f>B215/(2*PI())</f>
        <v>565.88424210451683</v>
      </c>
      <c r="C216" s="32" t="s">
        <v>67</v>
      </c>
    </row>
    <row r="217" spans="1:5" s="32" customFormat="1" x14ac:dyDescent="0.35">
      <c r="A217" s="32" t="s">
        <v>478</v>
      </c>
      <c r="B217" s="32">
        <f>1/(Cout*Resr)</f>
        <v>5000000</v>
      </c>
      <c r="C217" s="32" t="s">
        <v>392</v>
      </c>
    </row>
    <row r="218" spans="1:5" s="32" customFormat="1" x14ac:dyDescent="0.35">
      <c r="B218" s="32">
        <f>B217/(2*PI())</f>
        <v>795774.71545947669</v>
      </c>
      <c r="C218" s="32" t="s">
        <v>67</v>
      </c>
    </row>
    <row r="219" spans="1:5" s="32" customFormat="1" x14ac:dyDescent="0.35">
      <c r="A219" s="32" t="s">
        <v>479</v>
      </c>
      <c r="B219" s="32">
        <f>2*Fsw/(Dc_VIN_min)</f>
        <v>1232000</v>
      </c>
      <c r="C219" s="32" t="s">
        <v>392</v>
      </c>
      <c r="E219" s="32" t="s">
        <v>499</v>
      </c>
    </row>
    <row r="220" spans="1:5" s="32" customFormat="1" x14ac:dyDescent="0.35">
      <c r="B220" s="32">
        <f>B219/(2*PI())</f>
        <v>196078.88988921506</v>
      </c>
      <c r="C220" s="32" t="s">
        <v>67</v>
      </c>
    </row>
    <row r="221" spans="1:5" s="32" customFormat="1" x14ac:dyDescent="0.35"/>
    <row r="222" spans="1:5" s="32" customFormat="1" x14ac:dyDescent="0.35">
      <c r="A222" s="32" t="s">
        <v>480</v>
      </c>
      <c r="B222" s="32">
        <f>2*Fsw/(2*PI()*Dc_VIN_min*5)</f>
        <v>39215.777977843012</v>
      </c>
      <c r="C222" s="32" t="s">
        <v>67</v>
      </c>
      <c r="E222" s="32" t="s">
        <v>482</v>
      </c>
    </row>
    <row r="223" spans="1:5" s="32" customFormat="1" x14ac:dyDescent="0.35">
      <c r="B223" s="32">
        <f>20*LOG(Gcomp*B214*(B215/(2*PI())))</f>
        <v>100.44863722732549</v>
      </c>
      <c r="E223" s="32" t="s">
        <v>481</v>
      </c>
    </row>
    <row r="224" spans="1:5" s="32" customFormat="1" x14ac:dyDescent="0.35">
      <c r="A224" s="32" t="s">
        <v>254</v>
      </c>
      <c r="B224" s="3">
        <f>fcross</f>
        <v>2728</v>
      </c>
      <c r="C224" s="32" t="s">
        <v>67</v>
      </c>
      <c r="E224" s="32" t="s">
        <v>486</v>
      </c>
    </row>
    <row r="225" spans="1:5" s="32" customFormat="1" x14ac:dyDescent="0.35">
      <c r="B225" s="27"/>
    </row>
    <row r="226" spans="1:5" s="32" customFormat="1" x14ac:dyDescent="0.35">
      <c r="B226" s="27"/>
    </row>
    <row r="227" spans="1:5" s="32" customFormat="1" x14ac:dyDescent="0.35">
      <c r="A227" s="32" t="s">
        <v>485</v>
      </c>
      <c r="B227" s="32">
        <f>(2*PI()*VOUT*fcross)/(Gcomp*Vref*gm_ea*B215*B214)</f>
        <v>194.30043281228868</v>
      </c>
      <c r="C227" s="32" t="s">
        <v>490</v>
      </c>
      <c r="E227" s="32" t="s">
        <v>260</v>
      </c>
    </row>
    <row r="228" spans="1:5" s="32" customFormat="1" x14ac:dyDescent="0.35">
      <c r="A228" s="32" t="s">
        <v>491</v>
      </c>
      <c r="B228" s="32">
        <f>1/(2*PI()*SQRT(fcross*(B215/(2*PI())))*B227)</f>
        <v>6.5926554719459729E-7</v>
      </c>
      <c r="C228" s="32" t="s">
        <v>158</v>
      </c>
      <c r="E228" s="32" t="s">
        <v>487</v>
      </c>
    </row>
    <row r="229" spans="1:5" s="32" customFormat="1" x14ac:dyDescent="0.35">
      <c r="A229" s="32" t="s">
        <v>492</v>
      </c>
      <c r="B229" s="32">
        <f>B228/((2*PI()*B228*B227*(B219/(2*PI())))-1)</f>
        <v>4.2041308369016367E-9</v>
      </c>
      <c r="C229" s="32" t="s">
        <v>158</v>
      </c>
      <c r="E229" s="32" t="s">
        <v>488</v>
      </c>
    </row>
    <row r="230" spans="1:5" s="32" customFormat="1" ht="16.5" customHeight="1" x14ac:dyDescent="0.35"/>
    <row r="231" spans="1:5" s="32" customFormat="1" ht="16.5" customHeight="1" x14ac:dyDescent="0.35">
      <c r="A231" s="216" t="s">
        <v>483</v>
      </c>
    </row>
    <row r="232" spans="1:5" s="32" customFormat="1" x14ac:dyDescent="0.35">
      <c r="B232" s="32">
        <f>IF(B52=0,B222,B198)</f>
        <v>2273.6420441699329</v>
      </c>
      <c r="C232" s="32" t="s">
        <v>67</v>
      </c>
      <c r="E232" s="32" t="s">
        <v>484</v>
      </c>
    </row>
    <row r="233" spans="1:5" s="32" customFormat="1" x14ac:dyDescent="0.35">
      <c r="A233" s="32" t="s">
        <v>254</v>
      </c>
      <c r="B233" s="3">
        <f>'Design Converter'!H68*1000</f>
        <v>2728</v>
      </c>
      <c r="C233" s="32" t="s">
        <v>67</v>
      </c>
      <c r="E233" s="32" t="s">
        <v>255</v>
      </c>
    </row>
    <row r="234" spans="1:5" s="32" customFormat="1" x14ac:dyDescent="0.35"/>
    <row r="235" spans="1:5" s="32" customFormat="1" x14ac:dyDescent="0.35">
      <c r="A235" s="32" t="s">
        <v>259</v>
      </c>
      <c r="B235" s="32">
        <f>IF(B52=0,RCOMP_CALC_DCM,Rcomp_calc_CCM)</f>
        <v>2792.7242059477048</v>
      </c>
    </row>
    <row r="236" spans="1:5" s="32" customFormat="1" x14ac:dyDescent="0.35">
      <c r="A236" t="s">
        <v>176</v>
      </c>
      <c r="B236" s="3">
        <f>'Design Converter'!H71*1000</f>
        <v>2793</v>
      </c>
      <c r="C236" s="2" t="s">
        <v>36</v>
      </c>
      <c r="D236"/>
      <c r="E236" t="s">
        <v>183</v>
      </c>
    </row>
    <row r="237" spans="1:5" s="32" customFormat="1" x14ac:dyDescent="0.35">
      <c r="A237" s="32" t="s">
        <v>262</v>
      </c>
      <c r="B237" s="32">
        <f>IF(B52=0,CCOMP_CALC_DCM,CCOMP_calc_CCM)</f>
        <v>5.7206959001143892E-8</v>
      </c>
    </row>
    <row r="238" spans="1:5" s="32" customFormat="1" x14ac:dyDescent="0.35">
      <c r="A238" t="s">
        <v>181</v>
      </c>
      <c r="B238" s="3">
        <f>'Design Converter'!H72*(10^-9)</f>
        <v>5.7000000000000001E-8</v>
      </c>
      <c r="C238" t="s">
        <v>158</v>
      </c>
      <c r="D238"/>
      <c r="E238" t="s">
        <v>184</v>
      </c>
    </row>
    <row r="239" spans="1:5" s="32" customFormat="1" x14ac:dyDescent="0.35">
      <c r="A239" s="32" t="s">
        <v>496</v>
      </c>
      <c r="B239" s="32">
        <f>IF(B52=0,CHF_CALC_DCM,CHF_CALC_CCM)</f>
        <v>4.177521948576232E-9</v>
      </c>
    </row>
    <row r="240" spans="1:5" s="32" customFormat="1" x14ac:dyDescent="0.35">
      <c r="A240" t="s">
        <v>182</v>
      </c>
      <c r="B240" s="3">
        <f>'Design Converter'!H73*(10^-12)</f>
        <v>4.1000000000000003E-9</v>
      </c>
      <c r="C240" t="s">
        <v>158</v>
      </c>
      <c r="D240"/>
      <c r="E240" t="s">
        <v>185</v>
      </c>
    </row>
    <row r="241" spans="1:5" s="32" customFormat="1" x14ac:dyDescent="0.35"/>
    <row r="242" spans="1:5" x14ac:dyDescent="0.35">
      <c r="A242" s="44" t="s">
        <v>320</v>
      </c>
    </row>
    <row r="243" spans="1:5" s="32" customFormat="1" x14ac:dyDescent="0.35">
      <c r="A243" s="44" t="s">
        <v>339</v>
      </c>
    </row>
    <row r="244" spans="1:5" s="32" customFormat="1" x14ac:dyDescent="0.35">
      <c r="A244" s="114" t="s">
        <v>399</v>
      </c>
      <c r="E244" s="32" t="s">
        <v>400</v>
      </c>
    </row>
    <row r="245" spans="1:5" x14ac:dyDescent="0.35">
      <c r="A245" t="s">
        <v>321</v>
      </c>
      <c r="B245">
        <f>'Design Converter'!H88/1000</f>
        <v>0.7</v>
      </c>
      <c r="C245" t="s">
        <v>10</v>
      </c>
      <c r="E245" t="s">
        <v>322</v>
      </c>
    </row>
    <row r="246" spans="1:5" x14ac:dyDescent="0.35">
      <c r="A246" t="s">
        <v>352</v>
      </c>
      <c r="B246">
        <f>'Design Converter'!H89*(10^-9)</f>
        <v>1E-8</v>
      </c>
      <c r="C246" t="s">
        <v>350</v>
      </c>
      <c r="E246" t="s">
        <v>351</v>
      </c>
    </row>
    <row r="248" spans="1:5" s="32" customFormat="1" x14ac:dyDescent="0.35"/>
    <row r="249" spans="1:5" x14ac:dyDescent="0.35">
      <c r="A249" s="44" t="s">
        <v>342</v>
      </c>
    </row>
    <row r="250" spans="1:5" ht="15.5" x14ac:dyDescent="0.4">
      <c r="A250" t="s">
        <v>353</v>
      </c>
      <c r="B250" s="3">
        <f>'Design Converter'!H78*(10^-3)</f>
        <v>4.5000000000000005E-3</v>
      </c>
      <c r="C250" s="2" t="s">
        <v>36</v>
      </c>
      <c r="E250" s="102" t="s">
        <v>328</v>
      </c>
    </row>
    <row r="251" spans="1:5" ht="15.5" x14ac:dyDescent="0.4">
      <c r="A251" t="s">
        <v>343</v>
      </c>
      <c r="B251" s="3">
        <f>'Design Converter'!H79*(10^-9)</f>
        <v>1.7E-8</v>
      </c>
      <c r="C251" t="s">
        <v>158</v>
      </c>
      <c r="E251" s="102" t="s">
        <v>329</v>
      </c>
    </row>
    <row r="252" spans="1:5" ht="15.5" x14ac:dyDescent="0.4">
      <c r="A252" t="s">
        <v>345</v>
      </c>
      <c r="B252" s="3">
        <f>'Design Converter'!H80*(10^-9)</f>
        <v>2.7000000000000002E-9</v>
      </c>
      <c r="C252" t="s">
        <v>158</v>
      </c>
      <c r="E252" s="102" t="s">
        <v>330</v>
      </c>
    </row>
    <row r="253" spans="1:5" ht="15.5" x14ac:dyDescent="0.4">
      <c r="A253" t="s">
        <v>344</v>
      </c>
      <c r="B253" s="3">
        <f>'Design Converter'!H81*(10^-9)</f>
        <v>3.6000000000000004E-9</v>
      </c>
      <c r="C253" t="s">
        <v>158</v>
      </c>
      <c r="E253" s="102" t="s">
        <v>331</v>
      </c>
    </row>
    <row r="254" spans="1:5" ht="15.5" x14ac:dyDescent="0.4">
      <c r="A254" t="s">
        <v>346</v>
      </c>
      <c r="B254" s="3">
        <f>'Design Converter'!H82</f>
        <v>1.5</v>
      </c>
      <c r="C254" s="2" t="s">
        <v>36</v>
      </c>
      <c r="E254" s="102" t="s">
        <v>332</v>
      </c>
    </row>
    <row r="255" spans="1:5" s="32" customFormat="1" x14ac:dyDescent="0.35">
      <c r="A255" s="32" t="s">
        <v>354</v>
      </c>
      <c r="B255" s="22">
        <v>1.5</v>
      </c>
      <c r="C255" s="2"/>
      <c r="E255" s="102" t="s">
        <v>355</v>
      </c>
    </row>
    <row r="256" spans="1:5" ht="15.5" x14ac:dyDescent="0.4">
      <c r="A256" t="s">
        <v>347</v>
      </c>
      <c r="B256" s="3">
        <f>'Design Converter'!H83</f>
        <v>50</v>
      </c>
      <c r="C256" s="2" t="s">
        <v>338</v>
      </c>
      <c r="E256" s="102" t="s">
        <v>333</v>
      </c>
    </row>
    <row r="257" spans="1:8" ht="15.5" x14ac:dyDescent="0.4">
      <c r="A257" t="s">
        <v>348</v>
      </c>
      <c r="B257" s="3">
        <f>'Design Converter'!H84</f>
        <v>1.6</v>
      </c>
      <c r="C257" s="2" t="s">
        <v>10</v>
      </c>
      <c r="E257" s="102" t="s">
        <v>334</v>
      </c>
    </row>
    <row r="258" spans="1:8" s="32" customFormat="1" x14ac:dyDescent="0.35">
      <c r="A258" s="32" t="s">
        <v>360</v>
      </c>
      <c r="B258" s="22">
        <f>Vcc</f>
        <v>6.75</v>
      </c>
      <c r="C258" s="2" t="s">
        <v>10</v>
      </c>
      <c r="E258" s="102" t="s">
        <v>364</v>
      </c>
    </row>
    <row r="259" spans="1:8" s="32" customFormat="1" x14ac:dyDescent="0.35">
      <c r="B259" s="27"/>
      <c r="C259" s="2"/>
      <c r="E259" s="102"/>
    </row>
    <row r="260" spans="1:8" s="32" customFormat="1" x14ac:dyDescent="0.35">
      <c r="B260" s="27"/>
      <c r="C260" s="2"/>
      <c r="E260" s="102"/>
    </row>
    <row r="261" spans="1:8" x14ac:dyDescent="0.35">
      <c r="A261" t="s">
        <v>356</v>
      </c>
      <c r="B261" s="41">
        <f>Vth+((IOUT+(VOUT*IOUT/VIN_min))/gfs)</f>
        <v>1.7400000000000002</v>
      </c>
      <c r="C261" s="2" t="s">
        <v>10</v>
      </c>
      <c r="E261" s="102" t="s">
        <v>357</v>
      </c>
    </row>
    <row r="262" spans="1:8" x14ac:dyDescent="0.35">
      <c r="A262" t="s">
        <v>365</v>
      </c>
      <c r="B262" s="1">
        <f>(Qgd+(Qgs/2))*((Rgate+B255)/(Vcc-B261))</f>
        <v>2.6946107784431144E-9</v>
      </c>
      <c r="C262" s="2" t="s">
        <v>52</v>
      </c>
      <c r="E262" s="102" t="s">
        <v>358</v>
      </c>
    </row>
    <row r="263" spans="1:8" ht="15" thickBot="1" x14ac:dyDescent="0.4">
      <c r="A263" t="s">
        <v>366</v>
      </c>
      <c r="B263" s="38">
        <f>(Qgd+(Qgs/2))*((B255+Rgate)/B261)</f>
        <v>7.7586206896551734E-9</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4.5" x14ac:dyDescent="0.35"/>
  <cols>
    <col min="10" max="10" width="10" bestFit="1" customWidth="1"/>
    <col min="18" max="18" width="8.81640625" style="32"/>
    <col min="21" max="21" width="8.81640625" style="32"/>
    <col min="24" max="24" width="8.81640625" style="32"/>
    <col min="25" max="25" width="12" bestFit="1" customWidth="1"/>
    <col min="28" max="28" width="8.81640625" style="32"/>
    <col min="30" max="30" width="8.81640625" style="32"/>
    <col min="35" max="35" width="8.81640625" style="32"/>
    <col min="39" max="39" width="11" bestFit="1" customWidth="1"/>
    <col min="42" max="43" width="8.81640625" style="32"/>
  </cols>
  <sheetData>
    <row r="1" spans="1:46" ht="27.5" x14ac:dyDescent="0.65">
      <c r="A1" s="235" t="s">
        <v>15</v>
      </c>
      <c r="B1" s="235"/>
      <c r="C1" s="235"/>
      <c r="D1" s="235"/>
      <c r="E1" s="235"/>
      <c r="F1" s="235"/>
      <c r="G1" s="235"/>
      <c r="H1" s="235"/>
      <c r="I1" s="235"/>
      <c r="J1" s="235"/>
      <c r="K1" s="235"/>
      <c r="L1" s="235"/>
      <c r="M1" s="235"/>
    </row>
    <row r="2" spans="1:46" ht="14.65" x14ac:dyDescent="0.4">
      <c r="Y2" s="243" t="s">
        <v>586</v>
      </c>
      <c r="Z2" s="243"/>
      <c r="AA2" s="243"/>
      <c r="AB2" s="243"/>
      <c r="AC2" s="243"/>
      <c r="AD2" s="243"/>
    </row>
    <row r="4" spans="1:46" ht="15.75" thickBot="1" x14ac:dyDescent="0.3">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30" x14ac:dyDescent="0.25">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7.149999999999999" x14ac:dyDescent="0.55000000000000004">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ht="14.65" x14ac:dyDescent="0.4">
      <c r="Q7">
        <v>0</v>
      </c>
      <c r="R7" s="97">
        <f t="shared" ref="R7:R70" si="0">VOUT</f>
        <v>15</v>
      </c>
      <c r="S7" s="96">
        <f t="shared" ref="S7:S38" si="1">Q7*$O$12</f>
        <v>0</v>
      </c>
      <c r="T7" s="96">
        <f t="shared" ref="T7:T70" si="2">VIN_var</f>
        <v>13</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0.12628</v>
      </c>
      <c r="AN7" s="98">
        <f>AL7+AM7</f>
        <v>0.12628</v>
      </c>
      <c r="AO7" s="97">
        <f t="shared" ref="AO7:AO38" si="15">(AF7^2)*R_cs</f>
        <v>0</v>
      </c>
      <c r="AP7" s="96">
        <f t="shared" ref="AP7:AP70" si="16">Qg_tot*Vcc*Fsw</f>
        <v>5.049E-2</v>
      </c>
      <c r="AQ7" s="98">
        <f t="shared" ref="AQ7" si="17">IQ*T7</f>
        <v>5.8500000000000002E-3</v>
      </c>
      <c r="AR7" s="97">
        <f>AO7+AN7+AI7+AP7+AQ7</f>
        <v>0.18262</v>
      </c>
      <c r="AS7" s="96">
        <f>R7*S7</f>
        <v>0</v>
      </c>
      <c r="AT7" s="98">
        <f>(AS7/(AS7+AR7))*100</f>
        <v>0</v>
      </c>
    </row>
    <row r="8" spans="1:46" ht="14.65" x14ac:dyDescent="0.4">
      <c r="M8">
        <f>Fsw</f>
        <v>440000</v>
      </c>
      <c r="Q8">
        <v>1</v>
      </c>
      <c r="R8" s="97">
        <f t="shared" si="0"/>
        <v>15</v>
      </c>
      <c r="S8" s="96">
        <f t="shared" si="1"/>
        <v>1.3333333333333334E-2</v>
      </c>
      <c r="T8" s="96">
        <f t="shared" si="2"/>
        <v>13</v>
      </c>
      <c r="U8" s="98">
        <f t="shared" si="3"/>
        <v>1.5384615384615385E-2</v>
      </c>
      <c r="V8" s="97">
        <f t="shared" si="4"/>
        <v>1</v>
      </c>
      <c r="W8" s="96">
        <f t="shared" si="5"/>
        <v>0.10204999354939691</v>
      </c>
      <c r="X8" s="98">
        <f t="shared" si="6"/>
        <v>9.6867259366742287E-2</v>
      </c>
      <c r="Y8" s="97">
        <f t="shared" ref="Y8:Y71" si="18">(T8*W8)/(Lm*Fsw)</f>
        <v>0.30151134457776363</v>
      </c>
      <c r="Z8" s="96">
        <f t="shared" si="8"/>
        <v>0.33022929329571238</v>
      </c>
      <c r="AA8" s="96">
        <f t="shared" ref="AA8:AA71" si="19">CHOOSE(V8,Z8*SQRT((W8+X8)/3),SQRT((U8^2)+((Y8^2)/12)))</f>
        <v>8.5033723035376985E-2</v>
      </c>
      <c r="AB8" s="96">
        <v>0</v>
      </c>
      <c r="AC8" s="96">
        <f t="shared" ref="AC8:AC71" si="20">(AA8^2)*Rdcr</f>
        <v>7.2307340532572027E-5</v>
      </c>
      <c r="AD8" s="98">
        <f t="shared" ref="AD8:AD71" si="21">AB8+AC8</f>
        <v>7.2307340532572027E-5</v>
      </c>
      <c r="AE8" s="97">
        <f t="shared" ref="AE8:AE71" si="22">U8*S8*W8</f>
        <v>2.0933332010132702E-5</v>
      </c>
      <c r="AF8" s="96">
        <f t="shared" ref="AF8:AF71" si="23">AA8</f>
        <v>8.5033723035376985E-2</v>
      </c>
      <c r="AG8" s="96">
        <f t="shared" si="10"/>
        <v>3.2538303239657416E-5</v>
      </c>
      <c r="AH8" s="96">
        <f t="shared" si="11"/>
        <v>1.8492034498641978E-3</v>
      </c>
      <c r="AI8" s="98">
        <f t="shared" ref="AI8:AI71" si="24">AG8+AH8</f>
        <v>1.8817417531038552E-3</v>
      </c>
      <c r="AJ8" s="97">
        <f t="shared" ref="AJ8:AJ71" si="25">S8</f>
        <v>1.3333333333333334E-2</v>
      </c>
      <c r="AK8" s="96">
        <f t="shared" ref="AK8:AK71" si="26">CHOOSE(V8,Z8*SQRT(X8/3),SQRT(X8*((Z8^2)+((Y8^2)/3)-(Y8*Z8))))</f>
        <v>5.9339444179375166E-2</v>
      </c>
      <c r="AL8" s="96">
        <f t="shared" ref="AL8:AL71" si="27">S8*Vd_rect</f>
        <v>9.3333333333333341E-3</v>
      </c>
      <c r="AM8" s="96">
        <f t="shared" si="14"/>
        <v>0.12628</v>
      </c>
      <c r="AN8" s="98">
        <f t="shared" ref="AN8:AN71" si="28">AL8+AM8</f>
        <v>0.13561333333333334</v>
      </c>
      <c r="AO8" s="97">
        <f t="shared" si="15"/>
        <v>6.5076606479314819E-5</v>
      </c>
      <c r="AP8" s="96">
        <f t="shared" si="16"/>
        <v>5.049E-2</v>
      </c>
      <c r="AQ8" s="98">
        <f t="shared" ref="AQ8:AQ71" si="29">IQ*T8</f>
        <v>5.8500000000000002E-3</v>
      </c>
      <c r="AR8" s="97">
        <f t="shared" ref="AR8:AR71" si="30">AO8+AN8+AI8+AP8+AQ8</f>
        <v>0.19390015169291649</v>
      </c>
      <c r="AS8" s="96">
        <f t="shared" ref="AS8:AS71" si="31">R8*S8</f>
        <v>0.2</v>
      </c>
      <c r="AT8" s="98">
        <f t="shared" ref="AT8:AT71" si="32">(AS8/(AS8+AR8))*100</f>
        <v>50.774288646610998</v>
      </c>
    </row>
    <row r="9" spans="1:46" ht="14.65" x14ac:dyDescent="0.4">
      <c r="N9" s="96" t="s">
        <v>195</v>
      </c>
      <c r="O9" s="96">
        <f>VIN_var</f>
        <v>13</v>
      </c>
      <c r="P9" t="s">
        <v>10</v>
      </c>
      <c r="Q9">
        <v>2</v>
      </c>
      <c r="R9" s="97">
        <f t="shared" si="0"/>
        <v>15</v>
      </c>
      <c r="S9" s="96">
        <f t="shared" si="1"/>
        <v>2.6666666666666668E-2</v>
      </c>
      <c r="T9" s="96">
        <f t="shared" si="2"/>
        <v>13</v>
      </c>
      <c r="U9" s="98">
        <f t="shared" si="3"/>
        <v>3.0769230769230771E-2</v>
      </c>
      <c r="V9" s="97">
        <f t="shared" si="4"/>
        <v>1</v>
      </c>
      <c r="W9" s="96">
        <f t="shared" si="5"/>
        <v>0.14432048491764399</v>
      </c>
      <c r="X9" s="98">
        <f t="shared" si="6"/>
        <v>0.14192561684315472</v>
      </c>
      <c r="Y9" s="97">
        <f t="shared" si="18"/>
        <v>0.42640143271122094</v>
      </c>
      <c r="Z9" s="96">
        <f t="shared" si="8"/>
        <v>0.48383733014711838</v>
      </c>
      <c r="AA9" s="96">
        <f t="shared" si="19"/>
        <v>0.14945434176014252</v>
      </c>
      <c r="AB9" s="96">
        <v>0</v>
      </c>
      <c r="AC9" s="96">
        <f t="shared" si="20"/>
        <v>2.233660027095748E-4</v>
      </c>
      <c r="AD9" s="98">
        <f t="shared" si="21"/>
        <v>2.233660027095748E-4</v>
      </c>
      <c r="AE9" s="97">
        <f t="shared" si="22"/>
        <v>1.1841680813755405E-4</v>
      </c>
      <c r="AF9" s="96">
        <f t="shared" si="23"/>
        <v>0.14945434176014252</v>
      </c>
      <c r="AG9" s="96">
        <f t="shared" si="10"/>
        <v>1.0051470121930867E-4</v>
      </c>
      <c r="AH9" s="96">
        <f t="shared" si="11"/>
        <v>3.6984068997283955E-3</v>
      </c>
      <c r="AI9" s="98">
        <f t="shared" si="24"/>
        <v>3.7989216009477042E-3</v>
      </c>
      <c r="AJ9" s="97">
        <f t="shared" si="25"/>
        <v>2.6666666666666668E-2</v>
      </c>
      <c r="AK9" s="96">
        <f t="shared" si="26"/>
        <v>0.10523716520345025</v>
      </c>
      <c r="AL9" s="96">
        <f t="shared" si="27"/>
        <v>1.8666666666666668E-2</v>
      </c>
      <c r="AM9" s="96">
        <f t="shared" si="14"/>
        <v>0.12628</v>
      </c>
      <c r="AN9" s="98">
        <f t="shared" si="28"/>
        <v>0.14494666666666667</v>
      </c>
      <c r="AO9" s="97">
        <f t="shared" si="15"/>
        <v>2.0102940243861732E-4</v>
      </c>
      <c r="AP9" s="96">
        <f t="shared" si="16"/>
        <v>5.049E-2</v>
      </c>
      <c r="AQ9" s="98">
        <f t="shared" si="29"/>
        <v>5.8500000000000002E-3</v>
      </c>
      <c r="AR9" s="97">
        <f t="shared" si="30"/>
        <v>0.20528661767005299</v>
      </c>
      <c r="AS9" s="96">
        <f t="shared" si="31"/>
        <v>0.4</v>
      </c>
      <c r="AT9" s="98">
        <f t="shared" si="32"/>
        <v>66.084395115116109</v>
      </c>
    </row>
    <row r="10" spans="1:46" ht="14.65" x14ac:dyDescent="0.4">
      <c r="N10" s="96"/>
      <c r="O10" s="96"/>
      <c r="Q10">
        <v>3</v>
      </c>
      <c r="R10" s="97">
        <f t="shared" si="0"/>
        <v>15</v>
      </c>
      <c r="S10" s="96">
        <f t="shared" si="1"/>
        <v>0.04</v>
      </c>
      <c r="T10" s="96">
        <f t="shared" si="2"/>
        <v>13</v>
      </c>
      <c r="U10" s="98">
        <f t="shared" si="3"/>
        <v>4.6153846153846149E-2</v>
      </c>
      <c r="V10" s="97">
        <f t="shared" si="4"/>
        <v>1</v>
      </c>
      <c r="W10" s="96">
        <f t="shared" si="5"/>
        <v>0.17675577373963164</v>
      </c>
      <c r="X10" s="98">
        <f t="shared" si="6"/>
        <v>0.17846013211280895</v>
      </c>
      <c r="Y10" s="97">
        <f t="shared" si="18"/>
        <v>0.5222329678670935</v>
      </c>
      <c r="Z10" s="96">
        <f t="shared" si="8"/>
        <v>0.60838681402093964</v>
      </c>
      <c r="AA10" s="96">
        <f t="shared" si="19"/>
        <v>0.20934633760154986</v>
      </c>
      <c r="AB10" s="96">
        <v>0</v>
      </c>
      <c r="AC10" s="96">
        <f t="shared" si="20"/>
        <v>4.3825889067182087E-4</v>
      </c>
      <c r="AD10" s="98">
        <f t="shared" si="21"/>
        <v>4.3825889067182087E-4</v>
      </c>
      <c r="AE10" s="97">
        <f t="shared" si="22"/>
        <v>3.2631835151931992E-4</v>
      </c>
      <c r="AF10" s="96">
        <f t="shared" si="23"/>
        <v>0.20934633760154986</v>
      </c>
      <c r="AG10" s="96">
        <f t="shared" si="10"/>
        <v>1.972165008023194E-4</v>
      </c>
      <c r="AH10" s="96">
        <f t="shared" si="11"/>
        <v>5.5476103495925924E-3</v>
      </c>
      <c r="AI10" s="98">
        <f t="shared" si="24"/>
        <v>5.7448268503949122E-3</v>
      </c>
      <c r="AJ10" s="97">
        <f t="shared" si="25"/>
        <v>0.04</v>
      </c>
      <c r="AK10" s="96">
        <f t="shared" si="26"/>
        <v>0.14838492121404903</v>
      </c>
      <c r="AL10" s="96">
        <f t="shared" si="27"/>
        <v>2.7999999999999997E-2</v>
      </c>
      <c r="AM10" s="96">
        <f t="shared" si="14"/>
        <v>0.12628</v>
      </c>
      <c r="AN10" s="98">
        <f t="shared" si="28"/>
        <v>0.15428</v>
      </c>
      <c r="AO10" s="97">
        <f t="shared" si="15"/>
        <v>3.9443300160463875E-4</v>
      </c>
      <c r="AP10" s="96">
        <f t="shared" si="16"/>
        <v>5.049E-2</v>
      </c>
      <c r="AQ10" s="98">
        <f t="shared" si="29"/>
        <v>5.8500000000000002E-3</v>
      </c>
      <c r="AR10" s="97">
        <f t="shared" si="30"/>
        <v>0.21675925985199954</v>
      </c>
      <c r="AS10" s="96">
        <f t="shared" si="31"/>
        <v>0.6</v>
      </c>
      <c r="AT10" s="98">
        <f t="shared" si="32"/>
        <v>73.46105878355425</v>
      </c>
    </row>
    <row r="11" spans="1:46" ht="14.65" x14ac:dyDescent="0.4">
      <c r="N11" s="96" t="s">
        <v>270</v>
      </c>
      <c r="O11" s="96">
        <v>150</v>
      </c>
      <c r="Q11">
        <v>4</v>
      </c>
      <c r="R11" s="97">
        <f t="shared" si="0"/>
        <v>15</v>
      </c>
      <c r="S11" s="96">
        <f t="shared" si="1"/>
        <v>5.3333333333333337E-2</v>
      </c>
      <c r="T11" s="96">
        <f t="shared" si="2"/>
        <v>13</v>
      </c>
      <c r="U11" s="98">
        <f t="shared" si="3"/>
        <v>6.1538461538461542E-2</v>
      </c>
      <c r="V11" s="97">
        <f t="shared" si="4"/>
        <v>1</v>
      </c>
      <c r="W11" s="96">
        <f t="shared" si="5"/>
        <v>0.20409998709879382</v>
      </c>
      <c r="X11" s="98">
        <f t="shared" si="6"/>
        <v>0.21058238198134782</v>
      </c>
      <c r="Y11" s="97">
        <f t="shared" si="18"/>
        <v>0.60302268915552726</v>
      </c>
      <c r="Z11" s="96">
        <f t="shared" si="8"/>
        <v>0.71789448402732214</v>
      </c>
      <c r="AA11" s="96">
        <f t="shared" si="19"/>
        <v>0.26690565448835035</v>
      </c>
      <c r="AB11" s="96">
        <v>0</v>
      </c>
      <c r="AC11" s="96">
        <f t="shared" si="20"/>
        <v>7.1238628397854648E-4</v>
      </c>
      <c r="AD11" s="98">
        <f t="shared" si="21"/>
        <v>7.1238628397854648E-4</v>
      </c>
      <c r="AE11" s="97">
        <f t="shared" si="22"/>
        <v>6.6986662432424646E-4</v>
      </c>
      <c r="AF11" s="96">
        <f t="shared" si="23"/>
        <v>0.26690565448835035</v>
      </c>
      <c r="AG11" s="96">
        <f t="shared" si="10"/>
        <v>3.2057382779034598E-4</v>
      </c>
      <c r="AH11" s="96">
        <f t="shared" si="11"/>
        <v>7.396813799456791E-3</v>
      </c>
      <c r="AI11" s="98">
        <f t="shared" si="24"/>
        <v>7.7173876272471371E-3</v>
      </c>
      <c r="AJ11" s="97">
        <f t="shared" si="25"/>
        <v>5.3333333333333337E-2</v>
      </c>
      <c r="AK11" s="96">
        <f t="shared" si="26"/>
        <v>0.19020021608234533</v>
      </c>
      <c r="AL11" s="96">
        <f t="shared" si="27"/>
        <v>3.7333333333333336E-2</v>
      </c>
      <c r="AM11" s="96">
        <f t="shared" si="14"/>
        <v>0.12628</v>
      </c>
      <c r="AN11" s="98">
        <f t="shared" si="28"/>
        <v>0.16361333333333333</v>
      </c>
      <c r="AO11" s="97">
        <f t="shared" si="15"/>
        <v>6.4114765558069184E-4</v>
      </c>
      <c r="AP11" s="96">
        <f t="shared" si="16"/>
        <v>5.049E-2</v>
      </c>
      <c r="AQ11" s="98">
        <f t="shared" si="29"/>
        <v>5.8500000000000002E-3</v>
      </c>
      <c r="AR11" s="97">
        <f t="shared" si="30"/>
        <v>0.22831186861616115</v>
      </c>
      <c r="AS11" s="96">
        <f t="shared" si="31"/>
        <v>0.8</v>
      </c>
      <c r="AT11" s="98">
        <f t="shared" si="32"/>
        <v>77.797409950795455</v>
      </c>
    </row>
    <row r="12" spans="1:46" ht="14.65" x14ac:dyDescent="0.4">
      <c r="N12" s="96" t="s">
        <v>271</v>
      </c>
      <c r="O12" s="96">
        <f>IOUT/(O11)</f>
        <v>1.3333333333333334E-2</v>
      </c>
      <c r="Q12">
        <v>5</v>
      </c>
      <c r="R12" s="97">
        <f t="shared" si="0"/>
        <v>15</v>
      </c>
      <c r="S12" s="96">
        <f t="shared" si="1"/>
        <v>6.6666666666666666E-2</v>
      </c>
      <c r="T12" s="96">
        <f t="shared" si="2"/>
        <v>13</v>
      </c>
      <c r="U12" s="98">
        <f t="shared" si="3"/>
        <v>7.6923076923076927E-2</v>
      </c>
      <c r="V12" s="97">
        <f t="shared" si="4"/>
        <v>1</v>
      </c>
      <c r="W12" s="96">
        <f t="shared" si="5"/>
        <v>0.22819072267986654</v>
      </c>
      <c r="X12" s="98">
        <f t="shared" si="6"/>
        <v>0.23988495110887578</v>
      </c>
      <c r="Y12" s="97">
        <f t="shared" si="18"/>
        <v>0.67419986246324204</v>
      </c>
      <c r="Z12" s="96">
        <f t="shared" si="8"/>
        <v>0.81778960605298567</v>
      </c>
      <c r="AA12" s="96">
        <f t="shared" si="19"/>
        <v>0.32302712688765162</v>
      </c>
      <c r="AB12" s="96">
        <v>0</v>
      </c>
      <c r="AC12" s="96">
        <f t="shared" si="20"/>
        <v>1.0434652470529097E-3</v>
      </c>
      <c r="AD12" s="98">
        <f t="shared" si="21"/>
        <v>1.0434652470529097E-3</v>
      </c>
      <c r="AE12" s="97">
        <f t="shared" si="22"/>
        <v>1.1702088342557258E-3</v>
      </c>
      <c r="AF12" s="96">
        <f t="shared" si="23"/>
        <v>0.32302712688765162</v>
      </c>
      <c r="AG12" s="96">
        <f t="shared" si="10"/>
        <v>4.6955936117380943E-4</v>
      </c>
      <c r="AH12" s="96">
        <f t="shared" si="11"/>
        <v>9.2460172493209879E-3</v>
      </c>
      <c r="AI12" s="98">
        <f t="shared" si="24"/>
        <v>9.7155766104947971E-3</v>
      </c>
      <c r="AJ12" s="97">
        <f t="shared" si="25"/>
        <v>6.6666666666666666E-2</v>
      </c>
      <c r="AK12" s="96">
        <f t="shared" si="26"/>
        <v>0.23125038318196711</v>
      </c>
      <c r="AL12" s="96">
        <f t="shared" si="27"/>
        <v>4.6666666666666662E-2</v>
      </c>
      <c r="AM12" s="96">
        <f t="shared" si="14"/>
        <v>0.12628</v>
      </c>
      <c r="AN12" s="98">
        <f t="shared" si="28"/>
        <v>0.17294666666666667</v>
      </c>
      <c r="AO12" s="97">
        <f t="shared" si="15"/>
        <v>9.3911872234761875E-4</v>
      </c>
      <c r="AP12" s="96">
        <f t="shared" si="16"/>
        <v>5.049E-2</v>
      </c>
      <c r="AQ12" s="98">
        <f t="shared" si="29"/>
        <v>5.8500000000000002E-3</v>
      </c>
      <c r="AR12" s="97">
        <f t="shared" si="30"/>
        <v>0.23994136199950908</v>
      </c>
      <c r="AS12" s="96">
        <f t="shared" si="31"/>
        <v>1</v>
      </c>
      <c r="AT12" s="98">
        <f t="shared" si="32"/>
        <v>80.648975076322685</v>
      </c>
    </row>
    <row r="13" spans="1:46" ht="14.65" x14ac:dyDescent="0.4">
      <c r="Q13">
        <v>6</v>
      </c>
      <c r="R13" s="97">
        <f t="shared" si="0"/>
        <v>15</v>
      </c>
      <c r="S13" s="96">
        <f t="shared" si="1"/>
        <v>0.08</v>
      </c>
      <c r="T13" s="96">
        <f t="shared" si="2"/>
        <v>13</v>
      </c>
      <c r="U13" s="98">
        <f t="shared" si="3"/>
        <v>9.2307692307692299E-2</v>
      </c>
      <c r="V13" s="97">
        <f t="shared" si="4"/>
        <v>1</v>
      </c>
      <c r="W13" s="96">
        <f t="shared" si="5"/>
        <v>0.24997041245033724</v>
      </c>
      <c r="X13" s="98">
        <f t="shared" si="6"/>
        <v>0.26718461386721537</v>
      </c>
      <c r="Y13" s="97">
        <f t="shared" si="18"/>
        <v>0.73854894587599651</v>
      </c>
      <c r="Z13" s="96">
        <f t="shared" si="8"/>
        <v>0.91085663818368878</v>
      </c>
      <c r="AA13" s="96">
        <f t="shared" si="19"/>
        <v>0.37818106052883038</v>
      </c>
      <c r="AB13" s="96">
        <v>0</v>
      </c>
      <c r="AC13" s="96">
        <f t="shared" si="20"/>
        <v>1.4302091454271087E-3</v>
      </c>
      <c r="AD13" s="98">
        <f t="shared" si="21"/>
        <v>1.4302091454271087E-3</v>
      </c>
      <c r="AE13" s="97">
        <f t="shared" si="22"/>
        <v>1.8459353534794134E-3</v>
      </c>
      <c r="AF13" s="96">
        <f t="shared" si="23"/>
        <v>0.37818106052883038</v>
      </c>
      <c r="AG13" s="96">
        <f t="shared" si="10"/>
        <v>6.4359411544219903E-4</v>
      </c>
      <c r="AH13" s="96">
        <f t="shared" si="11"/>
        <v>1.1095220699185185E-2</v>
      </c>
      <c r="AI13" s="98">
        <f t="shared" si="24"/>
        <v>1.1738814814627383E-2</v>
      </c>
      <c r="AJ13" s="97">
        <f t="shared" si="25"/>
        <v>0.08</v>
      </c>
      <c r="AK13" s="96">
        <f t="shared" si="26"/>
        <v>0.27182858409807875</v>
      </c>
      <c r="AL13" s="96">
        <f t="shared" si="27"/>
        <v>5.5999999999999994E-2</v>
      </c>
      <c r="AM13" s="96">
        <f t="shared" si="14"/>
        <v>0.12628</v>
      </c>
      <c r="AN13" s="98">
        <f t="shared" si="28"/>
        <v>0.18228</v>
      </c>
      <c r="AO13" s="97">
        <f t="shared" si="15"/>
        <v>1.2871882308843978E-3</v>
      </c>
      <c r="AP13" s="96">
        <f t="shared" si="16"/>
        <v>5.049E-2</v>
      </c>
      <c r="AQ13" s="98">
        <f t="shared" si="29"/>
        <v>5.8500000000000002E-3</v>
      </c>
      <c r="AR13" s="97">
        <f t="shared" si="30"/>
        <v>0.25164600304551177</v>
      </c>
      <c r="AS13" s="96">
        <f t="shared" si="31"/>
        <v>1.2</v>
      </c>
      <c r="AT13" s="98">
        <f t="shared" si="32"/>
        <v>82.664781736210784</v>
      </c>
    </row>
    <row r="14" spans="1:46" ht="14.65" x14ac:dyDescent="0.4">
      <c r="Q14" s="32">
        <v>7</v>
      </c>
      <c r="R14" s="97">
        <f t="shared" si="0"/>
        <v>15</v>
      </c>
      <c r="S14" s="96">
        <f t="shared" si="1"/>
        <v>9.3333333333333338E-2</v>
      </c>
      <c r="T14" s="96">
        <f t="shared" si="2"/>
        <v>13</v>
      </c>
      <c r="U14" s="98">
        <f t="shared" si="3"/>
        <v>0.1076923076923077</v>
      </c>
      <c r="V14" s="97">
        <f t="shared" si="4"/>
        <v>1</v>
      </c>
      <c r="W14" s="96">
        <f t="shared" si="5"/>
        <v>0.26999890422744993</v>
      </c>
      <c r="X14" s="98">
        <f t="shared" si="6"/>
        <v>0.29296657169797796</v>
      </c>
      <c r="Y14" s="97">
        <f t="shared" si="18"/>
        <v>0.79772403521746582</v>
      </c>
      <c r="Z14" s="96">
        <f t="shared" si="8"/>
        <v>0.99874967624310684</v>
      </c>
      <c r="AA14" s="96">
        <f t="shared" si="19"/>
        <v>0.43265019657801401</v>
      </c>
      <c r="AB14" s="96">
        <v>0</v>
      </c>
      <c r="AC14" s="96">
        <f t="shared" si="20"/>
        <v>1.8718619259899417E-3</v>
      </c>
      <c r="AD14" s="98">
        <f t="shared" si="21"/>
        <v>1.8718619259899417E-3</v>
      </c>
      <c r="AE14" s="97">
        <f t="shared" si="22"/>
        <v>2.7138351399271891E-3</v>
      </c>
      <c r="AF14" s="96">
        <f t="shared" si="23"/>
        <v>0.43265019657801401</v>
      </c>
      <c r="AG14" s="96">
        <f t="shared" si="10"/>
        <v>8.4233786669547382E-4</v>
      </c>
      <c r="AH14" s="96">
        <f t="shared" si="11"/>
        <v>1.2944424149049383E-2</v>
      </c>
      <c r="AI14" s="98">
        <f t="shared" si="24"/>
        <v>1.3786762015744858E-2</v>
      </c>
      <c r="AJ14" s="97">
        <f t="shared" si="25"/>
        <v>9.3333333333333338E-2</v>
      </c>
      <c r="AK14" s="96">
        <f t="shared" si="26"/>
        <v>0.31210811351531315</v>
      </c>
      <c r="AL14" s="96">
        <f t="shared" si="27"/>
        <v>6.5333333333333327E-2</v>
      </c>
      <c r="AM14" s="96">
        <f t="shared" si="14"/>
        <v>0.12628</v>
      </c>
      <c r="AN14" s="98">
        <f t="shared" si="28"/>
        <v>0.19161333333333333</v>
      </c>
      <c r="AO14" s="97">
        <f t="shared" si="15"/>
        <v>1.6846757333909474E-3</v>
      </c>
      <c r="AP14" s="96">
        <f t="shared" si="16"/>
        <v>5.049E-2</v>
      </c>
      <c r="AQ14" s="98">
        <f t="shared" si="29"/>
        <v>5.8500000000000002E-3</v>
      </c>
      <c r="AR14" s="97">
        <f t="shared" si="30"/>
        <v>0.26342477108246914</v>
      </c>
      <c r="AS14" s="96">
        <f t="shared" si="31"/>
        <v>1.4000000000000001</v>
      </c>
      <c r="AT14" s="98">
        <f t="shared" si="32"/>
        <v>84.163709975832205</v>
      </c>
    </row>
    <row r="15" spans="1:46" ht="14.65" x14ac:dyDescent="0.4">
      <c r="O15">
        <f>0.205*2.5/(Lm*Fsw)</f>
        <v>0.11647727272727273</v>
      </c>
      <c r="Q15" s="32">
        <v>8</v>
      </c>
      <c r="R15" s="97">
        <f t="shared" si="0"/>
        <v>15</v>
      </c>
      <c r="S15" s="96">
        <f t="shared" si="1"/>
        <v>0.10666666666666667</v>
      </c>
      <c r="T15" s="96">
        <f t="shared" si="2"/>
        <v>13</v>
      </c>
      <c r="U15" s="98">
        <f t="shared" si="3"/>
        <v>0.12307692307692308</v>
      </c>
      <c r="V15" s="97">
        <f t="shared" si="4"/>
        <v>1</v>
      </c>
      <c r="W15" s="96">
        <f t="shared" si="5"/>
        <v>0.28864096983528797</v>
      </c>
      <c r="X15" s="98">
        <f t="shared" si="6"/>
        <v>0.31754696018203599</v>
      </c>
      <c r="Y15" s="97">
        <f t="shared" si="18"/>
        <v>0.85280286542244188</v>
      </c>
      <c r="Z15" s="96">
        <f t="shared" si="8"/>
        <v>1.0825464551660318</v>
      </c>
      <c r="AA15" s="96">
        <f t="shared" si="19"/>
        <v>0.48661955502270682</v>
      </c>
      <c r="AB15" s="96">
        <v>0</v>
      </c>
      <c r="AC15" s="96">
        <f t="shared" si="20"/>
        <v>2.367985913304972E-3</v>
      </c>
      <c r="AD15" s="98">
        <f t="shared" si="21"/>
        <v>2.367985913304972E-3</v>
      </c>
      <c r="AE15" s="97">
        <f t="shared" si="22"/>
        <v>3.7893378604017297E-3</v>
      </c>
      <c r="AF15" s="96">
        <f t="shared" si="23"/>
        <v>0.48661955502270682</v>
      </c>
      <c r="AG15" s="96">
        <f t="shared" si="10"/>
        <v>1.0655936609872375E-3</v>
      </c>
      <c r="AH15" s="96">
        <f t="shared" si="11"/>
        <v>1.4793627598913582E-2</v>
      </c>
      <c r="AI15" s="98">
        <f t="shared" si="24"/>
        <v>1.5859221259900819E-2</v>
      </c>
      <c r="AJ15" s="97">
        <f t="shared" si="25"/>
        <v>0.10666666666666667</v>
      </c>
      <c r="AK15" s="96">
        <f t="shared" si="26"/>
        <v>0.35220044043062787</v>
      </c>
      <c r="AL15" s="96">
        <f t="shared" si="27"/>
        <v>7.4666666666666673E-2</v>
      </c>
      <c r="AM15" s="96">
        <f t="shared" si="14"/>
        <v>0.12628</v>
      </c>
      <c r="AN15" s="98">
        <f t="shared" si="28"/>
        <v>0.20094666666666666</v>
      </c>
      <c r="AO15" s="97">
        <f t="shared" si="15"/>
        <v>2.1311873219744745E-3</v>
      </c>
      <c r="AP15" s="96">
        <f t="shared" si="16"/>
        <v>5.049E-2</v>
      </c>
      <c r="AQ15" s="98">
        <f t="shared" si="29"/>
        <v>5.8500000000000002E-3</v>
      </c>
      <c r="AR15" s="97">
        <f t="shared" si="30"/>
        <v>0.275277075248542</v>
      </c>
      <c r="AS15" s="96">
        <f t="shared" si="31"/>
        <v>1.6</v>
      </c>
      <c r="AT15" s="98">
        <f t="shared" si="32"/>
        <v>85.320725194059236</v>
      </c>
    </row>
    <row r="16" spans="1:46" ht="14.65" x14ac:dyDescent="0.4">
      <c r="Q16" s="32">
        <v>9</v>
      </c>
      <c r="R16" s="97">
        <f t="shared" si="0"/>
        <v>15</v>
      </c>
      <c r="S16" s="96">
        <f t="shared" si="1"/>
        <v>0.12000000000000001</v>
      </c>
      <c r="T16" s="96">
        <f t="shared" si="2"/>
        <v>13</v>
      </c>
      <c r="U16" s="98">
        <f t="shared" si="3"/>
        <v>0.13846153846153847</v>
      </c>
      <c r="V16" s="97">
        <f t="shared" si="4"/>
        <v>1</v>
      </c>
      <c r="W16" s="96">
        <f t="shared" si="5"/>
        <v>0.30614998064819077</v>
      </c>
      <c r="X16" s="98">
        <f t="shared" si="6"/>
        <v>0.34114536784381666</v>
      </c>
      <c r="Y16" s="97">
        <f t="shared" si="18"/>
        <v>0.904534033733291</v>
      </c>
      <c r="Z16" s="96">
        <f t="shared" si="8"/>
        <v>1.1629955721948295</v>
      </c>
      <c r="AA16" s="96">
        <f t="shared" si="19"/>
        <v>0.54021753509857728</v>
      </c>
      <c r="AB16" s="96">
        <v>0</v>
      </c>
      <c r="AC16" s="96">
        <f t="shared" si="20"/>
        <v>2.9183498522798259E-3</v>
      </c>
      <c r="AD16" s="98">
        <f t="shared" si="21"/>
        <v>2.9183498522798259E-3</v>
      </c>
      <c r="AE16" s="97">
        <f t="shared" si="22"/>
        <v>5.0867996784622477E-3</v>
      </c>
      <c r="AF16" s="96">
        <f t="shared" si="23"/>
        <v>0.54021753509857728</v>
      </c>
      <c r="AG16" s="96">
        <f t="shared" si="10"/>
        <v>1.3132574335259217E-3</v>
      </c>
      <c r="AH16" s="96">
        <f t="shared" si="11"/>
        <v>1.6642831048777781E-2</v>
      </c>
      <c r="AI16" s="98">
        <f t="shared" si="24"/>
        <v>1.7956088482303702E-2</v>
      </c>
      <c r="AJ16" s="97">
        <f t="shared" si="25"/>
        <v>0.12000000000000001</v>
      </c>
      <c r="AK16" s="96">
        <f t="shared" si="26"/>
        <v>0.3921815632094236</v>
      </c>
      <c r="AL16" s="96">
        <f t="shared" si="27"/>
        <v>8.4000000000000005E-2</v>
      </c>
      <c r="AM16" s="96">
        <f t="shared" si="14"/>
        <v>0.12628</v>
      </c>
      <c r="AN16" s="98">
        <f t="shared" si="28"/>
        <v>0.21028000000000002</v>
      </c>
      <c r="AO16" s="97">
        <f t="shared" si="15"/>
        <v>2.626514867051843E-3</v>
      </c>
      <c r="AP16" s="96">
        <f t="shared" si="16"/>
        <v>5.049E-2</v>
      </c>
      <c r="AQ16" s="98">
        <f t="shared" si="29"/>
        <v>5.8500000000000002E-3</v>
      </c>
      <c r="AR16" s="97">
        <f t="shared" si="30"/>
        <v>0.2872026033493556</v>
      </c>
      <c r="AS16" s="96">
        <f t="shared" si="31"/>
        <v>1.8</v>
      </c>
      <c r="AT16" s="98">
        <f t="shared" si="32"/>
        <v>86.239831107508252</v>
      </c>
    </row>
    <row r="17" spans="17:46" ht="14.65" x14ac:dyDescent="0.4">
      <c r="Q17" s="32">
        <v>10</v>
      </c>
      <c r="R17" s="97">
        <f t="shared" si="0"/>
        <v>15</v>
      </c>
      <c r="S17" s="96">
        <f t="shared" si="1"/>
        <v>0.13333333333333333</v>
      </c>
      <c r="T17" s="96">
        <f t="shared" si="2"/>
        <v>13</v>
      </c>
      <c r="U17" s="98">
        <f t="shared" si="3"/>
        <v>0.15384615384615385</v>
      </c>
      <c r="V17" s="97">
        <f t="shared" si="4"/>
        <v>1</v>
      </c>
      <c r="W17" s="96">
        <f t="shared" si="5"/>
        <v>0.32271041482158502</v>
      </c>
      <c r="X17" s="98">
        <f t="shared" si="6"/>
        <v>0.36392167575135659</v>
      </c>
      <c r="Y17" s="97">
        <f t="shared" si="18"/>
        <v>0.95346258924559235</v>
      </c>
      <c r="Z17" s="96">
        <f t="shared" si="8"/>
        <v>1.2406420764250794</v>
      </c>
      <c r="AA17" s="96">
        <f t="shared" si="19"/>
        <v>0.59353717766931147</v>
      </c>
      <c r="AB17" s="96">
        <v>0</v>
      </c>
      <c r="AC17" s="96">
        <f t="shared" si="20"/>
        <v>3.5228638127565181E-3</v>
      </c>
      <c r="AD17" s="98">
        <f t="shared" si="21"/>
        <v>3.5228638127565181E-3</v>
      </c>
      <c r="AE17" s="97">
        <f t="shared" si="22"/>
        <v>6.6197008168530263E-3</v>
      </c>
      <c r="AF17" s="96">
        <f t="shared" si="23"/>
        <v>0.59353717766931147</v>
      </c>
      <c r="AG17" s="96">
        <f t="shared" si="10"/>
        <v>1.5852887157404333E-3</v>
      </c>
      <c r="AH17" s="96">
        <f t="shared" si="11"/>
        <v>1.8492034498641976E-2</v>
      </c>
      <c r="AI17" s="98">
        <f t="shared" si="24"/>
        <v>2.0077323214382409E-2</v>
      </c>
      <c r="AJ17" s="97">
        <f t="shared" si="25"/>
        <v>0.13333333333333333</v>
      </c>
      <c r="AK17" s="96">
        <f t="shared" si="26"/>
        <v>0.43210554620265329</v>
      </c>
      <c r="AL17" s="96">
        <f t="shared" si="27"/>
        <v>9.3333333333333324E-2</v>
      </c>
      <c r="AM17" s="96">
        <f t="shared" si="14"/>
        <v>0.12628</v>
      </c>
      <c r="AN17" s="98">
        <f t="shared" si="28"/>
        <v>0.21961333333333333</v>
      </c>
      <c r="AO17" s="97">
        <f t="shared" si="15"/>
        <v>3.1705774314808662E-3</v>
      </c>
      <c r="AP17" s="96">
        <f t="shared" si="16"/>
        <v>5.049E-2</v>
      </c>
      <c r="AQ17" s="98">
        <f t="shared" si="29"/>
        <v>5.8500000000000002E-3</v>
      </c>
      <c r="AR17" s="97">
        <f t="shared" si="30"/>
        <v>0.29920123397919662</v>
      </c>
      <c r="AS17" s="96">
        <f t="shared" si="31"/>
        <v>2</v>
      </c>
      <c r="AT17" s="98">
        <f t="shared" si="32"/>
        <v>86.986731324018436</v>
      </c>
    </row>
    <row r="18" spans="17:46" ht="14.65" x14ac:dyDescent="0.4">
      <c r="Q18" s="32">
        <v>11</v>
      </c>
      <c r="R18" s="97">
        <f t="shared" si="0"/>
        <v>15</v>
      </c>
      <c r="S18" s="96">
        <f t="shared" si="1"/>
        <v>0.14666666666666667</v>
      </c>
      <c r="T18" s="96">
        <f t="shared" si="2"/>
        <v>13</v>
      </c>
      <c r="U18" s="98">
        <f t="shared" si="3"/>
        <v>0.16923076923076924</v>
      </c>
      <c r="V18" s="97">
        <f t="shared" si="4"/>
        <v>1</v>
      </c>
      <c r="W18" s="96">
        <f t="shared" si="5"/>
        <v>0.33846153846153848</v>
      </c>
      <c r="X18" s="98">
        <f t="shared" si="6"/>
        <v>0.3859965811965812</v>
      </c>
      <c r="Y18" s="97">
        <f t="shared" si="18"/>
        <v>1.0000000000000002</v>
      </c>
      <c r="Z18" s="96">
        <f t="shared" si="8"/>
        <v>1.315897435897436</v>
      </c>
      <c r="AA18" s="96">
        <f t="shared" si="19"/>
        <v>0.64664817388305906</v>
      </c>
      <c r="AB18" s="96">
        <v>0</v>
      </c>
      <c r="AC18" s="96">
        <f t="shared" si="20"/>
        <v>4.1815386078629495E-3</v>
      </c>
      <c r="AD18" s="98">
        <f t="shared" si="21"/>
        <v>4.1815386078629495E-3</v>
      </c>
      <c r="AE18" s="97">
        <f t="shared" si="22"/>
        <v>8.4007889546351081E-3</v>
      </c>
      <c r="AF18" s="96">
        <f t="shared" si="23"/>
        <v>0.64664817388305906</v>
      </c>
      <c r="AG18" s="96">
        <f t="shared" si="10"/>
        <v>1.8816923735383276E-3</v>
      </c>
      <c r="AH18" s="96">
        <f t="shared" si="11"/>
        <v>2.0341237948506171E-2</v>
      </c>
      <c r="AI18" s="98">
        <f t="shared" si="24"/>
        <v>2.2222930322044497E-2</v>
      </c>
      <c r="AJ18" s="97">
        <f t="shared" si="25"/>
        <v>0.14666666666666667</v>
      </c>
      <c r="AK18" s="96">
        <f t="shared" si="26"/>
        <v>0.4720121113922856</v>
      </c>
      <c r="AL18" s="96">
        <f t="shared" si="27"/>
        <v>0.10266666666666666</v>
      </c>
      <c r="AM18" s="96">
        <f t="shared" si="14"/>
        <v>0.12628</v>
      </c>
      <c r="AN18" s="98">
        <f t="shared" si="28"/>
        <v>0.22894666666666666</v>
      </c>
      <c r="AO18" s="97">
        <f t="shared" si="15"/>
        <v>3.7633847470766543E-3</v>
      </c>
      <c r="AP18" s="96">
        <f t="shared" si="16"/>
        <v>5.049E-2</v>
      </c>
      <c r="AQ18" s="98">
        <f t="shared" si="29"/>
        <v>5.8500000000000002E-3</v>
      </c>
      <c r="AR18" s="97">
        <f t="shared" si="30"/>
        <v>0.31127298173578782</v>
      </c>
      <c r="AS18" s="96">
        <f t="shared" si="31"/>
        <v>2.2000000000000002</v>
      </c>
      <c r="AT18" s="98">
        <f t="shared" si="32"/>
        <v>87.604972298924011</v>
      </c>
    </row>
    <row r="19" spans="17:46" ht="14.65" x14ac:dyDescent="0.4">
      <c r="Q19" s="32">
        <v>12</v>
      </c>
      <c r="R19" s="97">
        <f t="shared" si="0"/>
        <v>15</v>
      </c>
      <c r="S19" s="96">
        <f t="shared" si="1"/>
        <v>0.16</v>
      </c>
      <c r="T19" s="96">
        <f t="shared" si="2"/>
        <v>13</v>
      </c>
      <c r="U19" s="98">
        <f t="shared" si="3"/>
        <v>0.1846153846153846</v>
      </c>
      <c r="V19" s="97">
        <f t="shared" si="4"/>
        <v>1</v>
      </c>
      <c r="W19" s="96">
        <f t="shared" si="5"/>
        <v>0.35351154747926328</v>
      </c>
      <c r="X19" s="98">
        <f t="shared" si="6"/>
        <v>0.40746385396920759</v>
      </c>
      <c r="Y19" s="97">
        <f t="shared" si="18"/>
        <v>1.044465935734187</v>
      </c>
      <c r="Z19" s="96">
        <f>U19+S19+(Y19)</f>
        <v>1.3890813203495715</v>
      </c>
      <c r="AA19" s="96">
        <f t="shared" si="19"/>
        <v>0.699604111363196</v>
      </c>
      <c r="AB19" s="96">
        <v>0</v>
      </c>
      <c r="AC19" s="96">
        <f t="shared" si="20"/>
        <v>4.8944591263628719E-3</v>
      </c>
      <c r="AD19" s="98">
        <f t="shared" si="21"/>
        <v>4.8944591263628719E-3</v>
      </c>
      <c r="AE19" s="97">
        <f t="shared" si="22"/>
        <v>1.0442187248618237E-2</v>
      </c>
      <c r="AF19" s="96">
        <f t="shared" si="23"/>
        <v>0.699604111363196</v>
      </c>
      <c r="AG19" s="96">
        <f t="shared" si="10"/>
        <v>2.2025066068632926E-3</v>
      </c>
      <c r="AH19" s="96">
        <f t="shared" si="11"/>
        <v>2.219044139837037E-2</v>
      </c>
      <c r="AI19" s="98">
        <f t="shared" si="24"/>
        <v>2.4392948005233662E-2</v>
      </c>
      <c r="AJ19" s="97">
        <f t="shared" si="25"/>
        <v>0.16</v>
      </c>
      <c r="AK19" s="96">
        <f t="shared" si="26"/>
        <v>0.51193118750294819</v>
      </c>
      <c r="AL19" s="96">
        <f t="shared" si="27"/>
        <v>0.11199999999999999</v>
      </c>
      <c r="AM19" s="96">
        <f t="shared" si="14"/>
        <v>0.12628</v>
      </c>
      <c r="AN19" s="98">
        <f t="shared" si="28"/>
        <v>0.23827999999999999</v>
      </c>
      <c r="AO19" s="97">
        <f t="shared" si="15"/>
        <v>4.4050132137265843E-3</v>
      </c>
      <c r="AP19" s="96">
        <f t="shared" si="16"/>
        <v>5.049E-2</v>
      </c>
      <c r="AQ19" s="98">
        <f t="shared" si="29"/>
        <v>5.8500000000000002E-3</v>
      </c>
      <c r="AR19" s="97">
        <f t="shared" si="30"/>
        <v>0.32341796121896021</v>
      </c>
      <c r="AS19" s="96">
        <f t="shared" si="31"/>
        <v>2.4</v>
      </c>
      <c r="AT19" s="98">
        <f t="shared" si="32"/>
        <v>88.124556501264934</v>
      </c>
    </row>
    <row r="20" spans="17:46" ht="14.65" x14ac:dyDescent="0.4">
      <c r="Q20" s="32">
        <v>13</v>
      </c>
      <c r="R20" s="97">
        <f t="shared" si="0"/>
        <v>15</v>
      </c>
      <c r="S20" s="96">
        <f t="shared" si="1"/>
        <v>0.17333333333333334</v>
      </c>
      <c r="T20" s="96">
        <f t="shared" si="2"/>
        <v>13</v>
      </c>
      <c r="U20" s="98">
        <f t="shared" si="3"/>
        <v>0.2</v>
      </c>
      <c r="V20" s="97">
        <f t="shared" si="4"/>
        <v>1</v>
      </c>
      <c r="W20" s="96">
        <f t="shared" si="5"/>
        <v>0.36794648440311994</v>
      </c>
      <c r="X20" s="98">
        <f t="shared" si="6"/>
        <v>0.31888695314937066</v>
      </c>
      <c r="Y20" s="97">
        <f t="shared" si="18"/>
        <v>1.0871146130092182</v>
      </c>
      <c r="Z20" s="96">
        <f t="shared" ref="Z20:Z71" si="33">CHOOSE(V20,Y20,U20+S20+(Y20))</f>
        <v>1.0871146130092182</v>
      </c>
      <c r="AA20" s="96">
        <f t="shared" si="19"/>
        <v>0.52016415498065494</v>
      </c>
      <c r="AB20" s="96">
        <v>0</v>
      </c>
      <c r="AC20" s="96">
        <f t="shared" si="20"/>
        <v>2.7057074812673883E-3</v>
      </c>
      <c r="AD20" s="98">
        <f t="shared" si="21"/>
        <v>2.7057074812673883E-3</v>
      </c>
      <c r="AE20" s="97">
        <f t="shared" si="22"/>
        <v>1.2755478125974827E-2</v>
      </c>
      <c r="AF20" s="96">
        <f t="shared" si="23"/>
        <v>0.52016415498065494</v>
      </c>
      <c r="AG20" s="96">
        <f t="shared" si="10"/>
        <v>1.2175683665703249E-3</v>
      </c>
      <c r="AH20" s="96">
        <f t="shared" si="11"/>
        <v>2.4039644848234572E-2</v>
      </c>
      <c r="AI20" s="98">
        <f t="shared" si="24"/>
        <v>2.5257213214804897E-2</v>
      </c>
      <c r="AJ20" s="97">
        <f t="shared" si="25"/>
        <v>0.17333333333333334</v>
      </c>
      <c r="AK20" s="96">
        <f t="shared" si="26"/>
        <v>0.35443212757711878</v>
      </c>
      <c r="AL20" s="96">
        <f t="shared" si="27"/>
        <v>0.12133333333333333</v>
      </c>
      <c r="AM20" s="96">
        <f t="shared" si="14"/>
        <v>0.12628</v>
      </c>
      <c r="AN20" s="98">
        <f t="shared" si="28"/>
        <v>0.24761333333333335</v>
      </c>
      <c r="AO20" s="97">
        <f t="shared" si="15"/>
        <v>2.435136733140649E-3</v>
      </c>
      <c r="AP20" s="96">
        <f t="shared" si="16"/>
        <v>5.049E-2</v>
      </c>
      <c r="AQ20" s="98">
        <f t="shared" si="29"/>
        <v>5.8500000000000002E-3</v>
      </c>
      <c r="AR20" s="97">
        <f t="shared" si="30"/>
        <v>0.33164568328127891</v>
      </c>
      <c r="AS20" s="96">
        <f t="shared" si="31"/>
        <v>2.6</v>
      </c>
      <c r="AT20" s="98">
        <f t="shared" si="32"/>
        <v>88.687388616823554</v>
      </c>
    </row>
    <row r="21" spans="17:46" ht="14.65" x14ac:dyDescent="0.4">
      <c r="Q21" s="32">
        <v>14</v>
      </c>
      <c r="R21" s="97">
        <f t="shared" si="0"/>
        <v>15</v>
      </c>
      <c r="S21" s="96">
        <f t="shared" si="1"/>
        <v>0.18666666666666668</v>
      </c>
      <c r="T21" s="96">
        <f t="shared" si="2"/>
        <v>13</v>
      </c>
      <c r="U21" s="98">
        <f t="shared" si="3"/>
        <v>0.2153846153846154</v>
      </c>
      <c r="V21" s="97">
        <f t="shared" si="4"/>
        <v>1</v>
      </c>
      <c r="W21" s="96">
        <f t="shared" si="5"/>
        <v>0.38183611218433405</v>
      </c>
      <c r="X21" s="98">
        <f t="shared" si="6"/>
        <v>0.33092463055975624</v>
      </c>
      <c r="Y21" s="97">
        <f t="shared" si="18"/>
        <v>1.1281521496355327</v>
      </c>
      <c r="Z21" s="96">
        <f t="shared" si="33"/>
        <v>1.1281521496355327</v>
      </c>
      <c r="AA21" s="96">
        <f t="shared" si="19"/>
        <v>0.54989394014353699</v>
      </c>
      <c r="AB21" s="96">
        <v>0</v>
      </c>
      <c r="AC21" s="96">
        <f t="shared" si="20"/>
        <v>3.0238334540658384E-3</v>
      </c>
      <c r="AD21" s="98">
        <f t="shared" si="21"/>
        <v>3.0238334540658384E-3</v>
      </c>
      <c r="AE21" s="97">
        <f t="shared" si="22"/>
        <v>1.5351769843718867E-2</v>
      </c>
      <c r="AF21" s="96">
        <f t="shared" si="23"/>
        <v>0.54989394014353699</v>
      </c>
      <c r="AG21" s="96">
        <f t="shared" si="10"/>
        <v>1.3607250543296275E-3</v>
      </c>
      <c r="AH21" s="96">
        <f t="shared" si="11"/>
        <v>2.5888848298098767E-2</v>
      </c>
      <c r="AI21" s="98">
        <f t="shared" si="24"/>
        <v>2.7249573352428395E-2</v>
      </c>
      <c r="AJ21" s="97">
        <f t="shared" si="25"/>
        <v>0.18666666666666668</v>
      </c>
      <c r="AK21" s="96">
        <f t="shared" si="26"/>
        <v>0.37468956151753102</v>
      </c>
      <c r="AL21" s="96">
        <f t="shared" si="27"/>
        <v>0.13066666666666665</v>
      </c>
      <c r="AM21" s="96">
        <f t="shared" si="14"/>
        <v>0.12628</v>
      </c>
      <c r="AN21" s="98">
        <f t="shared" si="28"/>
        <v>0.25694666666666666</v>
      </c>
      <c r="AO21" s="97">
        <f t="shared" si="15"/>
        <v>2.7214501086592546E-3</v>
      </c>
      <c r="AP21" s="96">
        <f t="shared" si="16"/>
        <v>5.049E-2</v>
      </c>
      <c r="AQ21" s="98">
        <f t="shared" si="29"/>
        <v>5.8500000000000002E-3</v>
      </c>
      <c r="AR21" s="97">
        <f t="shared" si="30"/>
        <v>0.34325769012775431</v>
      </c>
      <c r="AS21" s="96">
        <f t="shared" si="31"/>
        <v>2.8000000000000003</v>
      </c>
      <c r="AT21" s="98">
        <f t="shared" si="32"/>
        <v>89.079556181287728</v>
      </c>
    </row>
    <row r="22" spans="17:46" ht="14.65" x14ac:dyDescent="0.4">
      <c r="Q22" s="32">
        <v>15</v>
      </c>
      <c r="R22" s="97">
        <f t="shared" si="0"/>
        <v>15</v>
      </c>
      <c r="S22" s="96">
        <f t="shared" si="1"/>
        <v>0.2</v>
      </c>
      <c r="T22" s="96">
        <f t="shared" si="2"/>
        <v>13</v>
      </c>
      <c r="U22" s="98">
        <f t="shared" si="3"/>
        <v>0.23076923076923078</v>
      </c>
      <c r="V22" s="97">
        <f t="shared" si="4"/>
        <v>1</v>
      </c>
      <c r="W22" s="96">
        <f t="shared" si="5"/>
        <v>0.39523792549738856</v>
      </c>
      <c r="X22" s="98">
        <f t="shared" si="6"/>
        <v>0.34253953543107019</v>
      </c>
      <c r="Y22" s="97">
        <f t="shared" si="18"/>
        <v>1.1677484162422846</v>
      </c>
      <c r="Z22" s="96">
        <f t="shared" si="33"/>
        <v>1.1677484162422846</v>
      </c>
      <c r="AA22" s="96">
        <f t="shared" si="19"/>
        <v>0.57909704828389319</v>
      </c>
      <c r="AB22" s="96">
        <v>0</v>
      </c>
      <c r="AC22" s="96">
        <f t="shared" si="20"/>
        <v>3.3535339133111777E-3</v>
      </c>
      <c r="AD22" s="98">
        <f t="shared" si="21"/>
        <v>3.3535339133111777E-3</v>
      </c>
      <c r="AE22" s="97">
        <f t="shared" si="22"/>
        <v>1.8241750407571779E-2</v>
      </c>
      <c r="AF22" s="96">
        <f t="shared" si="23"/>
        <v>0.57909704828389319</v>
      </c>
      <c r="AG22" s="96">
        <f t="shared" si="10"/>
        <v>1.50909026099003E-3</v>
      </c>
      <c r="AH22" s="96">
        <f t="shared" si="11"/>
        <v>2.7738051747962966E-2</v>
      </c>
      <c r="AI22" s="98">
        <f t="shared" si="24"/>
        <v>2.9247142008952995E-2</v>
      </c>
      <c r="AJ22" s="97">
        <f t="shared" si="25"/>
        <v>0.2</v>
      </c>
      <c r="AK22" s="96">
        <f t="shared" si="26"/>
        <v>0.39458812555917683</v>
      </c>
      <c r="AL22" s="96">
        <f t="shared" si="27"/>
        <v>0.13999999999999999</v>
      </c>
      <c r="AM22" s="96">
        <f t="shared" si="14"/>
        <v>0.12628</v>
      </c>
      <c r="AN22" s="98">
        <f t="shared" si="28"/>
        <v>0.26627999999999996</v>
      </c>
      <c r="AO22" s="97">
        <f t="shared" si="15"/>
        <v>3.0181805219800595E-3</v>
      </c>
      <c r="AP22" s="96">
        <f t="shared" si="16"/>
        <v>5.049E-2</v>
      </c>
      <c r="AQ22" s="98">
        <f t="shared" si="29"/>
        <v>5.8500000000000002E-3</v>
      </c>
      <c r="AR22" s="97">
        <f t="shared" si="30"/>
        <v>0.35488532253093302</v>
      </c>
      <c r="AS22" s="96">
        <f t="shared" si="31"/>
        <v>3</v>
      </c>
      <c r="AT22" s="98">
        <f t="shared" si="32"/>
        <v>89.421834476797954</v>
      </c>
    </row>
    <row r="23" spans="17:46" ht="14.65" x14ac:dyDescent="0.4">
      <c r="Q23" s="32">
        <v>16</v>
      </c>
      <c r="R23" s="97">
        <f t="shared" si="0"/>
        <v>15</v>
      </c>
      <c r="S23" s="96">
        <f t="shared" si="1"/>
        <v>0.21333333333333335</v>
      </c>
      <c r="T23" s="96">
        <f t="shared" si="2"/>
        <v>13</v>
      </c>
      <c r="U23" s="98">
        <f t="shared" si="3"/>
        <v>0.24615384615384617</v>
      </c>
      <c r="V23" s="97">
        <f t="shared" si="4"/>
        <v>1</v>
      </c>
      <c r="W23" s="96">
        <f t="shared" si="5"/>
        <v>0.40819997419758763</v>
      </c>
      <c r="X23" s="98">
        <f t="shared" si="6"/>
        <v>0.35377331097124265</v>
      </c>
      <c r="Y23" s="97">
        <f t="shared" si="18"/>
        <v>1.2060453783110545</v>
      </c>
      <c r="Z23" s="96">
        <f t="shared" si="33"/>
        <v>1.2060453783110545</v>
      </c>
      <c r="AA23" s="96">
        <f t="shared" si="19"/>
        <v>0.60781707183093314</v>
      </c>
      <c r="AB23" s="96">
        <v>0</v>
      </c>
      <c r="AC23" s="96">
        <f t="shared" si="20"/>
        <v>3.6944159280912978E-3</v>
      </c>
      <c r="AD23" s="98">
        <f t="shared" si="21"/>
        <v>3.6944159280912978E-3</v>
      </c>
      <c r="AE23" s="97">
        <f t="shared" si="22"/>
        <v>2.1435731978375887E-2</v>
      </c>
      <c r="AF23" s="96">
        <f t="shared" si="23"/>
        <v>0.60781707183093314</v>
      </c>
      <c r="AG23" s="96">
        <f t="shared" si="10"/>
        <v>1.662487167641084E-3</v>
      </c>
      <c r="AH23" s="96">
        <f t="shared" si="11"/>
        <v>2.9587255197827164E-2</v>
      </c>
      <c r="AI23" s="98">
        <f t="shared" si="24"/>
        <v>3.124974236546825E-2</v>
      </c>
      <c r="AJ23" s="97">
        <f t="shared" si="25"/>
        <v>0.21333333333333335</v>
      </c>
      <c r="AK23" s="96">
        <f t="shared" si="26"/>
        <v>0.41415752293570479</v>
      </c>
      <c r="AL23" s="96">
        <f t="shared" si="27"/>
        <v>0.14933333333333335</v>
      </c>
      <c r="AM23" s="96">
        <f t="shared" si="14"/>
        <v>0.12628</v>
      </c>
      <c r="AN23" s="98">
        <f t="shared" si="28"/>
        <v>0.27561333333333338</v>
      </c>
      <c r="AO23" s="97">
        <f t="shared" si="15"/>
        <v>3.3249743352821676E-3</v>
      </c>
      <c r="AP23" s="96">
        <f t="shared" si="16"/>
        <v>5.049E-2</v>
      </c>
      <c r="AQ23" s="98">
        <f t="shared" si="29"/>
        <v>5.8500000000000002E-3</v>
      </c>
      <c r="AR23" s="97">
        <f t="shared" si="30"/>
        <v>0.36652805003408379</v>
      </c>
      <c r="AS23" s="96">
        <f t="shared" si="31"/>
        <v>3.2</v>
      </c>
      <c r="AT23" s="98">
        <f t="shared" si="32"/>
        <v>89.723113210042442</v>
      </c>
    </row>
    <row r="24" spans="17:46" ht="14.65" x14ac:dyDescent="0.4">
      <c r="Q24" s="32">
        <v>17</v>
      </c>
      <c r="R24" s="97">
        <f t="shared" si="0"/>
        <v>15</v>
      </c>
      <c r="S24" s="96">
        <f t="shared" si="1"/>
        <v>0.22666666666666668</v>
      </c>
      <c r="T24" s="96">
        <f t="shared" si="2"/>
        <v>13</v>
      </c>
      <c r="U24" s="98">
        <f t="shared" si="3"/>
        <v>0.26153846153846155</v>
      </c>
      <c r="V24" s="97">
        <f t="shared" si="4"/>
        <v>1</v>
      </c>
      <c r="W24" s="96">
        <f t="shared" si="5"/>
        <v>0.42076290249776438</v>
      </c>
      <c r="X24" s="98">
        <f t="shared" si="6"/>
        <v>0.3646611821647292</v>
      </c>
      <c r="Y24" s="97">
        <f t="shared" si="18"/>
        <v>1.2431631210161223</v>
      </c>
      <c r="Z24" s="96">
        <f t="shared" si="33"/>
        <v>1.2431631210161223</v>
      </c>
      <c r="AA24" s="96">
        <f t="shared" si="19"/>
        <v>0.63609150855075536</v>
      </c>
      <c r="AB24" s="96">
        <v>0</v>
      </c>
      <c r="AC24" s="96">
        <f t="shared" si="20"/>
        <v>4.0461240725037564E-3</v>
      </c>
      <c r="AD24" s="98">
        <f t="shared" si="21"/>
        <v>4.0461240725037564E-3</v>
      </c>
      <c r="AE24" s="97">
        <f t="shared" si="22"/>
        <v>2.4943687963457212E-2</v>
      </c>
      <c r="AF24" s="96">
        <f t="shared" si="23"/>
        <v>0.63609150855075536</v>
      </c>
      <c r="AG24" s="96">
        <f t="shared" si="10"/>
        <v>1.8207558326266908E-3</v>
      </c>
      <c r="AH24" s="96">
        <f t="shared" si="11"/>
        <v>3.1436458647691359E-2</v>
      </c>
      <c r="AI24" s="98">
        <f t="shared" si="24"/>
        <v>3.3257214480318049E-2</v>
      </c>
      <c r="AJ24" s="97">
        <f t="shared" si="25"/>
        <v>0.22666666666666668</v>
      </c>
      <c r="AK24" s="96">
        <f t="shared" si="26"/>
        <v>0.43342330406786272</v>
      </c>
      <c r="AL24" s="96">
        <f t="shared" si="27"/>
        <v>0.15866666666666668</v>
      </c>
      <c r="AM24" s="96">
        <f t="shared" si="14"/>
        <v>0.12628</v>
      </c>
      <c r="AN24" s="98">
        <f t="shared" si="28"/>
        <v>0.28494666666666668</v>
      </c>
      <c r="AO24" s="97">
        <f t="shared" si="15"/>
        <v>3.6415116652533806E-3</v>
      </c>
      <c r="AP24" s="96">
        <f t="shared" si="16"/>
        <v>5.049E-2</v>
      </c>
      <c r="AQ24" s="98">
        <f t="shared" si="29"/>
        <v>5.8500000000000002E-3</v>
      </c>
      <c r="AR24" s="97">
        <f t="shared" si="30"/>
        <v>0.37818539281223812</v>
      </c>
      <c r="AS24" s="96">
        <f t="shared" si="31"/>
        <v>3.4000000000000004</v>
      </c>
      <c r="AT24" s="98">
        <f t="shared" si="32"/>
        <v>89.990290218904761</v>
      </c>
    </row>
    <row r="25" spans="17:46" ht="14.65" x14ac:dyDescent="0.4">
      <c r="Q25" s="32">
        <v>18</v>
      </c>
      <c r="R25" s="97">
        <f t="shared" si="0"/>
        <v>15</v>
      </c>
      <c r="S25" s="96">
        <f t="shared" si="1"/>
        <v>0.24000000000000002</v>
      </c>
      <c r="T25" s="96">
        <f t="shared" si="2"/>
        <v>13</v>
      </c>
      <c r="U25" s="98">
        <f t="shared" si="3"/>
        <v>0.27692307692307694</v>
      </c>
      <c r="V25" s="97">
        <f t="shared" si="4"/>
        <v>1</v>
      </c>
      <c r="W25" s="96">
        <f t="shared" si="5"/>
        <v>0.43296145475293196</v>
      </c>
      <c r="X25" s="98">
        <f t="shared" si="6"/>
        <v>0.37523326078587443</v>
      </c>
      <c r="Y25" s="97">
        <f t="shared" si="18"/>
        <v>1.2792042981336629</v>
      </c>
      <c r="Z25" s="96">
        <f t="shared" si="33"/>
        <v>1.2792042981336629</v>
      </c>
      <c r="AA25" s="96">
        <f t="shared" si="19"/>
        <v>0.66395292092360403</v>
      </c>
      <c r="AB25" s="96">
        <v>0</v>
      </c>
      <c r="AC25" s="96">
        <f t="shared" si="20"/>
        <v>4.4083348120298564E-3</v>
      </c>
      <c r="AD25" s="98">
        <f t="shared" si="21"/>
        <v>4.4083348120298564E-3</v>
      </c>
      <c r="AE25" s="97">
        <f t="shared" si="22"/>
        <v>2.8775284377425638E-2</v>
      </c>
      <c r="AF25" s="96">
        <f t="shared" si="23"/>
        <v>0.66395292092360403</v>
      </c>
      <c r="AG25" s="96">
        <f t="shared" si="10"/>
        <v>1.9837506654134356E-3</v>
      </c>
      <c r="AH25" s="96">
        <f t="shared" si="11"/>
        <v>3.3285662097555561E-2</v>
      </c>
      <c r="AI25" s="98">
        <f t="shared" si="24"/>
        <v>3.5269412762968994E-2</v>
      </c>
      <c r="AJ25" s="97">
        <f t="shared" si="25"/>
        <v>0.24000000000000002</v>
      </c>
      <c r="AK25" s="96">
        <f t="shared" si="26"/>
        <v>0.45240765654593657</v>
      </c>
      <c r="AL25" s="96">
        <f t="shared" si="27"/>
        <v>0.16800000000000001</v>
      </c>
      <c r="AM25" s="96">
        <f t="shared" si="14"/>
        <v>0.12628</v>
      </c>
      <c r="AN25" s="98">
        <f t="shared" si="28"/>
        <v>0.29427999999999999</v>
      </c>
      <c r="AO25" s="97">
        <f t="shared" si="15"/>
        <v>3.9675013308268703E-3</v>
      </c>
      <c r="AP25" s="96">
        <f t="shared" si="16"/>
        <v>5.049E-2</v>
      </c>
      <c r="AQ25" s="98">
        <f t="shared" si="29"/>
        <v>5.8500000000000002E-3</v>
      </c>
      <c r="AR25" s="97">
        <f t="shared" si="30"/>
        <v>0.3898569140937958</v>
      </c>
      <c r="AS25" s="96">
        <f t="shared" si="31"/>
        <v>3.6</v>
      </c>
      <c r="AT25" s="98">
        <f t="shared" si="32"/>
        <v>90.228799616430791</v>
      </c>
    </row>
    <row r="26" spans="17:46" ht="14.65" x14ac:dyDescent="0.4">
      <c r="Q26" s="32">
        <v>19</v>
      </c>
      <c r="R26" s="97">
        <f t="shared" si="0"/>
        <v>15</v>
      </c>
      <c r="S26" s="96">
        <f t="shared" si="1"/>
        <v>0.25333333333333335</v>
      </c>
      <c r="T26" s="96">
        <f t="shared" si="2"/>
        <v>13</v>
      </c>
      <c r="U26" s="98">
        <f t="shared" si="3"/>
        <v>0.29230769230769232</v>
      </c>
      <c r="V26" s="97">
        <f t="shared" si="4"/>
        <v>1</v>
      </c>
      <c r="W26" s="96">
        <f t="shared" si="5"/>
        <v>0.44482560907079882</v>
      </c>
      <c r="X26" s="98">
        <f t="shared" si="6"/>
        <v>0.38551552786135901</v>
      </c>
      <c r="Y26" s="97">
        <f t="shared" si="18"/>
        <v>1.3142574813455421</v>
      </c>
      <c r="Z26" s="96">
        <f t="shared" si="33"/>
        <v>1.3142574813455421</v>
      </c>
      <c r="AA26" s="96">
        <f t="shared" si="19"/>
        <v>0.69142982294072963</v>
      </c>
      <c r="AB26" s="96">
        <v>0</v>
      </c>
      <c r="AC26" s="96">
        <f t="shared" si="20"/>
        <v>4.7807520005184873E-3</v>
      </c>
      <c r="AD26" s="98">
        <f t="shared" si="21"/>
        <v>4.7807520005184873E-3</v>
      </c>
      <c r="AE26" s="97">
        <f t="shared" si="22"/>
        <v>3.2939906640935053E-2</v>
      </c>
      <c r="AF26" s="96">
        <f t="shared" si="23"/>
        <v>0.69142982294072963</v>
      </c>
      <c r="AG26" s="96">
        <f t="shared" si="10"/>
        <v>2.1513384002333196E-3</v>
      </c>
      <c r="AH26" s="96">
        <f t="shared" si="11"/>
        <v>3.5134865547419764E-2</v>
      </c>
      <c r="AI26" s="98">
        <f t="shared" si="24"/>
        <v>3.7286203947653085E-2</v>
      </c>
      <c r="AJ26" s="97">
        <f t="shared" si="25"/>
        <v>0.25333333333333335</v>
      </c>
      <c r="AK26" s="96">
        <f t="shared" si="26"/>
        <v>0.47113000937995692</v>
      </c>
      <c r="AL26" s="96">
        <f t="shared" si="27"/>
        <v>0.17733333333333334</v>
      </c>
      <c r="AM26" s="96">
        <f t="shared" si="14"/>
        <v>0.12628</v>
      </c>
      <c r="AN26" s="98">
        <f t="shared" si="28"/>
        <v>0.30361333333333335</v>
      </c>
      <c r="AO26" s="97">
        <f t="shared" si="15"/>
        <v>4.3026768004666384E-3</v>
      </c>
      <c r="AP26" s="96">
        <f t="shared" si="16"/>
        <v>5.049E-2</v>
      </c>
      <c r="AQ26" s="98">
        <f t="shared" si="29"/>
        <v>5.8500000000000002E-3</v>
      </c>
      <c r="AR26" s="97">
        <f t="shared" si="30"/>
        <v>0.40154221408145307</v>
      </c>
      <c r="AS26" s="96">
        <f t="shared" si="31"/>
        <v>3.8000000000000003</v>
      </c>
      <c r="AT26" s="98">
        <f t="shared" si="32"/>
        <v>90.442980371929011</v>
      </c>
    </row>
    <row r="27" spans="17:46" ht="14.65" x14ac:dyDescent="0.4">
      <c r="Q27" s="32">
        <v>20</v>
      </c>
      <c r="R27" s="97">
        <f t="shared" si="0"/>
        <v>15</v>
      </c>
      <c r="S27" s="96">
        <f t="shared" si="1"/>
        <v>0.26666666666666666</v>
      </c>
      <c r="T27" s="96">
        <f t="shared" si="2"/>
        <v>13</v>
      </c>
      <c r="U27" s="98">
        <f t="shared" si="3"/>
        <v>0.30769230769230771</v>
      </c>
      <c r="V27" s="97">
        <f t="shared" si="4"/>
        <v>1</v>
      </c>
      <c r="W27" s="96">
        <f t="shared" si="5"/>
        <v>0.45638144535973307</v>
      </c>
      <c r="X27" s="98">
        <f t="shared" si="6"/>
        <v>0.39553058597843527</v>
      </c>
      <c r="Y27" s="97">
        <f t="shared" si="18"/>
        <v>1.3483997249264841</v>
      </c>
      <c r="Z27" s="96">
        <f t="shared" si="33"/>
        <v>1.3483997249264841</v>
      </c>
      <c r="AA27" s="96">
        <f t="shared" si="19"/>
        <v>0.71854736936623198</v>
      </c>
      <c r="AB27" s="96">
        <v>0</v>
      </c>
      <c r="AC27" s="96">
        <f t="shared" si="20"/>
        <v>5.1631032202313224E-3</v>
      </c>
      <c r="AD27" s="98">
        <f t="shared" si="21"/>
        <v>5.1631032202313224E-3</v>
      </c>
      <c r="AE27" s="97">
        <f t="shared" si="22"/>
        <v>3.7446682696183224E-2</v>
      </c>
      <c r="AF27" s="96">
        <f t="shared" si="23"/>
        <v>0.71854736936623198</v>
      </c>
      <c r="AG27" s="96">
        <f t="shared" si="10"/>
        <v>2.3233964491040952E-3</v>
      </c>
      <c r="AH27" s="96">
        <f t="shared" si="11"/>
        <v>3.6984068997283952E-2</v>
      </c>
      <c r="AI27" s="98">
        <f t="shared" si="24"/>
        <v>3.9307465446388044E-2</v>
      </c>
      <c r="AJ27" s="97">
        <f t="shared" si="25"/>
        <v>0.26666666666666666</v>
      </c>
      <c r="AK27" s="96">
        <f t="shared" si="26"/>
        <v>0.48960750265247888</v>
      </c>
      <c r="AL27" s="96">
        <f t="shared" si="27"/>
        <v>0.18666666666666665</v>
      </c>
      <c r="AM27" s="96">
        <f t="shared" si="14"/>
        <v>0.12628</v>
      </c>
      <c r="AN27" s="98">
        <f t="shared" si="28"/>
        <v>0.31294666666666665</v>
      </c>
      <c r="AO27" s="97">
        <f t="shared" si="15"/>
        <v>4.6467928982081895E-3</v>
      </c>
      <c r="AP27" s="96">
        <f t="shared" si="16"/>
        <v>5.049E-2</v>
      </c>
      <c r="AQ27" s="98">
        <f t="shared" si="29"/>
        <v>5.8500000000000002E-3</v>
      </c>
      <c r="AR27" s="97">
        <f t="shared" si="30"/>
        <v>0.41324092501126286</v>
      </c>
      <c r="AS27" s="96">
        <f t="shared" si="31"/>
        <v>4</v>
      </c>
      <c r="AT27" s="98">
        <f t="shared" si="32"/>
        <v>90.636338871297667</v>
      </c>
    </row>
    <row r="28" spans="17:46" ht="14.65" x14ac:dyDescent="0.4">
      <c r="Q28" s="32">
        <v>21</v>
      </c>
      <c r="R28" s="97">
        <f t="shared" si="0"/>
        <v>15</v>
      </c>
      <c r="S28" s="96">
        <f t="shared" si="1"/>
        <v>0.28000000000000003</v>
      </c>
      <c r="T28" s="96">
        <f t="shared" si="2"/>
        <v>13</v>
      </c>
      <c r="U28" s="98">
        <f t="shared" si="3"/>
        <v>0.32307692307692309</v>
      </c>
      <c r="V28" s="97">
        <f t="shared" si="4"/>
        <v>1</v>
      </c>
      <c r="W28" s="96">
        <f t="shared" si="5"/>
        <v>0.46765182010986656</v>
      </c>
      <c r="X28" s="98">
        <f t="shared" si="6"/>
        <v>0.4052982440952177</v>
      </c>
      <c r="Y28" s="97">
        <f t="shared" si="18"/>
        <v>1.3816985594155149</v>
      </c>
      <c r="Z28" s="96">
        <f t="shared" si="33"/>
        <v>1.3816985594155149</v>
      </c>
      <c r="AA28" s="96">
        <f t="shared" si="19"/>
        <v>0.74532789912991793</v>
      </c>
      <c r="AB28" s="96">
        <v>0</v>
      </c>
      <c r="AC28" s="96">
        <f t="shared" si="20"/>
        <v>5.5551367722141707E-3</v>
      </c>
      <c r="AD28" s="98">
        <f t="shared" si="21"/>
        <v>5.5551367722141707E-3</v>
      </c>
      <c r="AE28" s="97">
        <f t="shared" si="22"/>
        <v>4.2304503111477168E-2</v>
      </c>
      <c r="AF28" s="96">
        <f t="shared" si="23"/>
        <v>0.74532789912991793</v>
      </c>
      <c r="AG28" s="96">
        <f t="shared" si="10"/>
        <v>2.499811547496377E-3</v>
      </c>
      <c r="AH28" s="96">
        <f t="shared" si="11"/>
        <v>3.8833272447148147E-2</v>
      </c>
      <c r="AI28" s="98">
        <f t="shared" si="24"/>
        <v>4.1333083994644526E-2</v>
      </c>
      <c r="AJ28" s="97">
        <f t="shared" si="25"/>
        <v>0.28000000000000003</v>
      </c>
      <c r="AK28" s="96">
        <f t="shared" si="26"/>
        <v>0.50785535777840274</v>
      </c>
      <c r="AL28" s="96">
        <f t="shared" si="27"/>
        <v>0.19600000000000001</v>
      </c>
      <c r="AM28" s="96">
        <f t="shared" si="14"/>
        <v>0.12628</v>
      </c>
      <c r="AN28" s="98">
        <f t="shared" si="28"/>
        <v>0.32228000000000001</v>
      </c>
      <c r="AO28" s="97">
        <f t="shared" si="15"/>
        <v>4.9996230949927532E-3</v>
      </c>
      <c r="AP28" s="96">
        <f t="shared" si="16"/>
        <v>5.049E-2</v>
      </c>
      <c r="AQ28" s="98">
        <f t="shared" si="29"/>
        <v>5.8500000000000002E-3</v>
      </c>
      <c r="AR28" s="97">
        <f t="shared" si="30"/>
        <v>0.42495270708963728</v>
      </c>
      <c r="AS28" s="96">
        <f t="shared" si="31"/>
        <v>4.2</v>
      </c>
      <c r="AT28" s="98">
        <f t="shared" si="32"/>
        <v>90.811739405719266</v>
      </c>
    </row>
    <row r="29" spans="17:46" ht="14.65" x14ac:dyDescent="0.4">
      <c r="Q29" s="32">
        <v>22</v>
      </c>
      <c r="R29" s="97">
        <f t="shared" si="0"/>
        <v>15</v>
      </c>
      <c r="S29" s="96">
        <f t="shared" si="1"/>
        <v>0.29333333333333333</v>
      </c>
      <c r="T29" s="96">
        <f t="shared" si="2"/>
        <v>13</v>
      </c>
      <c r="U29" s="98">
        <f t="shared" si="3"/>
        <v>0.33846153846153848</v>
      </c>
      <c r="V29" s="97">
        <f t="shared" si="4"/>
        <v>1</v>
      </c>
      <c r="W29" s="96">
        <f t="shared" si="5"/>
        <v>0.47865689803397066</v>
      </c>
      <c r="X29" s="98">
        <f t="shared" si="6"/>
        <v>0.41483597829610785</v>
      </c>
      <c r="Y29" s="97">
        <f t="shared" si="18"/>
        <v>1.4142135623730951</v>
      </c>
      <c r="Z29" s="96">
        <f t="shared" si="33"/>
        <v>1.4142135623730951</v>
      </c>
      <c r="AA29" s="96">
        <f t="shared" si="19"/>
        <v>0.77179136918819313</v>
      </c>
      <c r="AB29" s="96">
        <v>0</v>
      </c>
      <c r="AC29" s="96">
        <f t="shared" si="20"/>
        <v>5.9566191755338581E-3</v>
      </c>
      <c r="AD29" s="98">
        <f t="shared" si="21"/>
        <v>5.9566191755338581E-3</v>
      </c>
      <c r="AE29" s="97">
        <f t="shared" si="22"/>
        <v>4.7522038697116263E-2</v>
      </c>
      <c r="AF29" s="96">
        <f t="shared" si="23"/>
        <v>0.77179136918819313</v>
      </c>
      <c r="AG29" s="96">
        <f t="shared" si="10"/>
        <v>2.6804786289902367E-3</v>
      </c>
      <c r="AH29" s="96">
        <f t="shared" si="11"/>
        <v>4.0682475897012342E-2</v>
      </c>
      <c r="AI29" s="98">
        <f t="shared" si="24"/>
        <v>4.3362954526002577E-2</v>
      </c>
      <c r="AJ29" s="97">
        <f t="shared" si="25"/>
        <v>0.29333333333333333</v>
      </c>
      <c r="AK29" s="96">
        <f t="shared" si="26"/>
        <v>0.52588717313133992</v>
      </c>
      <c r="AL29" s="96">
        <f t="shared" si="27"/>
        <v>0.20533333333333331</v>
      </c>
      <c r="AM29" s="96">
        <f t="shared" si="14"/>
        <v>0.12628</v>
      </c>
      <c r="AN29" s="98">
        <f t="shared" si="28"/>
        <v>0.33161333333333332</v>
      </c>
      <c r="AO29" s="97">
        <f t="shared" si="15"/>
        <v>5.3609572579804716E-3</v>
      </c>
      <c r="AP29" s="96">
        <f t="shared" si="16"/>
        <v>5.049E-2</v>
      </c>
      <c r="AQ29" s="98">
        <f t="shared" si="29"/>
        <v>5.8500000000000002E-3</v>
      </c>
      <c r="AR29" s="97">
        <f t="shared" si="30"/>
        <v>0.43667724511731637</v>
      </c>
      <c r="AS29" s="96">
        <f t="shared" si="31"/>
        <v>4.4000000000000004</v>
      </c>
      <c r="AT29" s="98">
        <f t="shared" si="32"/>
        <v>90.971544657891997</v>
      </c>
    </row>
    <row r="30" spans="17:46" ht="14.65" x14ac:dyDescent="0.4">
      <c r="Q30" s="32">
        <v>23</v>
      </c>
      <c r="R30" s="97">
        <f t="shared" si="0"/>
        <v>15</v>
      </c>
      <c r="S30" s="96">
        <f t="shared" si="1"/>
        <v>0.3066666666666667</v>
      </c>
      <c r="T30" s="96">
        <f t="shared" si="2"/>
        <v>13</v>
      </c>
      <c r="U30" s="98">
        <f t="shared" si="3"/>
        <v>0.35384615384615387</v>
      </c>
      <c r="V30" s="97">
        <f t="shared" si="4"/>
        <v>1</v>
      </c>
      <c r="W30" s="96">
        <f t="shared" si="5"/>
        <v>0.48941457601805738</v>
      </c>
      <c r="X30" s="98">
        <f t="shared" si="6"/>
        <v>0.42415929921564982</v>
      </c>
      <c r="Y30" s="97">
        <f t="shared" si="18"/>
        <v>1.4459976109624426</v>
      </c>
      <c r="Z30" s="96">
        <f t="shared" si="33"/>
        <v>1.4459976109624426</v>
      </c>
      <c r="AA30" s="96">
        <f t="shared" si="19"/>
        <v>0.79795570489913092</v>
      </c>
      <c r="AB30" s="96">
        <v>0</v>
      </c>
      <c r="AC30" s="96">
        <f t="shared" si="20"/>
        <v>6.3673330698106887E-3</v>
      </c>
      <c r="AD30" s="98">
        <f t="shared" si="21"/>
        <v>6.3673330698106887E-3</v>
      </c>
      <c r="AE30" s="97">
        <f t="shared" si="22"/>
        <v>5.3107756043805618E-2</v>
      </c>
      <c r="AF30" s="96">
        <f t="shared" si="23"/>
        <v>0.79795570489913092</v>
      </c>
      <c r="AG30" s="96">
        <f t="shared" si="10"/>
        <v>2.8652998814148105E-3</v>
      </c>
      <c r="AH30" s="96">
        <f t="shared" si="11"/>
        <v>4.2531679346876544E-2</v>
      </c>
      <c r="AI30" s="98">
        <f t="shared" si="24"/>
        <v>4.5396979228291355E-2</v>
      </c>
      <c r="AJ30" s="97">
        <f t="shared" si="25"/>
        <v>0.3066666666666667</v>
      </c>
      <c r="AK30" s="96">
        <f t="shared" si="26"/>
        <v>0.54371516278398058</v>
      </c>
      <c r="AL30" s="96">
        <f t="shared" si="27"/>
        <v>0.21466666666666667</v>
      </c>
      <c r="AM30" s="96">
        <f t="shared" si="14"/>
        <v>0.12628</v>
      </c>
      <c r="AN30" s="98">
        <f t="shared" si="28"/>
        <v>0.34094666666666668</v>
      </c>
      <c r="AO30" s="97">
        <f t="shared" si="15"/>
        <v>5.7305997628296192E-3</v>
      </c>
      <c r="AP30" s="96">
        <f t="shared" si="16"/>
        <v>5.049E-2</v>
      </c>
      <c r="AQ30" s="98">
        <f t="shared" si="29"/>
        <v>5.8500000000000002E-3</v>
      </c>
      <c r="AR30" s="97">
        <f t="shared" si="30"/>
        <v>0.44841424565778765</v>
      </c>
      <c r="AS30" s="96">
        <f t="shared" si="31"/>
        <v>4.6000000000000005</v>
      </c>
      <c r="AT30" s="98">
        <f t="shared" si="32"/>
        <v>91.117720855742462</v>
      </c>
    </row>
    <row r="31" spans="17:46" ht="14.65" x14ac:dyDescent="0.4">
      <c r="Q31" s="32">
        <v>24</v>
      </c>
      <c r="R31" s="97">
        <f t="shared" si="0"/>
        <v>15</v>
      </c>
      <c r="S31" s="96">
        <f t="shared" si="1"/>
        <v>0.32</v>
      </c>
      <c r="T31" s="96">
        <f t="shared" si="2"/>
        <v>13</v>
      </c>
      <c r="U31" s="98">
        <f t="shared" si="3"/>
        <v>0.3692307692307692</v>
      </c>
      <c r="V31" s="97">
        <f t="shared" si="4"/>
        <v>1</v>
      </c>
      <c r="W31" s="96">
        <f t="shared" si="5"/>
        <v>0.49994082490067449</v>
      </c>
      <c r="X31" s="98">
        <f t="shared" si="6"/>
        <v>0.43328204824725119</v>
      </c>
      <c r="Y31" s="97">
        <f t="shared" si="18"/>
        <v>1.477097891751993</v>
      </c>
      <c r="Z31" s="96">
        <f t="shared" si="33"/>
        <v>1.477097891751993</v>
      </c>
      <c r="AA31" s="96">
        <f t="shared" si="19"/>
        <v>0.82383708590205051</v>
      </c>
      <c r="AB31" s="96">
        <v>0</v>
      </c>
      <c r="AC31" s="96">
        <f t="shared" si="20"/>
        <v>6.7870754410758261E-3</v>
      </c>
      <c r="AD31" s="98">
        <f t="shared" si="21"/>
        <v>6.7870754410758261E-3</v>
      </c>
      <c r="AE31" s="97">
        <f t="shared" si="22"/>
        <v>5.906993131134123E-2</v>
      </c>
      <c r="AF31" s="96">
        <f t="shared" si="23"/>
        <v>0.82383708590205051</v>
      </c>
      <c r="AG31" s="96">
        <f t="shared" si="10"/>
        <v>3.0541839484841222E-3</v>
      </c>
      <c r="AH31" s="96">
        <f t="shared" si="11"/>
        <v>4.4380882796740739E-2</v>
      </c>
      <c r="AI31" s="98">
        <f t="shared" si="24"/>
        <v>4.7435066745224859E-2</v>
      </c>
      <c r="AJ31" s="97">
        <f t="shared" si="25"/>
        <v>0.32</v>
      </c>
      <c r="AK31" s="96">
        <f t="shared" si="26"/>
        <v>0.5613503513021898</v>
      </c>
      <c r="AL31" s="96">
        <f t="shared" si="27"/>
        <v>0.22399999999999998</v>
      </c>
      <c r="AM31" s="96">
        <f t="shared" si="14"/>
        <v>0.12628</v>
      </c>
      <c r="AN31" s="98">
        <f t="shared" si="28"/>
        <v>0.35027999999999998</v>
      </c>
      <c r="AO31" s="97">
        <f t="shared" si="15"/>
        <v>6.1083678969682427E-3</v>
      </c>
      <c r="AP31" s="96">
        <f t="shared" si="16"/>
        <v>5.049E-2</v>
      </c>
      <c r="AQ31" s="98">
        <f t="shared" si="29"/>
        <v>5.8500000000000002E-3</v>
      </c>
      <c r="AR31" s="97">
        <f t="shared" si="30"/>
        <v>0.46016343464219306</v>
      </c>
      <c r="AS31" s="96">
        <f t="shared" si="31"/>
        <v>4.8</v>
      </c>
      <c r="AT31" s="98">
        <f t="shared" si="32"/>
        <v>91.251917542872036</v>
      </c>
    </row>
    <row r="32" spans="17:46" ht="14.65" x14ac:dyDescent="0.4">
      <c r="Q32" s="32">
        <v>25</v>
      </c>
      <c r="R32" s="97">
        <f t="shared" si="0"/>
        <v>15</v>
      </c>
      <c r="S32" s="96">
        <f t="shared" si="1"/>
        <v>0.33333333333333337</v>
      </c>
      <c r="T32" s="96">
        <f t="shared" si="2"/>
        <v>13</v>
      </c>
      <c r="U32" s="98">
        <f t="shared" si="3"/>
        <v>0.38461538461538469</v>
      </c>
      <c r="V32" s="97">
        <f t="shared" si="4"/>
        <v>1</v>
      </c>
      <c r="W32" s="96">
        <f t="shared" si="5"/>
        <v>0.51024996774698461</v>
      </c>
      <c r="X32" s="98">
        <f t="shared" si="6"/>
        <v>0.44221663871405337</v>
      </c>
      <c r="Y32" s="97">
        <f t="shared" si="18"/>
        <v>1.5075567228888183</v>
      </c>
      <c r="Z32" s="96">
        <f t="shared" si="33"/>
        <v>1.5075567228888183</v>
      </c>
      <c r="AA32" s="96">
        <f t="shared" si="19"/>
        <v>0.84945018156177476</v>
      </c>
      <c r="AB32" s="96">
        <v>0</v>
      </c>
      <c r="AC32" s="96">
        <f t="shared" si="20"/>
        <v>7.2156561095533213E-3</v>
      </c>
      <c r="AD32" s="98">
        <f t="shared" si="21"/>
        <v>7.2156561095533213E-3</v>
      </c>
      <c r="AE32" s="97">
        <f t="shared" si="22"/>
        <v>6.5416662531664713E-2</v>
      </c>
      <c r="AF32" s="96">
        <f t="shared" si="23"/>
        <v>0.84945018156177476</v>
      </c>
      <c r="AG32" s="96">
        <f t="shared" si="10"/>
        <v>3.2470452492989947E-3</v>
      </c>
      <c r="AH32" s="96">
        <f t="shared" si="11"/>
        <v>4.6230086246604941E-2</v>
      </c>
      <c r="AI32" s="98">
        <f t="shared" si="24"/>
        <v>4.9477131495903937E-2</v>
      </c>
      <c r="AJ32" s="97">
        <f t="shared" si="25"/>
        <v>0.33333333333333337</v>
      </c>
      <c r="AK32" s="96">
        <f t="shared" si="26"/>
        <v>0.57880273417322781</v>
      </c>
      <c r="AL32" s="96">
        <f t="shared" si="27"/>
        <v>0.23333333333333334</v>
      </c>
      <c r="AM32" s="96">
        <f t="shared" si="14"/>
        <v>0.12628</v>
      </c>
      <c r="AN32" s="98">
        <f t="shared" si="28"/>
        <v>0.35961333333333334</v>
      </c>
      <c r="AO32" s="97">
        <f t="shared" si="15"/>
        <v>6.4940904985979885E-3</v>
      </c>
      <c r="AP32" s="96">
        <f t="shared" si="16"/>
        <v>5.049E-2</v>
      </c>
      <c r="AQ32" s="98">
        <f t="shared" si="29"/>
        <v>5.8500000000000002E-3</v>
      </c>
      <c r="AR32" s="97">
        <f t="shared" si="30"/>
        <v>0.47192455532783528</v>
      </c>
      <c r="AS32" s="96">
        <f t="shared" si="31"/>
        <v>5.0000000000000009</v>
      </c>
      <c r="AT32" s="98">
        <f t="shared" si="32"/>
        <v>91.375528837137594</v>
      </c>
    </row>
    <row r="33" spans="17:46" ht="14.65" x14ac:dyDescent="0.4">
      <c r="Q33" s="32">
        <v>26</v>
      </c>
      <c r="R33" s="97">
        <f t="shared" si="0"/>
        <v>15</v>
      </c>
      <c r="S33" s="96">
        <f t="shared" si="1"/>
        <v>0.34666666666666668</v>
      </c>
      <c r="T33" s="96">
        <f t="shared" si="2"/>
        <v>13</v>
      </c>
      <c r="U33" s="98">
        <f t="shared" si="3"/>
        <v>0.4</v>
      </c>
      <c r="V33" s="97">
        <f t="shared" si="4"/>
        <v>1</v>
      </c>
      <c r="W33" s="96">
        <f t="shared" si="5"/>
        <v>0.52035490847039267</v>
      </c>
      <c r="X33" s="98">
        <f t="shared" si="6"/>
        <v>0.45097425400767371</v>
      </c>
      <c r="Y33" s="97">
        <f t="shared" si="18"/>
        <v>1.5374122295716148</v>
      </c>
      <c r="Z33" s="96">
        <f t="shared" si="33"/>
        <v>1.5374122295716148</v>
      </c>
      <c r="AA33" s="96">
        <f t="shared" si="19"/>
        <v>0.87480834653342066</v>
      </c>
      <c r="AB33" s="96">
        <v>0</v>
      </c>
      <c r="AC33" s="96">
        <f t="shared" si="20"/>
        <v>7.6528964316453741E-3</v>
      </c>
      <c r="AD33" s="98">
        <f t="shared" si="21"/>
        <v>7.6528964316453741E-3</v>
      </c>
      <c r="AE33" s="97">
        <f t="shared" si="22"/>
        <v>7.2155880641227799E-2</v>
      </c>
      <c r="AF33" s="96">
        <f t="shared" si="23"/>
        <v>0.87480834653342066</v>
      </c>
      <c r="AG33" s="96">
        <f t="shared" si="10"/>
        <v>3.4438033942404186E-3</v>
      </c>
      <c r="AH33" s="96">
        <f t="shared" si="11"/>
        <v>4.8079289696469144E-2</v>
      </c>
      <c r="AI33" s="98">
        <f t="shared" si="24"/>
        <v>5.1523093090709564E-2</v>
      </c>
      <c r="AJ33" s="97">
        <f t="shared" si="25"/>
        <v>0.34666666666666668</v>
      </c>
      <c r="AK33" s="96">
        <f t="shared" si="26"/>
        <v>0.59608141106069279</v>
      </c>
      <c r="AL33" s="96">
        <f t="shared" si="27"/>
        <v>0.24266666666666667</v>
      </c>
      <c r="AM33" s="96">
        <f t="shared" si="14"/>
        <v>0.12628</v>
      </c>
      <c r="AN33" s="98">
        <f t="shared" si="28"/>
        <v>0.36894666666666665</v>
      </c>
      <c r="AO33" s="97">
        <f t="shared" si="15"/>
        <v>6.8876067884808363E-3</v>
      </c>
      <c r="AP33" s="96">
        <f t="shared" si="16"/>
        <v>5.049E-2</v>
      </c>
      <c r="AQ33" s="98">
        <f t="shared" si="29"/>
        <v>5.8500000000000002E-3</v>
      </c>
      <c r="AR33" s="97">
        <f t="shared" si="30"/>
        <v>0.48369736654585704</v>
      </c>
      <c r="AS33" s="96">
        <f t="shared" si="31"/>
        <v>5.2</v>
      </c>
      <c r="AT33" s="98">
        <f t="shared" si="32"/>
        <v>91.489741002170675</v>
      </c>
    </row>
    <row r="34" spans="17:46" ht="14.65" x14ac:dyDescent="0.4">
      <c r="Q34" s="32">
        <v>27</v>
      </c>
      <c r="R34" s="97">
        <f t="shared" si="0"/>
        <v>15</v>
      </c>
      <c r="S34" s="96">
        <f t="shared" si="1"/>
        <v>0.36000000000000004</v>
      </c>
      <c r="T34" s="96">
        <f t="shared" si="2"/>
        <v>13</v>
      </c>
      <c r="U34" s="98">
        <f t="shared" si="3"/>
        <v>0.41538461538461541</v>
      </c>
      <c r="V34" s="97">
        <f t="shared" si="4"/>
        <v>1</v>
      </c>
      <c r="W34" s="96">
        <f t="shared" si="5"/>
        <v>0.53026732121889497</v>
      </c>
      <c r="X34" s="98">
        <f t="shared" si="6"/>
        <v>0.45956501172304232</v>
      </c>
      <c r="Y34" s="97">
        <f t="shared" si="18"/>
        <v>1.5666989036012808</v>
      </c>
      <c r="Z34" s="96">
        <f t="shared" si="33"/>
        <v>1.5666989036012808</v>
      </c>
      <c r="AA34" s="96">
        <f t="shared" si="19"/>
        <v>0.89992378447376598</v>
      </c>
      <c r="AB34" s="96">
        <v>0</v>
      </c>
      <c r="AC34" s="96">
        <f t="shared" si="20"/>
        <v>8.0986281786158514E-3</v>
      </c>
      <c r="AD34" s="98">
        <f t="shared" si="21"/>
        <v>8.0986281786158514E-3</v>
      </c>
      <c r="AE34" s="97">
        <f t="shared" si="22"/>
        <v>7.9295359419194772E-2</v>
      </c>
      <c r="AF34" s="96">
        <f t="shared" si="23"/>
        <v>0.89992378447376598</v>
      </c>
      <c r="AG34" s="96">
        <f t="shared" si="10"/>
        <v>3.6443826803771338E-3</v>
      </c>
      <c r="AH34" s="96">
        <f t="shared" si="11"/>
        <v>4.9928493146333346E-2</v>
      </c>
      <c r="AI34" s="98">
        <f t="shared" si="24"/>
        <v>5.3572875826710477E-2</v>
      </c>
      <c r="AJ34" s="97">
        <f t="shared" si="25"/>
        <v>0.36000000000000004</v>
      </c>
      <c r="AK34" s="96">
        <f t="shared" si="26"/>
        <v>0.6131946973550142</v>
      </c>
      <c r="AL34" s="96">
        <f t="shared" si="27"/>
        <v>0.252</v>
      </c>
      <c r="AM34" s="96">
        <f t="shared" si="14"/>
        <v>0.12628</v>
      </c>
      <c r="AN34" s="98">
        <f t="shared" si="28"/>
        <v>0.37828000000000001</v>
      </c>
      <c r="AO34" s="97">
        <f t="shared" si="15"/>
        <v>7.2887653607542659E-3</v>
      </c>
      <c r="AP34" s="96">
        <f t="shared" si="16"/>
        <v>5.049E-2</v>
      </c>
      <c r="AQ34" s="98">
        <f t="shared" si="29"/>
        <v>5.8500000000000002E-3</v>
      </c>
      <c r="AR34" s="97">
        <f t="shared" si="30"/>
        <v>0.49548164118746479</v>
      </c>
      <c r="AS34" s="96">
        <f t="shared" si="31"/>
        <v>5.4</v>
      </c>
      <c r="AT34" s="98">
        <f t="shared" si="32"/>
        <v>91.595569771163511</v>
      </c>
    </row>
    <row r="35" spans="17:46" ht="14.65" x14ac:dyDescent="0.4">
      <c r="Q35" s="32">
        <v>28</v>
      </c>
      <c r="R35" s="97">
        <f t="shared" si="0"/>
        <v>15</v>
      </c>
      <c r="S35" s="96">
        <f t="shared" si="1"/>
        <v>0.37333333333333335</v>
      </c>
      <c r="T35" s="96">
        <f t="shared" si="2"/>
        <v>13</v>
      </c>
      <c r="U35" s="98">
        <f t="shared" si="3"/>
        <v>0.43076923076923079</v>
      </c>
      <c r="V35" s="97">
        <f t="shared" si="4"/>
        <v>2</v>
      </c>
      <c r="W35" s="96">
        <f t="shared" si="5"/>
        <v>0.5357142857142857</v>
      </c>
      <c r="X35" s="98">
        <f t="shared" si="6"/>
        <v>0.4642857142857143</v>
      </c>
      <c r="Y35" s="97">
        <f t="shared" si="18"/>
        <v>1.5827922077922081</v>
      </c>
      <c r="Z35" s="96">
        <f t="shared" si="33"/>
        <v>2.3868947718947719</v>
      </c>
      <c r="AA35" s="96">
        <f t="shared" si="19"/>
        <v>0.62795811532152301</v>
      </c>
      <c r="AB35" s="96">
        <v>0</v>
      </c>
      <c r="AC35" s="96">
        <f t="shared" si="20"/>
        <v>3.943313945981592E-3</v>
      </c>
      <c r="AD35" s="98">
        <f t="shared" si="21"/>
        <v>3.943313945981592E-3</v>
      </c>
      <c r="AE35" s="97">
        <f t="shared" si="22"/>
        <v>8.615384615384615E-2</v>
      </c>
      <c r="AF35" s="96">
        <f t="shared" si="23"/>
        <v>0.62795811532152301</v>
      </c>
      <c r="AG35" s="96">
        <f t="shared" si="10"/>
        <v>1.7744912756917166E-3</v>
      </c>
      <c r="AH35" s="96">
        <f t="shared" si="11"/>
        <v>5.1777696596197534E-2</v>
      </c>
      <c r="AI35" s="98">
        <f t="shared" si="24"/>
        <v>5.3552187871889249E-2</v>
      </c>
      <c r="AJ35" s="97">
        <f t="shared" si="25"/>
        <v>0.37333333333333335</v>
      </c>
      <c r="AK35" s="96">
        <f t="shared" si="26"/>
        <v>1.1308500031910287</v>
      </c>
      <c r="AL35" s="96">
        <f t="shared" si="27"/>
        <v>0.26133333333333331</v>
      </c>
      <c r="AM35" s="96">
        <f t="shared" si="14"/>
        <v>0.12628</v>
      </c>
      <c r="AN35" s="98">
        <f t="shared" si="28"/>
        <v>0.38761333333333331</v>
      </c>
      <c r="AO35" s="97">
        <f t="shared" si="15"/>
        <v>3.5489825513834324E-3</v>
      </c>
      <c r="AP35" s="96">
        <f t="shared" si="16"/>
        <v>5.049E-2</v>
      </c>
      <c r="AQ35" s="98">
        <f t="shared" si="29"/>
        <v>5.8500000000000002E-3</v>
      </c>
      <c r="AR35" s="97">
        <f t="shared" si="30"/>
        <v>0.50105450375660598</v>
      </c>
      <c r="AS35" s="96">
        <f t="shared" si="31"/>
        <v>5.6000000000000005</v>
      </c>
      <c r="AT35" s="98">
        <f t="shared" si="32"/>
        <v>91.787411447511388</v>
      </c>
    </row>
    <row r="36" spans="17:46" ht="14.65" x14ac:dyDescent="0.4">
      <c r="Q36" s="32">
        <v>29</v>
      </c>
      <c r="R36" s="97">
        <f t="shared" si="0"/>
        <v>15</v>
      </c>
      <c r="S36" s="96">
        <f t="shared" si="1"/>
        <v>0.38666666666666671</v>
      </c>
      <c r="T36" s="96">
        <f t="shared" si="2"/>
        <v>13</v>
      </c>
      <c r="U36" s="98">
        <f t="shared" si="3"/>
        <v>0.44615384615384623</v>
      </c>
      <c r="V36" s="97">
        <f t="shared" si="4"/>
        <v>2</v>
      </c>
      <c r="W36" s="96">
        <f t="shared" si="5"/>
        <v>0.5357142857142857</v>
      </c>
      <c r="X36" s="98">
        <f t="shared" si="6"/>
        <v>0.4642857142857143</v>
      </c>
      <c r="Y36" s="97">
        <f t="shared" si="18"/>
        <v>1.5827922077922081</v>
      </c>
      <c r="Z36" s="96">
        <f t="shared" si="33"/>
        <v>2.4156127206127209</v>
      </c>
      <c r="AA36" s="96">
        <f t="shared" si="19"/>
        <v>0.63860983304245655</v>
      </c>
      <c r="AB36" s="96">
        <v>0</v>
      </c>
      <c r="AC36" s="96">
        <f t="shared" si="20"/>
        <v>4.0782251885851427E-3</v>
      </c>
      <c r="AD36" s="98">
        <f t="shared" si="21"/>
        <v>4.0782251885851427E-3</v>
      </c>
      <c r="AE36" s="97">
        <f t="shared" si="22"/>
        <v>9.2417582417582453E-2</v>
      </c>
      <c r="AF36" s="96">
        <f t="shared" si="23"/>
        <v>0.63860983304245655</v>
      </c>
      <c r="AG36" s="96">
        <f t="shared" si="10"/>
        <v>1.8352013348633142E-3</v>
      </c>
      <c r="AH36" s="96">
        <f t="shared" si="11"/>
        <v>5.3626900046061743E-2</v>
      </c>
      <c r="AI36" s="98">
        <f t="shared" si="24"/>
        <v>5.5462101380925055E-2</v>
      </c>
      <c r="AJ36" s="97">
        <f t="shared" si="25"/>
        <v>0.38666666666666671</v>
      </c>
      <c r="AK36" s="96">
        <f t="shared" si="26"/>
        <v>1.1496744177577785</v>
      </c>
      <c r="AL36" s="96">
        <f t="shared" si="27"/>
        <v>0.27066666666666667</v>
      </c>
      <c r="AM36" s="96">
        <f t="shared" si="14"/>
        <v>0.12628</v>
      </c>
      <c r="AN36" s="98">
        <f t="shared" si="28"/>
        <v>0.39694666666666667</v>
      </c>
      <c r="AO36" s="97">
        <f t="shared" si="15"/>
        <v>3.6704026697266276E-3</v>
      </c>
      <c r="AP36" s="96">
        <f t="shared" si="16"/>
        <v>5.049E-2</v>
      </c>
      <c r="AQ36" s="98">
        <f t="shared" si="29"/>
        <v>5.8500000000000002E-3</v>
      </c>
      <c r="AR36" s="97">
        <f t="shared" si="30"/>
        <v>0.51241917071731835</v>
      </c>
      <c r="AS36" s="96">
        <f t="shared" si="31"/>
        <v>5.8000000000000007</v>
      </c>
      <c r="AT36" s="98">
        <f t="shared" si="32"/>
        <v>91.882364639306928</v>
      </c>
    </row>
    <row r="37" spans="17:46" ht="14.65" x14ac:dyDescent="0.4">
      <c r="Q37" s="32">
        <v>30</v>
      </c>
      <c r="R37" s="97">
        <f t="shared" si="0"/>
        <v>15</v>
      </c>
      <c r="S37" s="96">
        <f t="shared" si="1"/>
        <v>0.4</v>
      </c>
      <c r="T37" s="96">
        <f t="shared" si="2"/>
        <v>13</v>
      </c>
      <c r="U37" s="98">
        <f t="shared" si="3"/>
        <v>0.46153846153846156</v>
      </c>
      <c r="V37" s="97">
        <f t="shared" si="4"/>
        <v>2</v>
      </c>
      <c r="W37" s="96">
        <f t="shared" si="5"/>
        <v>0.5357142857142857</v>
      </c>
      <c r="X37" s="98">
        <f t="shared" si="6"/>
        <v>0.4642857142857143</v>
      </c>
      <c r="Y37" s="97">
        <f t="shared" si="18"/>
        <v>1.5827922077922081</v>
      </c>
      <c r="Z37" s="96">
        <f t="shared" si="33"/>
        <v>2.4443306693306699</v>
      </c>
      <c r="AA37" s="96">
        <f t="shared" si="19"/>
        <v>0.64945131911478504</v>
      </c>
      <c r="AB37" s="96">
        <v>0</v>
      </c>
      <c r="AC37" s="96">
        <f t="shared" si="20"/>
        <v>4.2178701589993435E-3</v>
      </c>
      <c r="AD37" s="98">
        <f t="shared" si="21"/>
        <v>4.2178701589993435E-3</v>
      </c>
      <c r="AE37" s="97">
        <f t="shared" si="22"/>
        <v>9.8901098901098911E-2</v>
      </c>
      <c r="AF37" s="96">
        <f t="shared" si="23"/>
        <v>0.64945131911478504</v>
      </c>
      <c r="AG37" s="96">
        <f t="shared" si="10"/>
        <v>1.8980415715497048E-3</v>
      </c>
      <c r="AH37" s="96">
        <f t="shared" si="11"/>
        <v>5.5476103495925931E-2</v>
      </c>
      <c r="AI37" s="98">
        <f t="shared" si="24"/>
        <v>5.7374145067475638E-2</v>
      </c>
      <c r="AJ37" s="97">
        <f t="shared" si="25"/>
        <v>0.4</v>
      </c>
      <c r="AK37" s="96">
        <f t="shared" si="26"/>
        <v>1.1685232629015292</v>
      </c>
      <c r="AL37" s="96">
        <f t="shared" si="27"/>
        <v>0.27999999999999997</v>
      </c>
      <c r="AM37" s="96">
        <f t="shared" si="14"/>
        <v>0.12628</v>
      </c>
      <c r="AN37" s="98">
        <f t="shared" si="28"/>
        <v>0.40627999999999997</v>
      </c>
      <c r="AO37" s="97">
        <f t="shared" si="15"/>
        <v>3.7960831430994086E-3</v>
      </c>
      <c r="AP37" s="96">
        <f t="shared" si="16"/>
        <v>5.049E-2</v>
      </c>
      <c r="AQ37" s="98">
        <f t="shared" si="29"/>
        <v>5.8500000000000002E-3</v>
      </c>
      <c r="AR37" s="97">
        <f t="shared" si="30"/>
        <v>0.52379022821057508</v>
      </c>
      <c r="AS37" s="96">
        <f t="shared" si="31"/>
        <v>6</v>
      </c>
      <c r="AT37" s="98">
        <f t="shared" si="32"/>
        <v>91.971074944354143</v>
      </c>
    </row>
    <row r="38" spans="17:46" ht="14.65" x14ac:dyDescent="0.4">
      <c r="Q38" s="32">
        <v>31</v>
      </c>
      <c r="R38" s="97">
        <f t="shared" si="0"/>
        <v>15</v>
      </c>
      <c r="S38" s="96">
        <f t="shared" si="1"/>
        <v>0.41333333333333339</v>
      </c>
      <c r="T38" s="96">
        <f t="shared" si="2"/>
        <v>13</v>
      </c>
      <c r="U38" s="98">
        <f t="shared" si="3"/>
        <v>0.47692307692307701</v>
      </c>
      <c r="V38" s="97">
        <f t="shared" si="4"/>
        <v>2</v>
      </c>
      <c r="W38" s="96">
        <f t="shared" si="5"/>
        <v>0.5357142857142857</v>
      </c>
      <c r="X38" s="98">
        <f t="shared" si="6"/>
        <v>0.4642857142857143</v>
      </c>
      <c r="Y38" s="97">
        <f t="shared" si="18"/>
        <v>1.5827922077922081</v>
      </c>
      <c r="Z38" s="96">
        <f t="shared" si="33"/>
        <v>2.4730486180486184</v>
      </c>
      <c r="AA38" s="96">
        <f t="shared" si="19"/>
        <v>0.66047322861901037</v>
      </c>
      <c r="AB38" s="96">
        <v>0</v>
      </c>
      <c r="AC38" s="96">
        <f t="shared" si="20"/>
        <v>4.3622488572241953E-3</v>
      </c>
      <c r="AD38" s="98">
        <f t="shared" si="21"/>
        <v>4.3622488572241953E-3</v>
      </c>
      <c r="AE38" s="97">
        <f t="shared" si="22"/>
        <v>0.10560439560439563</v>
      </c>
      <c r="AF38" s="96">
        <f t="shared" si="23"/>
        <v>0.66047322861901037</v>
      </c>
      <c r="AG38" s="96">
        <f t="shared" si="10"/>
        <v>1.9630119857508882E-3</v>
      </c>
      <c r="AH38" s="96">
        <f t="shared" si="11"/>
        <v>5.7325306945790133E-2</v>
      </c>
      <c r="AI38" s="98">
        <f t="shared" si="24"/>
        <v>5.9288318931541024E-2</v>
      </c>
      <c r="AJ38" s="97">
        <f t="shared" si="25"/>
        <v>0.41333333333333339</v>
      </c>
      <c r="AK38" s="96">
        <f t="shared" si="26"/>
        <v>1.1873953751818294</v>
      </c>
      <c r="AL38" s="96">
        <f t="shared" si="27"/>
        <v>0.28933333333333333</v>
      </c>
      <c r="AM38" s="96">
        <f t="shared" si="14"/>
        <v>0.12628</v>
      </c>
      <c r="AN38" s="98">
        <f t="shared" si="28"/>
        <v>0.41561333333333333</v>
      </c>
      <c r="AO38" s="97">
        <f t="shared" si="15"/>
        <v>3.9260239715017756E-3</v>
      </c>
      <c r="AP38" s="96">
        <f t="shared" si="16"/>
        <v>5.049E-2</v>
      </c>
      <c r="AQ38" s="98">
        <f t="shared" si="29"/>
        <v>5.8500000000000002E-3</v>
      </c>
      <c r="AR38" s="97">
        <f t="shared" si="30"/>
        <v>0.53516767623637618</v>
      </c>
      <c r="AS38" s="96">
        <f t="shared" si="31"/>
        <v>6.2000000000000011</v>
      </c>
      <c r="AT38" s="98">
        <f t="shared" si="32"/>
        <v>92.054129875272395</v>
      </c>
    </row>
    <row r="39" spans="17:46" ht="14.65" x14ac:dyDescent="0.4">
      <c r="Q39" s="32">
        <v>32</v>
      </c>
      <c r="R39" s="97">
        <f t="shared" si="0"/>
        <v>15</v>
      </c>
      <c r="S39" s="96">
        <f t="shared" ref="S39:S70" si="34">Q39*$O$12</f>
        <v>0.42666666666666669</v>
      </c>
      <c r="T39" s="96">
        <f t="shared" si="2"/>
        <v>13</v>
      </c>
      <c r="U39" s="98">
        <f t="shared" ref="U39:U70" si="35">(R39*S39)/(T39*EFF_est)</f>
        <v>0.49230769230769234</v>
      </c>
      <c r="V39" s="97">
        <f t="shared" ref="V39:V70" si="36">IF(S39&lt;((T39^2)*R39)/(2*Fsw*Lm*((T39+R39)^2)),1,2)</f>
        <v>2</v>
      </c>
      <c r="W39" s="96">
        <f t="shared" ref="W39:W70" si="37">CHOOSE(V39,SQRT(2*Lm*R39*S39*Fsw)/T39,R39/(T39+R39))</f>
        <v>0.5357142857142857</v>
      </c>
      <c r="X39" s="98">
        <f t="shared" ref="X39:X70" si="38">CHOOSE(V39,(Lm*Z39*Fsw)/(R39),1-W39)</f>
        <v>0.4642857142857143</v>
      </c>
      <c r="Y39" s="97">
        <f t="shared" si="18"/>
        <v>1.5827922077922081</v>
      </c>
      <c r="Z39" s="96">
        <f t="shared" si="33"/>
        <v>2.5017665667665669</v>
      </c>
      <c r="AA39" s="96">
        <f t="shared" si="19"/>
        <v>0.67166667948169789</v>
      </c>
      <c r="AB39" s="96">
        <v>0</v>
      </c>
      <c r="AC39" s="96">
        <f t="shared" si="20"/>
        <v>4.5113612832596989E-3</v>
      </c>
      <c r="AD39" s="98">
        <f t="shared" si="21"/>
        <v>4.5113612832596989E-3</v>
      </c>
      <c r="AE39" s="97">
        <f t="shared" si="22"/>
        <v>0.11252747252747253</v>
      </c>
      <c r="AF39" s="96">
        <f t="shared" si="23"/>
        <v>0.67166667948169789</v>
      </c>
      <c r="AG39" s="96">
        <f t="shared" ref="AG39:AG70" si="39">(AF39^2)*RDS_on</f>
        <v>2.0301125774668648E-3</v>
      </c>
      <c r="AH39" s="96">
        <f t="shared" ref="AH39:AH70" si="40">(((R39+T39)*(U39+S39))/2)*Fsw*(tr_sw+tf_sw)</f>
        <v>5.9174510395654328E-2</v>
      </c>
      <c r="AI39" s="98">
        <f t="shared" si="24"/>
        <v>6.1204622973121195E-2</v>
      </c>
      <c r="AJ39" s="97">
        <f t="shared" si="25"/>
        <v>0.42666666666666669</v>
      </c>
      <c r="AK39" s="96">
        <f t="shared" si="26"/>
        <v>1.2062896625728707</v>
      </c>
      <c r="AL39" s="96">
        <f t="shared" si="27"/>
        <v>0.29866666666666669</v>
      </c>
      <c r="AM39" s="96">
        <f t="shared" ref="AM39:AM70" si="41">(R39+T39+Vd_rect)*Qrr*Fsw</f>
        <v>0.12628</v>
      </c>
      <c r="AN39" s="98">
        <f t="shared" si="28"/>
        <v>0.42494666666666669</v>
      </c>
      <c r="AO39" s="97">
        <f t="shared" ref="AO39:AO70" si="42">(AF39^2)*R_cs</f>
        <v>4.0602251549337288E-3</v>
      </c>
      <c r="AP39" s="96">
        <f t="shared" si="16"/>
        <v>5.049E-2</v>
      </c>
      <c r="AQ39" s="98">
        <f t="shared" si="29"/>
        <v>5.8500000000000002E-3</v>
      </c>
      <c r="AR39" s="97">
        <f t="shared" si="30"/>
        <v>0.54655151479472164</v>
      </c>
      <c r="AS39" s="96">
        <f t="shared" si="31"/>
        <v>6.4</v>
      </c>
      <c r="AT39" s="98">
        <f t="shared" si="32"/>
        <v>92.132045467010798</v>
      </c>
    </row>
    <row r="40" spans="17:46" ht="14.65" x14ac:dyDescent="0.4">
      <c r="Q40" s="32">
        <v>33</v>
      </c>
      <c r="R40" s="97">
        <f t="shared" si="0"/>
        <v>15</v>
      </c>
      <c r="S40" s="96">
        <f t="shared" si="34"/>
        <v>0.44</v>
      </c>
      <c r="T40" s="96">
        <f t="shared" si="2"/>
        <v>13</v>
      </c>
      <c r="U40" s="98">
        <f t="shared" si="35"/>
        <v>0.50769230769230766</v>
      </c>
      <c r="V40" s="97">
        <f t="shared" si="36"/>
        <v>2</v>
      </c>
      <c r="W40" s="96">
        <f t="shared" si="37"/>
        <v>0.5357142857142857</v>
      </c>
      <c r="X40" s="98">
        <f t="shared" si="38"/>
        <v>0.4642857142857143</v>
      </c>
      <c r="Y40" s="97">
        <f t="shared" si="18"/>
        <v>1.5827922077922081</v>
      </c>
      <c r="Z40" s="96">
        <f t="shared" si="33"/>
        <v>2.5304845154845159</v>
      </c>
      <c r="AA40" s="96">
        <f t="shared" si="19"/>
        <v>0.68302323804581144</v>
      </c>
      <c r="AB40" s="96">
        <v>0</v>
      </c>
      <c r="AC40" s="96">
        <f t="shared" si="20"/>
        <v>4.6652074371058526E-3</v>
      </c>
      <c r="AD40" s="98">
        <f t="shared" si="21"/>
        <v>4.6652074371058526E-3</v>
      </c>
      <c r="AE40" s="97">
        <f t="shared" si="22"/>
        <v>0.11967032967032966</v>
      </c>
      <c r="AF40" s="96">
        <f t="shared" si="23"/>
        <v>0.68302323804581144</v>
      </c>
      <c r="AG40" s="96">
        <f t="shared" si="39"/>
        <v>2.0993433466976338E-3</v>
      </c>
      <c r="AH40" s="96">
        <f t="shared" si="40"/>
        <v>6.1023713845518517E-2</v>
      </c>
      <c r="AI40" s="98">
        <f t="shared" si="24"/>
        <v>6.3123057192216156E-2</v>
      </c>
      <c r="AJ40" s="97">
        <f t="shared" si="25"/>
        <v>0.44</v>
      </c>
      <c r="AK40" s="96">
        <f t="shared" si="26"/>
        <v>1.2252050991662398</v>
      </c>
      <c r="AL40" s="96">
        <f t="shared" si="27"/>
        <v>0.308</v>
      </c>
      <c r="AM40" s="96">
        <f t="shared" si="41"/>
        <v>0.12628</v>
      </c>
      <c r="AN40" s="98">
        <f t="shared" si="28"/>
        <v>0.43428</v>
      </c>
      <c r="AO40" s="97">
        <f t="shared" si="42"/>
        <v>4.1986866933952666E-3</v>
      </c>
      <c r="AP40" s="96">
        <f t="shared" si="16"/>
        <v>5.049E-2</v>
      </c>
      <c r="AQ40" s="98">
        <f t="shared" si="29"/>
        <v>5.8500000000000002E-3</v>
      </c>
      <c r="AR40" s="97">
        <f t="shared" si="30"/>
        <v>0.55794174388561146</v>
      </c>
      <c r="AS40" s="96">
        <f t="shared" si="31"/>
        <v>6.6</v>
      </c>
      <c r="AT40" s="98">
        <f t="shared" si="32"/>
        <v>92.205276826090255</v>
      </c>
    </row>
    <row r="41" spans="17:46" ht="14.65" x14ac:dyDescent="0.4">
      <c r="Q41" s="32">
        <v>34</v>
      </c>
      <c r="R41" s="97">
        <f t="shared" si="0"/>
        <v>15</v>
      </c>
      <c r="S41" s="96">
        <f t="shared" si="34"/>
        <v>0.45333333333333337</v>
      </c>
      <c r="T41" s="96">
        <f t="shared" si="2"/>
        <v>13</v>
      </c>
      <c r="U41" s="98">
        <f t="shared" si="35"/>
        <v>0.52307692307692311</v>
      </c>
      <c r="V41" s="97">
        <f t="shared" si="36"/>
        <v>2</v>
      </c>
      <c r="W41" s="96">
        <f t="shared" si="37"/>
        <v>0.5357142857142857</v>
      </c>
      <c r="X41" s="98">
        <f t="shared" si="38"/>
        <v>0.4642857142857143</v>
      </c>
      <c r="Y41" s="97">
        <f t="shared" si="18"/>
        <v>1.5827922077922081</v>
      </c>
      <c r="Z41" s="96">
        <f t="shared" si="33"/>
        <v>2.5592024642024644</v>
      </c>
      <c r="AA41" s="96">
        <f t="shared" si="19"/>
        <v>0.69453490328151668</v>
      </c>
      <c r="AB41" s="96">
        <v>0</v>
      </c>
      <c r="AC41" s="96">
        <f t="shared" si="20"/>
        <v>4.8237873187626573E-3</v>
      </c>
      <c r="AD41" s="98">
        <f t="shared" si="21"/>
        <v>4.8237873187626573E-3</v>
      </c>
      <c r="AE41" s="97">
        <f t="shared" si="22"/>
        <v>0.12703296703296704</v>
      </c>
      <c r="AF41" s="96">
        <f t="shared" si="23"/>
        <v>0.69453490328151668</v>
      </c>
      <c r="AG41" s="96">
        <f t="shared" si="39"/>
        <v>2.1707042934431963E-3</v>
      </c>
      <c r="AH41" s="96">
        <f t="shared" si="40"/>
        <v>6.2872917295382719E-2</v>
      </c>
      <c r="AI41" s="98">
        <f t="shared" si="24"/>
        <v>6.5043621588825914E-2</v>
      </c>
      <c r="AJ41" s="97">
        <f t="shared" si="25"/>
        <v>0.45333333333333337</v>
      </c>
      <c r="AK41" s="96">
        <f t="shared" si="26"/>
        <v>1.2441407203293173</v>
      </c>
      <c r="AL41" s="96">
        <f t="shared" si="27"/>
        <v>0.31733333333333336</v>
      </c>
      <c r="AM41" s="96">
        <f t="shared" si="41"/>
        <v>0.12628</v>
      </c>
      <c r="AN41" s="98">
        <f t="shared" si="28"/>
        <v>0.44361333333333336</v>
      </c>
      <c r="AO41" s="97">
        <f t="shared" si="42"/>
        <v>4.3414085868863916E-3</v>
      </c>
      <c r="AP41" s="96">
        <f t="shared" si="16"/>
        <v>5.049E-2</v>
      </c>
      <c r="AQ41" s="98">
        <f t="shared" si="29"/>
        <v>5.8500000000000002E-3</v>
      </c>
      <c r="AR41" s="97">
        <f t="shared" si="30"/>
        <v>0.56933836350904576</v>
      </c>
      <c r="AS41" s="96">
        <f t="shared" si="31"/>
        <v>6.8000000000000007</v>
      </c>
      <c r="AT41" s="98">
        <f t="shared" si="32"/>
        <v>92.274226865083918</v>
      </c>
    </row>
    <row r="42" spans="17:46" ht="14.65" x14ac:dyDescent="0.4">
      <c r="Q42" s="32">
        <v>35</v>
      </c>
      <c r="R42" s="97">
        <f t="shared" si="0"/>
        <v>15</v>
      </c>
      <c r="S42" s="96">
        <f t="shared" si="34"/>
        <v>0.46666666666666667</v>
      </c>
      <c r="T42" s="96">
        <f t="shared" si="2"/>
        <v>13</v>
      </c>
      <c r="U42" s="98">
        <f t="shared" si="35"/>
        <v>0.53846153846153844</v>
      </c>
      <c r="V42" s="97">
        <f t="shared" si="36"/>
        <v>2</v>
      </c>
      <c r="W42" s="96">
        <f t="shared" si="37"/>
        <v>0.5357142857142857</v>
      </c>
      <c r="X42" s="98">
        <f t="shared" si="38"/>
        <v>0.4642857142857143</v>
      </c>
      <c r="Y42" s="97">
        <f t="shared" si="18"/>
        <v>1.5827922077922081</v>
      </c>
      <c r="Z42" s="96">
        <f t="shared" si="33"/>
        <v>2.587920412920413</v>
      </c>
      <c r="AA42" s="96">
        <f t="shared" si="19"/>
        <v>0.70619409005103628</v>
      </c>
      <c r="AB42" s="96">
        <v>0</v>
      </c>
      <c r="AC42" s="96">
        <f t="shared" si="20"/>
        <v>4.9871009282301112E-3</v>
      </c>
      <c r="AD42" s="98">
        <f t="shared" si="21"/>
        <v>4.9871009282301112E-3</v>
      </c>
      <c r="AE42" s="97">
        <f t="shared" si="22"/>
        <v>0.13461538461538461</v>
      </c>
      <c r="AF42" s="96">
        <f t="shared" si="23"/>
        <v>0.70619409005103628</v>
      </c>
      <c r="AG42" s="96">
        <f t="shared" si="39"/>
        <v>2.2441954177035506E-3</v>
      </c>
      <c r="AH42" s="96">
        <f t="shared" si="40"/>
        <v>6.4722120745246914E-2</v>
      </c>
      <c r="AI42" s="98">
        <f t="shared" si="24"/>
        <v>6.6966316162950471E-2</v>
      </c>
      <c r="AJ42" s="97">
        <f t="shared" si="25"/>
        <v>0.46666666666666667</v>
      </c>
      <c r="AK42" s="96">
        <f t="shared" si="26"/>
        <v>1.2630956182751805</v>
      </c>
      <c r="AL42" s="96">
        <f t="shared" si="27"/>
        <v>0.32666666666666666</v>
      </c>
      <c r="AM42" s="96">
        <f t="shared" si="41"/>
        <v>0.12628</v>
      </c>
      <c r="AN42" s="98">
        <f t="shared" si="28"/>
        <v>0.45294666666666666</v>
      </c>
      <c r="AO42" s="97">
        <f t="shared" si="42"/>
        <v>4.4883908354071004E-3</v>
      </c>
      <c r="AP42" s="96">
        <f t="shared" si="16"/>
        <v>5.049E-2</v>
      </c>
      <c r="AQ42" s="98">
        <f t="shared" si="29"/>
        <v>5.8500000000000002E-3</v>
      </c>
      <c r="AR42" s="97">
        <f t="shared" si="30"/>
        <v>0.58074137366502432</v>
      </c>
      <c r="AS42" s="96">
        <f t="shared" si="31"/>
        <v>7</v>
      </c>
      <c r="AT42" s="98">
        <f t="shared" si="32"/>
        <v>92.339253576405085</v>
      </c>
    </row>
    <row r="43" spans="17:46" ht="14.65" x14ac:dyDescent="0.4">
      <c r="Q43" s="32">
        <v>36</v>
      </c>
      <c r="R43" s="97">
        <f t="shared" si="0"/>
        <v>15</v>
      </c>
      <c r="S43" s="96">
        <f t="shared" si="34"/>
        <v>0.48000000000000004</v>
      </c>
      <c r="T43" s="96">
        <f t="shared" si="2"/>
        <v>13</v>
      </c>
      <c r="U43" s="98">
        <f t="shared" si="35"/>
        <v>0.55384615384615388</v>
      </c>
      <c r="V43" s="97">
        <f t="shared" si="36"/>
        <v>2</v>
      </c>
      <c r="W43" s="96">
        <f t="shared" si="37"/>
        <v>0.5357142857142857</v>
      </c>
      <c r="X43" s="98">
        <f t="shared" si="38"/>
        <v>0.4642857142857143</v>
      </c>
      <c r="Y43" s="97">
        <f t="shared" si="18"/>
        <v>1.5827922077922081</v>
      </c>
      <c r="Z43" s="96">
        <f t="shared" si="33"/>
        <v>2.6166383616383619</v>
      </c>
      <c r="AA43" s="96">
        <f t="shared" si="19"/>
        <v>0.7179936117757747</v>
      </c>
      <c r="AB43" s="96">
        <v>0</v>
      </c>
      <c r="AC43" s="96">
        <f t="shared" si="20"/>
        <v>5.1551482655082196E-3</v>
      </c>
      <c r="AD43" s="98">
        <f t="shared" si="21"/>
        <v>5.1551482655082196E-3</v>
      </c>
      <c r="AE43" s="97">
        <f t="shared" si="22"/>
        <v>0.14241758241758243</v>
      </c>
      <c r="AF43" s="96">
        <f t="shared" si="23"/>
        <v>0.7179936117757747</v>
      </c>
      <c r="AG43" s="96">
        <f t="shared" si="39"/>
        <v>2.319816719478699E-3</v>
      </c>
      <c r="AH43" s="96">
        <f t="shared" si="40"/>
        <v>6.6571324195111123E-2</v>
      </c>
      <c r="AI43" s="98">
        <f t="shared" si="24"/>
        <v>6.8891140914589824E-2</v>
      </c>
      <c r="AJ43" s="97">
        <f t="shared" si="25"/>
        <v>0.48000000000000004</v>
      </c>
      <c r="AK43" s="96">
        <f t="shared" si="26"/>
        <v>1.282068938004576</v>
      </c>
      <c r="AL43" s="96">
        <f t="shared" si="27"/>
        <v>0.33600000000000002</v>
      </c>
      <c r="AM43" s="96">
        <f t="shared" si="41"/>
        <v>0.12628</v>
      </c>
      <c r="AN43" s="98">
        <f t="shared" si="28"/>
        <v>0.46228000000000002</v>
      </c>
      <c r="AO43" s="97">
        <f t="shared" si="42"/>
        <v>4.6396334389573971E-3</v>
      </c>
      <c r="AP43" s="96">
        <f t="shared" si="16"/>
        <v>5.049E-2</v>
      </c>
      <c r="AQ43" s="98">
        <f t="shared" si="29"/>
        <v>5.8500000000000002E-3</v>
      </c>
      <c r="AR43" s="97">
        <f t="shared" si="30"/>
        <v>0.59215077435354735</v>
      </c>
      <c r="AS43" s="96">
        <f t="shared" si="31"/>
        <v>7.2</v>
      </c>
      <c r="AT43" s="98">
        <f t="shared" si="32"/>
        <v>92.400676122663015</v>
      </c>
    </row>
    <row r="44" spans="17:46" ht="14.65" x14ac:dyDescent="0.4">
      <c r="Q44" s="32">
        <v>37</v>
      </c>
      <c r="R44" s="97">
        <f t="shared" si="0"/>
        <v>15</v>
      </c>
      <c r="S44" s="96">
        <f t="shared" si="34"/>
        <v>0.49333333333333335</v>
      </c>
      <c r="T44" s="96">
        <f t="shared" si="2"/>
        <v>13</v>
      </c>
      <c r="U44" s="98">
        <f t="shared" si="35"/>
        <v>0.56923076923076921</v>
      </c>
      <c r="V44" s="97">
        <f t="shared" si="36"/>
        <v>2</v>
      </c>
      <c r="W44" s="96">
        <f t="shared" si="37"/>
        <v>0.5357142857142857</v>
      </c>
      <c r="X44" s="98">
        <f t="shared" si="38"/>
        <v>0.4642857142857143</v>
      </c>
      <c r="Y44" s="97">
        <f t="shared" si="18"/>
        <v>1.5827922077922081</v>
      </c>
      <c r="Z44" s="96">
        <f t="shared" si="33"/>
        <v>2.6453563103563109</v>
      </c>
      <c r="AA44" s="96">
        <f t="shared" si="19"/>
        <v>0.7299266627954466</v>
      </c>
      <c r="AB44" s="96">
        <v>0</v>
      </c>
      <c r="AC44" s="96">
        <f t="shared" si="20"/>
        <v>5.3279293305969764E-3</v>
      </c>
      <c r="AD44" s="98">
        <f t="shared" si="21"/>
        <v>5.3279293305969764E-3</v>
      </c>
      <c r="AE44" s="97">
        <f t="shared" si="22"/>
        <v>0.15043956043956042</v>
      </c>
      <c r="AF44" s="96">
        <f t="shared" si="23"/>
        <v>0.7299266627954466</v>
      </c>
      <c r="AG44" s="96">
        <f t="shared" si="39"/>
        <v>2.3975681987686397E-3</v>
      </c>
      <c r="AH44" s="96">
        <f t="shared" si="40"/>
        <v>6.8420527644975318E-2</v>
      </c>
      <c r="AI44" s="98">
        <f t="shared" si="24"/>
        <v>7.0818095843743961E-2</v>
      </c>
      <c r="AJ44" s="97">
        <f t="shared" si="25"/>
        <v>0.49333333333333335</v>
      </c>
      <c r="AK44" s="96">
        <f t="shared" si="26"/>
        <v>1.3010598735846921</v>
      </c>
      <c r="AL44" s="96">
        <f t="shared" si="27"/>
        <v>0.34533333333333333</v>
      </c>
      <c r="AM44" s="96">
        <f t="shared" si="41"/>
        <v>0.12628</v>
      </c>
      <c r="AN44" s="98">
        <f t="shared" si="28"/>
        <v>0.47161333333333333</v>
      </c>
      <c r="AO44" s="97">
        <f t="shared" si="42"/>
        <v>4.7951363975372785E-3</v>
      </c>
      <c r="AP44" s="96">
        <f t="shared" si="16"/>
        <v>5.049E-2</v>
      </c>
      <c r="AQ44" s="98">
        <f t="shared" si="29"/>
        <v>5.8500000000000002E-3</v>
      </c>
      <c r="AR44" s="97">
        <f t="shared" si="30"/>
        <v>0.60356656557461463</v>
      </c>
      <c r="AS44" s="96">
        <f t="shared" si="31"/>
        <v>7.4</v>
      </c>
      <c r="AT44" s="98">
        <f t="shared" si="32"/>
        <v>92.458779962289455</v>
      </c>
    </row>
    <row r="45" spans="17:46" ht="14.65" x14ac:dyDescent="0.4">
      <c r="Q45" s="32">
        <v>38</v>
      </c>
      <c r="R45" s="97">
        <f t="shared" si="0"/>
        <v>15</v>
      </c>
      <c r="S45" s="96">
        <f t="shared" si="34"/>
        <v>0.50666666666666671</v>
      </c>
      <c r="T45" s="96">
        <f t="shared" si="2"/>
        <v>13</v>
      </c>
      <c r="U45" s="98">
        <f t="shared" si="35"/>
        <v>0.58461538461538465</v>
      </c>
      <c r="V45" s="97">
        <f t="shared" si="36"/>
        <v>2</v>
      </c>
      <c r="W45" s="96">
        <f t="shared" si="37"/>
        <v>0.5357142857142857</v>
      </c>
      <c r="X45" s="98">
        <f t="shared" si="38"/>
        <v>0.4642857142857143</v>
      </c>
      <c r="Y45" s="97">
        <f t="shared" si="18"/>
        <v>1.5827922077922081</v>
      </c>
      <c r="Z45" s="96">
        <f t="shared" si="33"/>
        <v>2.6740742590742594</v>
      </c>
      <c r="AA45" s="96">
        <f t="shared" si="19"/>
        <v>0.74198680065728828</v>
      </c>
      <c r="AB45" s="96">
        <v>0</v>
      </c>
      <c r="AC45" s="96">
        <f t="shared" si="20"/>
        <v>5.505444123496385E-3</v>
      </c>
      <c r="AD45" s="98">
        <f t="shared" si="21"/>
        <v>5.505444123496385E-3</v>
      </c>
      <c r="AE45" s="97">
        <f t="shared" si="22"/>
        <v>0.15868131868131868</v>
      </c>
      <c r="AF45" s="96">
        <f t="shared" si="23"/>
        <v>0.74198680065728828</v>
      </c>
      <c r="AG45" s="96">
        <f t="shared" si="39"/>
        <v>2.4774498555733735E-3</v>
      </c>
      <c r="AH45" s="96">
        <f t="shared" si="40"/>
        <v>7.0269731094839527E-2</v>
      </c>
      <c r="AI45" s="98">
        <f t="shared" si="24"/>
        <v>7.2747180950412896E-2</v>
      </c>
      <c r="AJ45" s="97">
        <f t="shared" si="25"/>
        <v>0.50666666666666671</v>
      </c>
      <c r="AK45" s="96">
        <f t="shared" si="26"/>
        <v>1.3200676647331604</v>
      </c>
      <c r="AL45" s="96">
        <f t="shared" si="27"/>
        <v>0.35466666666666669</v>
      </c>
      <c r="AM45" s="96">
        <f t="shared" si="41"/>
        <v>0.12628</v>
      </c>
      <c r="AN45" s="98">
        <f t="shared" si="28"/>
        <v>0.48094666666666669</v>
      </c>
      <c r="AO45" s="97">
        <f t="shared" si="42"/>
        <v>4.9548997111467461E-3</v>
      </c>
      <c r="AP45" s="96">
        <f t="shared" si="16"/>
        <v>5.049E-2</v>
      </c>
      <c r="AQ45" s="98">
        <f t="shared" si="29"/>
        <v>5.8500000000000002E-3</v>
      </c>
      <c r="AR45" s="97">
        <f t="shared" si="30"/>
        <v>0.61498874732822639</v>
      </c>
      <c r="AS45" s="96">
        <f t="shared" si="31"/>
        <v>7.6000000000000005</v>
      </c>
      <c r="AT45" s="98">
        <f t="shared" si="32"/>
        <v>92.513821184134414</v>
      </c>
    </row>
    <row r="46" spans="17:46" ht="14.65" x14ac:dyDescent="0.4">
      <c r="Q46" s="32">
        <v>39</v>
      </c>
      <c r="R46" s="97">
        <f t="shared" si="0"/>
        <v>15</v>
      </c>
      <c r="S46" s="96">
        <f t="shared" si="34"/>
        <v>0.52</v>
      </c>
      <c r="T46" s="96">
        <f t="shared" si="2"/>
        <v>13</v>
      </c>
      <c r="U46" s="98">
        <f t="shared" si="35"/>
        <v>0.60000000000000009</v>
      </c>
      <c r="V46" s="97">
        <f t="shared" si="36"/>
        <v>2</v>
      </c>
      <c r="W46" s="96">
        <f t="shared" si="37"/>
        <v>0.5357142857142857</v>
      </c>
      <c r="X46" s="98">
        <f t="shared" si="38"/>
        <v>0.4642857142857143</v>
      </c>
      <c r="Y46" s="97">
        <f t="shared" si="18"/>
        <v>1.5827922077922081</v>
      </c>
      <c r="Z46" s="96">
        <f t="shared" si="33"/>
        <v>2.702792207792208</v>
      </c>
      <c r="AA46" s="96">
        <f t="shared" si="19"/>
        <v>0.75416792852828507</v>
      </c>
      <c r="AB46" s="96">
        <v>0</v>
      </c>
      <c r="AC46" s="96">
        <f t="shared" si="20"/>
        <v>5.6876926442064445E-3</v>
      </c>
      <c r="AD46" s="98">
        <f t="shared" si="21"/>
        <v>5.6876926442064445E-3</v>
      </c>
      <c r="AE46" s="97">
        <f t="shared" si="22"/>
        <v>0.16714285714285718</v>
      </c>
      <c r="AF46" s="96">
        <f t="shared" si="23"/>
        <v>0.75416792852828507</v>
      </c>
      <c r="AG46" s="96">
        <f t="shared" si="39"/>
        <v>2.5594616898929005E-3</v>
      </c>
      <c r="AH46" s="96">
        <f t="shared" si="40"/>
        <v>7.2118934544703722E-2</v>
      </c>
      <c r="AI46" s="98">
        <f t="shared" si="24"/>
        <v>7.4678396234596628E-2</v>
      </c>
      <c r="AJ46" s="97">
        <f t="shared" si="25"/>
        <v>0.52</v>
      </c>
      <c r="AK46" s="96">
        <f t="shared" si="26"/>
        <v>1.339091593678982</v>
      </c>
      <c r="AL46" s="96">
        <f t="shared" si="27"/>
        <v>0.36399999999999999</v>
      </c>
      <c r="AM46" s="96">
        <f t="shared" si="41"/>
        <v>0.12628</v>
      </c>
      <c r="AN46" s="98">
        <f t="shared" si="28"/>
        <v>0.49027999999999999</v>
      </c>
      <c r="AO46" s="97">
        <f t="shared" si="42"/>
        <v>5.1189233797858001E-3</v>
      </c>
      <c r="AP46" s="96">
        <f t="shared" si="16"/>
        <v>5.049E-2</v>
      </c>
      <c r="AQ46" s="98">
        <f t="shared" si="29"/>
        <v>5.8500000000000002E-3</v>
      </c>
      <c r="AR46" s="97">
        <f t="shared" si="30"/>
        <v>0.62641731961438252</v>
      </c>
      <c r="AS46" s="96">
        <f t="shared" si="31"/>
        <v>7.8000000000000007</v>
      </c>
      <c r="AT46" s="98">
        <f t="shared" si="32"/>
        <v>92.566030189885623</v>
      </c>
    </row>
    <row r="47" spans="17:46" ht="14.65" x14ac:dyDescent="0.4">
      <c r="Q47" s="32">
        <v>40</v>
      </c>
      <c r="R47" s="97">
        <f t="shared" si="0"/>
        <v>15</v>
      </c>
      <c r="S47" s="96">
        <f t="shared" si="34"/>
        <v>0.53333333333333333</v>
      </c>
      <c r="T47" s="96">
        <f t="shared" si="2"/>
        <v>13</v>
      </c>
      <c r="U47" s="98">
        <f t="shared" si="35"/>
        <v>0.61538461538461542</v>
      </c>
      <c r="V47" s="97">
        <f t="shared" si="36"/>
        <v>2</v>
      </c>
      <c r="W47" s="96">
        <f t="shared" si="37"/>
        <v>0.5357142857142857</v>
      </c>
      <c r="X47" s="98">
        <f t="shared" si="38"/>
        <v>0.4642857142857143</v>
      </c>
      <c r="Y47" s="97">
        <f t="shared" si="18"/>
        <v>1.5827922077922081</v>
      </c>
      <c r="Z47" s="96">
        <f t="shared" si="33"/>
        <v>2.7315101565101569</v>
      </c>
      <c r="AA47" s="96">
        <f t="shared" si="19"/>
        <v>0.76646427788430915</v>
      </c>
      <c r="AB47" s="96">
        <v>0</v>
      </c>
      <c r="AC47" s="96">
        <f t="shared" si="20"/>
        <v>5.8746748927271551E-3</v>
      </c>
      <c r="AD47" s="98">
        <f t="shared" si="21"/>
        <v>5.8746748927271551E-3</v>
      </c>
      <c r="AE47" s="97">
        <f t="shared" si="22"/>
        <v>0.17582417582417581</v>
      </c>
      <c r="AF47" s="96">
        <f t="shared" si="23"/>
        <v>0.76646427788430915</v>
      </c>
      <c r="AG47" s="96">
        <f t="shared" si="39"/>
        <v>2.6436037017272202E-3</v>
      </c>
      <c r="AH47" s="96">
        <f t="shared" si="40"/>
        <v>7.3968137994567904E-2</v>
      </c>
      <c r="AI47" s="98">
        <f t="shared" si="24"/>
        <v>7.661174169629513E-2</v>
      </c>
      <c r="AJ47" s="97">
        <f t="shared" si="25"/>
        <v>0.53333333333333333</v>
      </c>
      <c r="AK47" s="96">
        <f t="shared" si="26"/>
        <v>1.3581309822749739</v>
      </c>
      <c r="AL47" s="96">
        <f t="shared" si="27"/>
        <v>0.37333333333333329</v>
      </c>
      <c r="AM47" s="96">
        <f t="shared" si="41"/>
        <v>0.12628</v>
      </c>
      <c r="AN47" s="98">
        <f t="shared" si="28"/>
        <v>0.4996133333333333</v>
      </c>
      <c r="AO47" s="97">
        <f t="shared" si="42"/>
        <v>5.2872074034544395E-3</v>
      </c>
      <c r="AP47" s="96">
        <f t="shared" si="16"/>
        <v>5.049E-2</v>
      </c>
      <c r="AQ47" s="98">
        <f t="shared" si="29"/>
        <v>5.8500000000000002E-3</v>
      </c>
      <c r="AR47" s="97">
        <f t="shared" si="30"/>
        <v>0.6378522824330829</v>
      </c>
      <c r="AS47" s="96">
        <f t="shared" si="31"/>
        <v>8</v>
      </c>
      <c r="AT47" s="98">
        <f t="shared" si="32"/>
        <v>92.615614835990044</v>
      </c>
    </row>
    <row r="48" spans="17:46" ht="14.65" x14ac:dyDescent="0.4">
      <c r="Q48" s="32">
        <v>41</v>
      </c>
      <c r="R48" s="97">
        <f t="shared" si="0"/>
        <v>15</v>
      </c>
      <c r="S48" s="96">
        <f t="shared" si="34"/>
        <v>0.54666666666666675</v>
      </c>
      <c r="T48" s="96">
        <f t="shared" si="2"/>
        <v>13</v>
      </c>
      <c r="U48" s="98">
        <f t="shared" si="35"/>
        <v>0.63076923076923086</v>
      </c>
      <c r="V48" s="97">
        <f t="shared" si="36"/>
        <v>2</v>
      </c>
      <c r="W48" s="96">
        <f t="shared" si="37"/>
        <v>0.5357142857142857</v>
      </c>
      <c r="X48" s="98">
        <f t="shared" si="38"/>
        <v>0.4642857142857143</v>
      </c>
      <c r="Y48" s="97">
        <f t="shared" si="18"/>
        <v>1.5827922077922081</v>
      </c>
      <c r="Z48" s="96">
        <f t="shared" si="33"/>
        <v>2.7602281052281059</v>
      </c>
      <c r="AA48" s="96">
        <f t="shared" si="19"/>
        <v>0.77887039159660676</v>
      </c>
      <c r="AB48" s="96">
        <v>0</v>
      </c>
      <c r="AC48" s="96">
        <f t="shared" si="20"/>
        <v>6.0663908690585158E-3</v>
      </c>
      <c r="AD48" s="98">
        <f t="shared" si="21"/>
        <v>6.0663908690585158E-3</v>
      </c>
      <c r="AE48" s="97">
        <f t="shared" si="22"/>
        <v>0.18472527472527475</v>
      </c>
      <c r="AF48" s="96">
        <f t="shared" si="23"/>
        <v>0.77887039159660676</v>
      </c>
      <c r="AG48" s="96">
        <f t="shared" si="39"/>
        <v>2.7298758910763322E-3</v>
      </c>
      <c r="AH48" s="96">
        <f t="shared" si="40"/>
        <v>7.5817341444432126E-2</v>
      </c>
      <c r="AI48" s="98">
        <f t="shared" si="24"/>
        <v>7.8547217335508457E-2</v>
      </c>
      <c r="AJ48" s="97">
        <f t="shared" si="25"/>
        <v>0.54666666666666675</v>
      </c>
      <c r="AK48" s="96">
        <f t="shared" si="26"/>
        <v>1.3771851893389162</v>
      </c>
      <c r="AL48" s="96">
        <f t="shared" si="27"/>
        <v>0.38266666666666671</v>
      </c>
      <c r="AM48" s="96">
        <f t="shared" si="41"/>
        <v>0.12628</v>
      </c>
      <c r="AN48" s="98">
        <f t="shared" si="28"/>
        <v>0.50894666666666666</v>
      </c>
      <c r="AO48" s="97">
        <f t="shared" si="42"/>
        <v>5.4597517821526635E-3</v>
      </c>
      <c r="AP48" s="96">
        <f t="shared" si="16"/>
        <v>5.049E-2</v>
      </c>
      <c r="AQ48" s="98">
        <f t="shared" si="29"/>
        <v>5.8500000000000002E-3</v>
      </c>
      <c r="AR48" s="97">
        <f t="shared" si="30"/>
        <v>0.64929363578432775</v>
      </c>
      <c r="AS48" s="96">
        <f t="shared" si="31"/>
        <v>8.2000000000000011</v>
      </c>
      <c r="AT48" s="98">
        <f t="shared" si="32"/>
        <v>92.662763125423396</v>
      </c>
    </row>
    <row r="49" spans="17:46" ht="14.65" x14ac:dyDescent="0.4">
      <c r="Q49" s="32">
        <v>42</v>
      </c>
      <c r="R49" s="97">
        <f t="shared" si="0"/>
        <v>15</v>
      </c>
      <c r="S49" s="96">
        <f t="shared" si="34"/>
        <v>0.56000000000000005</v>
      </c>
      <c r="T49" s="96">
        <f t="shared" si="2"/>
        <v>13</v>
      </c>
      <c r="U49" s="98">
        <f t="shared" si="35"/>
        <v>0.64615384615384619</v>
      </c>
      <c r="V49" s="97">
        <f t="shared" si="36"/>
        <v>2</v>
      </c>
      <c r="W49" s="96">
        <f t="shared" si="37"/>
        <v>0.5357142857142857</v>
      </c>
      <c r="X49" s="98">
        <f t="shared" si="38"/>
        <v>0.4642857142857143</v>
      </c>
      <c r="Y49" s="97">
        <f t="shared" si="18"/>
        <v>1.5827922077922081</v>
      </c>
      <c r="Z49" s="96">
        <f t="shared" si="33"/>
        <v>2.788946053946054</v>
      </c>
      <c r="AA49" s="96">
        <f t="shared" si="19"/>
        <v>0.79138110750766144</v>
      </c>
      <c r="AB49" s="96">
        <v>0</v>
      </c>
      <c r="AC49" s="96">
        <f t="shared" si="20"/>
        <v>6.2628405732005274E-3</v>
      </c>
      <c r="AD49" s="98">
        <f t="shared" si="21"/>
        <v>6.2628405732005274E-3</v>
      </c>
      <c r="AE49" s="97">
        <f t="shared" si="22"/>
        <v>0.19384615384615389</v>
      </c>
      <c r="AF49" s="96">
        <f t="shared" si="23"/>
        <v>0.79138110750766144</v>
      </c>
      <c r="AG49" s="96">
        <f t="shared" si="39"/>
        <v>2.8182782579402378E-3</v>
      </c>
      <c r="AH49" s="96">
        <f t="shared" si="40"/>
        <v>7.7666544894296294E-2</v>
      </c>
      <c r="AI49" s="98">
        <f t="shared" si="24"/>
        <v>8.0484823152236526E-2</v>
      </c>
      <c r="AJ49" s="97">
        <f t="shared" si="25"/>
        <v>0.56000000000000005</v>
      </c>
      <c r="AK49" s="96">
        <f t="shared" si="26"/>
        <v>1.3962536082028789</v>
      </c>
      <c r="AL49" s="96">
        <f t="shared" si="27"/>
        <v>0.39200000000000002</v>
      </c>
      <c r="AM49" s="96">
        <f t="shared" si="41"/>
        <v>0.12628</v>
      </c>
      <c r="AN49" s="98">
        <f t="shared" si="28"/>
        <v>0.51828000000000007</v>
      </c>
      <c r="AO49" s="97">
        <f t="shared" si="42"/>
        <v>5.6365565158804747E-3</v>
      </c>
      <c r="AP49" s="96">
        <f t="shared" si="16"/>
        <v>5.049E-2</v>
      </c>
      <c r="AQ49" s="98">
        <f t="shared" si="29"/>
        <v>5.8500000000000002E-3</v>
      </c>
      <c r="AR49" s="97">
        <f t="shared" si="30"/>
        <v>0.66074137966811708</v>
      </c>
      <c r="AS49" s="96">
        <f t="shared" si="31"/>
        <v>8.4</v>
      </c>
      <c r="AT49" s="98">
        <f t="shared" si="32"/>
        <v>92.707645522795843</v>
      </c>
    </row>
    <row r="50" spans="17:46" ht="14.65" x14ac:dyDescent="0.4">
      <c r="Q50" s="32">
        <v>43</v>
      </c>
      <c r="R50" s="97">
        <f t="shared" si="0"/>
        <v>15</v>
      </c>
      <c r="S50" s="96">
        <f t="shared" si="34"/>
        <v>0.57333333333333336</v>
      </c>
      <c r="T50" s="96">
        <f t="shared" si="2"/>
        <v>13</v>
      </c>
      <c r="U50" s="98">
        <f t="shared" si="35"/>
        <v>0.66153846153846152</v>
      </c>
      <c r="V50" s="97">
        <f t="shared" si="36"/>
        <v>2</v>
      </c>
      <c r="W50" s="96">
        <f t="shared" si="37"/>
        <v>0.5357142857142857</v>
      </c>
      <c r="X50" s="98">
        <f t="shared" si="38"/>
        <v>0.4642857142857143</v>
      </c>
      <c r="Y50" s="97">
        <f t="shared" si="18"/>
        <v>1.5827922077922081</v>
      </c>
      <c r="Z50" s="96">
        <f t="shared" si="33"/>
        <v>2.817664002664003</v>
      </c>
      <c r="AA50" s="96">
        <f t="shared" si="19"/>
        <v>0.80399154256454641</v>
      </c>
      <c r="AB50" s="96">
        <v>0</v>
      </c>
      <c r="AC50" s="96">
        <f t="shared" si="20"/>
        <v>6.4640240051531883E-3</v>
      </c>
      <c r="AD50" s="98">
        <f t="shared" si="21"/>
        <v>6.4640240051531883E-3</v>
      </c>
      <c r="AE50" s="97">
        <f t="shared" si="22"/>
        <v>0.20318681318681317</v>
      </c>
      <c r="AF50" s="96">
        <f t="shared" si="23"/>
        <v>0.80399154256454641</v>
      </c>
      <c r="AG50" s="96">
        <f t="shared" si="39"/>
        <v>2.9088108023189352E-3</v>
      </c>
      <c r="AH50" s="96">
        <f t="shared" si="40"/>
        <v>7.9515748344160489E-2</v>
      </c>
      <c r="AI50" s="98">
        <f t="shared" si="24"/>
        <v>8.242455914647942E-2</v>
      </c>
      <c r="AJ50" s="97">
        <f t="shared" si="25"/>
        <v>0.57333333333333336</v>
      </c>
      <c r="AK50" s="96">
        <f t="shared" si="26"/>
        <v>1.4153356644522399</v>
      </c>
      <c r="AL50" s="96">
        <f t="shared" si="27"/>
        <v>0.40133333333333332</v>
      </c>
      <c r="AM50" s="96">
        <f t="shared" si="41"/>
        <v>0.12628</v>
      </c>
      <c r="AN50" s="98">
        <f t="shared" si="28"/>
        <v>0.52761333333333327</v>
      </c>
      <c r="AO50" s="97">
        <f t="shared" si="42"/>
        <v>5.8176216046378687E-3</v>
      </c>
      <c r="AP50" s="96">
        <f t="shared" si="16"/>
        <v>5.049E-2</v>
      </c>
      <c r="AQ50" s="98">
        <f t="shared" si="29"/>
        <v>5.8500000000000002E-3</v>
      </c>
      <c r="AR50" s="97">
        <f t="shared" si="30"/>
        <v>0.67219551408445055</v>
      </c>
      <c r="AS50" s="96">
        <f t="shared" si="31"/>
        <v>8.6</v>
      </c>
      <c r="AT50" s="98">
        <f t="shared" si="32"/>
        <v>92.75041695288472</v>
      </c>
    </row>
    <row r="51" spans="17:46" ht="14.65" x14ac:dyDescent="0.4">
      <c r="Q51" s="32">
        <v>44</v>
      </c>
      <c r="R51" s="97">
        <f t="shared" si="0"/>
        <v>15</v>
      </c>
      <c r="S51" s="96">
        <f t="shared" si="34"/>
        <v>0.58666666666666667</v>
      </c>
      <c r="T51" s="96">
        <f t="shared" si="2"/>
        <v>13</v>
      </c>
      <c r="U51" s="98">
        <f t="shared" si="35"/>
        <v>0.67692307692307696</v>
      </c>
      <c r="V51" s="97">
        <f t="shared" si="36"/>
        <v>2</v>
      </c>
      <c r="W51" s="96">
        <f t="shared" si="37"/>
        <v>0.5357142857142857</v>
      </c>
      <c r="X51" s="98">
        <f t="shared" si="38"/>
        <v>0.4642857142857143</v>
      </c>
      <c r="Y51" s="97">
        <f t="shared" si="18"/>
        <v>1.5827922077922081</v>
      </c>
      <c r="Z51" s="96">
        <f t="shared" si="33"/>
        <v>2.8463819513819519</v>
      </c>
      <c r="AA51" s="96">
        <f t="shared" si="19"/>
        <v>0.81669707755792198</v>
      </c>
      <c r="AB51" s="96">
        <v>0</v>
      </c>
      <c r="AC51" s="96">
        <f t="shared" si="20"/>
        <v>6.6699411649165045E-3</v>
      </c>
      <c r="AD51" s="98">
        <f t="shared" si="21"/>
        <v>6.6699411649165045E-3</v>
      </c>
      <c r="AE51" s="97">
        <f t="shared" si="22"/>
        <v>0.21274725274725273</v>
      </c>
      <c r="AF51" s="96">
        <f t="shared" si="23"/>
        <v>0.81669707755792198</v>
      </c>
      <c r="AG51" s="96">
        <f t="shared" si="39"/>
        <v>3.0014735242124271E-3</v>
      </c>
      <c r="AH51" s="96">
        <f t="shared" si="40"/>
        <v>8.1364951794024684E-2</v>
      </c>
      <c r="AI51" s="98">
        <f t="shared" si="24"/>
        <v>8.4366425318237112E-2</v>
      </c>
      <c r="AJ51" s="97">
        <f t="shared" si="25"/>
        <v>0.58666666666666667</v>
      </c>
      <c r="AK51" s="96">
        <f t="shared" si="26"/>
        <v>1.4344308138377329</v>
      </c>
      <c r="AL51" s="96">
        <f t="shared" si="27"/>
        <v>0.41066666666666662</v>
      </c>
      <c r="AM51" s="96">
        <f t="shared" si="41"/>
        <v>0.12628</v>
      </c>
      <c r="AN51" s="98">
        <f t="shared" si="28"/>
        <v>0.53694666666666668</v>
      </c>
      <c r="AO51" s="97">
        <f t="shared" si="42"/>
        <v>6.0029470484248533E-3</v>
      </c>
      <c r="AP51" s="96">
        <f t="shared" si="16"/>
        <v>5.049E-2</v>
      </c>
      <c r="AQ51" s="98">
        <f t="shared" si="29"/>
        <v>5.8500000000000002E-3</v>
      </c>
      <c r="AR51" s="97">
        <f t="shared" si="30"/>
        <v>0.68365603903332872</v>
      </c>
      <c r="AS51" s="96">
        <f t="shared" si="31"/>
        <v>8.8000000000000007</v>
      </c>
      <c r="AT51" s="98">
        <f t="shared" si="32"/>
        <v>92.791218531972248</v>
      </c>
    </row>
    <row r="52" spans="17:46" ht="14.65" x14ac:dyDescent="0.4">
      <c r="Q52" s="32">
        <v>45</v>
      </c>
      <c r="R52" s="97">
        <f t="shared" si="0"/>
        <v>15</v>
      </c>
      <c r="S52" s="96">
        <f t="shared" si="34"/>
        <v>0.60000000000000009</v>
      </c>
      <c r="T52" s="96">
        <f t="shared" si="2"/>
        <v>13</v>
      </c>
      <c r="U52" s="98">
        <f t="shared" si="35"/>
        <v>0.6923076923076924</v>
      </c>
      <c r="V52" s="97">
        <f t="shared" si="36"/>
        <v>2</v>
      </c>
      <c r="W52" s="96">
        <f t="shared" si="37"/>
        <v>0.5357142857142857</v>
      </c>
      <c r="X52" s="98">
        <f t="shared" si="38"/>
        <v>0.4642857142857143</v>
      </c>
      <c r="Y52" s="97">
        <f t="shared" si="18"/>
        <v>1.5827922077922081</v>
      </c>
      <c r="Z52" s="96">
        <f t="shared" si="33"/>
        <v>2.8750999000999009</v>
      </c>
      <c r="AA52" s="96">
        <f t="shared" si="19"/>
        <v>0.82949334249832707</v>
      </c>
      <c r="AB52" s="96">
        <v>0</v>
      </c>
      <c r="AC52" s="96">
        <f t="shared" si="20"/>
        <v>6.8805920524904699E-3</v>
      </c>
      <c r="AD52" s="98">
        <f t="shared" si="21"/>
        <v>6.8805920524904699E-3</v>
      </c>
      <c r="AE52" s="97">
        <f t="shared" si="22"/>
        <v>0.2225274725274726</v>
      </c>
      <c r="AF52" s="96">
        <f t="shared" si="23"/>
        <v>0.82949334249832707</v>
      </c>
      <c r="AG52" s="96">
        <f t="shared" si="39"/>
        <v>3.0962664236207117E-3</v>
      </c>
      <c r="AH52" s="96">
        <f t="shared" si="40"/>
        <v>8.3214155243888907E-2</v>
      </c>
      <c r="AI52" s="98">
        <f t="shared" si="24"/>
        <v>8.6310421667509615E-2</v>
      </c>
      <c r="AJ52" s="97">
        <f t="shared" si="25"/>
        <v>0.60000000000000009</v>
      </c>
      <c r="AK52" s="96">
        <f t="shared" si="26"/>
        <v>1.4535385403454941</v>
      </c>
      <c r="AL52" s="96">
        <f t="shared" si="27"/>
        <v>0.42000000000000004</v>
      </c>
      <c r="AM52" s="96">
        <f t="shared" si="41"/>
        <v>0.12628</v>
      </c>
      <c r="AN52" s="98">
        <f t="shared" si="28"/>
        <v>0.5462800000000001</v>
      </c>
      <c r="AO52" s="97">
        <f t="shared" si="42"/>
        <v>6.1925328472414226E-3</v>
      </c>
      <c r="AP52" s="96">
        <f t="shared" si="16"/>
        <v>5.049E-2</v>
      </c>
      <c r="AQ52" s="98">
        <f t="shared" si="29"/>
        <v>5.8500000000000002E-3</v>
      </c>
      <c r="AR52" s="97">
        <f t="shared" si="30"/>
        <v>0.69512295451475115</v>
      </c>
      <c r="AS52" s="96">
        <f t="shared" si="31"/>
        <v>9.0000000000000018</v>
      </c>
      <c r="AT52" s="98">
        <f t="shared" si="32"/>
        <v>92.830179072756863</v>
      </c>
    </row>
    <row r="53" spans="17:46" ht="14.65" x14ac:dyDescent="0.4">
      <c r="Q53" s="32">
        <v>46</v>
      </c>
      <c r="R53" s="97">
        <f t="shared" si="0"/>
        <v>15</v>
      </c>
      <c r="S53" s="96">
        <f t="shared" si="34"/>
        <v>0.6133333333333334</v>
      </c>
      <c r="T53" s="96">
        <f t="shared" si="2"/>
        <v>13</v>
      </c>
      <c r="U53" s="98">
        <f t="shared" si="35"/>
        <v>0.70769230769230773</v>
      </c>
      <c r="V53" s="97">
        <f t="shared" si="36"/>
        <v>2</v>
      </c>
      <c r="W53" s="96">
        <f t="shared" si="37"/>
        <v>0.5357142857142857</v>
      </c>
      <c r="X53" s="98">
        <f t="shared" si="38"/>
        <v>0.4642857142857143</v>
      </c>
      <c r="Y53" s="97">
        <f t="shared" si="18"/>
        <v>1.5827922077922081</v>
      </c>
      <c r="Z53" s="96">
        <f t="shared" si="33"/>
        <v>2.903817848817849</v>
      </c>
      <c r="AA53" s="96">
        <f t="shared" si="19"/>
        <v>0.84237620264790736</v>
      </c>
      <c r="AB53" s="96">
        <v>0</v>
      </c>
      <c r="AC53" s="96">
        <f t="shared" si="20"/>
        <v>7.0959766678750829E-3</v>
      </c>
      <c r="AD53" s="98">
        <f t="shared" si="21"/>
        <v>7.0959766678750829E-3</v>
      </c>
      <c r="AE53" s="97">
        <f t="shared" si="22"/>
        <v>0.23252747252747255</v>
      </c>
      <c r="AF53" s="96">
        <f t="shared" si="23"/>
        <v>0.84237620264790736</v>
      </c>
      <c r="AG53" s="96">
        <f t="shared" si="39"/>
        <v>3.1931895005437873E-3</v>
      </c>
      <c r="AH53" s="96">
        <f t="shared" si="40"/>
        <v>8.5063358693753088E-2</v>
      </c>
      <c r="AI53" s="98">
        <f t="shared" si="24"/>
        <v>8.8256548194296874E-2</v>
      </c>
      <c r="AJ53" s="97">
        <f t="shared" si="25"/>
        <v>0.6133333333333334</v>
      </c>
      <c r="AK53" s="96">
        <f t="shared" si="26"/>
        <v>1.4726583544115208</v>
      </c>
      <c r="AL53" s="96">
        <f t="shared" si="27"/>
        <v>0.42933333333333334</v>
      </c>
      <c r="AM53" s="96">
        <f t="shared" si="41"/>
        <v>0.12628</v>
      </c>
      <c r="AN53" s="98">
        <f t="shared" si="28"/>
        <v>0.55561333333333329</v>
      </c>
      <c r="AO53" s="97">
        <f t="shared" si="42"/>
        <v>6.3863790010875738E-3</v>
      </c>
      <c r="AP53" s="96">
        <f t="shared" si="16"/>
        <v>5.049E-2</v>
      </c>
      <c r="AQ53" s="98">
        <f t="shared" si="29"/>
        <v>5.8500000000000002E-3</v>
      </c>
      <c r="AR53" s="97">
        <f t="shared" si="30"/>
        <v>0.70659626052871782</v>
      </c>
      <c r="AS53" s="96">
        <f t="shared" si="31"/>
        <v>9.2000000000000011</v>
      </c>
      <c r="AT53" s="98">
        <f t="shared" si="32"/>
        <v>92.867416396648366</v>
      </c>
    </row>
    <row r="54" spans="17:46" ht="14.65" x14ac:dyDescent="0.4">
      <c r="Q54" s="32">
        <v>47</v>
      </c>
      <c r="R54" s="97">
        <f t="shared" si="0"/>
        <v>15</v>
      </c>
      <c r="S54" s="96">
        <f t="shared" si="34"/>
        <v>0.62666666666666671</v>
      </c>
      <c r="T54" s="96">
        <f t="shared" si="2"/>
        <v>13</v>
      </c>
      <c r="U54" s="98">
        <f t="shared" si="35"/>
        <v>0.72307692307692306</v>
      </c>
      <c r="V54" s="97">
        <f t="shared" si="36"/>
        <v>2</v>
      </c>
      <c r="W54" s="96">
        <f t="shared" si="37"/>
        <v>0.5357142857142857</v>
      </c>
      <c r="X54" s="98">
        <f t="shared" si="38"/>
        <v>0.4642857142857143</v>
      </c>
      <c r="Y54" s="97">
        <f t="shared" si="18"/>
        <v>1.5827922077922081</v>
      </c>
      <c r="Z54" s="96">
        <f t="shared" si="33"/>
        <v>2.932535797535798</v>
      </c>
      <c r="AA54" s="96">
        <f t="shared" si="19"/>
        <v>0.85534174521476203</v>
      </c>
      <c r="AB54" s="96">
        <v>0</v>
      </c>
      <c r="AC54" s="96">
        <f t="shared" si="20"/>
        <v>7.3160950110703494E-3</v>
      </c>
      <c r="AD54" s="98">
        <f t="shared" si="21"/>
        <v>7.3160950110703494E-3</v>
      </c>
      <c r="AE54" s="97">
        <f t="shared" si="22"/>
        <v>0.24274725274725273</v>
      </c>
      <c r="AF54" s="96">
        <f t="shared" si="23"/>
        <v>0.85534174521476203</v>
      </c>
      <c r="AG54" s="96">
        <f t="shared" si="39"/>
        <v>3.2922427549816574E-3</v>
      </c>
      <c r="AH54" s="96">
        <f t="shared" si="40"/>
        <v>8.6912562143617283E-2</v>
      </c>
      <c r="AI54" s="98">
        <f t="shared" si="24"/>
        <v>9.0204804898598945E-2</v>
      </c>
      <c r="AJ54" s="97">
        <f t="shared" si="25"/>
        <v>0.62666666666666671</v>
      </c>
      <c r="AK54" s="96">
        <f t="shared" si="26"/>
        <v>1.4917897912682609</v>
      </c>
      <c r="AL54" s="96">
        <f t="shared" si="27"/>
        <v>0.43866666666666665</v>
      </c>
      <c r="AM54" s="96">
        <f t="shared" si="41"/>
        <v>0.12628</v>
      </c>
      <c r="AN54" s="98">
        <f t="shared" si="28"/>
        <v>0.56494666666666671</v>
      </c>
      <c r="AO54" s="97">
        <f t="shared" si="42"/>
        <v>6.5844855099633139E-3</v>
      </c>
      <c r="AP54" s="96">
        <f t="shared" si="16"/>
        <v>5.049E-2</v>
      </c>
      <c r="AQ54" s="98">
        <f t="shared" si="29"/>
        <v>5.8500000000000002E-3</v>
      </c>
      <c r="AR54" s="97">
        <f t="shared" si="30"/>
        <v>0.71807595707522898</v>
      </c>
      <c r="AS54" s="96">
        <f t="shared" si="31"/>
        <v>9.4</v>
      </c>
      <c r="AT54" s="98">
        <f t="shared" si="32"/>
        <v>92.903038481608718</v>
      </c>
    </row>
    <row r="55" spans="17:46" ht="14.65" x14ac:dyDescent="0.4">
      <c r="Q55" s="32">
        <v>48</v>
      </c>
      <c r="R55" s="97">
        <f t="shared" si="0"/>
        <v>15</v>
      </c>
      <c r="S55" s="96">
        <f t="shared" si="34"/>
        <v>0.64</v>
      </c>
      <c r="T55" s="96">
        <f t="shared" si="2"/>
        <v>13</v>
      </c>
      <c r="U55" s="98">
        <f t="shared" si="35"/>
        <v>0.73846153846153839</v>
      </c>
      <c r="V55" s="97">
        <f t="shared" si="36"/>
        <v>2</v>
      </c>
      <c r="W55" s="96">
        <f t="shared" si="37"/>
        <v>0.5357142857142857</v>
      </c>
      <c r="X55" s="98">
        <f t="shared" si="38"/>
        <v>0.4642857142857143</v>
      </c>
      <c r="Y55" s="97">
        <f t="shared" si="18"/>
        <v>1.5827922077922081</v>
      </c>
      <c r="Z55" s="96">
        <f t="shared" si="33"/>
        <v>2.9612537462537465</v>
      </c>
      <c r="AA55" s="96">
        <f t="shared" si="19"/>
        <v>0.86838626670832753</v>
      </c>
      <c r="AB55" s="96">
        <v>0</v>
      </c>
      <c r="AC55" s="96">
        <f t="shared" si="20"/>
        <v>7.540947082076266E-3</v>
      </c>
      <c r="AD55" s="98">
        <f t="shared" si="21"/>
        <v>7.540947082076266E-3</v>
      </c>
      <c r="AE55" s="97">
        <f t="shared" si="22"/>
        <v>0.25318681318681319</v>
      </c>
      <c r="AF55" s="96">
        <f t="shared" si="23"/>
        <v>0.86838626670832753</v>
      </c>
      <c r="AG55" s="96">
        <f t="shared" si="39"/>
        <v>3.3934261869343202E-3</v>
      </c>
      <c r="AH55" s="96">
        <f t="shared" si="40"/>
        <v>8.8761765593481479E-2</v>
      </c>
      <c r="AI55" s="98">
        <f t="shared" si="24"/>
        <v>9.2155191780415799E-2</v>
      </c>
      <c r="AJ55" s="97">
        <f t="shared" si="25"/>
        <v>0.64</v>
      </c>
      <c r="AK55" s="96">
        <f t="shared" si="26"/>
        <v>1.5109324094122032</v>
      </c>
      <c r="AL55" s="96">
        <f t="shared" si="27"/>
        <v>0.44799999999999995</v>
      </c>
      <c r="AM55" s="96">
        <f t="shared" si="41"/>
        <v>0.12628</v>
      </c>
      <c r="AN55" s="98">
        <f t="shared" si="28"/>
        <v>0.5742799999999999</v>
      </c>
      <c r="AO55" s="97">
        <f t="shared" si="42"/>
        <v>6.7868523738686386E-3</v>
      </c>
      <c r="AP55" s="96">
        <f t="shared" si="16"/>
        <v>5.049E-2</v>
      </c>
      <c r="AQ55" s="98">
        <f t="shared" si="29"/>
        <v>5.8500000000000002E-3</v>
      </c>
      <c r="AR55" s="97">
        <f t="shared" si="30"/>
        <v>0.72956204415428438</v>
      </c>
      <c r="AS55" s="96">
        <f t="shared" si="31"/>
        <v>9.6</v>
      </c>
      <c r="AT55" s="98">
        <f t="shared" si="32"/>
        <v>92.937144469090441</v>
      </c>
    </row>
    <row r="56" spans="17:46" ht="14.65" x14ac:dyDescent="0.4">
      <c r="Q56" s="32">
        <v>49</v>
      </c>
      <c r="R56" s="97">
        <f t="shared" si="0"/>
        <v>15</v>
      </c>
      <c r="S56" s="96">
        <f t="shared" si="34"/>
        <v>0.65333333333333332</v>
      </c>
      <c r="T56" s="96">
        <f t="shared" si="2"/>
        <v>13</v>
      </c>
      <c r="U56" s="98">
        <f t="shared" si="35"/>
        <v>0.75384615384615394</v>
      </c>
      <c r="V56" s="97">
        <f t="shared" si="36"/>
        <v>2</v>
      </c>
      <c r="W56" s="96">
        <f t="shared" si="37"/>
        <v>0.5357142857142857</v>
      </c>
      <c r="X56" s="98">
        <f t="shared" si="38"/>
        <v>0.4642857142857143</v>
      </c>
      <c r="Y56" s="97">
        <f t="shared" si="18"/>
        <v>1.5827922077922081</v>
      </c>
      <c r="Z56" s="96">
        <f t="shared" si="33"/>
        <v>2.989971694971695</v>
      </c>
      <c r="AA56" s="96">
        <f t="shared" si="19"/>
        <v>0.88150626094729667</v>
      </c>
      <c r="AB56" s="96">
        <v>0</v>
      </c>
      <c r="AC56" s="96">
        <f t="shared" si="20"/>
        <v>7.7705328808928354E-3</v>
      </c>
      <c r="AD56" s="98">
        <f t="shared" si="21"/>
        <v>7.7705328808928354E-3</v>
      </c>
      <c r="AE56" s="97">
        <f t="shared" si="22"/>
        <v>0.2638461538461539</v>
      </c>
      <c r="AF56" s="96">
        <f t="shared" si="23"/>
        <v>0.88150626094729667</v>
      </c>
      <c r="AG56" s="96">
        <f t="shared" si="39"/>
        <v>3.4967397964017761E-3</v>
      </c>
      <c r="AH56" s="96">
        <f t="shared" si="40"/>
        <v>9.0610969043345674E-2</v>
      </c>
      <c r="AI56" s="98">
        <f t="shared" si="24"/>
        <v>9.410770883974745E-2</v>
      </c>
      <c r="AJ56" s="97">
        <f t="shared" si="25"/>
        <v>0.65333333333333332</v>
      </c>
      <c r="AK56" s="96">
        <f t="shared" si="26"/>
        <v>1.5300857891824047</v>
      </c>
      <c r="AL56" s="96">
        <f t="shared" si="27"/>
        <v>0.45733333333333331</v>
      </c>
      <c r="AM56" s="96">
        <f t="shared" si="41"/>
        <v>0.12628</v>
      </c>
      <c r="AN56" s="98">
        <f t="shared" si="28"/>
        <v>0.58361333333333332</v>
      </c>
      <c r="AO56" s="97">
        <f t="shared" si="42"/>
        <v>6.9934795928035514E-3</v>
      </c>
      <c r="AP56" s="96">
        <f t="shared" si="16"/>
        <v>5.049E-2</v>
      </c>
      <c r="AQ56" s="98">
        <f t="shared" si="29"/>
        <v>5.8500000000000002E-3</v>
      </c>
      <c r="AR56" s="97">
        <f t="shared" si="30"/>
        <v>0.74105452176588438</v>
      </c>
      <c r="AS56" s="96">
        <f t="shared" si="31"/>
        <v>9.8000000000000007</v>
      </c>
      <c r="AT56" s="98">
        <f t="shared" si="32"/>
        <v>92.969825549846988</v>
      </c>
    </row>
    <row r="57" spans="17:46" ht="14.65" x14ac:dyDescent="0.4">
      <c r="Q57" s="32">
        <v>50</v>
      </c>
      <c r="R57" s="97">
        <f t="shared" si="0"/>
        <v>15</v>
      </c>
      <c r="S57" s="96">
        <f t="shared" si="34"/>
        <v>0.66666666666666674</v>
      </c>
      <c r="T57" s="96">
        <f t="shared" si="2"/>
        <v>13</v>
      </c>
      <c r="U57" s="98">
        <f t="shared" si="35"/>
        <v>0.76923076923076938</v>
      </c>
      <c r="V57" s="97">
        <f t="shared" si="36"/>
        <v>2</v>
      </c>
      <c r="W57" s="96">
        <f t="shared" si="37"/>
        <v>0.5357142857142857</v>
      </c>
      <c r="X57" s="98">
        <f t="shared" si="38"/>
        <v>0.4642857142857143</v>
      </c>
      <c r="Y57" s="97">
        <f t="shared" si="18"/>
        <v>1.5827922077922081</v>
      </c>
      <c r="Z57" s="96">
        <f t="shared" si="33"/>
        <v>3.018689643689644</v>
      </c>
      <c r="AA57" s="96">
        <f t="shared" si="19"/>
        <v>0.89469840770619768</v>
      </c>
      <c r="AB57" s="96">
        <v>0</v>
      </c>
      <c r="AC57" s="96">
        <f t="shared" si="20"/>
        <v>8.0048524075200557E-3</v>
      </c>
      <c r="AD57" s="98">
        <f t="shared" si="21"/>
        <v>8.0048524075200557E-3</v>
      </c>
      <c r="AE57" s="97">
        <f t="shared" si="22"/>
        <v>0.2747252747252748</v>
      </c>
      <c r="AF57" s="96">
        <f t="shared" si="23"/>
        <v>0.89469840770619768</v>
      </c>
      <c r="AG57" s="96">
        <f t="shared" si="39"/>
        <v>3.6021835833840252E-3</v>
      </c>
      <c r="AH57" s="96">
        <f t="shared" si="40"/>
        <v>9.2460172493209883E-2</v>
      </c>
      <c r="AI57" s="98">
        <f t="shared" si="24"/>
        <v>9.6062356076593913E-2</v>
      </c>
      <c r="AJ57" s="97">
        <f t="shared" si="25"/>
        <v>0.66666666666666674</v>
      </c>
      <c r="AK57" s="96">
        <f t="shared" si="26"/>
        <v>1.5492495314407975</v>
      </c>
      <c r="AL57" s="96">
        <f t="shared" si="27"/>
        <v>0.46666666666666667</v>
      </c>
      <c r="AM57" s="96">
        <f t="shared" si="41"/>
        <v>0.12628</v>
      </c>
      <c r="AN57" s="98">
        <f t="shared" si="28"/>
        <v>0.59294666666666673</v>
      </c>
      <c r="AO57" s="97">
        <f t="shared" si="42"/>
        <v>7.2043671667680496E-3</v>
      </c>
      <c r="AP57" s="96">
        <f t="shared" si="16"/>
        <v>5.049E-2</v>
      </c>
      <c r="AQ57" s="98">
        <f t="shared" si="29"/>
        <v>5.8500000000000002E-3</v>
      </c>
      <c r="AR57" s="97">
        <f t="shared" si="30"/>
        <v>0.75255338991002874</v>
      </c>
      <c r="AS57" s="96">
        <f t="shared" si="31"/>
        <v>10.000000000000002</v>
      </c>
      <c r="AT57" s="98">
        <f t="shared" si="32"/>
        <v>93.001165745280474</v>
      </c>
    </row>
    <row r="58" spans="17:46" ht="14.65" x14ac:dyDescent="0.4">
      <c r="Q58" s="32">
        <v>51</v>
      </c>
      <c r="R58" s="97">
        <f t="shared" si="0"/>
        <v>15</v>
      </c>
      <c r="S58" s="96">
        <f t="shared" si="34"/>
        <v>0.68</v>
      </c>
      <c r="T58" s="96">
        <f t="shared" si="2"/>
        <v>13</v>
      </c>
      <c r="U58" s="98">
        <f t="shared" si="35"/>
        <v>0.78461538461538471</v>
      </c>
      <c r="V58" s="97">
        <f t="shared" si="36"/>
        <v>2</v>
      </c>
      <c r="W58" s="96">
        <f t="shared" si="37"/>
        <v>0.5357142857142857</v>
      </c>
      <c r="X58" s="98">
        <f t="shared" si="38"/>
        <v>0.4642857142857143</v>
      </c>
      <c r="Y58" s="97">
        <f t="shared" si="18"/>
        <v>1.5827922077922081</v>
      </c>
      <c r="Z58" s="96">
        <f t="shared" si="33"/>
        <v>3.047407592407593</v>
      </c>
      <c r="AA58" s="96">
        <f t="shared" si="19"/>
        <v>0.90795956198268679</v>
      </c>
      <c r="AB58" s="96">
        <v>0</v>
      </c>
      <c r="AC58" s="96">
        <f t="shared" si="20"/>
        <v>8.2439056619579253E-3</v>
      </c>
      <c r="AD58" s="98">
        <f t="shared" si="21"/>
        <v>8.2439056619579253E-3</v>
      </c>
      <c r="AE58" s="97">
        <f t="shared" si="22"/>
        <v>0.28582417582417585</v>
      </c>
      <c r="AF58" s="96">
        <f t="shared" si="23"/>
        <v>0.90795956198268679</v>
      </c>
      <c r="AG58" s="96">
        <f t="shared" si="39"/>
        <v>3.7097575478810662E-3</v>
      </c>
      <c r="AH58" s="96">
        <f t="shared" si="40"/>
        <v>9.4309375943074092E-2</v>
      </c>
      <c r="AI58" s="98">
        <f t="shared" si="24"/>
        <v>9.801913349095516E-2</v>
      </c>
      <c r="AJ58" s="97">
        <f t="shared" si="25"/>
        <v>0.68</v>
      </c>
      <c r="AK58" s="96">
        <f t="shared" si="26"/>
        <v>1.5684232563459812</v>
      </c>
      <c r="AL58" s="96">
        <f t="shared" si="27"/>
        <v>0.47599999999999998</v>
      </c>
      <c r="AM58" s="96">
        <f t="shared" si="41"/>
        <v>0.12628</v>
      </c>
      <c r="AN58" s="98">
        <f t="shared" si="28"/>
        <v>0.60227999999999993</v>
      </c>
      <c r="AO58" s="97">
        <f t="shared" si="42"/>
        <v>7.4195150957621315E-3</v>
      </c>
      <c r="AP58" s="96">
        <f t="shared" si="16"/>
        <v>5.049E-2</v>
      </c>
      <c r="AQ58" s="98">
        <f t="shared" si="29"/>
        <v>5.8500000000000002E-3</v>
      </c>
      <c r="AR58" s="97">
        <f t="shared" si="30"/>
        <v>0.76405864858671724</v>
      </c>
      <c r="AS58" s="96">
        <f t="shared" si="31"/>
        <v>10.200000000000001</v>
      </c>
      <c r="AT58" s="98">
        <f t="shared" si="32"/>
        <v>93.03124259842221</v>
      </c>
    </row>
    <row r="59" spans="17:46" ht="14.65" x14ac:dyDescent="0.4">
      <c r="Q59" s="32">
        <v>52</v>
      </c>
      <c r="R59" s="97">
        <f t="shared" si="0"/>
        <v>15</v>
      </c>
      <c r="S59" s="96">
        <f t="shared" si="34"/>
        <v>0.69333333333333336</v>
      </c>
      <c r="T59" s="96">
        <f t="shared" si="2"/>
        <v>13</v>
      </c>
      <c r="U59" s="98">
        <f t="shared" si="35"/>
        <v>0.8</v>
      </c>
      <c r="V59" s="97">
        <f t="shared" si="36"/>
        <v>2</v>
      </c>
      <c r="W59" s="96">
        <f t="shared" si="37"/>
        <v>0.5357142857142857</v>
      </c>
      <c r="X59" s="98">
        <f t="shared" si="38"/>
        <v>0.4642857142857143</v>
      </c>
      <c r="Y59" s="97">
        <f t="shared" si="18"/>
        <v>1.5827922077922081</v>
      </c>
      <c r="Z59" s="96">
        <f t="shared" si="33"/>
        <v>3.0761255411255415</v>
      </c>
      <c r="AA59" s="96">
        <f t="shared" si="19"/>
        <v>0.92128674386460396</v>
      </c>
      <c r="AB59" s="96">
        <v>0</v>
      </c>
      <c r="AC59" s="96">
        <f t="shared" si="20"/>
        <v>8.4876926442064432E-3</v>
      </c>
      <c r="AD59" s="98">
        <f t="shared" si="21"/>
        <v>8.4876926442064432E-3</v>
      </c>
      <c r="AE59" s="97">
        <f t="shared" si="22"/>
        <v>0.29714285714285715</v>
      </c>
      <c r="AF59" s="96">
        <f t="shared" si="23"/>
        <v>0.92128674386460396</v>
      </c>
      <c r="AG59" s="96">
        <f t="shared" si="39"/>
        <v>3.8194616898929003E-3</v>
      </c>
      <c r="AH59" s="96">
        <f t="shared" si="40"/>
        <v>9.6158579392938287E-2</v>
      </c>
      <c r="AI59" s="98">
        <f t="shared" si="24"/>
        <v>9.997804108283119E-2</v>
      </c>
      <c r="AJ59" s="97">
        <f t="shared" si="25"/>
        <v>0.69333333333333336</v>
      </c>
      <c r="AK59" s="96">
        <f t="shared" si="26"/>
        <v>1.5876066022129485</v>
      </c>
      <c r="AL59" s="96">
        <f t="shared" si="27"/>
        <v>0.48533333333333334</v>
      </c>
      <c r="AM59" s="96">
        <f t="shared" si="41"/>
        <v>0.12628</v>
      </c>
      <c r="AN59" s="98">
        <f t="shared" si="28"/>
        <v>0.61161333333333334</v>
      </c>
      <c r="AO59" s="97">
        <f t="shared" si="42"/>
        <v>7.6389233797857989E-3</v>
      </c>
      <c r="AP59" s="96">
        <f t="shared" si="16"/>
        <v>5.049E-2</v>
      </c>
      <c r="AQ59" s="98">
        <f t="shared" si="29"/>
        <v>5.8500000000000002E-3</v>
      </c>
      <c r="AR59" s="97">
        <f t="shared" si="30"/>
        <v>0.77557029779595033</v>
      </c>
      <c r="AS59" s="96">
        <f t="shared" si="31"/>
        <v>10.4</v>
      </c>
      <c r="AT59" s="98">
        <f t="shared" si="32"/>
        <v>93.060127786508502</v>
      </c>
    </row>
    <row r="60" spans="17:46" ht="14.65" x14ac:dyDescent="0.4">
      <c r="Q60" s="32">
        <v>53</v>
      </c>
      <c r="R60" s="97">
        <f t="shared" si="0"/>
        <v>15</v>
      </c>
      <c r="S60" s="96">
        <f t="shared" si="34"/>
        <v>0.70666666666666667</v>
      </c>
      <c r="T60" s="96">
        <f t="shared" si="2"/>
        <v>13</v>
      </c>
      <c r="U60" s="98">
        <f t="shared" si="35"/>
        <v>0.81538461538461537</v>
      </c>
      <c r="V60" s="97">
        <f t="shared" si="36"/>
        <v>2</v>
      </c>
      <c r="W60" s="96">
        <f t="shared" si="37"/>
        <v>0.5357142857142857</v>
      </c>
      <c r="X60" s="98">
        <f t="shared" si="38"/>
        <v>0.4642857142857143</v>
      </c>
      <c r="Y60" s="97">
        <f t="shared" si="18"/>
        <v>1.5827922077922081</v>
      </c>
      <c r="Z60" s="96">
        <f t="shared" si="33"/>
        <v>3.10484348984349</v>
      </c>
      <c r="AA60" s="96">
        <f t="shared" si="19"/>
        <v>0.9346771289737229</v>
      </c>
      <c r="AB60" s="96">
        <v>0</v>
      </c>
      <c r="AC60" s="96">
        <f t="shared" si="20"/>
        <v>8.7362133542656147E-3</v>
      </c>
      <c r="AD60" s="98">
        <f t="shared" si="21"/>
        <v>8.7362133542656147E-3</v>
      </c>
      <c r="AE60" s="97">
        <f t="shared" si="22"/>
        <v>0.30868131868131865</v>
      </c>
      <c r="AF60" s="96">
        <f t="shared" si="23"/>
        <v>0.9346771289737229</v>
      </c>
      <c r="AG60" s="96">
        <f t="shared" si="39"/>
        <v>3.9312960094195267E-3</v>
      </c>
      <c r="AH60" s="96">
        <f t="shared" si="40"/>
        <v>9.8007782842802482E-2</v>
      </c>
      <c r="AI60" s="98">
        <f t="shared" si="24"/>
        <v>0.101939078852222</v>
      </c>
      <c r="AJ60" s="97">
        <f t="shared" si="25"/>
        <v>0.70666666666666667</v>
      </c>
      <c r="AK60" s="96">
        <f t="shared" si="26"/>
        <v>1.6067992244518814</v>
      </c>
      <c r="AL60" s="96">
        <f t="shared" si="27"/>
        <v>0.49466666666666664</v>
      </c>
      <c r="AM60" s="96">
        <f t="shared" si="41"/>
        <v>0.12628</v>
      </c>
      <c r="AN60" s="98">
        <f t="shared" si="28"/>
        <v>0.62094666666666665</v>
      </c>
      <c r="AO60" s="97">
        <f t="shared" si="42"/>
        <v>7.8625920188390517E-3</v>
      </c>
      <c r="AP60" s="96">
        <f t="shared" si="16"/>
        <v>5.049E-2</v>
      </c>
      <c r="AQ60" s="98">
        <f t="shared" si="29"/>
        <v>5.8500000000000002E-3</v>
      </c>
      <c r="AR60" s="97">
        <f t="shared" si="30"/>
        <v>0.78708833753772778</v>
      </c>
      <c r="AS60" s="96">
        <f t="shared" si="31"/>
        <v>10.6</v>
      </c>
      <c r="AT60" s="98">
        <f t="shared" si="32"/>
        <v>93.08788766533867</v>
      </c>
    </row>
    <row r="61" spans="17:46" ht="14.65" x14ac:dyDescent="0.4">
      <c r="Q61" s="32">
        <v>54</v>
      </c>
      <c r="R61" s="97">
        <f t="shared" si="0"/>
        <v>15</v>
      </c>
      <c r="S61" s="96">
        <f t="shared" si="34"/>
        <v>0.72000000000000008</v>
      </c>
      <c r="T61" s="96">
        <f t="shared" si="2"/>
        <v>13</v>
      </c>
      <c r="U61" s="98">
        <f t="shared" si="35"/>
        <v>0.83076923076923082</v>
      </c>
      <c r="V61" s="97">
        <f t="shared" si="36"/>
        <v>2</v>
      </c>
      <c r="W61" s="96">
        <f t="shared" si="37"/>
        <v>0.5357142857142857</v>
      </c>
      <c r="X61" s="98">
        <f t="shared" si="38"/>
        <v>0.4642857142857143</v>
      </c>
      <c r="Y61" s="97">
        <f t="shared" si="18"/>
        <v>1.5827922077922081</v>
      </c>
      <c r="Z61" s="96">
        <f t="shared" si="33"/>
        <v>3.133561438561439</v>
      </c>
      <c r="AA61" s="96">
        <f t="shared" si="19"/>
        <v>0.94812803946172997</v>
      </c>
      <c r="AB61" s="96">
        <v>0</v>
      </c>
      <c r="AC61" s="96">
        <f t="shared" si="20"/>
        <v>8.9894677921354381E-3</v>
      </c>
      <c r="AD61" s="98">
        <f t="shared" si="21"/>
        <v>8.9894677921354381E-3</v>
      </c>
      <c r="AE61" s="97">
        <f t="shared" si="22"/>
        <v>0.32043956043956051</v>
      </c>
      <c r="AF61" s="96">
        <f t="shared" si="23"/>
        <v>0.94812803946172997</v>
      </c>
      <c r="AG61" s="96">
        <f t="shared" si="39"/>
        <v>4.045260506460948E-3</v>
      </c>
      <c r="AH61" s="96">
        <f t="shared" si="40"/>
        <v>9.9856986292666691E-2</v>
      </c>
      <c r="AI61" s="98">
        <f t="shared" si="24"/>
        <v>0.10390224679912764</v>
      </c>
      <c r="AJ61" s="97">
        <f t="shared" si="25"/>
        <v>0.72000000000000008</v>
      </c>
      <c r="AK61" s="96">
        <f t="shared" si="26"/>
        <v>1.6260007945797581</v>
      </c>
      <c r="AL61" s="96">
        <f t="shared" si="27"/>
        <v>0.504</v>
      </c>
      <c r="AM61" s="96">
        <f t="shared" si="41"/>
        <v>0.12628</v>
      </c>
      <c r="AN61" s="98">
        <f t="shared" si="28"/>
        <v>0.63027999999999995</v>
      </c>
      <c r="AO61" s="97">
        <f t="shared" si="42"/>
        <v>8.0905210129218943E-3</v>
      </c>
      <c r="AP61" s="96">
        <f t="shared" si="16"/>
        <v>5.049E-2</v>
      </c>
      <c r="AQ61" s="98">
        <f t="shared" si="29"/>
        <v>5.8500000000000002E-3</v>
      </c>
      <c r="AR61" s="97">
        <f t="shared" si="30"/>
        <v>0.79861276781204948</v>
      </c>
      <c r="AS61" s="96">
        <f t="shared" si="31"/>
        <v>10.8</v>
      </c>
      <c r="AT61" s="98">
        <f t="shared" si="32"/>
        <v>93.114583754116495</v>
      </c>
    </row>
    <row r="62" spans="17:46" ht="14.65" x14ac:dyDescent="0.4">
      <c r="Q62" s="32">
        <v>55</v>
      </c>
      <c r="R62" s="97">
        <f t="shared" si="0"/>
        <v>15</v>
      </c>
      <c r="S62" s="96">
        <f t="shared" si="34"/>
        <v>0.73333333333333339</v>
      </c>
      <c r="T62" s="96">
        <f t="shared" si="2"/>
        <v>13</v>
      </c>
      <c r="U62" s="98">
        <f t="shared" si="35"/>
        <v>0.84615384615384615</v>
      </c>
      <c r="V62" s="97">
        <f t="shared" si="36"/>
        <v>2</v>
      </c>
      <c r="W62" s="96">
        <f t="shared" si="37"/>
        <v>0.5357142857142857</v>
      </c>
      <c r="X62" s="98">
        <f t="shared" si="38"/>
        <v>0.4642857142857143</v>
      </c>
      <c r="Y62" s="97">
        <f t="shared" si="18"/>
        <v>1.5827922077922081</v>
      </c>
      <c r="Z62" s="96">
        <f t="shared" si="33"/>
        <v>3.162279387279388</v>
      </c>
      <c r="AA62" s="96">
        <f t="shared" si="19"/>
        <v>0.96163693553315177</v>
      </c>
      <c r="AB62" s="96">
        <v>0</v>
      </c>
      <c r="AC62" s="96">
        <f t="shared" si="20"/>
        <v>9.2474559578159116E-3</v>
      </c>
      <c r="AD62" s="98">
        <f t="shared" si="21"/>
        <v>9.2474559578159116E-3</v>
      </c>
      <c r="AE62" s="97">
        <f t="shared" si="22"/>
        <v>0.3324175824175824</v>
      </c>
      <c r="AF62" s="96">
        <f t="shared" si="23"/>
        <v>0.96163693553315177</v>
      </c>
      <c r="AG62" s="96">
        <f t="shared" si="39"/>
        <v>4.1613551810171607E-3</v>
      </c>
      <c r="AH62" s="96">
        <f t="shared" si="40"/>
        <v>0.10170618974253089</v>
      </c>
      <c r="AI62" s="98">
        <f t="shared" si="24"/>
        <v>0.10586754492354805</v>
      </c>
      <c r="AJ62" s="97">
        <f t="shared" si="25"/>
        <v>0.73333333333333339</v>
      </c>
      <c r="AK62" s="96">
        <f t="shared" si="26"/>
        <v>1.6452109992990727</v>
      </c>
      <c r="AL62" s="96">
        <f t="shared" si="27"/>
        <v>0.51333333333333331</v>
      </c>
      <c r="AM62" s="96">
        <f t="shared" si="41"/>
        <v>0.12628</v>
      </c>
      <c r="AN62" s="98">
        <f t="shared" si="28"/>
        <v>0.63961333333333337</v>
      </c>
      <c r="AO62" s="97">
        <f t="shared" si="42"/>
        <v>8.3227103620343197E-3</v>
      </c>
      <c r="AP62" s="96">
        <f t="shared" si="16"/>
        <v>5.049E-2</v>
      </c>
      <c r="AQ62" s="98">
        <f t="shared" si="29"/>
        <v>5.8500000000000002E-3</v>
      </c>
      <c r="AR62" s="97">
        <f t="shared" si="30"/>
        <v>0.81014358861891589</v>
      </c>
      <c r="AS62" s="96">
        <f t="shared" si="31"/>
        <v>11</v>
      </c>
      <c r="AT62" s="98">
        <f t="shared" si="32"/>
        <v>93.14027316823119</v>
      </c>
    </row>
    <row r="63" spans="17:46" ht="14.65" x14ac:dyDescent="0.4">
      <c r="Q63" s="32">
        <v>56</v>
      </c>
      <c r="R63" s="97">
        <f t="shared" si="0"/>
        <v>15</v>
      </c>
      <c r="S63" s="96">
        <f t="shared" si="34"/>
        <v>0.7466666666666667</v>
      </c>
      <c r="T63" s="96">
        <f t="shared" si="2"/>
        <v>13</v>
      </c>
      <c r="U63" s="98">
        <f t="shared" si="35"/>
        <v>0.86153846153846159</v>
      </c>
      <c r="V63" s="97">
        <f t="shared" si="36"/>
        <v>2</v>
      </c>
      <c r="W63" s="96">
        <f t="shared" si="37"/>
        <v>0.5357142857142857</v>
      </c>
      <c r="X63" s="98">
        <f t="shared" si="38"/>
        <v>0.4642857142857143</v>
      </c>
      <c r="Y63" s="97">
        <f t="shared" si="18"/>
        <v>1.5827922077922081</v>
      </c>
      <c r="Z63" s="96">
        <f t="shared" si="33"/>
        <v>3.190997335997336</v>
      </c>
      <c r="AA63" s="96">
        <f t="shared" si="19"/>
        <v>0.9752014074696076</v>
      </c>
      <c r="AB63" s="96">
        <v>0</v>
      </c>
      <c r="AC63" s="96">
        <f t="shared" si="20"/>
        <v>9.5101778513070369E-3</v>
      </c>
      <c r="AD63" s="98">
        <f t="shared" si="21"/>
        <v>9.5101778513070369E-3</v>
      </c>
      <c r="AE63" s="97">
        <f t="shared" si="22"/>
        <v>0.3446153846153846</v>
      </c>
      <c r="AF63" s="96">
        <f t="shared" si="23"/>
        <v>0.9752014074696076</v>
      </c>
      <c r="AG63" s="96">
        <f t="shared" si="39"/>
        <v>4.2795800330881675E-3</v>
      </c>
      <c r="AH63" s="96">
        <f t="shared" si="40"/>
        <v>0.10355539319239507</v>
      </c>
      <c r="AI63" s="98">
        <f t="shared" si="24"/>
        <v>0.10783497322548323</v>
      </c>
      <c r="AJ63" s="97">
        <f t="shared" si="25"/>
        <v>0.7466666666666667</v>
      </c>
      <c r="AK63" s="96">
        <f t="shared" si="26"/>
        <v>1.6644295396384647</v>
      </c>
      <c r="AL63" s="96">
        <f t="shared" si="27"/>
        <v>0.52266666666666661</v>
      </c>
      <c r="AM63" s="96">
        <f t="shared" si="41"/>
        <v>0.12628</v>
      </c>
      <c r="AN63" s="98">
        <f t="shared" si="28"/>
        <v>0.64894666666666656</v>
      </c>
      <c r="AO63" s="97">
        <f t="shared" si="42"/>
        <v>8.5591600661763332E-3</v>
      </c>
      <c r="AP63" s="96">
        <f t="shared" si="16"/>
        <v>5.049E-2</v>
      </c>
      <c r="AQ63" s="98">
        <f t="shared" si="29"/>
        <v>5.8500000000000002E-3</v>
      </c>
      <c r="AR63" s="97">
        <f t="shared" si="30"/>
        <v>0.8216807999583261</v>
      </c>
      <c r="AS63" s="96">
        <f t="shared" si="31"/>
        <v>11.200000000000001</v>
      </c>
      <c r="AT63" s="98">
        <f t="shared" si="32"/>
        <v>93.16500900638475</v>
      </c>
    </row>
    <row r="64" spans="17:46" ht="14.65" x14ac:dyDescent="0.4">
      <c r="Q64" s="32">
        <v>57</v>
      </c>
      <c r="R64" s="97">
        <f t="shared" si="0"/>
        <v>15</v>
      </c>
      <c r="S64" s="96">
        <f t="shared" si="34"/>
        <v>0.76</v>
      </c>
      <c r="T64" s="96">
        <f t="shared" si="2"/>
        <v>13</v>
      </c>
      <c r="U64" s="98">
        <f t="shared" si="35"/>
        <v>0.87692307692307692</v>
      </c>
      <c r="V64" s="97">
        <f t="shared" si="36"/>
        <v>2</v>
      </c>
      <c r="W64" s="96">
        <f t="shared" si="37"/>
        <v>0.5357142857142857</v>
      </c>
      <c r="X64" s="98">
        <f t="shared" si="38"/>
        <v>0.4642857142857143</v>
      </c>
      <c r="Y64" s="97">
        <f t="shared" si="18"/>
        <v>1.5827922077922081</v>
      </c>
      <c r="Z64" s="96">
        <f t="shared" si="33"/>
        <v>3.219715284715285</v>
      </c>
      <c r="AA64" s="96">
        <f t="shared" si="19"/>
        <v>0.98881916812978554</v>
      </c>
      <c r="AB64" s="96">
        <v>0</v>
      </c>
      <c r="AC64" s="96">
        <f t="shared" si="20"/>
        <v>9.7776334726088106E-3</v>
      </c>
      <c r="AD64" s="98">
        <f t="shared" si="21"/>
        <v>9.7776334726088106E-3</v>
      </c>
      <c r="AE64" s="97">
        <f t="shared" si="22"/>
        <v>0.357032967032967</v>
      </c>
      <c r="AF64" s="96">
        <f t="shared" si="23"/>
        <v>0.98881916812978554</v>
      </c>
      <c r="AG64" s="96">
        <f t="shared" si="39"/>
        <v>4.3999350626739656E-3</v>
      </c>
      <c r="AH64" s="96">
        <f t="shared" si="40"/>
        <v>0.10540459664225926</v>
      </c>
      <c r="AI64" s="98">
        <f t="shared" si="24"/>
        <v>0.10980453170493323</v>
      </c>
      <c r="AJ64" s="97">
        <f t="shared" si="25"/>
        <v>0.76</v>
      </c>
      <c r="AK64" s="96">
        <f t="shared" si="26"/>
        <v>1.683656130150508</v>
      </c>
      <c r="AL64" s="96">
        <f t="shared" si="27"/>
        <v>0.53199999999999992</v>
      </c>
      <c r="AM64" s="96">
        <f t="shared" si="41"/>
        <v>0.12628</v>
      </c>
      <c r="AN64" s="98">
        <f t="shared" si="28"/>
        <v>0.65827999999999998</v>
      </c>
      <c r="AO64" s="97">
        <f t="shared" si="42"/>
        <v>8.7998701253479295E-3</v>
      </c>
      <c r="AP64" s="96">
        <f t="shared" si="16"/>
        <v>5.049E-2</v>
      </c>
      <c r="AQ64" s="98">
        <f t="shared" si="29"/>
        <v>5.8500000000000002E-3</v>
      </c>
      <c r="AR64" s="97">
        <f t="shared" si="30"/>
        <v>0.83322440183028113</v>
      </c>
      <c r="AS64" s="96">
        <f t="shared" si="31"/>
        <v>11.4</v>
      </c>
      <c r="AT64" s="98">
        <f t="shared" si="32"/>
        <v>93.188840697587324</v>
      </c>
    </row>
    <row r="65" spans="17:46" ht="14.65" x14ac:dyDescent="0.4">
      <c r="Q65" s="32">
        <v>58</v>
      </c>
      <c r="R65" s="97">
        <f t="shared" si="0"/>
        <v>15</v>
      </c>
      <c r="S65" s="96">
        <f t="shared" si="34"/>
        <v>0.77333333333333343</v>
      </c>
      <c r="T65" s="96">
        <f t="shared" si="2"/>
        <v>13</v>
      </c>
      <c r="U65" s="98">
        <f t="shared" si="35"/>
        <v>0.89230769230769247</v>
      </c>
      <c r="V65" s="97">
        <f t="shared" si="36"/>
        <v>2</v>
      </c>
      <c r="W65" s="96">
        <f t="shared" si="37"/>
        <v>0.5357142857142857</v>
      </c>
      <c r="X65" s="98">
        <f t="shared" si="38"/>
        <v>0.4642857142857143</v>
      </c>
      <c r="Y65" s="97">
        <f t="shared" si="18"/>
        <v>1.5827922077922081</v>
      </c>
      <c r="Z65" s="96">
        <f t="shared" si="33"/>
        <v>3.248433233433234</v>
      </c>
      <c r="AA65" s="96">
        <f t="shared" si="19"/>
        <v>1.002488045899862</v>
      </c>
      <c r="AB65" s="96">
        <v>0</v>
      </c>
      <c r="AC65" s="96">
        <f t="shared" si="20"/>
        <v>1.0049822821721238E-2</v>
      </c>
      <c r="AD65" s="98">
        <f t="shared" si="21"/>
        <v>1.0049822821721238E-2</v>
      </c>
      <c r="AE65" s="97">
        <f t="shared" si="22"/>
        <v>0.36967032967032981</v>
      </c>
      <c r="AF65" s="96">
        <f t="shared" si="23"/>
        <v>1.002488045899862</v>
      </c>
      <c r="AG65" s="96">
        <f t="shared" si="39"/>
        <v>4.5224202697745569E-3</v>
      </c>
      <c r="AH65" s="96">
        <f t="shared" si="40"/>
        <v>0.10725380009212349</v>
      </c>
      <c r="AI65" s="98">
        <f t="shared" si="24"/>
        <v>0.11177622036189805</v>
      </c>
      <c r="AJ65" s="97">
        <f t="shared" si="25"/>
        <v>0.77333333333333343</v>
      </c>
      <c r="AK65" s="96">
        <f t="shared" si="26"/>
        <v>1.7028904981623068</v>
      </c>
      <c r="AL65" s="96">
        <f t="shared" si="27"/>
        <v>0.54133333333333333</v>
      </c>
      <c r="AM65" s="96">
        <f t="shared" si="41"/>
        <v>0.12628</v>
      </c>
      <c r="AN65" s="98">
        <f t="shared" si="28"/>
        <v>0.66761333333333339</v>
      </c>
      <c r="AO65" s="97">
        <f t="shared" si="42"/>
        <v>9.0448405395491122E-3</v>
      </c>
      <c r="AP65" s="96">
        <f t="shared" si="16"/>
        <v>5.049E-2</v>
      </c>
      <c r="AQ65" s="98">
        <f t="shared" si="29"/>
        <v>5.8500000000000002E-3</v>
      </c>
      <c r="AR65" s="97">
        <f t="shared" si="30"/>
        <v>0.84477439423478062</v>
      </c>
      <c r="AS65" s="96">
        <f t="shared" si="31"/>
        <v>11.600000000000001</v>
      </c>
      <c r="AT65" s="98">
        <f t="shared" si="32"/>
        <v>93.21181431279193</v>
      </c>
    </row>
    <row r="66" spans="17:46" ht="14.65" x14ac:dyDescent="0.4">
      <c r="Q66" s="32">
        <v>59</v>
      </c>
      <c r="R66" s="97">
        <f t="shared" si="0"/>
        <v>15</v>
      </c>
      <c r="S66" s="96">
        <f t="shared" si="34"/>
        <v>0.78666666666666674</v>
      </c>
      <c r="T66" s="96">
        <f t="shared" si="2"/>
        <v>13</v>
      </c>
      <c r="U66" s="98">
        <f t="shared" si="35"/>
        <v>0.9076923076923078</v>
      </c>
      <c r="V66" s="97">
        <f t="shared" si="36"/>
        <v>2</v>
      </c>
      <c r="W66" s="96">
        <f t="shared" si="37"/>
        <v>0.5357142857142857</v>
      </c>
      <c r="X66" s="98">
        <f t="shared" si="38"/>
        <v>0.4642857142857143</v>
      </c>
      <c r="Y66" s="97">
        <f t="shared" si="18"/>
        <v>1.5827922077922081</v>
      </c>
      <c r="Z66" s="96">
        <f t="shared" si="33"/>
        <v>3.277151182151183</v>
      </c>
      <c r="AA66" s="96">
        <f t="shared" si="19"/>
        <v>1.0162059780696193</v>
      </c>
      <c r="AB66" s="96">
        <v>0</v>
      </c>
      <c r="AC66" s="96">
        <f t="shared" si="20"/>
        <v>1.0326745898644317E-2</v>
      </c>
      <c r="AD66" s="98">
        <f t="shared" si="21"/>
        <v>1.0326745898644317E-2</v>
      </c>
      <c r="AE66" s="97">
        <f t="shared" si="22"/>
        <v>0.3825274725274726</v>
      </c>
      <c r="AF66" s="96">
        <f t="shared" si="23"/>
        <v>1.0162059780696193</v>
      </c>
      <c r="AG66" s="96">
        <f t="shared" si="39"/>
        <v>4.6470356543899432E-3</v>
      </c>
      <c r="AH66" s="96">
        <f t="shared" si="40"/>
        <v>0.10910300354198768</v>
      </c>
      <c r="AI66" s="98">
        <f t="shared" si="24"/>
        <v>0.11375003919637762</v>
      </c>
      <c r="AJ66" s="97">
        <f t="shared" si="25"/>
        <v>0.78666666666666674</v>
      </c>
      <c r="AK66" s="96">
        <f t="shared" si="26"/>
        <v>1.7221323830749384</v>
      </c>
      <c r="AL66" s="96">
        <f t="shared" si="27"/>
        <v>0.55066666666666664</v>
      </c>
      <c r="AM66" s="96">
        <f t="shared" si="41"/>
        <v>0.12628</v>
      </c>
      <c r="AN66" s="98">
        <f t="shared" si="28"/>
        <v>0.67694666666666659</v>
      </c>
      <c r="AO66" s="97">
        <f t="shared" si="42"/>
        <v>9.2940713087798846E-3</v>
      </c>
      <c r="AP66" s="96">
        <f t="shared" si="16"/>
        <v>5.049E-2</v>
      </c>
      <c r="AQ66" s="98">
        <f t="shared" si="29"/>
        <v>5.8500000000000002E-3</v>
      </c>
      <c r="AR66" s="97">
        <f t="shared" si="30"/>
        <v>0.85633077717182415</v>
      </c>
      <c r="AS66" s="96">
        <f t="shared" si="31"/>
        <v>11.8</v>
      </c>
      <c r="AT66" s="98">
        <f t="shared" si="32"/>
        <v>93.233972845302176</v>
      </c>
    </row>
    <row r="67" spans="17:46" ht="14.65" x14ac:dyDescent="0.4">
      <c r="Q67" s="32">
        <v>60</v>
      </c>
      <c r="R67" s="97">
        <f t="shared" si="0"/>
        <v>15</v>
      </c>
      <c r="S67" s="96">
        <f t="shared" si="34"/>
        <v>0.8</v>
      </c>
      <c r="T67" s="96">
        <f t="shared" si="2"/>
        <v>13</v>
      </c>
      <c r="U67" s="98">
        <f t="shared" si="35"/>
        <v>0.92307692307692313</v>
      </c>
      <c r="V67" s="97">
        <f t="shared" si="36"/>
        <v>2</v>
      </c>
      <c r="W67" s="96">
        <f t="shared" si="37"/>
        <v>0.5357142857142857</v>
      </c>
      <c r="X67" s="98">
        <f t="shared" si="38"/>
        <v>0.4642857142857143</v>
      </c>
      <c r="Y67" s="97">
        <f t="shared" si="18"/>
        <v>1.5827922077922081</v>
      </c>
      <c r="Z67" s="96">
        <f t="shared" si="33"/>
        <v>3.305869130869131</v>
      </c>
      <c r="AA67" s="96">
        <f t="shared" si="19"/>
        <v>1.0299710046102291</v>
      </c>
      <c r="AB67" s="96">
        <v>0</v>
      </c>
      <c r="AC67" s="96">
        <f t="shared" si="20"/>
        <v>1.0608402703378046E-2</v>
      </c>
      <c r="AD67" s="98">
        <f t="shared" si="21"/>
        <v>1.0608402703378046E-2</v>
      </c>
      <c r="AE67" s="97">
        <f t="shared" si="22"/>
        <v>0.39560439560439564</v>
      </c>
      <c r="AF67" s="96">
        <f t="shared" si="23"/>
        <v>1.0299710046102291</v>
      </c>
      <c r="AG67" s="96">
        <f t="shared" si="39"/>
        <v>4.7737812165201217E-3</v>
      </c>
      <c r="AH67" s="96">
        <f t="shared" si="40"/>
        <v>0.11095220699185186</v>
      </c>
      <c r="AI67" s="98">
        <f t="shared" si="24"/>
        <v>0.11572598820837199</v>
      </c>
      <c r="AJ67" s="97">
        <f t="shared" si="25"/>
        <v>0.8</v>
      </c>
      <c r="AK67" s="96">
        <f t="shared" si="26"/>
        <v>1.741381535708092</v>
      </c>
      <c r="AL67" s="96">
        <f t="shared" si="27"/>
        <v>0.55999999999999994</v>
      </c>
      <c r="AM67" s="96">
        <f t="shared" si="41"/>
        <v>0.12628</v>
      </c>
      <c r="AN67" s="98">
        <f t="shared" si="28"/>
        <v>0.68628</v>
      </c>
      <c r="AO67" s="97">
        <f t="shared" si="42"/>
        <v>9.5475624330402398E-3</v>
      </c>
      <c r="AP67" s="96">
        <f t="shared" si="16"/>
        <v>5.049E-2</v>
      </c>
      <c r="AQ67" s="98">
        <f t="shared" si="29"/>
        <v>5.8500000000000002E-3</v>
      </c>
      <c r="AR67" s="97">
        <f t="shared" si="30"/>
        <v>0.86789355064141227</v>
      </c>
      <c r="AS67" s="96">
        <f t="shared" si="31"/>
        <v>12</v>
      </c>
      <c r="AT67" s="98">
        <f t="shared" si="32"/>
        <v>93.255356463543706</v>
      </c>
    </row>
    <row r="68" spans="17:46" ht="14.65" x14ac:dyDescent="0.4">
      <c r="Q68" s="32">
        <v>61</v>
      </c>
      <c r="R68" s="97">
        <f t="shared" si="0"/>
        <v>15</v>
      </c>
      <c r="S68" s="96">
        <f t="shared" si="34"/>
        <v>0.81333333333333335</v>
      </c>
      <c r="T68" s="96">
        <f t="shared" si="2"/>
        <v>13</v>
      </c>
      <c r="U68" s="98">
        <f t="shared" si="35"/>
        <v>0.93846153846153857</v>
      </c>
      <c r="V68" s="97">
        <f t="shared" si="36"/>
        <v>2</v>
      </c>
      <c r="W68" s="96">
        <f t="shared" si="37"/>
        <v>0.5357142857142857</v>
      </c>
      <c r="X68" s="98">
        <f t="shared" si="38"/>
        <v>0.4642857142857143</v>
      </c>
      <c r="Y68" s="97">
        <f t="shared" si="18"/>
        <v>1.5827922077922081</v>
      </c>
      <c r="Z68" s="96">
        <f t="shared" si="33"/>
        <v>3.33458707958708</v>
      </c>
      <c r="AA68" s="96">
        <f t="shared" si="19"/>
        <v>1.0437812623304952</v>
      </c>
      <c r="AB68" s="96">
        <v>0</v>
      </c>
      <c r="AC68" s="96">
        <f t="shared" si="20"/>
        <v>1.089479323592242E-2</v>
      </c>
      <c r="AD68" s="98">
        <f t="shared" si="21"/>
        <v>1.089479323592242E-2</v>
      </c>
      <c r="AE68" s="97">
        <f t="shared" si="22"/>
        <v>0.40890109890109894</v>
      </c>
      <c r="AF68" s="96">
        <f t="shared" si="23"/>
        <v>1.0437812623304952</v>
      </c>
      <c r="AG68" s="96">
        <f t="shared" si="39"/>
        <v>4.9026569561650898E-3</v>
      </c>
      <c r="AH68" s="96">
        <f t="shared" si="40"/>
        <v>0.11280141044171607</v>
      </c>
      <c r="AI68" s="98">
        <f t="shared" si="24"/>
        <v>0.11770406739788117</v>
      </c>
      <c r="AJ68" s="97">
        <f t="shared" si="25"/>
        <v>0.81333333333333335</v>
      </c>
      <c r="AK68" s="96">
        <f t="shared" si="26"/>
        <v>1.7606377176865753</v>
      </c>
      <c r="AL68" s="96">
        <f t="shared" si="27"/>
        <v>0.56933333333333336</v>
      </c>
      <c r="AM68" s="96">
        <f t="shared" si="41"/>
        <v>0.12628</v>
      </c>
      <c r="AN68" s="98">
        <f t="shared" si="28"/>
        <v>0.69561333333333342</v>
      </c>
      <c r="AO68" s="97">
        <f t="shared" si="42"/>
        <v>9.8053139123301762E-3</v>
      </c>
      <c r="AP68" s="96">
        <f t="shared" si="16"/>
        <v>5.049E-2</v>
      </c>
      <c r="AQ68" s="98">
        <f t="shared" si="29"/>
        <v>5.8500000000000002E-3</v>
      </c>
      <c r="AR68" s="97">
        <f t="shared" si="30"/>
        <v>0.87946271464354486</v>
      </c>
      <c r="AS68" s="96">
        <f t="shared" si="31"/>
        <v>12.200000000000001</v>
      </c>
      <c r="AT68" s="98">
        <f t="shared" si="32"/>
        <v>93.276002739325719</v>
      </c>
    </row>
    <row r="69" spans="17:46" ht="14.65" x14ac:dyDescent="0.4">
      <c r="Q69" s="32">
        <v>62</v>
      </c>
      <c r="R69" s="97">
        <f t="shared" si="0"/>
        <v>15</v>
      </c>
      <c r="S69" s="96">
        <f t="shared" si="34"/>
        <v>0.82666666666666677</v>
      </c>
      <c r="T69" s="96">
        <f t="shared" si="2"/>
        <v>13</v>
      </c>
      <c r="U69" s="98">
        <f t="shared" si="35"/>
        <v>0.95384615384615401</v>
      </c>
      <c r="V69" s="97">
        <f t="shared" si="36"/>
        <v>2</v>
      </c>
      <c r="W69" s="96">
        <f t="shared" si="37"/>
        <v>0.5357142857142857</v>
      </c>
      <c r="X69" s="98">
        <f t="shared" si="38"/>
        <v>0.4642857142857143</v>
      </c>
      <c r="Y69" s="97">
        <f t="shared" si="18"/>
        <v>1.5827922077922081</v>
      </c>
      <c r="Z69" s="96">
        <f t="shared" si="33"/>
        <v>3.363305028305029</v>
      </c>
      <c r="AA69" s="96">
        <f t="shared" si="19"/>
        <v>1.0576349793892716</v>
      </c>
      <c r="AB69" s="96">
        <v>0</v>
      </c>
      <c r="AC69" s="96">
        <f t="shared" si="20"/>
        <v>1.1185917496277452E-2</v>
      </c>
      <c r="AD69" s="98">
        <f t="shared" si="21"/>
        <v>1.1185917496277452E-2</v>
      </c>
      <c r="AE69" s="97">
        <f t="shared" si="22"/>
        <v>0.42241758241758254</v>
      </c>
      <c r="AF69" s="96">
        <f t="shared" si="23"/>
        <v>1.0576349793892716</v>
      </c>
      <c r="AG69" s="96">
        <f t="shared" si="39"/>
        <v>5.0336628733248538E-3</v>
      </c>
      <c r="AH69" s="96">
        <f t="shared" si="40"/>
        <v>0.11465061389158027</v>
      </c>
      <c r="AI69" s="98">
        <f t="shared" si="24"/>
        <v>0.11968427676490512</v>
      </c>
      <c r="AJ69" s="97">
        <f t="shared" si="25"/>
        <v>0.82666666666666677</v>
      </c>
      <c r="AK69" s="96">
        <f t="shared" si="26"/>
        <v>1.77990070086562</v>
      </c>
      <c r="AL69" s="96">
        <f t="shared" si="27"/>
        <v>0.57866666666666666</v>
      </c>
      <c r="AM69" s="96">
        <f t="shared" si="41"/>
        <v>0.12628</v>
      </c>
      <c r="AN69" s="98">
        <f t="shared" si="28"/>
        <v>0.70494666666666661</v>
      </c>
      <c r="AO69" s="97">
        <f t="shared" si="42"/>
        <v>1.0067325746649706E-2</v>
      </c>
      <c r="AP69" s="96">
        <f t="shared" si="16"/>
        <v>5.049E-2</v>
      </c>
      <c r="AQ69" s="98">
        <f t="shared" si="29"/>
        <v>5.8500000000000002E-3</v>
      </c>
      <c r="AR69" s="97">
        <f t="shared" si="30"/>
        <v>0.89103826917822149</v>
      </c>
      <c r="AS69" s="96">
        <f t="shared" si="31"/>
        <v>12.400000000000002</v>
      </c>
      <c r="AT69" s="98">
        <f t="shared" si="32"/>
        <v>93.295946854321159</v>
      </c>
    </row>
    <row r="70" spans="17:46" ht="14.65" x14ac:dyDescent="0.4">
      <c r="Q70" s="32">
        <v>63</v>
      </c>
      <c r="R70" s="97">
        <f t="shared" si="0"/>
        <v>15</v>
      </c>
      <c r="S70" s="96">
        <f t="shared" si="34"/>
        <v>0.84000000000000008</v>
      </c>
      <c r="T70" s="96">
        <f t="shared" si="2"/>
        <v>13</v>
      </c>
      <c r="U70" s="98">
        <f t="shared" si="35"/>
        <v>0.96923076923076934</v>
      </c>
      <c r="V70" s="97">
        <f t="shared" si="36"/>
        <v>2</v>
      </c>
      <c r="W70" s="96">
        <f t="shared" si="37"/>
        <v>0.5357142857142857</v>
      </c>
      <c r="X70" s="98">
        <f t="shared" si="38"/>
        <v>0.4642857142857143</v>
      </c>
      <c r="Y70" s="97">
        <f t="shared" si="18"/>
        <v>1.5827922077922081</v>
      </c>
      <c r="Z70" s="96">
        <f t="shared" si="33"/>
        <v>3.3920229770229775</v>
      </c>
      <c r="AA70" s="96">
        <f t="shared" si="19"/>
        <v>1.0715304701427362</v>
      </c>
      <c r="AB70" s="96">
        <v>0</v>
      </c>
      <c r="AC70" s="96">
        <f t="shared" si="20"/>
        <v>1.1481775484443133E-2</v>
      </c>
      <c r="AD70" s="98">
        <f t="shared" si="21"/>
        <v>1.1481775484443133E-2</v>
      </c>
      <c r="AE70" s="97">
        <f t="shared" si="22"/>
        <v>0.43615384615384623</v>
      </c>
      <c r="AF70" s="96">
        <f t="shared" si="23"/>
        <v>1.0715304701427362</v>
      </c>
      <c r="AG70" s="96">
        <f t="shared" si="39"/>
        <v>5.1667989679994109E-3</v>
      </c>
      <c r="AH70" s="96">
        <f t="shared" si="40"/>
        <v>0.11649981734144446</v>
      </c>
      <c r="AI70" s="98">
        <f t="shared" si="24"/>
        <v>0.12166661630944388</v>
      </c>
      <c r="AJ70" s="97">
        <f t="shared" si="25"/>
        <v>0.84000000000000008</v>
      </c>
      <c r="AK70" s="96">
        <f t="shared" si="26"/>
        <v>1.7991702667921872</v>
      </c>
      <c r="AL70" s="96">
        <f t="shared" si="27"/>
        <v>0.58799999999999997</v>
      </c>
      <c r="AM70" s="96">
        <f t="shared" si="41"/>
        <v>0.12628</v>
      </c>
      <c r="AN70" s="98">
        <f t="shared" si="28"/>
        <v>0.71428000000000003</v>
      </c>
      <c r="AO70" s="97">
        <f t="shared" si="42"/>
        <v>1.0333597935998818E-2</v>
      </c>
      <c r="AP70" s="96">
        <f t="shared" si="16"/>
        <v>5.049E-2</v>
      </c>
      <c r="AQ70" s="98">
        <f t="shared" si="29"/>
        <v>5.8500000000000002E-3</v>
      </c>
      <c r="AR70" s="97">
        <f t="shared" si="30"/>
        <v>0.90262021424544281</v>
      </c>
      <c r="AS70" s="96">
        <f t="shared" si="31"/>
        <v>12.600000000000001</v>
      </c>
      <c r="AT70" s="98">
        <f t="shared" si="32"/>
        <v>93.315221787152339</v>
      </c>
    </row>
    <row r="71" spans="17:46" ht="14.65" x14ac:dyDescent="0.4">
      <c r="Q71" s="32">
        <v>64</v>
      </c>
      <c r="R71" s="97">
        <f t="shared" ref="R71:R134" si="43">VOUT</f>
        <v>15</v>
      </c>
      <c r="S71" s="96">
        <f t="shared" ref="S71:S102" si="44">Q71*$O$12</f>
        <v>0.85333333333333339</v>
      </c>
      <c r="T71" s="96">
        <f t="shared" ref="T71:T134" si="45">VIN_var</f>
        <v>13</v>
      </c>
      <c r="U71" s="98">
        <f t="shared" ref="U71:U102" si="46">(R71*S71)/(T71*EFF_est)</f>
        <v>0.98461538461538467</v>
      </c>
      <c r="V71" s="97">
        <f t="shared" ref="V71:V102" si="47">IF(S71&lt;((T71^2)*R71)/(2*Fsw*Lm*((T71+R71)^2)),1,2)</f>
        <v>2</v>
      </c>
      <c r="W71" s="96">
        <f t="shared" ref="W71:W102" si="48">CHOOSE(V71,SQRT(2*Lm*R71*S71*Fsw)/T71,R71/(T71+R71))</f>
        <v>0.5357142857142857</v>
      </c>
      <c r="X71" s="98">
        <f t="shared" ref="X71:X102" si="49">CHOOSE(V71,(Lm*Z71*Fsw)/(R71),1-W71)</f>
        <v>0.4642857142857143</v>
      </c>
      <c r="Y71" s="97">
        <f t="shared" si="18"/>
        <v>1.5827922077922081</v>
      </c>
      <c r="Z71" s="96">
        <f t="shared" si="33"/>
        <v>3.420740925740926</v>
      </c>
      <c r="AA71" s="96">
        <f t="shared" si="19"/>
        <v>1.0854661303062136</v>
      </c>
      <c r="AB71" s="96">
        <v>0</v>
      </c>
      <c r="AC71" s="96">
        <f t="shared" si="20"/>
        <v>1.1782367200419459E-2</v>
      </c>
      <c r="AD71" s="98">
        <f t="shared" si="21"/>
        <v>1.1782367200419459E-2</v>
      </c>
      <c r="AE71" s="97">
        <f t="shared" si="22"/>
        <v>0.45010989010989011</v>
      </c>
      <c r="AF71" s="96">
        <f t="shared" si="23"/>
        <v>1.0854661303062136</v>
      </c>
      <c r="AG71" s="96">
        <f t="shared" ref="AG71:AG102" si="50">(AF71^2)*RDS_on</f>
        <v>5.3020652401887568E-3</v>
      </c>
      <c r="AH71" s="96">
        <f t="shared" ref="AH71:AH102" si="51">(((R71+T71)*(U71+S71))/2)*Fsw*(tr_sw+tf_sw)</f>
        <v>0.11834902079130866</v>
      </c>
      <c r="AI71" s="98">
        <f t="shared" si="24"/>
        <v>0.12365108603149741</v>
      </c>
      <c r="AJ71" s="97">
        <f t="shared" si="25"/>
        <v>0.85333333333333339</v>
      </c>
      <c r="AK71" s="96">
        <f t="shared" si="26"/>
        <v>1.8184462061996842</v>
      </c>
      <c r="AL71" s="96">
        <f t="shared" si="27"/>
        <v>0.59733333333333338</v>
      </c>
      <c r="AM71" s="96">
        <f t="shared" ref="AM71:AM102" si="52">(R71+T71+Vd_rect)*Qrr*Fsw</f>
        <v>0.12628</v>
      </c>
      <c r="AN71" s="98">
        <f t="shared" si="28"/>
        <v>0.72361333333333344</v>
      </c>
      <c r="AO71" s="97">
        <f t="shared" ref="AO71:AO102" si="53">(AF71^2)*R_cs</f>
        <v>1.0604130480377512E-2</v>
      </c>
      <c r="AP71" s="96">
        <f t="shared" ref="AP71:AP134" si="54">Qg_tot*Vcc*Fsw</f>
        <v>5.049E-2</v>
      </c>
      <c r="AQ71" s="98">
        <f t="shared" si="29"/>
        <v>5.8500000000000002E-3</v>
      </c>
      <c r="AR71" s="97">
        <f t="shared" si="30"/>
        <v>0.9142085498452085</v>
      </c>
      <c r="AS71" s="96">
        <f t="shared" si="31"/>
        <v>12.8</v>
      </c>
      <c r="AT71" s="98">
        <f t="shared" si="32"/>
        <v>93.333858483174907</v>
      </c>
    </row>
    <row r="72" spans="17:46" ht="14.65" x14ac:dyDescent="0.4">
      <c r="Q72" s="32">
        <v>65</v>
      </c>
      <c r="R72" s="97">
        <f t="shared" si="43"/>
        <v>15</v>
      </c>
      <c r="S72" s="96">
        <f t="shared" si="44"/>
        <v>0.8666666666666667</v>
      </c>
      <c r="T72" s="96">
        <f t="shared" si="45"/>
        <v>13</v>
      </c>
      <c r="U72" s="98">
        <f t="shared" si="46"/>
        <v>1</v>
      </c>
      <c r="V72" s="97">
        <f t="shared" si="47"/>
        <v>2</v>
      </c>
      <c r="W72" s="96">
        <f t="shared" si="48"/>
        <v>0.5357142857142857</v>
      </c>
      <c r="X72" s="98">
        <f t="shared" si="49"/>
        <v>0.4642857142857143</v>
      </c>
      <c r="Y72" s="97">
        <f t="shared" ref="Y72:Y135" si="55">(T72*W72)/(Lm*Fsw)</f>
        <v>1.5827922077922081</v>
      </c>
      <c r="Z72" s="96">
        <f t="shared" ref="Z72:Z135" si="56">CHOOSE(V72,Y72,U72+S72+(Y72))</f>
        <v>3.449458874458875</v>
      </c>
      <c r="AA72" s="96">
        <f t="shared" ref="AA72:AA135" si="57">CHOOSE(V72,Z72*SQRT((W72+X72)/3),SQRT((U72^2)+((Y72^2)/12)))</f>
        <v>1.0994404324112537</v>
      </c>
      <c r="AB72" s="96">
        <v>0</v>
      </c>
      <c r="AC72" s="96">
        <f t="shared" ref="AC72:AC135" si="58">(AA72^2)*Rdcr</f>
        <v>1.2087692644206446E-2</v>
      </c>
      <c r="AD72" s="98">
        <f t="shared" ref="AD72:AD135" si="59">AB72+AC72</f>
        <v>1.2087692644206446E-2</v>
      </c>
      <c r="AE72" s="97">
        <f t="shared" ref="AE72:AE135" si="60">U72*S72*W72</f>
        <v>0.4642857142857143</v>
      </c>
      <c r="AF72" s="96">
        <f t="shared" ref="AF72:AF135" si="61">AA72</f>
        <v>1.0994404324112537</v>
      </c>
      <c r="AG72" s="96">
        <f t="shared" si="50"/>
        <v>5.4394616898929011E-3</v>
      </c>
      <c r="AH72" s="96">
        <f t="shared" si="51"/>
        <v>0.12019822424117284</v>
      </c>
      <c r="AI72" s="98">
        <f t="shared" ref="AI72:AI135" si="62">AG72+AH72</f>
        <v>0.12563768593106575</v>
      </c>
      <c r="AJ72" s="97">
        <f t="shared" ref="AJ72:AJ135" si="63">S72</f>
        <v>0.8666666666666667</v>
      </c>
      <c r="AK72" s="96">
        <f t="shared" ref="AK72:AK135" si="64">CHOOSE(V72,Z72*SQRT(X72/3),SQRT(X72*((Z72^2)+((Y72^2)/3)-(Y72*Z72))))</f>
        <v>1.8377283185337252</v>
      </c>
      <c r="AL72" s="96">
        <f t="shared" ref="AL72:AL135" si="65">S72*Vd_rect</f>
        <v>0.60666666666666669</v>
      </c>
      <c r="AM72" s="96">
        <f t="shared" si="52"/>
        <v>0.12628</v>
      </c>
      <c r="AN72" s="98">
        <f t="shared" ref="AN72:AN135" si="66">AL72+AM72</f>
        <v>0.73294666666666664</v>
      </c>
      <c r="AO72" s="97">
        <f t="shared" si="53"/>
        <v>1.0878923379785799E-2</v>
      </c>
      <c r="AP72" s="96">
        <f t="shared" si="54"/>
        <v>5.049E-2</v>
      </c>
      <c r="AQ72" s="98">
        <f t="shared" ref="AQ72:AQ135" si="67">IQ*T72</f>
        <v>5.8500000000000002E-3</v>
      </c>
      <c r="AR72" s="97">
        <f t="shared" ref="AR72:AR135" si="68">AO72+AN72+AI72+AP72+AQ72</f>
        <v>0.92580327597751821</v>
      </c>
      <c r="AS72" s="96">
        <f t="shared" ref="AS72:AS135" si="69">R72*S72</f>
        <v>13</v>
      </c>
      <c r="AT72" s="98">
        <f t="shared" ref="AT72:AT135" si="70">(AS72/(AS72+AR72))*100</f>
        <v>93.351886008798061</v>
      </c>
    </row>
    <row r="73" spans="17:46" ht="14.65" x14ac:dyDescent="0.4">
      <c r="Q73" s="32">
        <v>66</v>
      </c>
      <c r="R73" s="97">
        <f t="shared" si="43"/>
        <v>15</v>
      </c>
      <c r="S73" s="96">
        <f t="shared" si="44"/>
        <v>0.88</v>
      </c>
      <c r="T73" s="96">
        <f t="shared" si="45"/>
        <v>13</v>
      </c>
      <c r="U73" s="98">
        <f t="shared" si="46"/>
        <v>1.0153846153846153</v>
      </c>
      <c r="V73" s="97">
        <f t="shared" si="47"/>
        <v>2</v>
      </c>
      <c r="W73" s="96">
        <f t="shared" si="48"/>
        <v>0.5357142857142857</v>
      </c>
      <c r="X73" s="98">
        <f t="shared" si="49"/>
        <v>0.4642857142857143</v>
      </c>
      <c r="Y73" s="97">
        <f t="shared" si="55"/>
        <v>1.5827922077922081</v>
      </c>
      <c r="Z73" s="96">
        <f t="shared" si="56"/>
        <v>3.4781768231768231</v>
      </c>
      <c r="AA73" s="96">
        <f t="shared" si="57"/>
        <v>1.1134519215396808</v>
      </c>
      <c r="AB73" s="96">
        <v>0</v>
      </c>
      <c r="AC73" s="96">
        <f t="shared" si="58"/>
        <v>1.2397751815804076E-2</v>
      </c>
      <c r="AD73" s="98">
        <f t="shared" si="59"/>
        <v>1.2397751815804076E-2</v>
      </c>
      <c r="AE73" s="97">
        <f t="shared" si="60"/>
        <v>0.47868131868131863</v>
      </c>
      <c r="AF73" s="96">
        <f t="shared" si="61"/>
        <v>1.1134519215396808</v>
      </c>
      <c r="AG73" s="96">
        <f t="shared" si="50"/>
        <v>5.5789883171118342E-3</v>
      </c>
      <c r="AH73" s="96">
        <f t="shared" si="51"/>
        <v>0.12204742769103703</v>
      </c>
      <c r="AI73" s="98">
        <f t="shared" si="62"/>
        <v>0.12762641600814886</v>
      </c>
      <c r="AJ73" s="97">
        <f t="shared" si="63"/>
        <v>0.88</v>
      </c>
      <c r="AK73" s="96">
        <f t="shared" si="64"/>
        <v>1.8570164115067405</v>
      </c>
      <c r="AL73" s="96">
        <f t="shared" si="65"/>
        <v>0.61599999999999999</v>
      </c>
      <c r="AM73" s="96">
        <f t="shared" si="52"/>
        <v>0.12628</v>
      </c>
      <c r="AN73" s="98">
        <f t="shared" si="66"/>
        <v>0.74228000000000005</v>
      </c>
      <c r="AO73" s="97">
        <f t="shared" si="53"/>
        <v>1.1157976634223667E-2</v>
      </c>
      <c r="AP73" s="96">
        <f t="shared" si="54"/>
        <v>5.049E-2</v>
      </c>
      <c r="AQ73" s="98">
        <f t="shared" si="67"/>
        <v>5.8500000000000002E-3</v>
      </c>
      <c r="AR73" s="97">
        <f t="shared" si="68"/>
        <v>0.93740439264237263</v>
      </c>
      <c r="AS73" s="96">
        <f t="shared" si="69"/>
        <v>13.2</v>
      </c>
      <c r="AT73" s="98">
        <f t="shared" si="70"/>
        <v>93.369331691960141</v>
      </c>
    </row>
    <row r="74" spans="17:46" ht="14.65" x14ac:dyDescent="0.4">
      <c r="Q74" s="32">
        <v>67</v>
      </c>
      <c r="R74" s="97">
        <f t="shared" si="43"/>
        <v>15</v>
      </c>
      <c r="S74" s="96">
        <f t="shared" si="44"/>
        <v>0.89333333333333342</v>
      </c>
      <c r="T74" s="96">
        <f t="shared" si="45"/>
        <v>13</v>
      </c>
      <c r="U74" s="98">
        <f t="shared" si="46"/>
        <v>1.0307692307692309</v>
      </c>
      <c r="V74" s="97">
        <f t="shared" si="47"/>
        <v>2</v>
      </c>
      <c r="W74" s="96">
        <f t="shared" si="48"/>
        <v>0.5357142857142857</v>
      </c>
      <c r="X74" s="98">
        <f t="shared" si="49"/>
        <v>0.4642857142857143</v>
      </c>
      <c r="Y74" s="97">
        <f t="shared" si="55"/>
        <v>1.5827922077922081</v>
      </c>
      <c r="Z74" s="96">
        <f t="shared" si="56"/>
        <v>3.5068947718947721</v>
      </c>
      <c r="AA74" s="96">
        <f t="shared" si="57"/>
        <v>1.1274992113173454</v>
      </c>
      <c r="AB74" s="96">
        <v>0</v>
      </c>
      <c r="AC74" s="96">
        <f t="shared" si="58"/>
        <v>1.2712544715212359E-2</v>
      </c>
      <c r="AD74" s="98">
        <f t="shared" si="59"/>
        <v>1.2712544715212359E-2</v>
      </c>
      <c r="AE74" s="97">
        <f t="shared" si="60"/>
        <v>0.49329670329670339</v>
      </c>
      <c r="AF74" s="96">
        <f t="shared" si="61"/>
        <v>1.1274992113173454</v>
      </c>
      <c r="AG74" s="96">
        <f t="shared" si="50"/>
        <v>5.7206451218455622E-3</v>
      </c>
      <c r="AH74" s="96">
        <f t="shared" si="51"/>
        <v>0.12389663114090123</v>
      </c>
      <c r="AI74" s="98">
        <f t="shared" si="62"/>
        <v>0.1296172762627468</v>
      </c>
      <c r="AJ74" s="97">
        <f t="shared" si="63"/>
        <v>0.89333333333333342</v>
      </c>
      <c r="AK74" s="96">
        <f t="shared" si="64"/>
        <v>1.8763103006794382</v>
      </c>
      <c r="AL74" s="96">
        <f t="shared" si="65"/>
        <v>0.62533333333333341</v>
      </c>
      <c r="AM74" s="96">
        <f t="shared" si="52"/>
        <v>0.12628</v>
      </c>
      <c r="AN74" s="98">
        <f t="shared" si="66"/>
        <v>0.75161333333333347</v>
      </c>
      <c r="AO74" s="97">
        <f t="shared" si="53"/>
        <v>1.1441290243691123E-2</v>
      </c>
      <c r="AP74" s="96">
        <f t="shared" si="54"/>
        <v>5.049E-2</v>
      </c>
      <c r="AQ74" s="98">
        <f t="shared" si="67"/>
        <v>5.8500000000000002E-3</v>
      </c>
      <c r="AR74" s="97">
        <f t="shared" si="68"/>
        <v>0.94901189983977141</v>
      </c>
      <c r="AS74" s="96">
        <f t="shared" si="69"/>
        <v>13.400000000000002</v>
      </c>
      <c r="AT74" s="98">
        <f t="shared" si="70"/>
        <v>93.386221250186793</v>
      </c>
    </row>
    <row r="75" spans="17:46" ht="14.65" x14ac:dyDescent="0.4">
      <c r="Q75" s="32">
        <v>68</v>
      </c>
      <c r="R75" s="97">
        <f t="shared" si="43"/>
        <v>15</v>
      </c>
      <c r="S75" s="96">
        <f t="shared" si="44"/>
        <v>0.90666666666666673</v>
      </c>
      <c r="T75" s="96">
        <f t="shared" si="45"/>
        <v>13</v>
      </c>
      <c r="U75" s="98">
        <f t="shared" si="46"/>
        <v>1.0461538461538462</v>
      </c>
      <c r="V75" s="97">
        <f t="shared" si="47"/>
        <v>2</v>
      </c>
      <c r="W75" s="96">
        <f t="shared" si="48"/>
        <v>0.5357142857142857</v>
      </c>
      <c r="X75" s="98">
        <f t="shared" si="49"/>
        <v>0.4642857142857143</v>
      </c>
      <c r="Y75" s="97">
        <f t="shared" si="55"/>
        <v>1.5827922077922081</v>
      </c>
      <c r="Z75" s="96">
        <f t="shared" si="56"/>
        <v>3.535612720612721</v>
      </c>
      <c r="AA75" s="96">
        <f t="shared" si="57"/>
        <v>1.141580980151268</v>
      </c>
      <c r="AB75" s="96">
        <v>0</v>
      </c>
      <c r="AC75" s="96">
        <f t="shared" si="58"/>
        <v>1.3032071342431298E-2</v>
      </c>
      <c r="AD75" s="98">
        <f t="shared" si="59"/>
        <v>1.3032071342431298E-2</v>
      </c>
      <c r="AE75" s="97">
        <f t="shared" si="60"/>
        <v>0.50813186813186817</v>
      </c>
      <c r="AF75" s="96">
        <f t="shared" si="61"/>
        <v>1.141580980151268</v>
      </c>
      <c r="AG75" s="96">
        <f t="shared" si="50"/>
        <v>5.8644321040940842E-3</v>
      </c>
      <c r="AH75" s="96">
        <f t="shared" si="51"/>
        <v>0.12574583459076544</v>
      </c>
      <c r="AI75" s="98">
        <f t="shared" si="62"/>
        <v>0.13161026669485953</v>
      </c>
      <c r="AJ75" s="97">
        <f t="shared" si="63"/>
        <v>0.90666666666666673</v>
      </c>
      <c r="AK75" s="96">
        <f t="shared" si="64"/>
        <v>1.895609809067248</v>
      </c>
      <c r="AL75" s="96">
        <f t="shared" si="65"/>
        <v>0.63466666666666671</v>
      </c>
      <c r="AM75" s="96">
        <f t="shared" si="52"/>
        <v>0.12628</v>
      </c>
      <c r="AN75" s="98">
        <f t="shared" si="66"/>
        <v>0.76094666666666666</v>
      </c>
      <c r="AO75" s="97">
        <f t="shared" si="53"/>
        <v>1.1728864208188167E-2</v>
      </c>
      <c r="AP75" s="96">
        <f t="shared" si="54"/>
        <v>5.049E-2</v>
      </c>
      <c r="AQ75" s="98">
        <f t="shared" si="67"/>
        <v>5.8500000000000002E-3</v>
      </c>
      <c r="AR75" s="97">
        <f t="shared" si="68"/>
        <v>0.96062579756971445</v>
      </c>
      <c r="AS75" s="96">
        <f t="shared" si="69"/>
        <v>13.600000000000001</v>
      </c>
      <c r="AT75" s="98">
        <f t="shared" si="70"/>
        <v>93.402578907494131</v>
      </c>
    </row>
    <row r="76" spans="17:46" ht="14.65" x14ac:dyDescent="0.4">
      <c r="Q76" s="32">
        <v>69</v>
      </c>
      <c r="R76" s="97">
        <f t="shared" si="43"/>
        <v>15</v>
      </c>
      <c r="S76" s="96">
        <f t="shared" si="44"/>
        <v>0.92</v>
      </c>
      <c r="T76" s="96">
        <f t="shared" si="45"/>
        <v>13</v>
      </c>
      <c r="U76" s="98">
        <f t="shared" si="46"/>
        <v>1.0615384615384615</v>
      </c>
      <c r="V76" s="97">
        <f t="shared" si="47"/>
        <v>2</v>
      </c>
      <c r="W76" s="96">
        <f t="shared" si="48"/>
        <v>0.5357142857142857</v>
      </c>
      <c r="X76" s="98">
        <f t="shared" si="49"/>
        <v>0.4642857142857143</v>
      </c>
      <c r="Y76" s="97">
        <f t="shared" si="55"/>
        <v>1.5827922077922081</v>
      </c>
      <c r="Z76" s="96">
        <f t="shared" si="56"/>
        <v>3.56433066933067</v>
      </c>
      <c r="AA76" s="96">
        <f t="shared" si="57"/>
        <v>1.1556959676948295</v>
      </c>
      <c r="AB76" s="96">
        <v>0</v>
      </c>
      <c r="AC76" s="96">
        <f t="shared" si="58"/>
        <v>1.3356331697460883E-2</v>
      </c>
      <c r="AD76" s="98">
        <f t="shared" si="59"/>
        <v>1.3356331697460883E-2</v>
      </c>
      <c r="AE76" s="97">
        <f t="shared" si="60"/>
        <v>0.52318681318681315</v>
      </c>
      <c r="AF76" s="96">
        <f t="shared" si="61"/>
        <v>1.1556959676948295</v>
      </c>
      <c r="AG76" s="96">
        <f t="shared" si="50"/>
        <v>6.0103492638573985E-3</v>
      </c>
      <c r="AH76" s="96">
        <f t="shared" si="51"/>
        <v>0.12759503804062963</v>
      </c>
      <c r="AI76" s="98">
        <f t="shared" si="62"/>
        <v>0.13360538730448704</v>
      </c>
      <c r="AJ76" s="97">
        <f t="shared" si="63"/>
        <v>0.92</v>
      </c>
      <c r="AK76" s="96">
        <f t="shared" si="64"/>
        <v>1.9149147667700472</v>
      </c>
      <c r="AL76" s="96">
        <f t="shared" si="65"/>
        <v>0.64400000000000002</v>
      </c>
      <c r="AM76" s="96">
        <f t="shared" si="52"/>
        <v>0.12628</v>
      </c>
      <c r="AN76" s="98">
        <f t="shared" si="66"/>
        <v>0.77028000000000008</v>
      </c>
      <c r="AO76" s="97">
        <f t="shared" si="53"/>
        <v>1.2020698527714794E-2</v>
      </c>
      <c r="AP76" s="96">
        <f t="shared" si="54"/>
        <v>5.049E-2</v>
      </c>
      <c r="AQ76" s="98">
        <f t="shared" si="67"/>
        <v>5.8500000000000002E-3</v>
      </c>
      <c r="AR76" s="97">
        <f t="shared" si="68"/>
        <v>0.97224608583220196</v>
      </c>
      <c r="AS76" s="96">
        <f t="shared" si="69"/>
        <v>13.8</v>
      </c>
      <c r="AT76" s="98">
        <f t="shared" si="70"/>
        <v>93.418427501254087</v>
      </c>
    </row>
    <row r="77" spans="17:46" ht="14.65" x14ac:dyDescent="0.4">
      <c r="Q77" s="32">
        <v>70</v>
      </c>
      <c r="R77" s="97">
        <f t="shared" si="43"/>
        <v>15</v>
      </c>
      <c r="S77" s="96">
        <f t="shared" si="44"/>
        <v>0.93333333333333335</v>
      </c>
      <c r="T77" s="96">
        <f t="shared" si="45"/>
        <v>13</v>
      </c>
      <c r="U77" s="98">
        <f t="shared" si="46"/>
        <v>1.0769230769230769</v>
      </c>
      <c r="V77" s="97">
        <f t="shared" si="47"/>
        <v>2</v>
      </c>
      <c r="W77" s="96">
        <f t="shared" si="48"/>
        <v>0.5357142857142857</v>
      </c>
      <c r="X77" s="98">
        <f t="shared" si="49"/>
        <v>0.4642857142857143</v>
      </c>
      <c r="Y77" s="97">
        <f t="shared" si="55"/>
        <v>1.5827922077922081</v>
      </c>
      <c r="Z77" s="96">
        <f t="shared" si="56"/>
        <v>3.5930486180486181</v>
      </c>
      <c r="AA77" s="96">
        <f t="shared" si="57"/>
        <v>1.1698429715265686</v>
      </c>
      <c r="AB77" s="96">
        <v>0</v>
      </c>
      <c r="AC77" s="96">
        <f t="shared" si="58"/>
        <v>1.3685325780301119E-2</v>
      </c>
      <c r="AD77" s="98">
        <f t="shared" si="59"/>
        <v>1.3685325780301119E-2</v>
      </c>
      <c r="AE77" s="97">
        <f t="shared" si="60"/>
        <v>0.53846153846153844</v>
      </c>
      <c r="AF77" s="96">
        <f t="shared" si="61"/>
        <v>1.1698429715265686</v>
      </c>
      <c r="AG77" s="96">
        <f t="shared" si="50"/>
        <v>6.1583966011355042E-3</v>
      </c>
      <c r="AH77" s="96">
        <f t="shared" si="51"/>
        <v>0.12944424149049383</v>
      </c>
      <c r="AI77" s="98">
        <f t="shared" si="62"/>
        <v>0.13560263809162934</v>
      </c>
      <c r="AJ77" s="97">
        <f t="shared" si="63"/>
        <v>0.93333333333333335</v>
      </c>
      <c r="AK77" s="96">
        <f t="shared" si="64"/>
        <v>1.9342250106235859</v>
      </c>
      <c r="AL77" s="96">
        <f t="shared" si="65"/>
        <v>0.65333333333333332</v>
      </c>
      <c r="AM77" s="96">
        <f t="shared" si="52"/>
        <v>0.12628</v>
      </c>
      <c r="AN77" s="98">
        <f t="shared" si="66"/>
        <v>0.77961333333333327</v>
      </c>
      <c r="AO77" s="97">
        <f t="shared" si="53"/>
        <v>1.2316793202271005E-2</v>
      </c>
      <c r="AP77" s="96">
        <f t="shared" si="54"/>
        <v>5.049E-2</v>
      </c>
      <c r="AQ77" s="98">
        <f t="shared" si="67"/>
        <v>5.8500000000000002E-3</v>
      </c>
      <c r="AR77" s="97">
        <f t="shared" si="68"/>
        <v>0.98387276462723361</v>
      </c>
      <c r="AS77" s="96">
        <f t="shared" si="69"/>
        <v>14</v>
      </c>
      <c r="AT77" s="98">
        <f t="shared" si="70"/>
        <v>93.433788580013271</v>
      </c>
    </row>
    <row r="78" spans="17:46" ht="14.65" x14ac:dyDescent="0.4">
      <c r="Q78" s="32">
        <v>71</v>
      </c>
      <c r="R78" s="97">
        <f t="shared" si="43"/>
        <v>15</v>
      </c>
      <c r="S78" s="96">
        <f t="shared" si="44"/>
        <v>0.94666666666666677</v>
      </c>
      <c r="T78" s="96">
        <f t="shared" si="45"/>
        <v>13</v>
      </c>
      <c r="U78" s="98">
        <f t="shared" si="46"/>
        <v>1.0923076923076924</v>
      </c>
      <c r="V78" s="97">
        <f t="shared" si="47"/>
        <v>2</v>
      </c>
      <c r="W78" s="96">
        <f t="shared" si="48"/>
        <v>0.5357142857142857</v>
      </c>
      <c r="X78" s="98">
        <f t="shared" si="49"/>
        <v>0.4642857142857143</v>
      </c>
      <c r="Y78" s="97">
        <f t="shared" si="55"/>
        <v>1.5827922077922081</v>
      </c>
      <c r="Z78" s="96">
        <f t="shared" si="56"/>
        <v>3.6217665667665671</v>
      </c>
      <c r="AA78" s="96">
        <f t="shared" si="57"/>
        <v>1.1840208440290234</v>
      </c>
      <c r="AB78" s="96">
        <v>0</v>
      </c>
      <c r="AC78" s="96">
        <f t="shared" si="58"/>
        <v>1.4019053590952011E-2</v>
      </c>
      <c r="AD78" s="98">
        <f t="shared" si="59"/>
        <v>1.4019053590952011E-2</v>
      </c>
      <c r="AE78" s="97">
        <f t="shared" si="60"/>
        <v>0.55395604395604403</v>
      </c>
      <c r="AF78" s="96">
        <f t="shared" si="61"/>
        <v>1.1840208440290234</v>
      </c>
      <c r="AG78" s="96">
        <f t="shared" si="50"/>
        <v>6.3085741159284057E-3</v>
      </c>
      <c r="AH78" s="96">
        <f t="shared" si="51"/>
        <v>0.13129344494035805</v>
      </c>
      <c r="AI78" s="98">
        <f t="shared" si="62"/>
        <v>0.13760201905628647</v>
      </c>
      <c r="AJ78" s="97">
        <f t="shared" si="63"/>
        <v>0.94666666666666677</v>
      </c>
      <c r="AK78" s="96">
        <f t="shared" si="64"/>
        <v>1.9535403838711529</v>
      </c>
      <c r="AL78" s="96">
        <f t="shared" si="65"/>
        <v>0.66266666666666674</v>
      </c>
      <c r="AM78" s="96">
        <f t="shared" si="52"/>
        <v>0.12628</v>
      </c>
      <c r="AN78" s="98">
        <f t="shared" si="66"/>
        <v>0.78894666666666668</v>
      </c>
      <c r="AO78" s="97">
        <f t="shared" si="53"/>
        <v>1.2617148231856808E-2</v>
      </c>
      <c r="AP78" s="96">
        <f t="shared" si="54"/>
        <v>5.049E-2</v>
      </c>
      <c r="AQ78" s="98">
        <f t="shared" si="67"/>
        <v>5.8500000000000002E-3</v>
      </c>
      <c r="AR78" s="97">
        <f t="shared" si="68"/>
        <v>0.99550583395480996</v>
      </c>
      <c r="AS78" s="96">
        <f t="shared" si="69"/>
        <v>14.200000000000001</v>
      </c>
      <c r="AT78" s="98">
        <f t="shared" si="70"/>
        <v>93.448682493146606</v>
      </c>
    </row>
    <row r="79" spans="17:46" ht="14.65" x14ac:dyDescent="0.4">
      <c r="Q79" s="32">
        <v>72</v>
      </c>
      <c r="R79" s="97">
        <f t="shared" si="43"/>
        <v>15</v>
      </c>
      <c r="S79" s="96">
        <f t="shared" si="44"/>
        <v>0.96000000000000008</v>
      </c>
      <c r="T79" s="96">
        <f t="shared" si="45"/>
        <v>13</v>
      </c>
      <c r="U79" s="98">
        <f t="shared" si="46"/>
        <v>1.1076923076923078</v>
      </c>
      <c r="V79" s="97">
        <f t="shared" si="47"/>
        <v>2</v>
      </c>
      <c r="W79" s="96">
        <f t="shared" si="48"/>
        <v>0.5357142857142857</v>
      </c>
      <c r="X79" s="98">
        <f t="shared" si="49"/>
        <v>0.4642857142857143</v>
      </c>
      <c r="Y79" s="97">
        <f t="shared" si="55"/>
        <v>1.5827922077922081</v>
      </c>
      <c r="Z79" s="96">
        <f t="shared" si="56"/>
        <v>3.650484515484516</v>
      </c>
      <c r="AA79" s="96">
        <f t="shared" si="57"/>
        <v>1.1982284894548929</v>
      </c>
      <c r="AB79" s="96">
        <v>0</v>
      </c>
      <c r="AC79" s="96">
        <f t="shared" si="58"/>
        <v>1.4357515129413545E-2</v>
      </c>
      <c r="AD79" s="98">
        <f t="shared" si="59"/>
        <v>1.4357515129413545E-2</v>
      </c>
      <c r="AE79" s="97">
        <f t="shared" si="60"/>
        <v>0.56967032967032971</v>
      </c>
      <c r="AF79" s="96">
        <f t="shared" si="61"/>
        <v>1.1982284894548929</v>
      </c>
      <c r="AG79" s="96">
        <f t="shared" si="50"/>
        <v>6.460881808236096E-3</v>
      </c>
      <c r="AH79" s="96">
        <f t="shared" si="51"/>
        <v>0.13314264839022225</v>
      </c>
      <c r="AI79" s="98">
        <f t="shared" si="62"/>
        <v>0.13960353019845834</v>
      </c>
      <c r="AJ79" s="97">
        <f t="shared" si="63"/>
        <v>0.96000000000000008</v>
      </c>
      <c r="AK79" s="96">
        <f t="shared" si="64"/>
        <v>1.972860735854131</v>
      </c>
      <c r="AL79" s="96">
        <f t="shared" si="65"/>
        <v>0.67200000000000004</v>
      </c>
      <c r="AM79" s="96">
        <f t="shared" si="52"/>
        <v>0.12628</v>
      </c>
      <c r="AN79" s="98">
        <f t="shared" si="66"/>
        <v>0.7982800000000001</v>
      </c>
      <c r="AO79" s="97">
        <f t="shared" si="53"/>
        <v>1.292176361647219E-2</v>
      </c>
      <c r="AP79" s="96">
        <f t="shared" si="54"/>
        <v>5.049E-2</v>
      </c>
      <c r="AQ79" s="98">
        <f t="shared" si="67"/>
        <v>5.8500000000000002E-3</v>
      </c>
      <c r="AR79" s="97">
        <f t="shared" si="68"/>
        <v>1.0071452938149306</v>
      </c>
      <c r="AS79" s="96">
        <f t="shared" si="69"/>
        <v>14.4</v>
      </c>
      <c r="AT79" s="98">
        <f t="shared" si="70"/>
        <v>93.463128473129657</v>
      </c>
    </row>
    <row r="80" spans="17:46" ht="14.65" x14ac:dyDescent="0.4">
      <c r="Q80" s="32">
        <v>73</v>
      </c>
      <c r="R80" s="97">
        <f t="shared" si="43"/>
        <v>15</v>
      </c>
      <c r="S80" s="96">
        <f t="shared" si="44"/>
        <v>0.97333333333333338</v>
      </c>
      <c r="T80" s="96">
        <f t="shared" si="45"/>
        <v>13</v>
      </c>
      <c r="U80" s="98">
        <f t="shared" si="46"/>
        <v>1.1230769230769231</v>
      </c>
      <c r="V80" s="97">
        <f t="shared" si="47"/>
        <v>2</v>
      </c>
      <c r="W80" s="96">
        <f t="shared" si="48"/>
        <v>0.5357142857142857</v>
      </c>
      <c r="X80" s="98">
        <f t="shared" si="49"/>
        <v>0.4642857142857143</v>
      </c>
      <c r="Y80" s="97">
        <f t="shared" si="55"/>
        <v>1.5827922077922081</v>
      </c>
      <c r="Z80" s="96">
        <f t="shared" si="56"/>
        <v>3.6792024642024641</v>
      </c>
      <c r="AA80" s="96">
        <f t="shared" si="57"/>
        <v>1.212464861168592</v>
      </c>
      <c r="AB80" s="96">
        <v>0</v>
      </c>
      <c r="AC80" s="96">
        <f t="shared" si="58"/>
        <v>1.4700710395685729E-2</v>
      </c>
      <c r="AD80" s="98">
        <f t="shared" si="59"/>
        <v>1.4700710395685729E-2</v>
      </c>
      <c r="AE80" s="97">
        <f t="shared" si="60"/>
        <v>0.58560439560439559</v>
      </c>
      <c r="AF80" s="96">
        <f t="shared" si="61"/>
        <v>1.212464861168592</v>
      </c>
      <c r="AG80" s="96">
        <f t="shared" si="50"/>
        <v>6.6153196780585795E-3</v>
      </c>
      <c r="AH80" s="96">
        <f t="shared" si="51"/>
        <v>0.13499185184008644</v>
      </c>
      <c r="AI80" s="98">
        <f t="shared" si="62"/>
        <v>0.14160717151814503</v>
      </c>
      <c r="AJ80" s="97">
        <f t="shared" si="63"/>
        <v>0.97333333333333338</v>
      </c>
      <c r="AK80" s="96">
        <f t="shared" si="64"/>
        <v>1.9921859217202007</v>
      </c>
      <c r="AL80" s="96">
        <f t="shared" si="65"/>
        <v>0.68133333333333335</v>
      </c>
      <c r="AM80" s="96">
        <f t="shared" si="52"/>
        <v>0.12628</v>
      </c>
      <c r="AN80" s="98">
        <f t="shared" si="66"/>
        <v>0.80761333333333329</v>
      </c>
      <c r="AO80" s="97">
        <f t="shared" si="53"/>
        <v>1.3230639356117155E-2</v>
      </c>
      <c r="AP80" s="96">
        <f t="shared" si="54"/>
        <v>5.049E-2</v>
      </c>
      <c r="AQ80" s="98">
        <f t="shared" si="67"/>
        <v>5.8500000000000002E-3</v>
      </c>
      <c r="AR80" s="97">
        <f t="shared" si="68"/>
        <v>1.0187911442075954</v>
      </c>
      <c r="AS80" s="96">
        <f t="shared" si="69"/>
        <v>14.600000000000001</v>
      </c>
      <c r="AT80" s="98">
        <f t="shared" si="70"/>
        <v>93.477144711129412</v>
      </c>
    </row>
    <row r="81" spans="17:46" ht="14.65" x14ac:dyDescent="0.4">
      <c r="Q81" s="32">
        <v>74</v>
      </c>
      <c r="R81" s="97">
        <f t="shared" si="43"/>
        <v>15</v>
      </c>
      <c r="S81" s="96">
        <f t="shared" si="44"/>
        <v>0.98666666666666669</v>
      </c>
      <c r="T81" s="96">
        <f t="shared" si="45"/>
        <v>13</v>
      </c>
      <c r="U81" s="98">
        <f t="shared" si="46"/>
        <v>1.1384615384615384</v>
      </c>
      <c r="V81" s="97">
        <f t="shared" si="47"/>
        <v>2</v>
      </c>
      <c r="W81" s="96">
        <f t="shared" si="48"/>
        <v>0.5357142857142857</v>
      </c>
      <c r="X81" s="98">
        <f t="shared" si="49"/>
        <v>0.4642857142857143</v>
      </c>
      <c r="Y81" s="97">
        <f t="shared" si="55"/>
        <v>1.5827922077922081</v>
      </c>
      <c r="Z81" s="96">
        <f t="shared" si="56"/>
        <v>3.7079204129204131</v>
      </c>
      <c r="AA81" s="96">
        <f t="shared" si="57"/>
        <v>1.2267289590520221</v>
      </c>
      <c r="AB81" s="96">
        <v>0</v>
      </c>
      <c r="AC81" s="96">
        <f t="shared" si="58"/>
        <v>1.5048639389768578E-2</v>
      </c>
      <c r="AD81" s="98">
        <f t="shared" si="59"/>
        <v>1.5048639389768578E-2</v>
      </c>
      <c r="AE81" s="97">
        <f t="shared" si="60"/>
        <v>0.60175824175824166</v>
      </c>
      <c r="AF81" s="96">
        <f t="shared" si="61"/>
        <v>1.2267289590520221</v>
      </c>
      <c r="AG81" s="96">
        <f t="shared" si="50"/>
        <v>6.7718877253958604E-3</v>
      </c>
      <c r="AH81" s="96">
        <f t="shared" si="51"/>
        <v>0.13684105528995064</v>
      </c>
      <c r="AI81" s="98">
        <f t="shared" si="62"/>
        <v>0.14361294301534649</v>
      </c>
      <c r="AJ81" s="97">
        <f t="shared" si="63"/>
        <v>0.98666666666666669</v>
      </c>
      <c r="AK81" s="96">
        <f t="shared" si="64"/>
        <v>2.0115158021480326</v>
      </c>
      <c r="AL81" s="96">
        <f t="shared" si="65"/>
        <v>0.69066666666666665</v>
      </c>
      <c r="AM81" s="96">
        <f t="shared" si="52"/>
        <v>0.12628</v>
      </c>
      <c r="AN81" s="98">
        <f t="shared" si="66"/>
        <v>0.81694666666666671</v>
      </c>
      <c r="AO81" s="97">
        <f t="shared" si="53"/>
        <v>1.3543775450791717E-2</v>
      </c>
      <c r="AP81" s="96">
        <f t="shared" si="54"/>
        <v>5.049E-2</v>
      </c>
      <c r="AQ81" s="98">
        <f t="shared" si="67"/>
        <v>5.8500000000000002E-3</v>
      </c>
      <c r="AR81" s="97">
        <f t="shared" si="68"/>
        <v>1.0304433851328048</v>
      </c>
      <c r="AS81" s="96">
        <f t="shared" si="69"/>
        <v>14.8</v>
      </c>
      <c r="AT81" s="98">
        <f t="shared" si="70"/>
        <v>93.490748426537763</v>
      </c>
    </row>
    <row r="82" spans="17:46" ht="14.65" x14ac:dyDescent="0.4">
      <c r="Q82" s="32">
        <v>75</v>
      </c>
      <c r="R82" s="97">
        <f t="shared" si="43"/>
        <v>15</v>
      </c>
      <c r="S82" s="96">
        <f t="shared" si="44"/>
        <v>1</v>
      </c>
      <c r="T82" s="96">
        <f t="shared" si="45"/>
        <v>13</v>
      </c>
      <c r="U82" s="98">
        <f t="shared" si="46"/>
        <v>1.1538461538461537</v>
      </c>
      <c r="V82" s="97">
        <f t="shared" si="47"/>
        <v>2</v>
      </c>
      <c r="W82" s="96">
        <f t="shared" si="48"/>
        <v>0.5357142857142857</v>
      </c>
      <c r="X82" s="98">
        <f t="shared" si="49"/>
        <v>0.4642857142857143</v>
      </c>
      <c r="Y82" s="97">
        <f t="shared" si="55"/>
        <v>1.5827922077922081</v>
      </c>
      <c r="Z82" s="96">
        <f t="shared" si="56"/>
        <v>3.736638361638362</v>
      </c>
      <c r="AA82" s="96">
        <f t="shared" si="57"/>
        <v>1.2410198270640991</v>
      </c>
      <c r="AB82" s="96">
        <v>0</v>
      </c>
      <c r="AC82" s="96">
        <f t="shared" si="58"/>
        <v>1.5401302111662064E-2</v>
      </c>
      <c r="AD82" s="98">
        <f t="shared" si="59"/>
        <v>1.5401302111662064E-2</v>
      </c>
      <c r="AE82" s="97">
        <f t="shared" si="60"/>
        <v>0.61813186813186805</v>
      </c>
      <c r="AF82" s="96">
        <f t="shared" si="61"/>
        <v>1.2410198270640991</v>
      </c>
      <c r="AG82" s="96">
        <f t="shared" si="50"/>
        <v>6.9305859502479293E-3</v>
      </c>
      <c r="AH82" s="96">
        <f t="shared" si="51"/>
        <v>0.13869025873981483</v>
      </c>
      <c r="AI82" s="98">
        <f t="shared" si="62"/>
        <v>0.14562084469006276</v>
      </c>
      <c r="AJ82" s="97">
        <f t="shared" si="63"/>
        <v>1</v>
      </c>
      <c r="AK82" s="96">
        <f t="shared" si="64"/>
        <v>2.0308502430873947</v>
      </c>
      <c r="AL82" s="96">
        <f t="shared" si="65"/>
        <v>0.7</v>
      </c>
      <c r="AM82" s="96">
        <f t="shared" si="52"/>
        <v>0.12628</v>
      </c>
      <c r="AN82" s="98">
        <f t="shared" si="66"/>
        <v>0.8262799999999999</v>
      </c>
      <c r="AO82" s="97">
        <f t="shared" si="53"/>
        <v>1.3861171900495855E-2</v>
      </c>
      <c r="AP82" s="96">
        <f t="shared" si="54"/>
        <v>5.049E-2</v>
      </c>
      <c r="AQ82" s="98">
        <f t="shared" si="67"/>
        <v>5.8500000000000002E-3</v>
      </c>
      <c r="AR82" s="97">
        <f t="shared" si="68"/>
        <v>1.0421020165905583</v>
      </c>
      <c r="AS82" s="96">
        <f t="shared" si="69"/>
        <v>15</v>
      </c>
      <c r="AT82" s="98">
        <f t="shared" si="70"/>
        <v>93.503955931006871</v>
      </c>
    </row>
    <row r="83" spans="17:46" ht="14.65" x14ac:dyDescent="0.4">
      <c r="Q83" s="32">
        <v>76</v>
      </c>
      <c r="R83" s="97">
        <f t="shared" si="43"/>
        <v>15</v>
      </c>
      <c r="S83" s="96">
        <f t="shared" si="44"/>
        <v>1.0133333333333334</v>
      </c>
      <c r="T83" s="96">
        <f t="shared" si="45"/>
        <v>13</v>
      </c>
      <c r="U83" s="98">
        <f t="shared" si="46"/>
        <v>1.1692307692307693</v>
      </c>
      <c r="V83" s="97">
        <f t="shared" si="47"/>
        <v>2</v>
      </c>
      <c r="W83" s="96">
        <f t="shared" si="48"/>
        <v>0.5357142857142857</v>
      </c>
      <c r="X83" s="98">
        <f t="shared" si="49"/>
        <v>0.4642857142857143</v>
      </c>
      <c r="Y83" s="97">
        <f t="shared" si="55"/>
        <v>1.5827922077922081</v>
      </c>
      <c r="Z83" s="96">
        <f t="shared" si="56"/>
        <v>3.765356310356311</v>
      </c>
      <c r="AA83" s="96">
        <f t="shared" si="57"/>
        <v>1.255336550944256</v>
      </c>
      <c r="AB83" s="96">
        <v>0</v>
      </c>
      <c r="AC83" s="96">
        <f t="shared" si="58"/>
        <v>1.5758698561366209E-2</v>
      </c>
      <c r="AD83" s="98">
        <f t="shared" si="59"/>
        <v>1.5758698561366209E-2</v>
      </c>
      <c r="AE83" s="97">
        <f t="shared" si="60"/>
        <v>0.63472527472527474</v>
      </c>
      <c r="AF83" s="96">
        <f t="shared" si="61"/>
        <v>1.255336550944256</v>
      </c>
      <c r="AG83" s="96">
        <f t="shared" si="50"/>
        <v>7.091414352614794E-3</v>
      </c>
      <c r="AH83" s="96">
        <f t="shared" si="51"/>
        <v>0.14053946218967905</v>
      </c>
      <c r="AI83" s="98">
        <f t="shared" si="62"/>
        <v>0.14763087654229384</v>
      </c>
      <c r="AJ83" s="97">
        <f t="shared" si="63"/>
        <v>1.0133333333333334</v>
      </c>
      <c r="AK83" s="96">
        <f t="shared" si="64"/>
        <v>2.050189115513696</v>
      </c>
      <c r="AL83" s="96">
        <f t="shared" si="65"/>
        <v>0.70933333333333337</v>
      </c>
      <c r="AM83" s="96">
        <f t="shared" si="52"/>
        <v>0.12628</v>
      </c>
      <c r="AN83" s="98">
        <f t="shared" si="66"/>
        <v>0.83561333333333332</v>
      </c>
      <c r="AO83" s="97">
        <f t="shared" si="53"/>
        <v>1.4182828705229585E-2</v>
      </c>
      <c r="AP83" s="96">
        <f t="shared" si="54"/>
        <v>5.049E-2</v>
      </c>
      <c r="AQ83" s="98">
        <f t="shared" si="67"/>
        <v>5.8500000000000002E-3</v>
      </c>
      <c r="AR83" s="97">
        <f t="shared" si="68"/>
        <v>1.0537670385808566</v>
      </c>
      <c r="AS83" s="96">
        <f t="shared" si="69"/>
        <v>15.200000000000001</v>
      </c>
      <c r="AT83" s="98">
        <f t="shared" si="70"/>
        <v>93.516782687486682</v>
      </c>
    </row>
    <row r="84" spans="17:46" ht="14.65" x14ac:dyDescent="0.4">
      <c r="Q84" s="32">
        <v>77</v>
      </c>
      <c r="R84" s="97">
        <f t="shared" si="43"/>
        <v>15</v>
      </c>
      <c r="S84" s="96">
        <f t="shared" si="44"/>
        <v>1.0266666666666668</v>
      </c>
      <c r="T84" s="96">
        <f t="shared" si="45"/>
        <v>13</v>
      </c>
      <c r="U84" s="98">
        <f t="shared" si="46"/>
        <v>1.1846153846153848</v>
      </c>
      <c r="V84" s="97">
        <f t="shared" si="47"/>
        <v>2</v>
      </c>
      <c r="W84" s="96">
        <f t="shared" si="48"/>
        <v>0.5357142857142857</v>
      </c>
      <c r="X84" s="98">
        <f t="shared" si="49"/>
        <v>0.4642857142857143</v>
      </c>
      <c r="Y84" s="97">
        <f t="shared" si="55"/>
        <v>1.5827922077922081</v>
      </c>
      <c r="Z84" s="96">
        <f t="shared" si="56"/>
        <v>3.79407425907426</v>
      </c>
      <c r="AA84" s="96">
        <f t="shared" si="57"/>
        <v>1.2696782560507605</v>
      </c>
      <c r="AB84" s="96">
        <v>0</v>
      </c>
      <c r="AC84" s="96">
        <f t="shared" si="58"/>
        <v>1.6120828738881005E-2</v>
      </c>
      <c r="AD84" s="98">
        <f t="shared" si="59"/>
        <v>1.6120828738881005E-2</v>
      </c>
      <c r="AE84" s="97">
        <f t="shared" si="60"/>
        <v>0.65153846153846184</v>
      </c>
      <c r="AF84" s="96">
        <f t="shared" si="61"/>
        <v>1.2696782560507605</v>
      </c>
      <c r="AG84" s="96">
        <f t="shared" si="50"/>
        <v>7.2543729324964527E-3</v>
      </c>
      <c r="AH84" s="96">
        <f t="shared" si="51"/>
        <v>0.14238866563954325</v>
      </c>
      <c r="AI84" s="98">
        <f t="shared" si="62"/>
        <v>0.1496430385720397</v>
      </c>
      <c r="AJ84" s="97">
        <f t="shared" si="63"/>
        <v>1.0266666666666668</v>
      </c>
      <c r="AK84" s="96">
        <f t="shared" si="64"/>
        <v>2.0695322951960291</v>
      </c>
      <c r="AL84" s="96">
        <f t="shared" si="65"/>
        <v>0.71866666666666679</v>
      </c>
      <c r="AM84" s="96">
        <f t="shared" si="52"/>
        <v>0.12628</v>
      </c>
      <c r="AN84" s="98">
        <f t="shared" si="66"/>
        <v>0.84494666666666673</v>
      </c>
      <c r="AO84" s="97">
        <f t="shared" si="53"/>
        <v>1.4508745864992902E-2</v>
      </c>
      <c r="AP84" s="96">
        <f t="shared" si="54"/>
        <v>5.049E-2</v>
      </c>
      <c r="AQ84" s="98">
        <f t="shared" si="67"/>
        <v>5.8500000000000002E-3</v>
      </c>
      <c r="AR84" s="97">
        <f t="shared" si="68"/>
        <v>1.0654384511036992</v>
      </c>
      <c r="AS84" s="96">
        <f t="shared" si="69"/>
        <v>15.400000000000002</v>
      </c>
      <c r="AT84" s="98">
        <f t="shared" si="70"/>
        <v>93.529243364714162</v>
      </c>
    </row>
    <row r="85" spans="17:46" ht="14.65" x14ac:dyDescent="0.4">
      <c r="Q85" s="32">
        <v>78</v>
      </c>
      <c r="R85" s="97">
        <f t="shared" si="43"/>
        <v>15</v>
      </c>
      <c r="S85" s="96">
        <f t="shared" si="44"/>
        <v>1.04</v>
      </c>
      <c r="T85" s="96">
        <f t="shared" si="45"/>
        <v>13</v>
      </c>
      <c r="U85" s="98">
        <f t="shared" si="46"/>
        <v>1.2000000000000002</v>
      </c>
      <c r="V85" s="97">
        <f t="shared" si="47"/>
        <v>2</v>
      </c>
      <c r="W85" s="96">
        <f t="shared" si="48"/>
        <v>0.5357142857142857</v>
      </c>
      <c r="X85" s="98">
        <f t="shared" si="49"/>
        <v>0.4642857142857143</v>
      </c>
      <c r="Y85" s="97">
        <f t="shared" si="55"/>
        <v>1.5827922077922081</v>
      </c>
      <c r="Z85" s="96">
        <f t="shared" si="56"/>
        <v>3.8227922077922081</v>
      </c>
      <c r="AA85" s="96">
        <f t="shared" si="57"/>
        <v>1.2840441053252978</v>
      </c>
      <c r="AB85" s="96">
        <v>0</v>
      </c>
      <c r="AC85" s="96">
        <f t="shared" si="58"/>
        <v>1.6487692644206443E-2</v>
      </c>
      <c r="AD85" s="98">
        <f t="shared" si="59"/>
        <v>1.6487692644206443E-2</v>
      </c>
      <c r="AE85" s="97">
        <f t="shared" si="60"/>
        <v>0.66857142857142871</v>
      </c>
      <c r="AF85" s="96">
        <f t="shared" si="61"/>
        <v>1.2840441053252978</v>
      </c>
      <c r="AG85" s="96">
        <f t="shared" si="50"/>
        <v>7.4194616898929011E-3</v>
      </c>
      <c r="AH85" s="96">
        <f t="shared" si="51"/>
        <v>0.14423786908940744</v>
      </c>
      <c r="AI85" s="98">
        <f t="shared" si="62"/>
        <v>0.15165733077930035</v>
      </c>
      <c r="AJ85" s="97">
        <f t="shared" si="63"/>
        <v>1.04</v>
      </c>
      <c r="AK85" s="96">
        <f t="shared" si="64"/>
        <v>2.0888796624778712</v>
      </c>
      <c r="AL85" s="96">
        <f t="shared" si="65"/>
        <v>0.72799999999999998</v>
      </c>
      <c r="AM85" s="96">
        <f t="shared" si="52"/>
        <v>0.12628</v>
      </c>
      <c r="AN85" s="98">
        <f t="shared" si="66"/>
        <v>0.85427999999999993</v>
      </c>
      <c r="AO85" s="97">
        <f t="shared" si="53"/>
        <v>1.4838923379785799E-2</v>
      </c>
      <c r="AP85" s="96">
        <f t="shared" si="54"/>
        <v>5.049E-2</v>
      </c>
      <c r="AQ85" s="98">
        <f t="shared" si="67"/>
        <v>5.8500000000000002E-3</v>
      </c>
      <c r="AR85" s="97">
        <f t="shared" si="68"/>
        <v>1.077116254159086</v>
      </c>
      <c r="AS85" s="96">
        <f t="shared" si="69"/>
        <v>15.600000000000001</v>
      </c>
      <c r="AT85" s="98">
        <f t="shared" si="70"/>
        <v>93.541351887557497</v>
      </c>
    </row>
    <row r="86" spans="17:46" ht="14.65" x14ac:dyDescent="0.4">
      <c r="Q86" s="32">
        <v>79</v>
      </c>
      <c r="R86" s="97">
        <f t="shared" si="43"/>
        <v>15</v>
      </c>
      <c r="S86" s="96">
        <f t="shared" si="44"/>
        <v>1.0533333333333335</v>
      </c>
      <c r="T86" s="96">
        <f t="shared" si="45"/>
        <v>13</v>
      </c>
      <c r="U86" s="98">
        <f t="shared" si="46"/>
        <v>1.2153846153846155</v>
      </c>
      <c r="V86" s="97">
        <f t="shared" si="47"/>
        <v>2</v>
      </c>
      <c r="W86" s="96">
        <f t="shared" si="48"/>
        <v>0.5357142857142857</v>
      </c>
      <c r="X86" s="98">
        <f t="shared" si="49"/>
        <v>0.4642857142857143</v>
      </c>
      <c r="Y86" s="97">
        <f t="shared" si="55"/>
        <v>1.5827922077922081</v>
      </c>
      <c r="Z86" s="96">
        <f t="shared" si="56"/>
        <v>3.851510156510157</v>
      </c>
      <c r="AA86" s="96">
        <f t="shared" si="57"/>
        <v>1.2984332973758237</v>
      </c>
      <c r="AB86" s="96">
        <v>0</v>
      </c>
      <c r="AC86" s="96">
        <f t="shared" si="58"/>
        <v>1.6859290277342544E-2</v>
      </c>
      <c r="AD86" s="98">
        <f t="shared" si="59"/>
        <v>1.6859290277342544E-2</v>
      </c>
      <c r="AE86" s="97">
        <f t="shared" si="60"/>
        <v>0.68582417582417599</v>
      </c>
      <c r="AF86" s="96">
        <f t="shared" si="61"/>
        <v>1.2984332973758237</v>
      </c>
      <c r="AG86" s="96">
        <f t="shared" si="50"/>
        <v>7.5866806248041452E-3</v>
      </c>
      <c r="AH86" s="96">
        <f t="shared" si="51"/>
        <v>0.14608707253927164</v>
      </c>
      <c r="AI86" s="98">
        <f t="shared" si="62"/>
        <v>0.15367375316407578</v>
      </c>
      <c r="AJ86" s="97">
        <f t="shared" si="63"/>
        <v>1.0533333333333335</v>
      </c>
      <c r="AK86" s="96">
        <f t="shared" si="64"/>
        <v>2.1082311020696474</v>
      </c>
      <c r="AL86" s="96">
        <f t="shared" si="65"/>
        <v>0.7373333333333334</v>
      </c>
      <c r="AM86" s="96">
        <f t="shared" si="52"/>
        <v>0.12628</v>
      </c>
      <c r="AN86" s="98">
        <f t="shared" si="66"/>
        <v>0.86361333333333334</v>
      </c>
      <c r="AO86" s="97">
        <f t="shared" si="53"/>
        <v>1.5173361249608287E-2</v>
      </c>
      <c r="AP86" s="96">
        <f t="shared" si="54"/>
        <v>5.049E-2</v>
      </c>
      <c r="AQ86" s="98">
        <f t="shared" si="67"/>
        <v>5.8500000000000002E-3</v>
      </c>
      <c r="AR86" s="97">
        <f t="shared" si="68"/>
        <v>1.0888004477470172</v>
      </c>
      <c r="AS86" s="96">
        <f t="shared" si="69"/>
        <v>15.800000000000002</v>
      </c>
      <c r="AT86" s="98">
        <f t="shared" si="70"/>
        <v>93.553121483578991</v>
      </c>
    </row>
    <row r="87" spans="17:46" ht="14.65" x14ac:dyDescent="0.4">
      <c r="Q87" s="32">
        <v>80</v>
      </c>
      <c r="R87" s="97">
        <f t="shared" si="43"/>
        <v>15</v>
      </c>
      <c r="S87" s="96">
        <f t="shared" si="44"/>
        <v>1.0666666666666667</v>
      </c>
      <c r="T87" s="96">
        <f t="shared" si="45"/>
        <v>13</v>
      </c>
      <c r="U87" s="98">
        <f t="shared" si="46"/>
        <v>1.2307692307692308</v>
      </c>
      <c r="V87" s="97">
        <f t="shared" si="47"/>
        <v>2</v>
      </c>
      <c r="W87" s="96">
        <f t="shared" si="48"/>
        <v>0.5357142857142857</v>
      </c>
      <c r="X87" s="98">
        <f t="shared" si="49"/>
        <v>0.4642857142857143</v>
      </c>
      <c r="Y87" s="97">
        <f t="shared" si="55"/>
        <v>1.5827922077922081</v>
      </c>
      <c r="Z87" s="96">
        <f t="shared" si="56"/>
        <v>3.8802281052281051</v>
      </c>
      <c r="AA87" s="96">
        <f t="shared" si="57"/>
        <v>1.3128450646702101</v>
      </c>
      <c r="AB87" s="96">
        <v>0</v>
      </c>
      <c r="AC87" s="96">
        <f t="shared" si="58"/>
        <v>1.7235621638289282E-2</v>
      </c>
      <c r="AD87" s="98">
        <f t="shared" si="59"/>
        <v>1.7235621638289282E-2</v>
      </c>
      <c r="AE87" s="97">
        <f t="shared" si="60"/>
        <v>0.70329670329670324</v>
      </c>
      <c r="AF87" s="96">
        <f t="shared" si="61"/>
        <v>1.3128450646702101</v>
      </c>
      <c r="AG87" s="96">
        <f t="shared" si="50"/>
        <v>7.7560297372301782E-3</v>
      </c>
      <c r="AH87" s="96">
        <f t="shared" si="51"/>
        <v>0.14793627598913581</v>
      </c>
      <c r="AI87" s="98">
        <f t="shared" si="62"/>
        <v>0.155692305726366</v>
      </c>
      <c r="AJ87" s="97">
        <f t="shared" si="63"/>
        <v>1.0666666666666667</v>
      </c>
      <c r="AK87" s="96">
        <f t="shared" si="64"/>
        <v>2.1275865028524095</v>
      </c>
      <c r="AL87" s="96">
        <f t="shared" si="65"/>
        <v>0.74666666666666659</v>
      </c>
      <c r="AM87" s="96">
        <f t="shared" si="52"/>
        <v>0.12628</v>
      </c>
      <c r="AN87" s="98">
        <f t="shared" si="66"/>
        <v>0.87294666666666654</v>
      </c>
      <c r="AO87" s="97">
        <f t="shared" si="53"/>
        <v>1.5512059474460353E-2</v>
      </c>
      <c r="AP87" s="96">
        <f t="shared" si="54"/>
        <v>5.049E-2</v>
      </c>
      <c r="AQ87" s="98">
        <f t="shared" si="67"/>
        <v>5.8500000000000002E-3</v>
      </c>
      <c r="AR87" s="97">
        <f t="shared" si="68"/>
        <v>1.1004910318674928</v>
      </c>
      <c r="AS87" s="96">
        <f t="shared" si="69"/>
        <v>16</v>
      </c>
      <c r="AT87" s="98">
        <f t="shared" si="70"/>
        <v>93.56456472614336</v>
      </c>
    </row>
    <row r="88" spans="17:46" ht="14.65" x14ac:dyDescent="0.4">
      <c r="Q88" s="32">
        <v>81</v>
      </c>
      <c r="R88" s="97">
        <f t="shared" si="43"/>
        <v>15</v>
      </c>
      <c r="S88" s="96">
        <f t="shared" si="44"/>
        <v>1.08</v>
      </c>
      <c r="T88" s="96">
        <f t="shared" si="45"/>
        <v>13</v>
      </c>
      <c r="U88" s="98">
        <f t="shared" si="46"/>
        <v>1.2461538461538464</v>
      </c>
      <c r="V88" s="97">
        <f t="shared" si="47"/>
        <v>2</v>
      </c>
      <c r="W88" s="96">
        <f t="shared" si="48"/>
        <v>0.5357142857142857</v>
      </c>
      <c r="X88" s="98">
        <f t="shared" si="49"/>
        <v>0.4642857142857143</v>
      </c>
      <c r="Y88" s="97">
        <f t="shared" si="55"/>
        <v>1.5827922077922081</v>
      </c>
      <c r="Z88" s="96">
        <f t="shared" si="56"/>
        <v>3.9089460539460541</v>
      </c>
      <c r="AA88" s="96">
        <f t="shared" si="57"/>
        <v>1.3272786718337144</v>
      </c>
      <c r="AB88" s="96">
        <v>0</v>
      </c>
      <c r="AC88" s="96">
        <f t="shared" si="58"/>
        <v>1.761668672704669E-2</v>
      </c>
      <c r="AD88" s="98">
        <f t="shared" si="59"/>
        <v>1.761668672704669E-2</v>
      </c>
      <c r="AE88" s="97">
        <f t="shared" si="60"/>
        <v>0.72098901098901114</v>
      </c>
      <c r="AF88" s="96">
        <f t="shared" si="61"/>
        <v>1.3272786718337144</v>
      </c>
      <c r="AG88" s="96">
        <f t="shared" si="50"/>
        <v>7.9275090271710112E-3</v>
      </c>
      <c r="AH88" s="96">
        <f t="shared" si="51"/>
        <v>0.149785479439</v>
      </c>
      <c r="AI88" s="98">
        <f t="shared" si="62"/>
        <v>0.15771298846617102</v>
      </c>
      <c r="AJ88" s="97">
        <f t="shared" si="63"/>
        <v>1.08</v>
      </c>
      <c r="AK88" s="96">
        <f t="shared" si="64"/>
        <v>2.1469457576919604</v>
      </c>
      <c r="AL88" s="96">
        <f t="shared" si="65"/>
        <v>0.75600000000000001</v>
      </c>
      <c r="AM88" s="96">
        <f t="shared" si="52"/>
        <v>0.12628</v>
      </c>
      <c r="AN88" s="98">
        <f t="shared" si="66"/>
        <v>0.88227999999999995</v>
      </c>
      <c r="AO88" s="97">
        <f t="shared" si="53"/>
        <v>1.5855018054342019E-2</v>
      </c>
      <c r="AP88" s="96">
        <f t="shared" si="54"/>
        <v>5.049E-2</v>
      </c>
      <c r="AQ88" s="98">
        <f t="shared" si="67"/>
        <v>5.8500000000000002E-3</v>
      </c>
      <c r="AR88" s="97">
        <f t="shared" si="68"/>
        <v>1.1121880065205128</v>
      </c>
      <c r="AS88" s="96">
        <f t="shared" si="69"/>
        <v>16.200000000000003</v>
      </c>
      <c r="AT88" s="98">
        <f t="shared" si="70"/>
        <v>93.575693574367293</v>
      </c>
    </row>
    <row r="89" spans="17:46" ht="14.65" x14ac:dyDescent="0.4">
      <c r="Q89" s="32">
        <v>82</v>
      </c>
      <c r="R89" s="97">
        <f t="shared" si="43"/>
        <v>15</v>
      </c>
      <c r="S89" s="96">
        <f t="shared" si="44"/>
        <v>1.0933333333333335</v>
      </c>
      <c r="T89" s="96">
        <f t="shared" si="45"/>
        <v>13</v>
      </c>
      <c r="U89" s="98">
        <f t="shared" si="46"/>
        <v>1.2615384615384617</v>
      </c>
      <c r="V89" s="97">
        <f t="shared" si="47"/>
        <v>2</v>
      </c>
      <c r="W89" s="96">
        <f t="shared" si="48"/>
        <v>0.5357142857142857</v>
      </c>
      <c r="X89" s="98">
        <f t="shared" si="49"/>
        <v>0.4642857142857143</v>
      </c>
      <c r="Y89" s="97">
        <f t="shared" si="55"/>
        <v>1.5827922077922081</v>
      </c>
      <c r="Z89" s="96">
        <f t="shared" si="56"/>
        <v>3.9376640026640031</v>
      </c>
      <c r="AA89" s="96">
        <f t="shared" si="57"/>
        <v>1.3417334140437411</v>
      </c>
      <c r="AB89" s="96">
        <v>0</v>
      </c>
      <c r="AC89" s="96">
        <f t="shared" si="58"/>
        <v>1.8002485543614732E-2</v>
      </c>
      <c r="AD89" s="98">
        <f t="shared" si="59"/>
        <v>1.8002485543614732E-2</v>
      </c>
      <c r="AE89" s="97">
        <f t="shared" si="60"/>
        <v>0.73890109890109901</v>
      </c>
      <c r="AF89" s="96">
        <f t="shared" si="61"/>
        <v>1.3417334140437411</v>
      </c>
      <c r="AG89" s="96">
        <f t="shared" si="50"/>
        <v>8.1011184946266305E-3</v>
      </c>
      <c r="AH89" s="96">
        <f t="shared" si="51"/>
        <v>0.15163468288886425</v>
      </c>
      <c r="AI89" s="98">
        <f t="shared" si="62"/>
        <v>0.15973580138349089</v>
      </c>
      <c r="AJ89" s="97">
        <f t="shared" si="63"/>
        <v>1.0933333333333335</v>
      </c>
      <c r="AK89" s="96">
        <f t="shared" si="64"/>
        <v>2.166308763262772</v>
      </c>
      <c r="AL89" s="96">
        <f t="shared" si="65"/>
        <v>0.76533333333333342</v>
      </c>
      <c r="AM89" s="96">
        <f t="shared" si="52"/>
        <v>0.12628</v>
      </c>
      <c r="AN89" s="98">
        <f t="shared" si="66"/>
        <v>0.89161333333333337</v>
      </c>
      <c r="AO89" s="97">
        <f t="shared" si="53"/>
        <v>1.6202236989253258E-2</v>
      </c>
      <c r="AP89" s="96">
        <f t="shared" si="54"/>
        <v>5.049E-2</v>
      </c>
      <c r="AQ89" s="98">
        <f t="shared" si="67"/>
        <v>5.8500000000000002E-3</v>
      </c>
      <c r="AR89" s="97">
        <f t="shared" si="68"/>
        <v>1.1238913717060774</v>
      </c>
      <c r="AS89" s="96">
        <f t="shared" si="69"/>
        <v>16.400000000000002</v>
      </c>
      <c r="AT89" s="98">
        <f t="shared" si="70"/>
        <v>93.586519410176777</v>
      </c>
    </row>
    <row r="90" spans="17:46" ht="14.65" x14ac:dyDescent="0.4">
      <c r="Q90" s="32">
        <v>83</v>
      </c>
      <c r="R90" s="97">
        <f t="shared" si="43"/>
        <v>15</v>
      </c>
      <c r="S90" s="96">
        <f t="shared" si="44"/>
        <v>1.1066666666666667</v>
      </c>
      <c r="T90" s="96">
        <f t="shared" si="45"/>
        <v>13</v>
      </c>
      <c r="U90" s="98">
        <f t="shared" si="46"/>
        <v>1.276923076923077</v>
      </c>
      <c r="V90" s="97">
        <f t="shared" si="47"/>
        <v>2</v>
      </c>
      <c r="W90" s="96">
        <f t="shared" si="48"/>
        <v>0.5357142857142857</v>
      </c>
      <c r="X90" s="98">
        <f t="shared" si="49"/>
        <v>0.4642857142857143</v>
      </c>
      <c r="Y90" s="97">
        <f t="shared" si="55"/>
        <v>1.5827922077922081</v>
      </c>
      <c r="Z90" s="96">
        <f t="shared" si="56"/>
        <v>3.966381951381952</v>
      </c>
      <c r="AA90" s="96">
        <f t="shared" si="57"/>
        <v>1.3562086155158222</v>
      </c>
      <c r="AB90" s="96">
        <v>0</v>
      </c>
      <c r="AC90" s="96">
        <f t="shared" si="58"/>
        <v>1.8393018087993433E-2</v>
      </c>
      <c r="AD90" s="98">
        <f t="shared" si="59"/>
        <v>1.8393018087993433E-2</v>
      </c>
      <c r="AE90" s="97">
        <f t="shared" si="60"/>
        <v>0.75703296703296707</v>
      </c>
      <c r="AF90" s="96">
        <f t="shared" si="61"/>
        <v>1.3562086155158222</v>
      </c>
      <c r="AG90" s="96">
        <f t="shared" si="50"/>
        <v>8.2768581395970455E-3</v>
      </c>
      <c r="AH90" s="96">
        <f t="shared" si="51"/>
        <v>0.15348388633872839</v>
      </c>
      <c r="AI90" s="98">
        <f t="shared" si="62"/>
        <v>0.16176074447832545</v>
      </c>
      <c r="AJ90" s="97">
        <f t="shared" si="63"/>
        <v>1.1066666666666667</v>
      </c>
      <c r="AK90" s="96">
        <f t="shared" si="64"/>
        <v>2.1856754198811092</v>
      </c>
      <c r="AL90" s="96">
        <f t="shared" si="65"/>
        <v>0.77466666666666661</v>
      </c>
      <c r="AM90" s="96">
        <f t="shared" si="52"/>
        <v>0.12628</v>
      </c>
      <c r="AN90" s="98">
        <f t="shared" si="66"/>
        <v>0.90094666666666656</v>
      </c>
      <c r="AO90" s="97">
        <f t="shared" si="53"/>
        <v>1.6553716279194088E-2</v>
      </c>
      <c r="AP90" s="96">
        <f t="shared" si="54"/>
        <v>5.049E-2</v>
      </c>
      <c r="AQ90" s="98">
        <f t="shared" si="67"/>
        <v>5.8500000000000002E-3</v>
      </c>
      <c r="AR90" s="97">
        <f t="shared" si="68"/>
        <v>1.135601127424186</v>
      </c>
      <c r="AS90" s="96">
        <f t="shared" si="69"/>
        <v>16.600000000000001</v>
      </c>
      <c r="AT90" s="98">
        <f t="shared" si="70"/>
        <v>93.597053072713564</v>
      </c>
    </row>
    <row r="91" spans="17:46" ht="14.65" x14ac:dyDescent="0.4">
      <c r="Q91" s="32">
        <v>84</v>
      </c>
      <c r="R91" s="97">
        <f t="shared" si="43"/>
        <v>15</v>
      </c>
      <c r="S91" s="96">
        <f t="shared" si="44"/>
        <v>1.1200000000000001</v>
      </c>
      <c r="T91" s="96">
        <f t="shared" si="45"/>
        <v>13</v>
      </c>
      <c r="U91" s="98">
        <f t="shared" si="46"/>
        <v>1.2923076923076924</v>
      </c>
      <c r="V91" s="97">
        <f t="shared" si="47"/>
        <v>2</v>
      </c>
      <c r="W91" s="96">
        <f t="shared" si="48"/>
        <v>0.5357142857142857</v>
      </c>
      <c r="X91" s="98">
        <f t="shared" si="49"/>
        <v>0.4642857142857143</v>
      </c>
      <c r="Y91" s="97">
        <f t="shared" si="55"/>
        <v>1.5827922077922081</v>
      </c>
      <c r="Z91" s="96">
        <f t="shared" si="56"/>
        <v>3.9950999000999001</v>
      </c>
      <c r="AA91" s="96">
        <f t="shared" si="57"/>
        <v>1.370703628075113</v>
      </c>
      <c r="AB91" s="96">
        <v>0</v>
      </c>
      <c r="AC91" s="96">
        <f t="shared" si="58"/>
        <v>1.8788284360182778E-2</v>
      </c>
      <c r="AD91" s="98">
        <f t="shared" si="59"/>
        <v>1.8788284360182778E-2</v>
      </c>
      <c r="AE91" s="97">
        <f t="shared" si="60"/>
        <v>0.77538461538461556</v>
      </c>
      <c r="AF91" s="96">
        <f t="shared" si="61"/>
        <v>1.370703628075113</v>
      </c>
      <c r="AG91" s="96">
        <f t="shared" si="50"/>
        <v>8.4547279620822511E-3</v>
      </c>
      <c r="AH91" s="96">
        <f t="shared" si="51"/>
        <v>0.15533308978859259</v>
      </c>
      <c r="AI91" s="98">
        <f t="shared" si="62"/>
        <v>0.16378781775067483</v>
      </c>
      <c r="AJ91" s="97">
        <f t="shared" si="63"/>
        <v>1.1200000000000001</v>
      </c>
      <c r="AK91" s="96">
        <f t="shared" si="64"/>
        <v>2.205045631346811</v>
      </c>
      <c r="AL91" s="96">
        <f t="shared" si="65"/>
        <v>0.78400000000000003</v>
      </c>
      <c r="AM91" s="96">
        <f t="shared" si="52"/>
        <v>0.12628</v>
      </c>
      <c r="AN91" s="98">
        <f t="shared" si="66"/>
        <v>0.91027999999999998</v>
      </c>
      <c r="AO91" s="97">
        <f t="shared" si="53"/>
        <v>1.6909455924164499E-2</v>
      </c>
      <c r="AP91" s="96">
        <f t="shared" si="54"/>
        <v>5.049E-2</v>
      </c>
      <c r="AQ91" s="98">
        <f t="shared" si="67"/>
        <v>5.8500000000000002E-3</v>
      </c>
      <c r="AR91" s="97">
        <f t="shared" si="68"/>
        <v>1.1473172736748392</v>
      </c>
      <c r="AS91" s="96">
        <f t="shared" si="69"/>
        <v>16.8</v>
      </c>
      <c r="AT91" s="98">
        <f t="shared" si="70"/>
        <v>93.60730489030955</v>
      </c>
    </row>
    <row r="92" spans="17:46" ht="14.65" x14ac:dyDescent="0.4">
      <c r="Q92" s="32">
        <v>85</v>
      </c>
      <c r="R92" s="97">
        <f t="shared" si="43"/>
        <v>15</v>
      </c>
      <c r="S92" s="96">
        <f t="shared" si="44"/>
        <v>1.1333333333333333</v>
      </c>
      <c r="T92" s="96">
        <f t="shared" si="45"/>
        <v>13</v>
      </c>
      <c r="U92" s="98">
        <f t="shared" si="46"/>
        <v>1.3076923076923077</v>
      </c>
      <c r="V92" s="97">
        <f t="shared" si="47"/>
        <v>2</v>
      </c>
      <c r="W92" s="96">
        <f t="shared" si="48"/>
        <v>0.5357142857142857</v>
      </c>
      <c r="X92" s="98">
        <f t="shared" si="49"/>
        <v>0.4642857142857143</v>
      </c>
      <c r="Y92" s="97">
        <f t="shared" si="55"/>
        <v>1.5827922077922081</v>
      </c>
      <c r="Z92" s="96">
        <f t="shared" si="56"/>
        <v>4.0238178488178491</v>
      </c>
      <c r="AA92" s="96">
        <f t="shared" si="57"/>
        <v>1.3852178298081055</v>
      </c>
      <c r="AB92" s="96">
        <v>0</v>
      </c>
      <c r="AC92" s="96">
        <f t="shared" si="58"/>
        <v>1.9188284360182776E-2</v>
      </c>
      <c r="AD92" s="98">
        <f t="shared" si="59"/>
        <v>1.9188284360182776E-2</v>
      </c>
      <c r="AE92" s="97">
        <f t="shared" si="60"/>
        <v>0.79395604395604402</v>
      </c>
      <c r="AF92" s="96">
        <f t="shared" si="61"/>
        <v>1.3852178298081055</v>
      </c>
      <c r="AG92" s="96">
        <f t="shared" si="50"/>
        <v>8.634727962082249E-3</v>
      </c>
      <c r="AH92" s="96">
        <f t="shared" si="51"/>
        <v>0.15718229323845684</v>
      </c>
      <c r="AI92" s="98">
        <f t="shared" si="62"/>
        <v>0.16581702120053909</v>
      </c>
      <c r="AJ92" s="97">
        <f t="shared" si="63"/>
        <v>1.1333333333333333</v>
      </c>
      <c r="AK92" s="96">
        <f t="shared" si="64"/>
        <v>2.2244193047932002</v>
      </c>
      <c r="AL92" s="96">
        <f t="shared" si="65"/>
        <v>0.79333333333333322</v>
      </c>
      <c r="AM92" s="96">
        <f t="shared" si="52"/>
        <v>0.12628</v>
      </c>
      <c r="AN92" s="98">
        <f t="shared" si="66"/>
        <v>0.91961333333333317</v>
      </c>
      <c r="AO92" s="97">
        <f t="shared" si="53"/>
        <v>1.7269455924164494E-2</v>
      </c>
      <c r="AP92" s="96">
        <f t="shared" si="54"/>
        <v>5.049E-2</v>
      </c>
      <c r="AQ92" s="98">
        <f t="shared" si="67"/>
        <v>5.8500000000000002E-3</v>
      </c>
      <c r="AR92" s="97">
        <f t="shared" si="68"/>
        <v>1.1590398104580366</v>
      </c>
      <c r="AS92" s="96">
        <f t="shared" si="69"/>
        <v>17</v>
      </c>
      <c r="AT92" s="98">
        <f t="shared" si="70"/>
        <v>93.617284710227182</v>
      </c>
    </row>
    <row r="93" spans="17:46" ht="14.65" x14ac:dyDescent="0.4">
      <c r="Q93" s="32">
        <v>86</v>
      </c>
      <c r="R93" s="97">
        <f t="shared" si="43"/>
        <v>15</v>
      </c>
      <c r="S93" s="96">
        <f t="shared" si="44"/>
        <v>1.1466666666666667</v>
      </c>
      <c r="T93" s="96">
        <f t="shared" si="45"/>
        <v>13</v>
      </c>
      <c r="U93" s="98">
        <f t="shared" si="46"/>
        <v>1.323076923076923</v>
      </c>
      <c r="V93" s="97">
        <f t="shared" si="47"/>
        <v>2</v>
      </c>
      <c r="W93" s="96">
        <f t="shared" si="48"/>
        <v>0.5357142857142857</v>
      </c>
      <c r="X93" s="98">
        <f t="shared" si="49"/>
        <v>0.4642857142857143</v>
      </c>
      <c r="Y93" s="97">
        <f t="shared" si="55"/>
        <v>1.5827922077922081</v>
      </c>
      <c r="Z93" s="96">
        <f t="shared" si="56"/>
        <v>4.0525357975357981</v>
      </c>
      <c r="AA93" s="96">
        <f t="shared" si="57"/>
        <v>1.3997506237895887</v>
      </c>
      <c r="AB93" s="96">
        <v>0</v>
      </c>
      <c r="AC93" s="96">
        <f t="shared" si="58"/>
        <v>1.9593018087993425E-2</v>
      </c>
      <c r="AD93" s="98">
        <f t="shared" si="59"/>
        <v>1.9593018087993425E-2</v>
      </c>
      <c r="AE93" s="97">
        <f t="shared" si="60"/>
        <v>0.81274725274725268</v>
      </c>
      <c r="AF93" s="96">
        <f t="shared" si="61"/>
        <v>1.3997506237895887</v>
      </c>
      <c r="AG93" s="96">
        <f t="shared" si="50"/>
        <v>8.8168581395970426E-3</v>
      </c>
      <c r="AH93" s="96">
        <f t="shared" si="51"/>
        <v>0.15903149668832098</v>
      </c>
      <c r="AI93" s="98">
        <f t="shared" si="62"/>
        <v>0.16784835482791802</v>
      </c>
      <c r="AJ93" s="97">
        <f t="shared" si="63"/>
        <v>1.1466666666666667</v>
      </c>
      <c r="AK93" s="96">
        <f t="shared" si="64"/>
        <v>2.2437963505446485</v>
      </c>
      <c r="AL93" s="96">
        <f t="shared" si="65"/>
        <v>0.80266666666666664</v>
      </c>
      <c r="AM93" s="96">
        <f t="shared" si="52"/>
        <v>0.12628</v>
      </c>
      <c r="AN93" s="98">
        <f t="shared" si="66"/>
        <v>0.92894666666666659</v>
      </c>
      <c r="AO93" s="97">
        <f t="shared" si="53"/>
        <v>1.7633716279194082E-2</v>
      </c>
      <c r="AP93" s="96">
        <f t="shared" si="54"/>
        <v>5.049E-2</v>
      </c>
      <c r="AQ93" s="98">
        <f t="shared" si="67"/>
        <v>5.8500000000000002E-3</v>
      </c>
      <c r="AR93" s="97">
        <f t="shared" si="68"/>
        <v>1.1707687377737785</v>
      </c>
      <c r="AS93" s="96">
        <f t="shared" si="69"/>
        <v>17.2</v>
      </c>
      <c r="AT93" s="98">
        <f t="shared" si="70"/>
        <v>93.627001926345883</v>
      </c>
    </row>
    <row r="94" spans="17:46" ht="14.65" x14ac:dyDescent="0.4">
      <c r="Q94" s="32">
        <v>87</v>
      </c>
      <c r="R94" s="97">
        <f t="shared" si="43"/>
        <v>15</v>
      </c>
      <c r="S94" s="96">
        <f t="shared" si="44"/>
        <v>1.1600000000000001</v>
      </c>
      <c r="T94" s="96">
        <f t="shared" si="45"/>
        <v>13</v>
      </c>
      <c r="U94" s="98">
        <f t="shared" si="46"/>
        <v>1.3384615384615386</v>
      </c>
      <c r="V94" s="97">
        <f t="shared" si="47"/>
        <v>2</v>
      </c>
      <c r="W94" s="96">
        <f t="shared" si="48"/>
        <v>0.5357142857142857</v>
      </c>
      <c r="X94" s="98">
        <f t="shared" si="49"/>
        <v>0.4642857142857143</v>
      </c>
      <c r="Y94" s="97">
        <f t="shared" si="55"/>
        <v>1.5827922077922081</v>
      </c>
      <c r="Z94" s="96">
        <f t="shared" si="56"/>
        <v>4.081253746253747</v>
      </c>
      <c r="AA94" s="96">
        <f t="shared" si="57"/>
        <v>1.4143014368802265</v>
      </c>
      <c r="AB94" s="96">
        <v>0</v>
      </c>
      <c r="AC94" s="96">
        <f t="shared" si="58"/>
        <v>2.0002485543614733E-2</v>
      </c>
      <c r="AD94" s="98">
        <f t="shared" si="59"/>
        <v>2.0002485543614733E-2</v>
      </c>
      <c r="AE94" s="97">
        <f t="shared" si="60"/>
        <v>0.83175824175824187</v>
      </c>
      <c r="AF94" s="96">
        <f t="shared" si="61"/>
        <v>1.4143014368802265</v>
      </c>
      <c r="AG94" s="96">
        <f t="shared" si="50"/>
        <v>9.0011184946266302E-3</v>
      </c>
      <c r="AH94" s="96">
        <f t="shared" si="51"/>
        <v>0.16088070013818523</v>
      </c>
      <c r="AI94" s="98">
        <f t="shared" si="62"/>
        <v>0.16988181863281185</v>
      </c>
      <c r="AJ94" s="97">
        <f t="shared" si="63"/>
        <v>1.1600000000000001</v>
      </c>
      <c r="AK94" s="96">
        <f t="shared" si="64"/>
        <v>2.2631766819813506</v>
      </c>
      <c r="AL94" s="96">
        <f t="shared" si="65"/>
        <v>0.81200000000000006</v>
      </c>
      <c r="AM94" s="96">
        <f t="shared" si="52"/>
        <v>0.12628</v>
      </c>
      <c r="AN94" s="98">
        <f t="shared" si="66"/>
        <v>0.93828</v>
      </c>
      <c r="AO94" s="97">
        <f t="shared" si="53"/>
        <v>1.8002236989253257E-2</v>
      </c>
      <c r="AP94" s="96">
        <f t="shared" si="54"/>
        <v>5.049E-2</v>
      </c>
      <c r="AQ94" s="98">
        <f t="shared" si="67"/>
        <v>5.8500000000000002E-3</v>
      </c>
      <c r="AR94" s="97">
        <f t="shared" si="68"/>
        <v>1.182504055622065</v>
      </c>
      <c r="AS94" s="96">
        <f t="shared" si="69"/>
        <v>17.400000000000002</v>
      </c>
      <c r="AT94" s="98">
        <f t="shared" si="70"/>
        <v>93.636465504958139</v>
      </c>
    </row>
    <row r="95" spans="17:46" ht="14.65" x14ac:dyDescent="0.4">
      <c r="Q95" s="32">
        <v>88</v>
      </c>
      <c r="R95" s="97">
        <f t="shared" si="43"/>
        <v>15</v>
      </c>
      <c r="S95" s="96">
        <f t="shared" si="44"/>
        <v>1.1733333333333333</v>
      </c>
      <c r="T95" s="96">
        <f t="shared" si="45"/>
        <v>13</v>
      </c>
      <c r="U95" s="98">
        <f t="shared" si="46"/>
        <v>1.3538461538461539</v>
      </c>
      <c r="V95" s="97">
        <f t="shared" si="47"/>
        <v>2</v>
      </c>
      <c r="W95" s="96">
        <f t="shared" si="48"/>
        <v>0.5357142857142857</v>
      </c>
      <c r="X95" s="98">
        <f t="shared" si="49"/>
        <v>0.4642857142857143</v>
      </c>
      <c r="Y95" s="97">
        <f t="shared" si="55"/>
        <v>1.5827922077922081</v>
      </c>
      <c r="Z95" s="96">
        <f t="shared" si="56"/>
        <v>4.1099716949716951</v>
      </c>
      <c r="AA95" s="96">
        <f t="shared" si="57"/>
        <v>1.4288697185904209</v>
      </c>
      <c r="AB95" s="96">
        <v>0</v>
      </c>
      <c r="AC95" s="96">
        <f t="shared" si="58"/>
        <v>2.0416686727046687E-2</v>
      </c>
      <c r="AD95" s="98">
        <f t="shared" si="59"/>
        <v>2.0416686727046687E-2</v>
      </c>
      <c r="AE95" s="97">
        <f t="shared" si="60"/>
        <v>0.85098901098901092</v>
      </c>
      <c r="AF95" s="96">
        <f t="shared" si="61"/>
        <v>1.4288697185904209</v>
      </c>
      <c r="AG95" s="96">
        <f t="shared" si="50"/>
        <v>9.1875090271710085E-3</v>
      </c>
      <c r="AH95" s="96">
        <f t="shared" si="51"/>
        <v>0.16272990358804937</v>
      </c>
      <c r="AI95" s="98">
        <f t="shared" si="62"/>
        <v>0.17191741261522037</v>
      </c>
      <c r="AJ95" s="97">
        <f t="shared" si="63"/>
        <v>1.1733333333333333</v>
      </c>
      <c r="AK95" s="96">
        <f t="shared" si="64"/>
        <v>2.2825602154108786</v>
      </c>
      <c r="AL95" s="96">
        <f t="shared" si="65"/>
        <v>0.82133333333333325</v>
      </c>
      <c r="AM95" s="96">
        <f t="shared" si="52"/>
        <v>0.12628</v>
      </c>
      <c r="AN95" s="98">
        <f t="shared" si="66"/>
        <v>0.9476133333333332</v>
      </c>
      <c r="AO95" s="97">
        <f t="shared" si="53"/>
        <v>1.8375018054342013E-2</v>
      </c>
      <c r="AP95" s="96">
        <f t="shared" si="54"/>
        <v>5.049E-2</v>
      </c>
      <c r="AQ95" s="98">
        <f t="shared" si="67"/>
        <v>5.8500000000000002E-3</v>
      </c>
      <c r="AR95" s="97">
        <f t="shared" si="68"/>
        <v>1.1942457640028954</v>
      </c>
      <c r="AS95" s="96">
        <f t="shared" si="69"/>
        <v>17.600000000000001</v>
      </c>
      <c r="AT95" s="98">
        <f t="shared" si="70"/>
        <v>93.645684008824304</v>
      </c>
    </row>
    <row r="96" spans="17:46" ht="14.65" x14ac:dyDescent="0.4">
      <c r="Q96" s="32">
        <v>89</v>
      </c>
      <c r="R96" s="97">
        <f t="shared" si="43"/>
        <v>15</v>
      </c>
      <c r="S96" s="96">
        <f t="shared" si="44"/>
        <v>1.1866666666666668</v>
      </c>
      <c r="T96" s="96">
        <f t="shared" si="45"/>
        <v>13</v>
      </c>
      <c r="U96" s="98">
        <f t="shared" si="46"/>
        <v>1.3692307692307693</v>
      </c>
      <c r="V96" s="97">
        <f t="shared" si="47"/>
        <v>2</v>
      </c>
      <c r="W96" s="96">
        <f t="shared" si="48"/>
        <v>0.5357142857142857</v>
      </c>
      <c r="X96" s="98">
        <f t="shared" si="49"/>
        <v>0.4642857142857143</v>
      </c>
      <c r="Y96" s="97">
        <f t="shared" si="55"/>
        <v>1.5827922077922081</v>
      </c>
      <c r="Z96" s="96">
        <f t="shared" si="56"/>
        <v>4.1386896436896441</v>
      </c>
      <c r="AA96" s="96">
        <f t="shared" si="57"/>
        <v>1.4434549400064167</v>
      </c>
      <c r="AB96" s="96">
        <v>0</v>
      </c>
      <c r="AC96" s="96">
        <f t="shared" si="58"/>
        <v>2.0835621638289278E-2</v>
      </c>
      <c r="AD96" s="98">
        <f t="shared" si="59"/>
        <v>2.0835621638289278E-2</v>
      </c>
      <c r="AE96" s="97">
        <f t="shared" si="60"/>
        <v>0.87043956043956039</v>
      </c>
      <c r="AF96" s="96">
        <f t="shared" si="61"/>
        <v>1.4434549400064167</v>
      </c>
      <c r="AG96" s="96">
        <f t="shared" si="50"/>
        <v>9.3760297372301772E-3</v>
      </c>
      <c r="AH96" s="96">
        <f t="shared" si="51"/>
        <v>0.16457910703791362</v>
      </c>
      <c r="AI96" s="98">
        <f t="shared" si="62"/>
        <v>0.17395513677514379</v>
      </c>
      <c r="AJ96" s="97">
        <f t="shared" si="63"/>
        <v>1.1866666666666668</v>
      </c>
      <c r="AK96" s="96">
        <f t="shared" si="64"/>
        <v>2.3019468699461361</v>
      </c>
      <c r="AL96" s="96">
        <f t="shared" si="65"/>
        <v>0.83066666666666666</v>
      </c>
      <c r="AM96" s="96">
        <f t="shared" si="52"/>
        <v>0.12628</v>
      </c>
      <c r="AN96" s="98">
        <f t="shared" si="66"/>
        <v>0.95694666666666661</v>
      </c>
      <c r="AO96" s="97">
        <f t="shared" si="53"/>
        <v>1.8752059474460351E-2</v>
      </c>
      <c r="AP96" s="96">
        <f t="shared" si="54"/>
        <v>5.049E-2</v>
      </c>
      <c r="AQ96" s="98">
        <f t="shared" si="67"/>
        <v>5.8500000000000002E-3</v>
      </c>
      <c r="AR96" s="97">
        <f t="shared" si="68"/>
        <v>1.2059938629162705</v>
      </c>
      <c r="AS96" s="96">
        <f t="shared" si="69"/>
        <v>17.8</v>
      </c>
      <c r="AT96" s="98">
        <f t="shared" si="70"/>
        <v>93.654665619621412</v>
      </c>
    </row>
    <row r="97" spans="17:46" ht="14.65" x14ac:dyDescent="0.4">
      <c r="Q97" s="32">
        <v>90</v>
      </c>
      <c r="R97" s="97">
        <f t="shared" si="43"/>
        <v>15</v>
      </c>
      <c r="S97" s="96">
        <f t="shared" si="44"/>
        <v>1.2000000000000002</v>
      </c>
      <c r="T97" s="96">
        <f t="shared" si="45"/>
        <v>13</v>
      </c>
      <c r="U97" s="98">
        <f t="shared" si="46"/>
        <v>1.3846153846153848</v>
      </c>
      <c r="V97" s="97">
        <f t="shared" si="47"/>
        <v>2</v>
      </c>
      <c r="W97" s="96">
        <f t="shared" si="48"/>
        <v>0.5357142857142857</v>
      </c>
      <c r="X97" s="98">
        <f t="shared" si="49"/>
        <v>0.4642857142857143</v>
      </c>
      <c r="Y97" s="97">
        <f t="shared" si="55"/>
        <v>1.5827922077922081</v>
      </c>
      <c r="Z97" s="96">
        <f t="shared" si="56"/>
        <v>4.1674075924075931</v>
      </c>
      <c r="AA97" s="96">
        <f t="shared" si="57"/>
        <v>1.458056592774867</v>
      </c>
      <c r="AB97" s="96">
        <v>0</v>
      </c>
      <c r="AC97" s="96">
        <f t="shared" si="58"/>
        <v>2.1259290277342541E-2</v>
      </c>
      <c r="AD97" s="98">
        <f t="shared" si="59"/>
        <v>2.1259290277342541E-2</v>
      </c>
      <c r="AE97" s="97">
        <f t="shared" si="60"/>
        <v>0.89010989010989039</v>
      </c>
      <c r="AF97" s="96">
        <f t="shared" si="61"/>
        <v>1.458056592774867</v>
      </c>
      <c r="AG97" s="96">
        <f t="shared" si="50"/>
        <v>9.5666806248041452E-3</v>
      </c>
      <c r="AH97" s="96">
        <f t="shared" si="51"/>
        <v>0.16642831048777781</v>
      </c>
      <c r="AI97" s="98">
        <f t="shared" si="62"/>
        <v>0.17599499111258196</v>
      </c>
      <c r="AJ97" s="97">
        <f t="shared" si="63"/>
        <v>1.2000000000000002</v>
      </c>
      <c r="AK97" s="96">
        <f t="shared" si="64"/>
        <v>2.3213365673893311</v>
      </c>
      <c r="AL97" s="96">
        <f t="shared" si="65"/>
        <v>0.84000000000000008</v>
      </c>
      <c r="AM97" s="96">
        <f t="shared" si="52"/>
        <v>0.12628</v>
      </c>
      <c r="AN97" s="98">
        <f t="shared" si="66"/>
        <v>0.96628000000000003</v>
      </c>
      <c r="AO97" s="97">
        <f t="shared" si="53"/>
        <v>1.9133361249608287E-2</v>
      </c>
      <c r="AP97" s="96">
        <f t="shared" si="54"/>
        <v>5.049E-2</v>
      </c>
      <c r="AQ97" s="98">
        <f t="shared" si="67"/>
        <v>5.8500000000000002E-3</v>
      </c>
      <c r="AR97" s="97">
        <f t="shared" si="68"/>
        <v>1.2177483523621901</v>
      </c>
      <c r="AS97" s="96">
        <f t="shared" si="69"/>
        <v>18.000000000000004</v>
      </c>
      <c r="AT97" s="98">
        <f t="shared" si="70"/>
        <v>93.663418158909835</v>
      </c>
    </row>
    <row r="98" spans="17:46" ht="14.65" x14ac:dyDescent="0.4">
      <c r="Q98" s="32">
        <v>91</v>
      </c>
      <c r="R98" s="97">
        <f t="shared" si="43"/>
        <v>15</v>
      </c>
      <c r="S98" s="96">
        <f t="shared" si="44"/>
        <v>1.2133333333333334</v>
      </c>
      <c r="T98" s="96">
        <f t="shared" si="45"/>
        <v>13</v>
      </c>
      <c r="U98" s="98">
        <f t="shared" si="46"/>
        <v>1.4</v>
      </c>
      <c r="V98" s="97">
        <f t="shared" si="47"/>
        <v>2</v>
      </c>
      <c r="W98" s="96">
        <f t="shared" si="48"/>
        <v>0.5357142857142857</v>
      </c>
      <c r="X98" s="98">
        <f t="shared" si="49"/>
        <v>0.4642857142857143</v>
      </c>
      <c r="Y98" s="97">
        <f t="shared" si="55"/>
        <v>1.5827922077922081</v>
      </c>
      <c r="Z98" s="96">
        <f t="shared" si="56"/>
        <v>4.1961255411255411</v>
      </c>
      <c r="AA98" s="96">
        <f t="shared" si="57"/>
        <v>1.4726741881423209</v>
      </c>
      <c r="AB98" s="96">
        <v>0</v>
      </c>
      <c r="AC98" s="96">
        <f t="shared" si="58"/>
        <v>2.168769264420644E-2</v>
      </c>
      <c r="AD98" s="98">
        <f t="shared" si="59"/>
        <v>2.168769264420644E-2</v>
      </c>
      <c r="AE98" s="97">
        <f t="shared" si="60"/>
        <v>0.90999999999999992</v>
      </c>
      <c r="AF98" s="96">
        <f t="shared" si="61"/>
        <v>1.4726741881423209</v>
      </c>
      <c r="AG98" s="96">
        <f t="shared" si="50"/>
        <v>9.7594616898928985E-3</v>
      </c>
      <c r="AH98" s="96">
        <f t="shared" si="51"/>
        <v>0.16827751393764198</v>
      </c>
      <c r="AI98" s="98">
        <f t="shared" si="62"/>
        <v>0.17803697562753487</v>
      </c>
      <c r="AJ98" s="97">
        <f t="shared" si="63"/>
        <v>1.2133333333333334</v>
      </c>
      <c r="AK98" s="96">
        <f t="shared" si="64"/>
        <v>2.3407292321216389</v>
      </c>
      <c r="AL98" s="96">
        <f t="shared" si="65"/>
        <v>0.84933333333333327</v>
      </c>
      <c r="AM98" s="96">
        <f t="shared" si="52"/>
        <v>0.12628</v>
      </c>
      <c r="AN98" s="98">
        <f t="shared" si="66"/>
        <v>0.97561333333333322</v>
      </c>
      <c r="AO98" s="97">
        <f t="shared" si="53"/>
        <v>1.9518923379785794E-2</v>
      </c>
      <c r="AP98" s="96">
        <f t="shared" si="54"/>
        <v>5.049E-2</v>
      </c>
      <c r="AQ98" s="98">
        <f t="shared" si="67"/>
        <v>5.8500000000000002E-3</v>
      </c>
      <c r="AR98" s="97">
        <f t="shared" si="68"/>
        <v>1.2295092323406538</v>
      </c>
      <c r="AS98" s="96">
        <f t="shared" si="69"/>
        <v>18.2</v>
      </c>
      <c r="AT98" s="98">
        <f t="shared" si="70"/>
        <v>93.671949107730839</v>
      </c>
    </row>
    <row r="99" spans="17:46" ht="14.65" x14ac:dyDescent="0.4">
      <c r="Q99" s="32">
        <v>92</v>
      </c>
      <c r="R99" s="97">
        <f t="shared" si="43"/>
        <v>15</v>
      </c>
      <c r="S99" s="96">
        <f t="shared" si="44"/>
        <v>1.2266666666666668</v>
      </c>
      <c r="T99" s="96">
        <f t="shared" si="45"/>
        <v>13</v>
      </c>
      <c r="U99" s="98">
        <f t="shared" si="46"/>
        <v>1.4153846153846155</v>
      </c>
      <c r="V99" s="97">
        <f t="shared" si="47"/>
        <v>2</v>
      </c>
      <c r="W99" s="96">
        <f t="shared" si="48"/>
        <v>0.5357142857142857</v>
      </c>
      <c r="X99" s="98">
        <f t="shared" si="49"/>
        <v>0.4642857142857143</v>
      </c>
      <c r="Y99" s="97">
        <f t="shared" si="55"/>
        <v>1.5827922077922081</v>
      </c>
      <c r="Z99" s="96">
        <f t="shared" si="56"/>
        <v>4.2248434898434901</v>
      </c>
      <c r="AA99" s="96">
        <f t="shared" si="57"/>
        <v>1.4873072560463423</v>
      </c>
      <c r="AB99" s="96">
        <v>0</v>
      </c>
      <c r="AC99" s="96">
        <f t="shared" si="58"/>
        <v>2.2120828738880997E-2</v>
      </c>
      <c r="AD99" s="98">
        <f t="shared" si="59"/>
        <v>2.2120828738880997E-2</v>
      </c>
      <c r="AE99" s="97">
        <f t="shared" si="60"/>
        <v>0.9301098901098902</v>
      </c>
      <c r="AF99" s="96">
        <f t="shared" si="61"/>
        <v>1.4873072560463423</v>
      </c>
      <c r="AG99" s="96">
        <f t="shared" si="50"/>
        <v>9.9543729324964494E-3</v>
      </c>
      <c r="AH99" s="96">
        <f t="shared" si="51"/>
        <v>0.17012671738750618</v>
      </c>
      <c r="AI99" s="98">
        <f t="shared" si="62"/>
        <v>0.18008109032000263</v>
      </c>
      <c r="AJ99" s="97">
        <f t="shared" si="63"/>
        <v>1.2266666666666668</v>
      </c>
      <c r="AK99" s="96">
        <f t="shared" si="64"/>
        <v>2.3601247909982321</v>
      </c>
      <c r="AL99" s="96">
        <f t="shared" si="65"/>
        <v>0.85866666666666669</v>
      </c>
      <c r="AM99" s="96">
        <f t="shared" si="52"/>
        <v>0.12628</v>
      </c>
      <c r="AN99" s="98">
        <f t="shared" si="66"/>
        <v>0.98494666666666664</v>
      </c>
      <c r="AO99" s="97">
        <f t="shared" si="53"/>
        <v>1.9908745864992895E-2</v>
      </c>
      <c r="AP99" s="96">
        <f t="shared" si="54"/>
        <v>5.049E-2</v>
      </c>
      <c r="AQ99" s="98">
        <f t="shared" si="67"/>
        <v>5.8500000000000002E-3</v>
      </c>
      <c r="AR99" s="97">
        <f t="shared" si="68"/>
        <v>1.2412765028516619</v>
      </c>
      <c r="AS99" s="96">
        <f t="shared" si="69"/>
        <v>18.400000000000002</v>
      </c>
      <c r="AT99" s="98">
        <f t="shared" si="70"/>
        <v>93.680265624938158</v>
      </c>
    </row>
    <row r="100" spans="17:46" ht="14.65" x14ac:dyDescent="0.4">
      <c r="Q100" s="32">
        <v>93</v>
      </c>
      <c r="R100" s="97">
        <f t="shared" si="43"/>
        <v>15</v>
      </c>
      <c r="S100" s="96">
        <f t="shared" si="44"/>
        <v>1.24</v>
      </c>
      <c r="T100" s="96">
        <f t="shared" si="45"/>
        <v>13</v>
      </c>
      <c r="U100" s="98">
        <f t="shared" si="46"/>
        <v>1.4307692307692308</v>
      </c>
      <c r="V100" s="97">
        <f t="shared" si="47"/>
        <v>2</v>
      </c>
      <c r="W100" s="96">
        <f t="shared" si="48"/>
        <v>0.5357142857142857</v>
      </c>
      <c r="X100" s="98">
        <f t="shared" si="49"/>
        <v>0.4642857142857143</v>
      </c>
      <c r="Y100" s="97">
        <f t="shared" si="55"/>
        <v>1.5827922077922081</v>
      </c>
      <c r="Z100" s="96">
        <f t="shared" si="56"/>
        <v>4.2535614385614391</v>
      </c>
      <c r="AA100" s="96">
        <f t="shared" si="57"/>
        <v>1.501955344255155</v>
      </c>
      <c r="AB100" s="96">
        <v>0</v>
      </c>
      <c r="AC100" s="96">
        <f t="shared" si="58"/>
        <v>2.2558698561366212E-2</v>
      </c>
      <c r="AD100" s="98">
        <f t="shared" si="59"/>
        <v>2.2558698561366212E-2</v>
      </c>
      <c r="AE100" s="97">
        <f t="shared" si="60"/>
        <v>0.95043956043956046</v>
      </c>
      <c r="AF100" s="96">
        <f t="shared" si="61"/>
        <v>1.501955344255155</v>
      </c>
      <c r="AG100" s="96">
        <f t="shared" si="50"/>
        <v>1.0151414352614798E-2</v>
      </c>
      <c r="AH100" s="96">
        <f t="shared" si="51"/>
        <v>0.17197592083737037</v>
      </c>
      <c r="AI100" s="98">
        <f t="shared" si="62"/>
        <v>0.18212733518998517</v>
      </c>
      <c r="AJ100" s="97">
        <f t="shared" si="63"/>
        <v>1.24</v>
      </c>
      <c r="AK100" s="96">
        <f t="shared" si="64"/>
        <v>2.3795231732483622</v>
      </c>
      <c r="AL100" s="96">
        <f t="shared" si="65"/>
        <v>0.86799999999999999</v>
      </c>
      <c r="AM100" s="96">
        <f t="shared" si="52"/>
        <v>0.12628</v>
      </c>
      <c r="AN100" s="98">
        <f t="shared" si="66"/>
        <v>0.99428000000000005</v>
      </c>
      <c r="AO100" s="97">
        <f t="shared" si="53"/>
        <v>2.0302828705229588E-2</v>
      </c>
      <c r="AP100" s="96">
        <f t="shared" si="54"/>
        <v>5.049E-2</v>
      </c>
      <c r="AQ100" s="98">
        <f t="shared" si="67"/>
        <v>5.8500000000000002E-3</v>
      </c>
      <c r="AR100" s="97">
        <f t="shared" si="68"/>
        <v>1.2530501638952147</v>
      </c>
      <c r="AS100" s="96">
        <f t="shared" si="69"/>
        <v>18.600000000000001</v>
      </c>
      <c r="AT100" s="98">
        <f t="shared" si="70"/>
        <v>93.688374564357815</v>
      </c>
    </row>
    <row r="101" spans="17:46" ht="14.65" x14ac:dyDescent="0.4">
      <c r="Q101" s="32">
        <v>94</v>
      </c>
      <c r="R101" s="97">
        <f t="shared" si="43"/>
        <v>15</v>
      </c>
      <c r="S101" s="96">
        <f t="shared" si="44"/>
        <v>1.2533333333333334</v>
      </c>
      <c r="T101" s="96">
        <f t="shared" si="45"/>
        <v>13</v>
      </c>
      <c r="U101" s="98">
        <f t="shared" si="46"/>
        <v>1.4461538461538461</v>
      </c>
      <c r="V101" s="97">
        <f t="shared" si="47"/>
        <v>2</v>
      </c>
      <c r="W101" s="96">
        <f t="shared" si="48"/>
        <v>0.5357142857142857</v>
      </c>
      <c r="X101" s="98">
        <f t="shared" si="49"/>
        <v>0.4642857142857143</v>
      </c>
      <c r="Y101" s="97">
        <f t="shared" si="55"/>
        <v>1.5827922077922081</v>
      </c>
      <c r="Z101" s="96">
        <f t="shared" si="56"/>
        <v>4.2822793872793872</v>
      </c>
      <c r="AA101" s="96">
        <f t="shared" si="57"/>
        <v>1.5166180175529387</v>
      </c>
      <c r="AB101" s="96">
        <v>0</v>
      </c>
      <c r="AC101" s="96">
        <f t="shared" si="58"/>
        <v>2.3001302111662056E-2</v>
      </c>
      <c r="AD101" s="98">
        <f t="shared" si="59"/>
        <v>2.3001302111662056E-2</v>
      </c>
      <c r="AE101" s="97">
        <f t="shared" si="60"/>
        <v>0.97098901098901091</v>
      </c>
      <c r="AF101" s="96">
        <f t="shared" si="61"/>
        <v>1.5166180175529387</v>
      </c>
      <c r="AG101" s="96">
        <f t="shared" si="50"/>
        <v>1.0350585950247926E-2</v>
      </c>
      <c r="AH101" s="96">
        <f t="shared" si="51"/>
        <v>0.17382512428723457</v>
      </c>
      <c r="AI101" s="98">
        <f t="shared" si="62"/>
        <v>0.1841757102374825</v>
      </c>
      <c r="AJ101" s="97">
        <f t="shared" si="63"/>
        <v>1.2533333333333334</v>
      </c>
      <c r="AK101" s="96">
        <f t="shared" si="64"/>
        <v>2.3989243103802309</v>
      </c>
      <c r="AL101" s="96">
        <f t="shared" si="65"/>
        <v>0.8773333333333333</v>
      </c>
      <c r="AM101" s="96">
        <f t="shared" si="52"/>
        <v>0.12628</v>
      </c>
      <c r="AN101" s="98">
        <f t="shared" si="66"/>
        <v>1.0036133333333332</v>
      </c>
      <c r="AO101" s="97">
        <f t="shared" si="53"/>
        <v>2.0701171900495849E-2</v>
      </c>
      <c r="AP101" s="96">
        <f t="shared" si="54"/>
        <v>5.049E-2</v>
      </c>
      <c r="AQ101" s="98">
        <f t="shared" si="67"/>
        <v>5.8500000000000002E-3</v>
      </c>
      <c r="AR101" s="97">
        <f t="shared" si="68"/>
        <v>1.2648302154713116</v>
      </c>
      <c r="AS101" s="96">
        <f t="shared" si="69"/>
        <v>18.8</v>
      </c>
      <c r="AT101" s="98">
        <f t="shared" si="70"/>
        <v>93.696282490862842</v>
      </c>
    </row>
    <row r="102" spans="17:46" ht="14.65" x14ac:dyDescent="0.4">
      <c r="Q102" s="32">
        <v>95</v>
      </c>
      <c r="R102" s="97">
        <f t="shared" si="43"/>
        <v>15</v>
      </c>
      <c r="S102" s="96">
        <f t="shared" si="44"/>
        <v>1.2666666666666668</v>
      </c>
      <c r="T102" s="96">
        <f t="shared" si="45"/>
        <v>13</v>
      </c>
      <c r="U102" s="98">
        <f t="shared" si="46"/>
        <v>1.4615384615384619</v>
      </c>
      <c r="V102" s="97">
        <f t="shared" si="47"/>
        <v>2</v>
      </c>
      <c r="W102" s="96">
        <f t="shared" si="48"/>
        <v>0.5357142857142857</v>
      </c>
      <c r="X102" s="98">
        <f t="shared" si="49"/>
        <v>0.4642857142857143</v>
      </c>
      <c r="Y102" s="97">
        <f t="shared" si="55"/>
        <v>1.5827922077922081</v>
      </c>
      <c r="Z102" s="96">
        <f t="shared" si="56"/>
        <v>4.310997335997337</v>
      </c>
      <c r="AA102" s="96">
        <f t="shared" si="57"/>
        <v>1.5312948569680687</v>
      </c>
      <c r="AB102" s="96">
        <v>0</v>
      </c>
      <c r="AC102" s="96">
        <f t="shared" si="58"/>
        <v>2.3448639389768579E-2</v>
      </c>
      <c r="AD102" s="98">
        <f t="shared" si="59"/>
        <v>2.3448639389768579E-2</v>
      </c>
      <c r="AE102" s="97">
        <f t="shared" si="60"/>
        <v>0.99175824175824212</v>
      </c>
      <c r="AF102" s="96">
        <f t="shared" si="61"/>
        <v>1.5312948569680687</v>
      </c>
      <c r="AG102" s="96">
        <f t="shared" si="50"/>
        <v>1.0551887725395861E-2</v>
      </c>
      <c r="AH102" s="96">
        <f t="shared" si="51"/>
        <v>0.17567432773709879</v>
      </c>
      <c r="AI102" s="98">
        <f t="shared" si="62"/>
        <v>0.18622621546249465</v>
      </c>
      <c r="AJ102" s="97">
        <f t="shared" si="63"/>
        <v>1.2666666666666668</v>
      </c>
      <c r="AK102" s="96">
        <f t="shared" si="64"/>
        <v>2.4183281360903854</v>
      </c>
      <c r="AL102" s="96">
        <f t="shared" si="65"/>
        <v>0.88666666666666671</v>
      </c>
      <c r="AM102" s="96">
        <f t="shared" si="52"/>
        <v>0.12628</v>
      </c>
      <c r="AN102" s="98">
        <f t="shared" si="66"/>
        <v>1.0129466666666667</v>
      </c>
      <c r="AO102" s="97">
        <f t="shared" si="53"/>
        <v>2.1103775450791718E-2</v>
      </c>
      <c r="AP102" s="96">
        <f t="shared" si="54"/>
        <v>5.049E-2</v>
      </c>
      <c r="AQ102" s="98">
        <f t="shared" si="67"/>
        <v>5.8500000000000002E-3</v>
      </c>
      <c r="AR102" s="97">
        <f t="shared" si="68"/>
        <v>1.2766166575799529</v>
      </c>
      <c r="AS102" s="96">
        <f t="shared" si="69"/>
        <v>19.000000000000004</v>
      </c>
      <c r="AT102" s="98">
        <f t="shared" si="70"/>
        <v>93.703995695442018</v>
      </c>
    </row>
    <row r="103" spans="17:46" ht="14.65" x14ac:dyDescent="0.4">
      <c r="Q103" s="32">
        <v>96</v>
      </c>
      <c r="R103" s="97">
        <f t="shared" si="43"/>
        <v>15</v>
      </c>
      <c r="S103" s="96">
        <f t="shared" ref="S103:S134" si="71">Q103*$O$12</f>
        <v>1.28</v>
      </c>
      <c r="T103" s="96">
        <f t="shared" si="45"/>
        <v>13</v>
      </c>
      <c r="U103" s="98">
        <f t="shared" ref="U103:U134" si="72">(R103*S103)/(T103*EFF_est)</f>
        <v>1.4769230769230768</v>
      </c>
      <c r="V103" s="97">
        <f t="shared" ref="V103:V134" si="73">IF(S103&lt;((T103^2)*R103)/(2*Fsw*Lm*((T103+R103)^2)),1,2)</f>
        <v>2</v>
      </c>
      <c r="W103" s="96">
        <f t="shared" ref="W103:W134" si="74">CHOOSE(V103,SQRT(2*Lm*R103*S103*Fsw)/T103,R103/(T103+R103))</f>
        <v>0.5357142857142857</v>
      </c>
      <c r="X103" s="98">
        <f t="shared" ref="X103:X134" si="75">CHOOSE(V103,(Lm*Z103*Fsw)/(R103),1-W103)</f>
        <v>0.4642857142857143</v>
      </c>
      <c r="Y103" s="97">
        <f t="shared" si="55"/>
        <v>1.5827922077922081</v>
      </c>
      <c r="Z103" s="96">
        <f t="shared" si="56"/>
        <v>4.3397152847152851</v>
      </c>
      <c r="AA103" s="96">
        <f t="shared" si="57"/>
        <v>1.5459854590417637</v>
      </c>
      <c r="AB103" s="96">
        <v>0</v>
      </c>
      <c r="AC103" s="96">
        <f t="shared" si="58"/>
        <v>2.3900710395685726E-2</v>
      </c>
      <c r="AD103" s="98">
        <f t="shared" si="59"/>
        <v>2.3900710395685726E-2</v>
      </c>
      <c r="AE103" s="97">
        <f t="shared" si="60"/>
        <v>1.0127472527472527</v>
      </c>
      <c r="AF103" s="96">
        <f t="shared" si="61"/>
        <v>1.5459854590417637</v>
      </c>
      <c r="AG103" s="96">
        <f t="shared" ref="AG103:AG134" si="76">(AF103^2)*RDS_on</f>
        <v>1.0755319678058579E-2</v>
      </c>
      <c r="AH103" s="96">
        <f t="shared" ref="AH103:AH134" si="77">(((R103+T103)*(U103+S103))/2)*Fsw*(tr_sw+tf_sw)</f>
        <v>0.17752353118696296</v>
      </c>
      <c r="AI103" s="98">
        <f t="shared" si="62"/>
        <v>0.18827885086502152</v>
      </c>
      <c r="AJ103" s="97">
        <f t="shared" si="63"/>
        <v>1.28</v>
      </c>
      <c r="AK103" s="96">
        <f t="shared" si="64"/>
        <v>2.437734586177366</v>
      </c>
      <c r="AL103" s="96">
        <f t="shared" si="65"/>
        <v>0.89599999999999991</v>
      </c>
      <c r="AM103" s="96">
        <f t="shared" ref="AM103:AM134" si="78">(R103+T103+Vd_rect)*Qrr*Fsw</f>
        <v>0.12628</v>
      </c>
      <c r="AN103" s="98">
        <f t="shared" si="66"/>
        <v>1.0222799999999999</v>
      </c>
      <c r="AO103" s="97">
        <f t="shared" ref="AO103:AO134" si="79">(AF103^2)*R_cs</f>
        <v>2.1510639356117151E-2</v>
      </c>
      <c r="AP103" s="96">
        <f t="shared" si="54"/>
        <v>5.049E-2</v>
      </c>
      <c r="AQ103" s="98">
        <f t="shared" si="67"/>
        <v>5.8500000000000002E-3</v>
      </c>
      <c r="AR103" s="97">
        <f t="shared" si="68"/>
        <v>1.2884094902211383</v>
      </c>
      <c r="AS103" s="96">
        <f t="shared" si="69"/>
        <v>19.2</v>
      </c>
      <c r="AT103" s="98">
        <f t="shared" si="70"/>
        <v>93.711520209335532</v>
      </c>
    </row>
    <row r="104" spans="17:46" ht="14.65" x14ac:dyDescent="0.4">
      <c r="Q104" s="32">
        <v>97</v>
      </c>
      <c r="R104" s="97">
        <f t="shared" si="43"/>
        <v>15</v>
      </c>
      <c r="S104" s="96">
        <f t="shared" si="71"/>
        <v>1.2933333333333334</v>
      </c>
      <c r="T104" s="96">
        <f t="shared" si="45"/>
        <v>13</v>
      </c>
      <c r="U104" s="98">
        <f t="shared" si="72"/>
        <v>1.4923076923076926</v>
      </c>
      <c r="V104" s="97">
        <f t="shared" si="73"/>
        <v>2</v>
      </c>
      <c r="W104" s="96">
        <f t="shared" si="74"/>
        <v>0.5357142857142857</v>
      </c>
      <c r="X104" s="98">
        <f t="shared" si="75"/>
        <v>0.4642857142857143</v>
      </c>
      <c r="Y104" s="97">
        <f t="shared" si="55"/>
        <v>1.5827922077922081</v>
      </c>
      <c r="Z104" s="96">
        <f t="shared" si="56"/>
        <v>4.3684332334332341</v>
      </c>
      <c r="AA104" s="96">
        <f t="shared" si="57"/>
        <v>1.5606894351347915</v>
      </c>
      <c r="AB104" s="96">
        <v>0</v>
      </c>
      <c r="AC104" s="96">
        <f t="shared" si="58"/>
        <v>2.4357515129413546E-2</v>
      </c>
      <c r="AD104" s="98">
        <f t="shared" si="59"/>
        <v>2.4357515129413546E-2</v>
      </c>
      <c r="AE104" s="97">
        <f t="shared" si="60"/>
        <v>1.0339560439560442</v>
      </c>
      <c r="AF104" s="96">
        <f t="shared" si="61"/>
        <v>1.5606894351347915</v>
      </c>
      <c r="AG104" s="96">
        <f t="shared" si="76"/>
        <v>1.0960881808236097E-2</v>
      </c>
      <c r="AH104" s="96">
        <f t="shared" si="77"/>
        <v>0.17937273463682718</v>
      </c>
      <c r="AI104" s="98">
        <f t="shared" si="62"/>
        <v>0.19033361644506328</v>
      </c>
      <c r="AJ104" s="97">
        <f t="shared" si="63"/>
        <v>1.2933333333333334</v>
      </c>
      <c r="AK104" s="96">
        <f t="shared" si="64"/>
        <v>2.4571435984594157</v>
      </c>
      <c r="AL104" s="96">
        <f t="shared" si="65"/>
        <v>0.90533333333333332</v>
      </c>
      <c r="AM104" s="96">
        <f t="shared" si="78"/>
        <v>0.12628</v>
      </c>
      <c r="AN104" s="98">
        <f t="shared" si="66"/>
        <v>1.0316133333333333</v>
      </c>
      <c r="AO104" s="97">
        <f t="shared" si="79"/>
        <v>2.192176361647219E-2</v>
      </c>
      <c r="AP104" s="96">
        <f t="shared" si="54"/>
        <v>5.049E-2</v>
      </c>
      <c r="AQ104" s="98">
        <f t="shared" si="67"/>
        <v>5.8500000000000002E-3</v>
      </c>
      <c r="AR104" s="97">
        <f t="shared" si="68"/>
        <v>1.3002087133948685</v>
      </c>
      <c r="AS104" s="96">
        <f t="shared" si="69"/>
        <v>19.400000000000002</v>
      </c>
      <c r="AT104" s="98">
        <f t="shared" si="70"/>
        <v>93.718861817303718</v>
      </c>
    </row>
    <row r="105" spans="17:46" ht="14.65" x14ac:dyDescent="0.4">
      <c r="Q105" s="32">
        <v>98</v>
      </c>
      <c r="R105" s="97">
        <f t="shared" si="43"/>
        <v>15</v>
      </c>
      <c r="S105" s="96">
        <f t="shared" si="71"/>
        <v>1.3066666666666666</v>
      </c>
      <c r="T105" s="96">
        <f t="shared" si="45"/>
        <v>13</v>
      </c>
      <c r="U105" s="98">
        <f t="shared" si="72"/>
        <v>1.5076923076923079</v>
      </c>
      <c r="V105" s="97">
        <f t="shared" si="73"/>
        <v>2</v>
      </c>
      <c r="W105" s="96">
        <f t="shared" si="74"/>
        <v>0.5357142857142857</v>
      </c>
      <c r="X105" s="98">
        <f t="shared" si="75"/>
        <v>0.4642857142857143</v>
      </c>
      <c r="Y105" s="97">
        <f t="shared" si="55"/>
        <v>1.5827922077922081</v>
      </c>
      <c r="Z105" s="96">
        <f t="shared" si="56"/>
        <v>4.3971511821511822</v>
      </c>
      <c r="AA105" s="96">
        <f t="shared" si="57"/>
        <v>1.5754064107699959</v>
      </c>
      <c r="AB105" s="96">
        <v>0</v>
      </c>
      <c r="AC105" s="96">
        <f t="shared" si="58"/>
        <v>2.481905359095201E-2</v>
      </c>
      <c r="AD105" s="98">
        <f t="shared" si="59"/>
        <v>2.481905359095201E-2</v>
      </c>
      <c r="AE105" s="97">
        <f t="shared" si="60"/>
        <v>1.0553846153846156</v>
      </c>
      <c r="AF105" s="96">
        <f t="shared" si="61"/>
        <v>1.5754064107699959</v>
      </c>
      <c r="AG105" s="96">
        <f t="shared" si="76"/>
        <v>1.1168574115928406E-2</v>
      </c>
      <c r="AH105" s="96">
        <f t="shared" si="77"/>
        <v>0.18122193808669135</v>
      </c>
      <c r="AI105" s="98">
        <f t="shared" si="62"/>
        <v>0.19239051220261977</v>
      </c>
      <c r="AJ105" s="97">
        <f t="shared" si="63"/>
        <v>1.3066666666666666</v>
      </c>
      <c r="AK105" s="96">
        <f t="shared" si="64"/>
        <v>2.4765551126959897</v>
      </c>
      <c r="AL105" s="96">
        <f t="shared" si="65"/>
        <v>0.91466666666666663</v>
      </c>
      <c r="AM105" s="96">
        <f t="shared" si="78"/>
        <v>0.12628</v>
      </c>
      <c r="AN105" s="98">
        <f t="shared" si="66"/>
        <v>1.0409466666666667</v>
      </c>
      <c r="AO105" s="97">
        <f t="shared" si="79"/>
        <v>2.2337148231856806E-2</v>
      </c>
      <c r="AP105" s="96">
        <f t="shared" si="54"/>
        <v>5.049E-2</v>
      </c>
      <c r="AQ105" s="98">
        <f t="shared" si="67"/>
        <v>5.8500000000000002E-3</v>
      </c>
      <c r="AR105" s="97">
        <f t="shared" si="68"/>
        <v>1.3120143271011431</v>
      </c>
      <c r="AS105" s="96">
        <f t="shared" si="69"/>
        <v>19.600000000000001</v>
      </c>
      <c r="AT105" s="98">
        <f t="shared" si="70"/>
        <v>93.726026070091081</v>
      </c>
    </row>
    <row r="106" spans="17:46" ht="14.65" x14ac:dyDescent="0.4">
      <c r="Q106" s="32">
        <v>99</v>
      </c>
      <c r="R106" s="97">
        <f t="shared" si="43"/>
        <v>15</v>
      </c>
      <c r="S106" s="96">
        <f t="shared" si="71"/>
        <v>1.32</v>
      </c>
      <c r="T106" s="96">
        <f t="shared" si="45"/>
        <v>13</v>
      </c>
      <c r="U106" s="98">
        <f t="shared" si="72"/>
        <v>1.5230769230769232</v>
      </c>
      <c r="V106" s="97">
        <f t="shared" si="73"/>
        <v>2</v>
      </c>
      <c r="W106" s="96">
        <f t="shared" si="74"/>
        <v>0.5357142857142857</v>
      </c>
      <c r="X106" s="98">
        <f t="shared" si="75"/>
        <v>0.4642857142857143</v>
      </c>
      <c r="Y106" s="97">
        <f t="shared" si="55"/>
        <v>1.5827922077922081</v>
      </c>
      <c r="Z106" s="96">
        <f t="shared" si="56"/>
        <v>4.4258691308691311</v>
      </c>
      <c r="AA106" s="96">
        <f t="shared" si="57"/>
        <v>1.5901360250085876</v>
      </c>
      <c r="AB106" s="96">
        <v>0</v>
      </c>
      <c r="AC106" s="96">
        <f t="shared" si="58"/>
        <v>2.5285325780301116E-2</v>
      </c>
      <c r="AD106" s="98">
        <f t="shared" si="59"/>
        <v>2.5285325780301116E-2</v>
      </c>
      <c r="AE106" s="97">
        <f t="shared" si="60"/>
        <v>1.0770329670329672</v>
      </c>
      <c r="AF106" s="96">
        <f t="shared" si="61"/>
        <v>1.5901360250085876</v>
      </c>
      <c r="AG106" s="96">
        <f t="shared" si="76"/>
        <v>1.1378396601135503E-2</v>
      </c>
      <c r="AH106" s="96">
        <f t="shared" si="77"/>
        <v>0.18307114153655557</v>
      </c>
      <c r="AI106" s="98">
        <f t="shared" si="62"/>
        <v>0.19444953813769109</v>
      </c>
      <c r="AJ106" s="97">
        <f t="shared" si="63"/>
        <v>1.32</v>
      </c>
      <c r="AK106" s="96">
        <f t="shared" si="64"/>
        <v>2.4959690705128983</v>
      </c>
      <c r="AL106" s="96">
        <f t="shared" si="65"/>
        <v>0.92399999999999993</v>
      </c>
      <c r="AM106" s="96">
        <f t="shared" si="78"/>
        <v>0.12628</v>
      </c>
      <c r="AN106" s="98">
        <f t="shared" si="66"/>
        <v>1.0502799999999999</v>
      </c>
      <c r="AO106" s="97">
        <f t="shared" si="79"/>
        <v>2.2756793202271003E-2</v>
      </c>
      <c r="AP106" s="96">
        <f t="shared" si="54"/>
        <v>5.049E-2</v>
      </c>
      <c r="AQ106" s="98">
        <f t="shared" si="67"/>
        <v>5.8500000000000002E-3</v>
      </c>
      <c r="AR106" s="97">
        <f t="shared" si="68"/>
        <v>1.3238263313399619</v>
      </c>
      <c r="AS106" s="96">
        <f t="shared" si="69"/>
        <v>19.8</v>
      </c>
      <c r="AT106" s="98">
        <f t="shared" si="70"/>
        <v>93.733018296141296</v>
      </c>
    </row>
    <row r="107" spans="17:46" ht="14.65" x14ac:dyDescent="0.4">
      <c r="Q107" s="32">
        <v>100</v>
      </c>
      <c r="R107" s="97">
        <f t="shared" si="43"/>
        <v>15</v>
      </c>
      <c r="S107" s="96">
        <f t="shared" si="71"/>
        <v>1.3333333333333335</v>
      </c>
      <c r="T107" s="96">
        <f t="shared" si="45"/>
        <v>13</v>
      </c>
      <c r="U107" s="98">
        <f t="shared" si="72"/>
        <v>1.5384615384615388</v>
      </c>
      <c r="V107" s="97">
        <f t="shared" si="73"/>
        <v>2</v>
      </c>
      <c r="W107" s="96">
        <f t="shared" si="74"/>
        <v>0.5357142857142857</v>
      </c>
      <c r="X107" s="98">
        <f t="shared" si="75"/>
        <v>0.4642857142857143</v>
      </c>
      <c r="Y107" s="97">
        <f t="shared" si="55"/>
        <v>1.5827922077922081</v>
      </c>
      <c r="Z107" s="96">
        <f t="shared" si="56"/>
        <v>4.4545870795870801</v>
      </c>
      <c r="AA107" s="96">
        <f t="shared" si="57"/>
        <v>1.6048779298582461</v>
      </c>
      <c r="AB107" s="96">
        <v>0</v>
      </c>
      <c r="AC107" s="96">
        <f t="shared" si="58"/>
        <v>2.5756331697460895E-2</v>
      </c>
      <c r="AD107" s="98">
        <f t="shared" si="59"/>
        <v>2.5756331697460895E-2</v>
      </c>
      <c r="AE107" s="97">
        <f t="shared" si="60"/>
        <v>1.0989010989010992</v>
      </c>
      <c r="AF107" s="96">
        <f t="shared" si="61"/>
        <v>1.6048779298582461</v>
      </c>
      <c r="AG107" s="96">
        <f t="shared" si="76"/>
        <v>1.1590349263857404E-2</v>
      </c>
      <c r="AH107" s="96">
        <f t="shared" si="77"/>
        <v>0.18492034498641977</v>
      </c>
      <c r="AI107" s="98">
        <f t="shared" si="62"/>
        <v>0.19651069425027717</v>
      </c>
      <c r="AJ107" s="97">
        <f t="shared" si="63"/>
        <v>1.3333333333333335</v>
      </c>
      <c r="AK107" s="96">
        <f t="shared" si="64"/>
        <v>2.5153854153308615</v>
      </c>
      <c r="AL107" s="96">
        <f t="shared" si="65"/>
        <v>0.93333333333333335</v>
      </c>
      <c r="AM107" s="96">
        <f t="shared" si="78"/>
        <v>0.12628</v>
      </c>
      <c r="AN107" s="98">
        <f t="shared" si="66"/>
        <v>1.0596133333333333</v>
      </c>
      <c r="AO107" s="97">
        <f t="shared" si="79"/>
        <v>2.3180698527714802E-2</v>
      </c>
      <c r="AP107" s="96">
        <f t="shared" si="54"/>
        <v>5.049E-2</v>
      </c>
      <c r="AQ107" s="98">
        <f t="shared" si="67"/>
        <v>5.8500000000000002E-3</v>
      </c>
      <c r="AR107" s="97">
        <f t="shared" si="68"/>
        <v>1.3356447261113251</v>
      </c>
      <c r="AS107" s="96">
        <f t="shared" si="69"/>
        <v>20.000000000000004</v>
      </c>
      <c r="AT107" s="98">
        <f t="shared" si="70"/>
        <v>93.739843612615488</v>
      </c>
    </row>
    <row r="108" spans="17:46" ht="14.65" x14ac:dyDescent="0.4">
      <c r="Q108" s="32">
        <v>101</v>
      </c>
      <c r="R108" s="97">
        <f t="shared" si="43"/>
        <v>15</v>
      </c>
      <c r="S108" s="96">
        <f t="shared" si="71"/>
        <v>1.3466666666666667</v>
      </c>
      <c r="T108" s="96">
        <f t="shared" si="45"/>
        <v>13</v>
      </c>
      <c r="U108" s="98">
        <f t="shared" si="72"/>
        <v>1.5538461538461539</v>
      </c>
      <c r="V108" s="97">
        <f t="shared" si="73"/>
        <v>2</v>
      </c>
      <c r="W108" s="96">
        <f t="shared" si="74"/>
        <v>0.5357142857142857</v>
      </c>
      <c r="X108" s="98">
        <f t="shared" si="75"/>
        <v>0.4642857142857143</v>
      </c>
      <c r="Y108" s="97">
        <f t="shared" si="55"/>
        <v>1.5827922077922081</v>
      </c>
      <c r="Z108" s="96">
        <f t="shared" si="56"/>
        <v>4.4833050283050282</v>
      </c>
      <c r="AA108" s="96">
        <f t="shared" si="57"/>
        <v>1.6196317897112076</v>
      </c>
      <c r="AB108" s="96">
        <v>0</v>
      </c>
      <c r="AC108" s="96">
        <f t="shared" si="58"/>
        <v>2.6232071342431294E-2</v>
      </c>
      <c r="AD108" s="98">
        <f t="shared" si="59"/>
        <v>2.6232071342431294E-2</v>
      </c>
      <c r="AE108" s="97">
        <f t="shared" si="60"/>
        <v>1.120989010989011</v>
      </c>
      <c r="AF108" s="96">
        <f t="shared" si="61"/>
        <v>1.6196317897112076</v>
      </c>
      <c r="AG108" s="96">
        <f t="shared" si="76"/>
        <v>1.1804432104094084E-2</v>
      </c>
      <c r="AH108" s="96">
        <f t="shared" si="77"/>
        <v>0.18676954843628399</v>
      </c>
      <c r="AI108" s="98">
        <f t="shared" si="62"/>
        <v>0.19857398054037806</v>
      </c>
      <c r="AJ108" s="97">
        <f t="shared" si="63"/>
        <v>1.3466666666666667</v>
      </c>
      <c r="AK108" s="96">
        <f t="shared" si="64"/>
        <v>2.5348040922973132</v>
      </c>
      <c r="AL108" s="96">
        <f t="shared" si="65"/>
        <v>0.94266666666666665</v>
      </c>
      <c r="AM108" s="96">
        <f t="shared" si="78"/>
        <v>0.12628</v>
      </c>
      <c r="AN108" s="98">
        <f t="shared" si="66"/>
        <v>1.0689466666666667</v>
      </c>
      <c r="AO108" s="97">
        <f t="shared" si="79"/>
        <v>2.3608864208188161E-2</v>
      </c>
      <c r="AP108" s="96">
        <f t="shared" si="54"/>
        <v>5.049E-2</v>
      </c>
      <c r="AQ108" s="98">
        <f t="shared" si="67"/>
        <v>5.8500000000000002E-3</v>
      </c>
      <c r="AR108" s="97">
        <f t="shared" si="68"/>
        <v>1.3474695114152329</v>
      </c>
      <c r="AS108" s="96">
        <f t="shared" si="69"/>
        <v>20.2</v>
      </c>
      <c r="AT108" s="98">
        <f t="shared" si="70"/>
        <v>93.746506935761602</v>
      </c>
    </row>
    <row r="109" spans="17:46" ht="14.65" x14ac:dyDescent="0.4">
      <c r="Q109" s="32">
        <v>102</v>
      </c>
      <c r="R109" s="97">
        <f t="shared" si="43"/>
        <v>15</v>
      </c>
      <c r="S109" s="96">
        <f t="shared" si="71"/>
        <v>1.36</v>
      </c>
      <c r="T109" s="96">
        <f t="shared" si="45"/>
        <v>13</v>
      </c>
      <c r="U109" s="98">
        <f t="shared" si="72"/>
        <v>1.5692307692307694</v>
      </c>
      <c r="V109" s="97">
        <f t="shared" si="73"/>
        <v>2</v>
      </c>
      <c r="W109" s="96">
        <f t="shared" si="74"/>
        <v>0.5357142857142857</v>
      </c>
      <c r="X109" s="98">
        <f t="shared" si="75"/>
        <v>0.4642857142857143</v>
      </c>
      <c r="Y109" s="97">
        <f t="shared" si="55"/>
        <v>1.5827922077922081</v>
      </c>
      <c r="Z109" s="96">
        <f t="shared" si="56"/>
        <v>4.5120229770229772</v>
      </c>
      <c r="AA109" s="96">
        <f t="shared" si="57"/>
        <v>1.6343972808106468</v>
      </c>
      <c r="AB109" s="96">
        <v>0</v>
      </c>
      <c r="AC109" s="96">
        <f t="shared" si="58"/>
        <v>2.6712544715212366E-2</v>
      </c>
      <c r="AD109" s="98">
        <f t="shared" si="59"/>
        <v>2.6712544715212366E-2</v>
      </c>
      <c r="AE109" s="97">
        <f t="shared" si="60"/>
        <v>1.1432967032967034</v>
      </c>
      <c r="AF109" s="96">
        <f t="shared" si="61"/>
        <v>1.6343972808106468</v>
      </c>
      <c r="AG109" s="96">
        <f t="shared" si="76"/>
        <v>1.2020645121845567E-2</v>
      </c>
      <c r="AH109" s="96">
        <f t="shared" si="77"/>
        <v>0.18861875188614818</v>
      </c>
      <c r="AI109" s="98">
        <f t="shared" si="62"/>
        <v>0.20063939700799374</v>
      </c>
      <c r="AJ109" s="97">
        <f t="shared" si="63"/>
        <v>1.36</v>
      </c>
      <c r="AK109" s="96">
        <f t="shared" si="64"/>
        <v>2.5542250482212836</v>
      </c>
      <c r="AL109" s="96">
        <f t="shared" si="65"/>
        <v>0.95199999999999996</v>
      </c>
      <c r="AM109" s="96">
        <f t="shared" si="78"/>
        <v>0.12628</v>
      </c>
      <c r="AN109" s="98">
        <f t="shared" si="66"/>
        <v>1.0782799999999999</v>
      </c>
      <c r="AO109" s="97">
        <f t="shared" si="79"/>
        <v>2.4041290243691126E-2</v>
      </c>
      <c r="AP109" s="96">
        <f t="shared" si="54"/>
        <v>5.049E-2</v>
      </c>
      <c r="AQ109" s="98">
        <f t="shared" si="67"/>
        <v>5.8500000000000002E-3</v>
      </c>
      <c r="AR109" s="97">
        <f t="shared" si="68"/>
        <v>1.3593006872516846</v>
      </c>
      <c r="AS109" s="96">
        <f t="shared" si="69"/>
        <v>20.400000000000002</v>
      </c>
      <c r="AT109" s="98">
        <f t="shared" si="70"/>
        <v>93.753012990679096</v>
      </c>
    </row>
    <row r="110" spans="17:46" ht="14.65" x14ac:dyDescent="0.4">
      <c r="Q110" s="32">
        <v>103</v>
      </c>
      <c r="R110" s="97">
        <f t="shared" si="43"/>
        <v>15</v>
      </c>
      <c r="S110" s="96">
        <f t="shared" si="71"/>
        <v>1.3733333333333335</v>
      </c>
      <c r="T110" s="96">
        <f t="shared" si="45"/>
        <v>13</v>
      </c>
      <c r="U110" s="98">
        <f t="shared" si="72"/>
        <v>1.5846153846153848</v>
      </c>
      <c r="V110" s="97">
        <f t="shared" si="73"/>
        <v>2</v>
      </c>
      <c r="W110" s="96">
        <f t="shared" si="74"/>
        <v>0.5357142857142857</v>
      </c>
      <c r="X110" s="98">
        <f t="shared" si="75"/>
        <v>0.4642857142857143</v>
      </c>
      <c r="Y110" s="97">
        <f t="shared" si="55"/>
        <v>1.5827922077922081</v>
      </c>
      <c r="Z110" s="96">
        <f t="shared" si="56"/>
        <v>4.5407409257409261</v>
      </c>
      <c r="AA110" s="96">
        <f t="shared" si="57"/>
        <v>1.6491740907437298</v>
      </c>
      <c r="AB110" s="96">
        <v>0</v>
      </c>
      <c r="AC110" s="96">
        <f t="shared" si="58"/>
        <v>2.719775181580408E-2</v>
      </c>
      <c r="AD110" s="98">
        <f t="shared" si="59"/>
        <v>2.719775181580408E-2</v>
      </c>
      <c r="AE110" s="97">
        <f t="shared" si="60"/>
        <v>1.1658241758241761</v>
      </c>
      <c r="AF110" s="96">
        <f t="shared" si="61"/>
        <v>1.6491740907437298</v>
      </c>
      <c r="AG110" s="96">
        <f t="shared" si="76"/>
        <v>1.2238988317111836E-2</v>
      </c>
      <c r="AH110" s="96">
        <f t="shared" si="77"/>
        <v>0.19046795533601238</v>
      </c>
      <c r="AI110" s="98">
        <f t="shared" si="62"/>
        <v>0.20270694365312422</v>
      </c>
      <c r="AJ110" s="97">
        <f t="shared" si="63"/>
        <v>1.3733333333333335</v>
      </c>
      <c r="AK110" s="96">
        <f t="shared" si="64"/>
        <v>2.573648231511183</v>
      </c>
      <c r="AL110" s="96">
        <f t="shared" si="65"/>
        <v>0.96133333333333337</v>
      </c>
      <c r="AM110" s="96">
        <f t="shared" si="78"/>
        <v>0.12628</v>
      </c>
      <c r="AN110" s="98">
        <f t="shared" si="66"/>
        <v>1.0876133333333333</v>
      </c>
      <c r="AO110" s="97">
        <f t="shared" si="79"/>
        <v>2.4477976634223669E-2</v>
      </c>
      <c r="AP110" s="96">
        <f t="shared" si="54"/>
        <v>5.049E-2</v>
      </c>
      <c r="AQ110" s="98">
        <f t="shared" si="67"/>
        <v>5.8500000000000002E-3</v>
      </c>
      <c r="AR110" s="97">
        <f t="shared" si="68"/>
        <v>1.3711382536206809</v>
      </c>
      <c r="AS110" s="96">
        <f t="shared" si="69"/>
        <v>20.6</v>
      </c>
      <c r="AT110" s="98">
        <f t="shared" si="70"/>
        <v>93.759366320519476</v>
      </c>
    </row>
    <row r="111" spans="17:46" ht="14.65" x14ac:dyDescent="0.4">
      <c r="Q111" s="32">
        <v>104</v>
      </c>
      <c r="R111" s="97">
        <f t="shared" si="43"/>
        <v>15</v>
      </c>
      <c r="S111" s="96">
        <f t="shared" si="71"/>
        <v>1.3866666666666667</v>
      </c>
      <c r="T111" s="96">
        <f t="shared" si="45"/>
        <v>13</v>
      </c>
      <c r="U111" s="98">
        <f t="shared" si="72"/>
        <v>1.6</v>
      </c>
      <c r="V111" s="97">
        <f t="shared" si="73"/>
        <v>2</v>
      </c>
      <c r="W111" s="96">
        <f t="shared" si="74"/>
        <v>0.5357142857142857</v>
      </c>
      <c r="X111" s="98">
        <f t="shared" si="75"/>
        <v>0.4642857142857143</v>
      </c>
      <c r="Y111" s="97">
        <f t="shared" si="55"/>
        <v>1.5827922077922081</v>
      </c>
      <c r="Z111" s="96">
        <f t="shared" si="56"/>
        <v>4.5694588744588751</v>
      </c>
      <c r="AA111" s="96">
        <f t="shared" si="57"/>
        <v>1.6639619179598566</v>
      </c>
      <c r="AB111" s="96">
        <v>0</v>
      </c>
      <c r="AC111" s="96">
        <f t="shared" si="58"/>
        <v>2.7687692644206448E-2</v>
      </c>
      <c r="AD111" s="98">
        <f t="shared" si="59"/>
        <v>2.7687692644206448E-2</v>
      </c>
      <c r="AE111" s="97">
        <f t="shared" si="60"/>
        <v>1.1885714285714286</v>
      </c>
      <c r="AF111" s="96">
        <f t="shared" si="61"/>
        <v>1.6639619179598566</v>
      </c>
      <c r="AG111" s="96">
        <f t="shared" si="76"/>
        <v>1.2459461689892903E-2</v>
      </c>
      <c r="AH111" s="96">
        <f t="shared" si="77"/>
        <v>0.19231715878587657</v>
      </c>
      <c r="AI111" s="98">
        <f t="shared" si="62"/>
        <v>0.20477662047576947</v>
      </c>
      <c r="AJ111" s="97">
        <f t="shared" si="63"/>
        <v>1.3866666666666667</v>
      </c>
      <c r="AK111" s="96">
        <f t="shared" si="64"/>
        <v>2.5930735921153638</v>
      </c>
      <c r="AL111" s="96">
        <f t="shared" si="65"/>
        <v>0.97066666666666668</v>
      </c>
      <c r="AM111" s="96">
        <f t="shared" si="78"/>
        <v>0.12628</v>
      </c>
      <c r="AN111" s="98">
        <f t="shared" si="66"/>
        <v>1.0969466666666667</v>
      </c>
      <c r="AO111" s="97">
        <f t="shared" si="79"/>
        <v>2.4918923379785803E-2</v>
      </c>
      <c r="AP111" s="96">
        <f t="shared" si="54"/>
        <v>5.049E-2</v>
      </c>
      <c r="AQ111" s="98">
        <f t="shared" si="67"/>
        <v>5.8500000000000002E-3</v>
      </c>
      <c r="AR111" s="97">
        <f t="shared" si="68"/>
        <v>1.3829822105222218</v>
      </c>
      <c r="AS111" s="96">
        <f t="shared" si="69"/>
        <v>20.8</v>
      </c>
      <c r="AT111" s="98">
        <f t="shared" si="70"/>
        <v>93.765571295160569</v>
      </c>
    </row>
    <row r="112" spans="17:46" ht="14.65" x14ac:dyDescent="0.4">
      <c r="Q112" s="32">
        <v>105</v>
      </c>
      <c r="R112" s="97">
        <f t="shared" si="43"/>
        <v>15</v>
      </c>
      <c r="S112" s="96">
        <f t="shared" si="71"/>
        <v>1.4000000000000001</v>
      </c>
      <c r="T112" s="96">
        <f t="shared" si="45"/>
        <v>13</v>
      </c>
      <c r="U112" s="98">
        <f t="shared" si="72"/>
        <v>1.6153846153846156</v>
      </c>
      <c r="V112" s="97">
        <f t="shared" si="73"/>
        <v>2</v>
      </c>
      <c r="W112" s="96">
        <f t="shared" si="74"/>
        <v>0.5357142857142857</v>
      </c>
      <c r="X112" s="98">
        <f t="shared" si="75"/>
        <v>0.4642857142857143</v>
      </c>
      <c r="Y112" s="97">
        <f t="shared" si="55"/>
        <v>1.5827922077922081</v>
      </c>
      <c r="Z112" s="96">
        <f t="shared" si="56"/>
        <v>4.5981768231768241</v>
      </c>
      <c r="AA112" s="96">
        <f t="shared" si="57"/>
        <v>1.6787604713126727</v>
      </c>
      <c r="AB112" s="96">
        <v>0</v>
      </c>
      <c r="AC112" s="96">
        <f t="shared" si="58"/>
        <v>2.8182367200419473E-2</v>
      </c>
      <c r="AD112" s="98">
        <f t="shared" si="59"/>
        <v>2.8182367200419473E-2</v>
      </c>
      <c r="AE112" s="97">
        <f t="shared" si="60"/>
        <v>1.2115384615384617</v>
      </c>
      <c r="AF112" s="96">
        <f t="shared" si="61"/>
        <v>1.6787604713126727</v>
      </c>
      <c r="AG112" s="96">
        <f t="shared" si="76"/>
        <v>1.2682065240188764E-2</v>
      </c>
      <c r="AH112" s="96">
        <f t="shared" si="77"/>
        <v>0.19416636223574077</v>
      </c>
      <c r="AI112" s="98">
        <f t="shared" si="62"/>
        <v>0.20684842747592952</v>
      </c>
      <c r="AJ112" s="97">
        <f t="shared" si="63"/>
        <v>1.4000000000000001</v>
      </c>
      <c r="AK112" s="96">
        <f t="shared" si="64"/>
        <v>2.6125010814652931</v>
      </c>
      <c r="AL112" s="96">
        <f t="shared" si="65"/>
        <v>0.98</v>
      </c>
      <c r="AM112" s="96">
        <f t="shared" si="78"/>
        <v>0.12628</v>
      </c>
      <c r="AN112" s="98">
        <f t="shared" si="66"/>
        <v>1.1062799999999999</v>
      </c>
      <c r="AO112" s="97">
        <f t="shared" si="79"/>
        <v>2.5364130480377521E-2</v>
      </c>
      <c r="AP112" s="96">
        <f t="shared" si="54"/>
        <v>5.049E-2</v>
      </c>
      <c r="AQ112" s="98">
        <f t="shared" si="67"/>
        <v>5.8500000000000002E-3</v>
      </c>
      <c r="AR112" s="97">
        <f t="shared" si="68"/>
        <v>1.3948325579563068</v>
      </c>
      <c r="AS112" s="96">
        <f t="shared" si="69"/>
        <v>21.000000000000004</v>
      </c>
      <c r="AT112" s="98">
        <f t="shared" si="70"/>
        <v>93.771632119389267</v>
      </c>
    </row>
    <row r="113" spans="17:46" ht="14.65" x14ac:dyDescent="0.4">
      <c r="Q113" s="32">
        <v>106</v>
      </c>
      <c r="R113" s="97">
        <f t="shared" si="43"/>
        <v>15</v>
      </c>
      <c r="S113" s="96">
        <f t="shared" si="71"/>
        <v>1.4133333333333333</v>
      </c>
      <c r="T113" s="96">
        <f t="shared" si="45"/>
        <v>13</v>
      </c>
      <c r="U113" s="98">
        <f t="shared" si="72"/>
        <v>1.6307692307692307</v>
      </c>
      <c r="V113" s="97">
        <f t="shared" si="73"/>
        <v>2</v>
      </c>
      <c r="W113" s="96">
        <f t="shared" si="74"/>
        <v>0.5357142857142857</v>
      </c>
      <c r="X113" s="98">
        <f t="shared" si="75"/>
        <v>0.4642857142857143</v>
      </c>
      <c r="Y113" s="97">
        <f t="shared" si="55"/>
        <v>1.5827922077922081</v>
      </c>
      <c r="Z113" s="96">
        <f t="shared" si="56"/>
        <v>4.6268947718947722</v>
      </c>
      <c r="AA113" s="96">
        <f t="shared" si="57"/>
        <v>1.6935694696245303</v>
      </c>
      <c r="AB113" s="96">
        <v>0</v>
      </c>
      <c r="AC113" s="96">
        <f t="shared" si="58"/>
        <v>2.8681775484443128E-2</v>
      </c>
      <c r="AD113" s="98">
        <f t="shared" si="59"/>
        <v>2.8681775484443128E-2</v>
      </c>
      <c r="AE113" s="97">
        <f t="shared" si="60"/>
        <v>1.2347252747252746</v>
      </c>
      <c r="AF113" s="96">
        <f t="shared" si="61"/>
        <v>1.6935694696245303</v>
      </c>
      <c r="AG113" s="96">
        <f t="shared" si="76"/>
        <v>1.2906798967999409E-2</v>
      </c>
      <c r="AH113" s="96">
        <f t="shared" si="77"/>
        <v>0.19601556568560496</v>
      </c>
      <c r="AI113" s="98">
        <f t="shared" si="62"/>
        <v>0.20892236465360436</v>
      </c>
      <c r="AJ113" s="97">
        <f t="shared" si="63"/>
        <v>1.4133333333333333</v>
      </c>
      <c r="AK113" s="96">
        <f t="shared" si="64"/>
        <v>2.6319306524212185</v>
      </c>
      <c r="AL113" s="96">
        <f t="shared" si="65"/>
        <v>0.98933333333333329</v>
      </c>
      <c r="AM113" s="96">
        <f t="shared" si="78"/>
        <v>0.12628</v>
      </c>
      <c r="AN113" s="98">
        <f t="shared" si="66"/>
        <v>1.1156133333333333</v>
      </c>
      <c r="AO113" s="97">
        <f t="shared" si="79"/>
        <v>2.5813597935998814E-2</v>
      </c>
      <c r="AP113" s="96">
        <f t="shared" si="54"/>
        <v>5.049E-2</v>
      </c>
      <c r="AQ113" s="98">
        <f t="shared" si="67"/>
        <v>5.8500000000000002E-3</v>
      </c>
      <c r="AR113" s="97">
        <f t="shared" si="68"/>
        <v>1.4066892959229362</v>
      </c>
      <c r="AS113" s="96">
        <f t="shared" si="69"/>
        <v>21.2</v>
      </c>
      <c r="AT113" s="98">
        <f t="shared" si="70"/>
        <v>93.777552840624793</v>
      </c>
    </row>
    <row r="114" spans="17:46" ht="14.65" x14ac:dyDescent="0.4">
      <c r="Q114" s="32">
        <v>107</v>
      </c>
      <c r="R114" s="97">
        <f t="shared" si="43"/>
        <v>15</v>
      </c>
      <c r="S114" s="96">
        <f t="shared" si="71"/>
        <v>1.4266666666666667</v>
      </c>
      <c r="T114" s="96">
        <f t="shared" si="45"/>
        <v>13</v>
      </c>
      <c r="U114" s="98">
        <f t="shared" si="72"/>
        <v>1.6461538461538463</v>
      </c>
      <c r="V114" s="97">
        <f t="shared" si="73"/>
        <v>2</v>
      </c>
      <c r="W114" s="96">
        <f t="shared" si="74"/>
        <v>0.5357142857142857</v>
      </c>
      <c r="X114" s="98">
        <f t="shared" si="75"/>
        <v>0.4642857142857143</v>
      </c>
      <c r="Y114" s="97">
        <f t="shared" si="55"/>
        <v>1.5827922077922081</v>
      </c>
      <c r="Z114" s="96">
        <f t="shared" si="56"/>
        <v>4.6556127206127211</v>
      </c>
      <c r="AA114" s="96">
        <f t="shared" si="57"/>
        <v>1.7083886412721625</v>
      </c>
      <c r="AB114" s="96">
        <v>0</v>
      </c>
      <c r="AC114" s="96">
        <f t="shared" si="58"/>
        <v>2.9185917496277455E-2</v>
      </c>
      <c r="AD114" s="98">
        <f t="shared" si="59"/>
        <v>2.9185917496277455E-2</v>
      </c>
      <c r="AE114" s="97">
        <f t="shared" si="60"/>
        <v>1.2581318681318683</v>
      </c>
      <c r="AF114" s="96">
        <f t="shared" si="61"/>
        <v>1.7083886412721625</v>
      </c>
      <c r="AG114" s="96">
        <f t="shared" si="76"/>
        <v>1.3133662873324856E-2</v>
      </c>
      <c r="AH114" s="96">
        <f t="shared" si="77"/>
        <v>0.19786476913546916</v>
      </c>
      <c r="AI114" s="98">
        <f t="shared" si="62"/>
        <v>0.21099843200879401</v>
      </c>
      <c r="AJ114" s="97">
        <f t="shared" si="63"/>
        <v>1.4266666666666667</v>
      </c>
      <c r="AK114" s="96">
        <f t="shared" si="64"/>
        <v>2.651362259220202</v>
      </c>
      <c r="AL114" s="96">
        <f t="shared" si="65"/>
        <v>0.9986666666666667</v>
      </c>
      <c r="AM114" s="96">
        <f t="shared" si="78"/>
        <v>0.12628</v>
      </c>
      <c r="AN114" s="98">
        <f t="shared" si="66"/>
        <v>1.1249466666666668</v>
      </c>
      <c r="AO114" s="97">
        <f t="shared" si="79"/>
        <v>2.6267325746649705E-2</v>
      </c>
      <c r="AP114" s="96">
        <f t="shared" si="54"/>
        <v>5.049E-2</v>
      </c>
      <c r="AQ114" s="98">
        <f t="shared" si="67"/>
        <v>5.8500000000000002E-3</v>
      </c>
      <c r="AR114" s="97">
        <f t="shared" si="68"/>
        <v>1.4185524244221104</v>
      </c>
      <c r="AS114" s="96">
        <f t="shared" si="69"/>
        <v>21.400000000000002</v>
      </c>
      <c r="AT114" s="98">
        <f t="shared" si="70"/>
        <v>93.783337356212527</v>
      </c>
    </row>
    <row r="115" spans="17:46" ht="14.65" x14ac:dyDescent="0.4">
      <c r="Q115" s="32">
        <v>108</v>
      </c>
      <c r="R115" s="97">
        <f t="shared" si="43"/>
        <v>15</v>
      </c>
      <c r="S115" s="96">
        <f t="shared" si="71"/>
        <v>1.4400000000000002</v>
      </c>
      <c r="T115" s="96">
        <f t="shared" si="45"/>
        <v>13</v>
      </c>
      <c r="U115" s="98">
        <f t="shared" si="72"/>
        <v>1.6615384615384616</v>
      </c>
      <c r="V115" s="97">
        <f t="shared" si="73"/>
        <v>2</v>
      </c>
      <c r="W115" s="96">
        <f t="shared" si="74"/>
        <v>0.5357142857142857</v>
      </c>
      <c r="X115" s="98">
        <f t="shared" si="75"/>
        <v>0.4642857142857143</v>
      </c>
      <c r="Y115" s="97">
        <f t="shared" si="55"/>
        <v>1.5827922077922081</v>
      </c>
      <c r="Z115" s="96">
        <f t="shared" si="56"/>
        <v>4.6843306693306701</v>
      </c>
      <c r="AA115" s="96">
        <f t="shared" si="57"/>
        <v>1.7232177237923947</v>
      </c>
      <c r="AB115" s="96">
        <v>0</v>
      </c>
      <c r="AC115" s="96">
        <f t="shared" si="58"/>
        <v>2.9694793235922418E-2</v>
      </c>
      <c r="AD115" s="98">
        <f t="shared" si="59"/>
        <v>2.9694793235922418E-2</v>
      </c>
      <c r="AE115" s="97">
        <f t="shared" si="60"/>
        <v>1.281758241758242</v>
      </c>
      <c r="AF115" s="96">
        <f t="shared" si="61"/>
        <v>1.7232177237923947</v>
      </c>
      <c r="AG115" s="96">
        <f t="shared" si="76"/>
        <v>1.3362656956165089E-2</v>
      </c>
      <c r="AH115" s="96">
        <f t="shared" si="77"/>
        <v>0.19971397258533338</v>
      </c>
      <c r="AI115" s="98">
        <f t="shared" si="62"/>
        <v>0.21307662954149847</v>
      </c>
      <c r="AJ115" s="97">
        <f t="shared" si="63"/>
        <v>1.4400000000000002</v>
      </c>
      <c r="AK115" s="96">
        <f t="shared" si="64"/>
        <v>2.6707958574263841</v>
      </c>
      <c r="AL115" s="96">
        <f t="shared" si="65"/>
        <v>1.008</v>
      </c>
      <c r="AM115" s="96">
        <f t="shared" si="78"/>
        <v>0.12628</v>
      </c>
      <c r="AN115" s="98">
        <f t="shared" si="66"/>
        <v>1.13428</v>
      </c>
      <c r="AO115" s="97">
        <f t="shared" si="79"/>
        <v>2.6725313912330174E-2</v>
      </c>
      <c r="AP115" s="96">
        <f t="shared" si="54"/>
        <v>5.049E-2</v>
      </c>
      <c r="AQ115" s="98">
        <f t="shared" si="67"/>
        <v>5.8500000000000002E-3</v>
      </c>
      <c r="AR115" s="97">
        <f t="shared" si="68"/>
        <v>1.4304219434538286</v>
      </c>
      <c r="AS115" s="96">
        <f t="shared" si="69"/>
        <v>21.6</v>
      </c>
      <c r="AT115" s="98">
        <f t="shared" si="70"/>
        <v>93.788989420315801</v>
      </c>
    </row>
    <row r="116" spans="17:46" ht="14.65" x14ac:dyDescent="0.4">
      <c r="Q116" s="32">
        <v>109</v>
      </c>
      <c r="R116" s="97">
        <f t="shared" si="43"/>
        <v>15</v>
      </c>
      <c r="S116" s="96">
        <f t="shared" si="71"/>
        <v>1.4533333333333334</v>
      </c>
      <c r="T116" s="96">
        <f t="shared" si="45"/>
        <v>13</v>
      </c>
      <c r="U116" s="98">
        <f t="shared" si="72"/>
        <v>1.676923076923077</v>
      </c>
      <c r="V116" s="97">
        <f t="shared" si="73"/>
        <v>2</v>
      </c>
      <c r="W116" s="96">
        <f t="shared" si="74"/>
        <v>0.5357142857142857</v>
      </c>
      <c r="X116" s="98">
        <f t="shared" si="75"/>
        <v>0.4642857142857143</v>
      </c>
      <c r="Y116" s="97">
        <f t="shared" si="55"/>
        <v>1.5827922077922081</v>
      </c>
      <c r="Z116" s="96">
        <f t="shared" si="56"/>
        <v>4.7130486180486182</v>
      </c>
      <c r="AA116" s="96">
        <f t="shared" si="57"/>
        <v>1.7380564635068114</v>
      </c>
      <c r="AB116" s="96">
        <v>0</v>
      </c>
      <c r="AC116" s="96">
        <f t="shared" si="58"/>
        <v>3.0208402703378039E-2</v>
      </c>
      <c r="AD116" s="98">
        <f t="shared" si="59"/>
        <v>3.0208402703378039E-2</v>
      </c>
      <c r="AE116" s="97">
        <f t="shared" si="60"/>
        <v>1.3056043956043955</v>
      </c>
      <c r="AF116" s="96">
        <f t="shared" si="61"/>
        <v>1.7380564635068114</v>
      </c>
      <c r="AG116" s="96">
        <f t="shared" si="76"/>
        <v>1.3593781216520119E-2</v>
      </c>
      <c r="AH116" s="96">
        <f t="shared" si="77"/>
        <v>0.20156317603519755</v>
      </c>
      <c r="AI116" s="98">
        <f t="shared" si="62"/>
        <v>0.21515695725171766</v>
      </c>
      <c r="AJ116" s="97">
        <f t="shared" si="63"/>
        <v>1.4533333333333334</v>
      </c>
      <c r="AK116" s="96">
        <f t="shared" si="64"/>
        <v>2.6902314038833959</v>
      </c>
      <c r="AL116" s="96">
        <f t="shared" si="65"/>
        <v>1.0173333333333332</v>
      </c>
      <c r="AM116" s="96">
        <f t="shared" si="78"/>
        <v>0.12628</v>
      </c>
      <c r="AN116" s="98">
        <f t="shared" si="66"/>
        <v>1.1436133333333331</v>
      </c>
      <c r="AO116" s="97">
        <f t="shared" si="79"/>
        <v>2.7187562433040234E-2</v>
      </c>
      <c r="AP116" s="96">
        <f t="shared" si="54"/>
        <v>5.049E-2</v>
      </c>
      <c r="AQ116" s="98">
        <f t="shared" si="67"/>
        <v>5.8500000000000002E-3</v>
      </c>
      <c r="AR116" s="97">
        <f t="shared" si="68"/>
        <v>1.4422978530180908</v>
      </c>
      <c r="AS116" s="96">
        <f t="shared" si="69"/>
        <v>21.8</v>
      </c>
      <c r="AT116" s="98">
        <f t="shared" si="70"/>
        <v>93.7945126504314</v>
      </c>
    </row>
    <row r="117" spans="17:46" ht="14.65" x14ac:dyDescent="0.4">
      <c r="Q117" s="32">
        <v>110</v>
      </c>
      <c r="R117" s="97">
        <f t="shared" si="43"/>
        <v>15</v>
      </c>
      <c r="S117" s="96">
        <f t="shared" si="71"/>
        <v>1.4666666666666668</v>
      </c>
      <c r="T117" s="96">
        <f t="shared" si="45"/>
        <v>13</v>
      </c>
      <c r="U117" s="98">
        <f t="shared" si="72"/>
        <v>1.6923076923076923</v>
      </c>
      <c r="V117" s="97">
        <f t="shared" si="73"/>
        <v>2</v>
      </c>
      <c r="W117" s="96">
        <f t="shared" si="74"/>
        <v>0.5357142857142857</v>
      </c>
      <c r="X117" s="98">
        <f t="shared" si="75"/>
        <v>0.4642857142857143</v>
      </c>
      <c r="Y117" s="97">
        <f t="shared" si="55"/>
        <v>1.5827922077922081</v>
      </c>
      <c r="Z117" s="96">
        <f t="shared" si="56"/>
        <v>4.7417665667665672</v>
      </c>
      <c r="AA117" s="96">
        <f t="shared" si="57"/>
        <v>1.7529046151643366</v>
      </c>
      <c r="AB117" s="96">
        <v>0</v>
      </c>
      <c r="AC117" s="96">
        <f t="shared" si="58"/>
        <v>3.0726745898644311E-2</v>
      </c>
      <c r="AD117" s="98">
        <f t="shared" si="59"/>
        <v>3.0726745898644311E-2</v>
      </c>
      <c r="AE117" s="97">
        <f t="shared" si="60"/>
        <v>1.3296703296703296</v>
      </c>
      <c r="AF117" s="96">
        <f t="shared" si="61"/>
        <v>1.7529046151643366</v>
      </c>
      <c r="AG117" s="96">
        <f t="shared" si="76"/>
        <v>1.3827035654389941E-2</v>
      </c>
      <c r="AH117" s="96">
        <f t="shared" si="77"/>
        <v>0.20341237948506177</v>
      </c>
      <c r="AI117" s="98">
        <f t="shared" si="62"/>
        <v>0.21723941513945172</v>
      </c>
      <c r="AJ117" s="97">
        <f t="shared" si="63"/>
        <v>1.4666666666666668</v>
      </c>
      <c r="AK117" s="96">
        <f t="shared" si="64"/>
        <v>2.7096688566687877</v>
      </c>
      <c r="AL117" s="96">
        <f t="shared" si="65"/>
        <v>1.0266666666666666</v>
      </c>
      <c r="AM117" s="96">
        <f t="shared" si="78"/>
        <v>0.12628</v>
      </c>
      <c r="AN117" s="98">
        <f t="shared" si="66"/>
        <v>1.1529466666666666</v>
      </c>
      <c r="AO117" s="97">
        <f t="shared" si="79"/>
        <v>2.7654071308779879E-2</v>
      </c>
      <c r="AP117" s="96">
        <f t="shared" si="54"/>
        <v>5.049E-2</v>
      </c>
      <c r="AQ117" s="98">
        <f t="shared" si="67"/>
        <v>5.8500000000000002E-3</v>
      </c>
      <c r="AR117" s="97">
        <f t="shared" si="68"/>
        <v>1.4541801531148979</v>
      </c>
      <c r="AS117" s="96">
        <f t="shared" si="69"/>
        <v>22</v>
      </c>
      <c r="AT117" s="98">
        <f t="shared" si="70"/>
        <v>93.799910533552506</v>
      </c>
    </row>
    <row r="118" spans="17:46" ht="14.65" x14ac:dyDescent="0.4">
      <c r="Q118" s="32">
        <v>111</v>
      </c>
      <c r="R118" s="97">
        <f t="shared" si="43"/>
        <v>15</v>
      </c>
      <c r="S118" s="96">
        <f t="shared" si="71"/>
        <v>1.4800000000000002</v>
      </c>
      <c r="T118" s="96">
        <f t="shared" si="45"/>
        <v>13</v>
      </c>
      <c r="U118" s="98">
        <f t="shared" si="72"/>
        <v>1.7076923076923078</v>
      </c>
      <c r="V118" s="97">
        <f t="shared" si="73"/>
        <v>2</v>
      </c>
      <c r="W118" s="96">
        <f t="shared" si="74"/>
        <v>0.5357142857142857</v>
      </c>
      <c r="X118" s="98">
        <f t="shared" si="75"/>
        <v>0.4642857142857143</v>
      </c>
      <c r="Y118" s="97">
        <f t="shared" si="55"/>
        <v>1.5827922077922081</v>
      </c>
      <c r="Z118" s="96">
        <f t="shared" si="56"/>
        <v>4.7704845154845161</v>
      </c>
      <c r="AA118" s="96">
        <f t="shared" si="57"/>
        <v>1.7677619416007699</v>
      </c>
      <c r="AB118" s="96">
        <v>0</v>
      </c>
      <c r="AC118" s="96">
        <f t="shared" si="58"/>
        <v>3.124982282172124E-2</v>
      </c>
      <c r="AD118" s="98">
        <f t="shared" si="59"/>
        <v>3.124982282172124E-2</v>
      </c>
      <c r="AE118" s="97">
        <f t="shared" si="60"/>
        <v>1.3539560439560441</v>
      </c>
      <c r="AF118" s="96">
        <f t="shared" si="61"/>
        <v>1.7677619416007699</v>
      </c>
      <c r="AG118" s="96">
        <f t="shared" si="76"/>
        <v>1.4062420269774559E-2</v>
      </c>
      <c r="AH118" s="96">
        <f t="shared" si="77"/>
        <v>0.20526158293492597</v>
      </c>
      <c r="AI118" s="98">
        <f t="shared" si="62"/>
        <v>0.21932400320470052</v>
      </c>
      <c r="AJ118" s="97">
        <f t="shared" si="63"/>
        <v>1.4800000000000002</v>
      </c>
      <c r="AK118" s="96">
        <f t="shared" si="64"/>
        <v>2.7291081750503872</v>
      </c>
      <c r="AL118" s="96">
        <f t="shared" si="65"/>
        <v>1.036</v>
      </c>
      <c r="AM118" s="96">
        <f t="shared" si="78"/>
        <v>0.12628</v>
      </c>
      <c r="AN118" s="98">
        <f t="shared" si="66"/>
        <v>1.16228</v>
      </c>
      <c r="AO118" s="97">
        <f t="shared" si="79"/>
        <v>2.8124840539549115E-2</v>
      </c>
      <c r="AP118" s="96">
        <f t="shared" si="54"/>
        <v>5.049E-2</v>
      </c>
      <c r="AQ118" s="98">
        <f t="shared" si="67"/>
        <v>5.8500000000000002E-3</v>
      </c>
      <c r="AR118" s="97">
        <f t="shared" si="68"/>
        <v>1.4660688437442495</v>
      </c>
      <c r="AS118" s="96">
        <f t="shared" si="69"/>
        <v>22.200000000000003</v>
      </c>
      <c r="AT118" s="98">
        <f t="shared" si="70"/>
        <v>93.805186432001022</v>
      </c>
    </row>
    <row r="119" spans="17:46" ht="14.65" x14ac:dyDescent="0.4">
      <c r="Q119" s="32">
        <v>112</v>
      </c>
      <c r="R119" s="97">
        <f t="shared" si="43"/>
        <v>15</v>
      </c>
      <c r="S119" s="96">
        <f t="shared" si="71"/>
        <v>1.4933333333333334</v>
      </c>
      <c r="T119" s="96">
        <f t="shared" si="45"/>
        <v>13</v>
      </c>
      <c r="U119" s="98">
        <f t="shared" si="72"/>
        <v>1.7230769230769232</v>
      </c>
      <c r="V119" s="97">
        <f t="shared" si="73"/>
        <v>2</v>
      </c>
      <c r="W119" s="96">
        <f t="shared" si="74"/>
        <v>0.5357142857142857</v>
      </c>
      <c r="X119" s="98">
        <f t="shared" si="75"/>
        <v>0.4642857142857143</v>
      </c>
      <c r="Y119" s="97">
        <f t="shared" si="55"/>
        <v>1.5827922077922081</v>
      </c>
      <c r="Z119" s="96">
        <f t="shared" si="56"/>
        <v>4.7992024642024642</v>
      </c>
      <c r="AA119" s="96">
        <f t="shared" si="57"/>
        <v>1.7826282134143623</v>
      </c>
      <c r="AB119" s="96">
        <v>0</v>
      </c>
      <c r="AC119" s="96">
        <f t="shared" si="58"/>
        <v>3.1777633472608813E-2</v>
      </c>
      <c r="AD119" s="98">
        <f t="shared" si="59"/>
        <v>3.1777633472608813E-2</v>
      </c>
      <c r="AE119" s="97">
        <f t="shared" si="60"/>
        <v>1.3784615384615384</v>
      </c>
      <c r="AF119" s="96">
        <f t="shared" si="61"/>
        <v>1.7826282134143623</v>
      </c>
      <c r="AG119" s="96">
        <f t="shared" si="76"/>
        <v>1.4299935062673966E-2</v>
      </c>
      <c r="AH119" s="96">
        <f t="shared" si="77"/>
        <v>0.20711078638479014</v>
      </c>
      <c r="AI119" s="98">
        <f t="shared" si="62"/>
        <v>0.2214107214474641</v>
      </c>
      <c r="AJ119" s="97">
        <f t="shared" si="63"/>
        <v>1.4933333333333334</v>
      </c>
      <c r="AK119" s="96">
        <f t="shared" si="64"/>
        <v>2.7485493194444923</v>
      </c>
      <c r="AL119" s="96">
        <f t="shared" si="65"/>
        <v>1.0453333333333332</v>
      </c>
      <c r="AM119" s="96">
        <f t="shared" si="78"/>
        <v>0.12628</v>
      </c>
      <c r="AN119" s="98">
        <f t="shared" si="66"/>
        <v>1.1716133333333332</v>
      </c>
      <c r="AO119" s="97">
        <f t="shared" si="79"/>
        <v>2.8599870125347926E-2</v>
      </c>
      <c r="AP119" s="96">
        <f t="shared" si="54"/>
        <v>5.049E-2</v>
      </c>
      <c r="AQ119" s="98">
        <f t="shared" si="67"/>
        <v>5.8500000000000002E-3</v>
      </c>
      <c r="AR119" s="97">
        <f t="shared" si="68"/>
        <v>1.4779639249061451</v>
      </c>
      <c r="AS119" s="96">
        <f t="shared" si="69"/>
        <v>22.400000000000002</v>
      </c>
      <c r="AT119" s="98">
        <f t="shared" si="70"/>
        <v>93.810343588950062</v>
      </c>
    </row>
    <row r="120" spans="17:46" ht="14.65" x14ac:dyDescent="0.4">
      <c r="Q120" s="32">
        <v>113</v>
      </c>
      <c r="R120" s="97">
        <f t="shared" si="43"/>
        <v>15</v>
      </c>
      <c r="S120" s="96">
        <f t="shared" si="71"/>
        <v>1.5066666666666668</v>
      </c>
      <c r="T120" s="96">
        <f t="shared" si="45"/>
        <v>13</v>
      </c>
      <c r="U120" s="98">
        <f t="shared" si="72"/>
        <v>1.7384615384615385</v>
      </c>
      <c r="V120" s="97">
        <f t="shared" si="73"/>
        <v>2</v>
      </c>
      <c r="W120" s="96">
        <f t="shared" si="74"/>
        <v>0.5357142857142857</v>
      </c>
      <c r="X120" s="98">
        <f t="shared" si="75"/>
        <v>0.4642857142857143</v>
      </c>
      <c r="Y120" s="97">
        <f t="shared" si="55"/>
        <v>1.5827922077922081</v>
      </c>
      <c r="Z120" s="96">
        <f t="shared" si="56"/>
        <v>4.8279204129204132</v>
      </c>
      <c r="AA120" s="96">
        <f t="shared" si="57"/>
        <v>1.7975032086565808</v>
      </c>
      <c r="AB120" s="96">
        <v>0</v>
      </c>
      <c r="AC120" s="96">
        <f t="shared" si="58"/>
        <v>3.2310177851307034E-2</v>
      </c>
      <c r="AD120" s="98">
        <f t="shared" si="59"/>
        <v>3.2310177851307034E-2</v>
      </c>
      <c r="AE120" s="97">
        <f t="shared" si="60"/>
        <v>1.4031868131868133</v>
      </c>
      <c r="AF120" s="96">
        <f t="shared" si="61"/>
        <v>1.7975032086565808</v>
      </c>
      <c r="AG120" s="96">
        <f t="shared" si="76"/>
        <v>1.4539580033088166E-2</v>
      </c>
      <c r="AH120" s="96">
        <f t="shared" si="77"/>
        <v>0.20895998983465439</v>
      </c>
      <c r="AI120" s="98">
        <f t="shared" si="62"/>
        <v>0.22349956986774255</v>
      </c>
      <c r="AJ120" s="97">
        <f t="shared" si="63"/>
        <v>1.5066666666666668</v>
      </c>
      <c r="AK120" s="96">
        <f t="shared" si="64"/>
        <v>2.76799225137581</v>
      </c>
      <c r="AL120" s="96">
        <f t="shared" si="65"/>
        <v>1.0546666666666666</v>
      </c>
      <c r="AM120" s="96">
        <f t="shared" si="78"/>
        <v>0.12628</v>
      </c>
      <c r="AN120" s="98">
        <f t="shared" si="66"/>
        <v>1.1809466666666666</v>
      </c>
      <c r="AO120" s="97">
        <f t="shared" si="79"/>
        <v>2.9079160066176325E-2</v>
      </c>
      <c r="AP120" s="96">
        <f t="shared" si="54"/>
        <v>5.049E-2</v>
      </c>
      <c r="AQ120" s="98">
        <f t="shared" si="67"/>
        <v>5.8500000000000002E-3</v>
      </c>
      <c r="AR120" s="97">
        <f t="shared" si="68"/>
        <v>1.4898653966005855</v>
      </c>
      <c r="AS120" s="96">
        <f t="shared" si="69"/>
        <v>22.6</v>
      </c>
      <c r="AT120" s="98">
        <f t="shared" si="70"/>
        <v>93.815385133655298</v>
      </c>
    </row>
    <row r="121" spans="17:46" ht="14.65" x14ac:dyDescent="0.4">
      <c r="Q121" s="32">
        <v>114</v>
      </c>
      <c r="R121" s="97">
        <f t="shared" si="43"/>
        <v>15</v>
      </c>
      <c r="S121" s="96">
        <f t="shared" si="71"/>
        <v>1.52</v>
      </c>
      <c r="T121" s="96">
        <f t="shared" si="45"/>
        <v>13</v>
      </c>
      <c r="U121" s="98">
        <f t="shared" si="72"/>
        <v>1.7538461538461538</v>
      </c>
      <c r="V121" s="97">
        <f t="shared" si="73"/>
        <v>2</v>
      </c>
      <c r="W121" s="96">
        <f t="shared" si="74"/>
        <v>0.5357142857142857</v>
      </c>
      <c r="X121" s="98">
        <f t="shared" si="75"/>
        <v>0.4642857142857143</v>
      </c>
      <c r="Y121" s="97">
        <f t="shared" si="55"/>
        <v>1.5827922077922081</v>
      </c>
      <c r="Z121" s="96">
        <f t="shared" si="56"/>
        <v>4.8566383616383622</v>
      </c>
      <c r="AA121" s="96">
        <f t="shared" si="57"/>
        <v>1.8123867125372528</v>
      </c>
      <c r="AB121" s="96">
        <v>0</v>
      </c>
      <c r="AC121" s="96">
        <f t="shared" si="58"/>
        <v>3.2847455957815908E-2</v>
      </c>
      <c r="AD121" s="98">
        <f t="shared" si="59"/>
        <v>3.2847455957815908E-2</v>
      </c>
      <c r="AE121" s="97">
        <f t="shared" si="60"/>
        <v>1.428131868131868</v>
      </c>
      <c r="AF121" s="96">
        <f t="shared" si="61"/>
        <v>1.8123867125372528</v>
      </c>
      <c r="AG121" s="96">
        <f t="shared" si="76"/>
        <v>1.4781355181017161E-2</v>
      </c>
      <c r="AH121" s="96">
        <f t="shared" si="77"/>
        <v>0.21080919328451853</v>
      </c>
      <c r="AI121" s="98">
        <f t="shared" si="62"/>
        <v>0.2255905484655357</v>
      </c>
      <c r="AJ121" s="97">
        <f t="shared" si="63"/>
        <v>1.52</v>
      </c>
      <c r="AK121" s="96">
        <f t="shared" si="64"/>
        <v>2.787436933439047</v>
      </c>
      <c r="AL121" s="96">
        <f t="shared" si="65"/>
        <v>1.0639999999999998</v>
      </c>
      <c r="AM121" s="96">
        <f t="shared" si="78"/>
        <v>0.12628</v>
      </c>
      <c r="AN121" s="98">
        <f t="shared" si="66"/>
        <v>1.1902799999999998</v>
      </c>
      <c r="AO121" s="97">
        <f t="shared" si="79"/>
        <v>2.9562710362034315E-2</v>
      </c>
      <c r="AP121" s="96">
        <f t="shared" si="54"/>
        <v>5.049E-2</v>
      </c>
      <c r="AQ121" s="98">
        <f t="shared" si="67"/>
        <v>5.8500000000000002E-3</v>
      </c>
      <c r="AR121" s="97">
        <f t="shared" si="68"/>
        <v>1.5017732588275696</v>
      </c>
      <c r="AS121" s="96">
        <f t="shared" si="69"/>
        <v>22.8</v>
      </c>
      <c r="AT121" s="98">
        <f t="shared" si="70"/>
        <v>93.820314086413205</v>
      </c>
    </row>
    <row r="122" spans="17:46" ht="14.65" x14ac:dyDescent="0.4">
      <c r="Q122" s="32">
        <v>115</v>
      </c>
      <c r="R122" s="97">
        <f t="shared" si="43"/>
        <v>15</v>
      </c>
      <c r="S122" s="96">
        <f t="shared" si="71"/>
        <v>1.5333333333333334</v>
      </c>
      <c r="T122" s="96">
        <f t="shared" si="45"/>
        <v>13</v>
      </c>
      <c r="U122" s="98">
        <f t="shared" si="72"/>
        <v>1.7692307692307692</v>
      </c>
      <c r="V122" s="97">
        <f t="shared" si="73"/>
        <v>2</v>
      </c>
      <c r="W122" s="96">
        <f t="shared" si="74"/>
        <v>0.5357142857142857</v>
      </c>
      <c r="X122" s="98">
        <f t="shared" si="75"/>
        <v>0.4642857142857143</v>
      </c>
      <c r="Y122" s="97">
        <f t="shared" si="55"/>
        <v>1.5827922077922081</v>
      </c>
      <c r="Z122" s="96">
        <f t="shared" si="56"/>
        <v>4.8853563103563102</v>
      </c>
      <c r="AA122" s="96">
        <f t="shared" si="57"/>
        <v>1.8272785171433346</v>
      </c>
      <c r="AB122" s="96">
        <v>0</v>
      </c>
      <c r="AC122" s="96">
        <f t="shared" si="58"/>
        <v>3.3389467792135433E-2</v>
      </c>
      <c r="AD122" s="98">
        <f t="shared" si="59"/>
        <v>3.3389467792135433E-2</v>
      </c>
      <c r="AE122" s="97">
        <f t="shared" si="60"/>
        <v>1.4532967032967032</v>
      </c>
      <c r="AF122" s="96">
        <f t="shared" si="61"/>
        <v>1.8272785171433346</v>
      </c>
      <c r="AG122" s="96">
        <f t="shared" si="76"/>
        <v>1.5025260506460946E-2</v>
      </c>
      <c r="AH122" s="96">
        <f t="shared" si="77"/>
        <v>0.21265839673438272</v>
      </c>
      <c r="AI122" s="98">
        <f t="shared" si="62"/>
        <v>0.22768365724084366</v>
      </c>
      <c r="AJ122" s="97">
        <f t="shared" si="63"/>
        <v>1.5333333333333334</v>
      </c>
      <c r="AK122" s="96">
        <f t="shared" si="64"/>
        <v>2.8068833292620918</v>
      </c>
      <c r="AL122" s="96">
        <f t="shared" si="65"/>
        <v>1.0733333333333333</v>
      </c>
      <c r="AM122" s="96">
        <f t="shared" si="78"/>
        <v>0.12628</v>
      </c>
      <c r="AN122" s="98">
        <f t="shared" si="66"/>
        <v>1.1996133333333332</v>
      </c>
      <c r="AO122" s="97">
        <f t="shared" si="79"/>
        <v>3.0050521012921889E-2</v>
      </c>
      <c r="AP122" s="96">
        <f t="shared" si="54"/>
        <v>5.049E-2</v>
      </c>
      <c r="AQ122" s="98">
        <f t="shared" si="67"/>
        <v>5.8500000000000002E-3</v>
      </c>
      <c r="AR122" s="97">
        <f t="shared" si="68"/>
        <v>1.5136875115870985</v>
      </c>
      <c r="AS122" s="96">
        <f t="shared" si="69"/>
        <v>23</v>
      </c>
      <c r="AT122" s="98">
        <f t="shared" si="70"/>
        <v>93.825133363262424</v>
      </c>
    </row>
    <row r="123" spans="17:46" ht="14.65" x14ac:dyDescent="0.4">
      <c r="Q123" s="32">
        <v>116</v>
      </c>
      <c r="R123" s="97">
        <f t="shared" si="43"/>
        <v>15</v>
      </c>
      <c r="S123" s="96">
        <f t="shared" si="71"/>
        <v>1.5466666666666669</v>
      </c>
      <c r="T123" s="96">
        <f t="shared" si="45"/>
        <v>13</v>
      </c>
      <c r="U123" s="98">
        <f t="shared" si="72"/>
        <v>1.7846153846153849</v>
      </c>
      <c r="V123" s="97">
        <f t="shared" si="73"/>
        <v>2</v>
      </c>
      <c r="W123" s="96">
        <f t="shared" si="74"/>
        <v>0.5357142857142857</v>
      </c>
      <c r="X123" s="98">
        <f t="shared" si="75"/>
        <v>0.4642857142857143</v>
      </c>
      <c r="Y123" s="97">
        <f t="shared" si="55"/>
        <v>1.5827922077922081</v>
      </c>
      <c r="Z123" s="96">
        <f t="shared" si="56"/>
        <v>4.9140742590742601</v>
      </c>
      <c r="AA123" s="96">
        <f t="shared" si="57"/>
        <v>1.8421784211705885</v>
      </c>
      <c r="AB123" s="96">
        <v>0</v>
      </c>
      <c r="AC123" s="96">
        <f t="shared" si="58"/>
        <v>3.3936213354265624E-2</v>
      </c>
      <c r="AD123" s="98">
        <f t="shared" si="59"/>
        <v>3.3936213354265624E-2</v>
      </c>
      <c r="AE123" s="97">
        <f t="shared" si="60"/>
        <v>1.4786813186813192</v>
      </c>
      <c r="AF123" s="96">
        <f t="shared" si="61"/>
        <v>1.8421784211705885</v>
      </c>
      <c r="AG123" s="96">
        <f t="shared" si="76"/>
        <v>1.5271296009419531E-2</v>
      </c>
      <c r="AH123" s="96">
        <f t="shared" si="77"/>
        <v>0.21450760018424697</v>
      </c>
      <c r="AI123" s="98">
        <f t="shared" si="62"/>
        <v>0.22977889619366651</v>
      </c>
      <c r="AJ123" s="97">
        <f t="shared" si="63"/>
        <v>1.5466666666666669</v>
      </c>
      <c r="AK123" s="96">
        <f t="shared" si="64"/>
        <v>2.8263314034706948</v>
      </c>
      <c r="AL123" s="96">
        <f t="shared" si="65"/>
        <v>1.0826666666666667</v>
      </c>
      <c r="AM123" s="96">
        <f t="shared" si="78"/>
        <v>0.12628</v>
      </c>
      <c r="AN123" s="98">
        <f t="shared" si="66"/>
        <v>1.2089466666666666</v>
      </c>
      <c r="AO123" s="97">
        <f t="shared" si="79"/>
        <v>3.0542592018839056E-2</v>
      </c>
      <c r="AP123" s="96">
        <f t="shared" si="54"/>
        <v>5.049E-2</v>
      </c>
      <c r="AQ123" s="98">
        <f t="shared" si="67"/>
        <v>5.8500000000000002E-3</v>
      </c>
      <c r="AR123" s="97">
        <f t="shared" si="68"/>
        <v>1.525608154879172</v>
      </c>
      <c r="AS123" s="96">
        <f t="shared" si="69"/>
        <v>23.200000000000003</v>
      </c>
      <c r="AT123" s="98">
        <f t="shared" si="70"/>
        <v>93.829845780443947</v>
      </c>
    </row>
    <row r="124" spans="17:46" ht="14.65" x14ac:dyDescent="0.4">
      <c r="Q124" s="32">
        <v>117</v>
      </c>
      <c r="R124" s="97">
        <f t="shared" si="43"/>
        <v>15</v>
      </c>
      <c r="S124" s="96">
        <f t="shared" si="71"/>
        <v>1.56</v>
      </c>
      <c r="T124" s="96">
        <f t="shared" si="45"/>
        <v>13</v>
      </c>
      <c r="U124" s="98">
        <f t="shared" si="72"/>
        <v>1.8000000000000003</v>
      </c>
      <c r="V124" s="97">
        <f t="shared" si="73"/>
        <v>2</v>
      </c>
      <c r="W124" s="96">
        <f t="shared" si="74"/>
        <v>0.5357142857142857</v>
      </c>
      <c r="X124" s="98">
        <f t="shared" si="75"/>
        <v>0.4642857142857143</v>
      </c>
      <c r="Y124" s="97">
        <f t="shared" si="55"/>
        <v>1.5827922077922081</v>
      </c>
      <c r="Z124" s="96">
        <f t="shared" si="56"/>
        <v>4.9427922077922082</v>
      </c>
      <c r="AA124" s="96">
        <f t="shared" si="57"/>
        <v>1.8570862296674986</v>
      </c>
      <c r="AB124" s="96">
        <v>0</v>
      </c>
      <c r="AC124" s="96">
        <f t="shared" si="58"/>
        <v>3.4487692644206452E-2</v>
      </c>
      <c r="AD124" s="98">
        <f t="shared" si="59"/>
        <v>3.4487692644206452E-2</v>
      </c>
      <c r="AE124" s="97">
        <f t="shared" si="60"/>
        <v>1.5042857142857147</v>
      </c>
      <c r="AF124" s="96">
        <f t="shared" si="61"/>
        <v>1.8570862296674986</v>
      </c>
      <c r="AG124" s="96">
        <f t="shared" si="76"/>
        <v>1.5519461689892907E-2</v>
      </c>
      <c r="AH124" s="96">
        <f t="shared" si="77"/>
        <v>0.21635680363411117</v>
      </c>
      <c r="AI124" s="98">
        <f t="shared" si="62"/>
        <v>0.23187626532400407</v>
      </c>
      <c r="AJ124" s="97">
        <f t="shared" si="63"/>
        <v>1.56</v>
      </c>
      <c r="AK124" s="96">
        <f t="shared" si="64"/>
        <v>2.8457811216545825</v>
      </c>
      <c r="AL124" s="96">
        <f t="shared" si="65"/>
        <v>1.0919999999999999</v>
      </c>
      <c r="AM124" s="96">
        <f t="shared" si="78"/>
        <v>0.12628</v>
      </c>
      <c r="AN124" s="98">
        <f t="shared" si="66"/>
        <v>1.2182799999999998</v>
      </c>
      <c r="AO124" s="97">
        <f t="shared" si="79"/>
        <v>3.1038923379785806E-2</v>
      </c>
      <c r="AP124" s="96">
        <f t="shared" si="54"/>
        <v>5.049E-2</v>
      </c>
      <c r="AQ124" s="98">
        <f t="shared" si="67"/>
        <v>5.8500000000000002E-3</v>
      </c>
      <c r="AR124" s="97">
        <f t="shared" si="68"/>
        <v>1.5375351887037896</v>
      </c>
      <c r="AS124" s="96">
        <f t="shared" si="69"/>
        <v>23.400000000000002</v>
      </c>
      <c r="AT124" s="98">
        <f t="shared" si="70"/>
        <v>93.834454058634222</v>
      </c>
    </row>
    <row r="125" spans="17:46" ht="14.65" x14ac:dyDescent="0.4">
      <c r="Q125" s="32">
        <v>118</v>
      </c>
      <c r="R125" s="97">
        <f t="shared" si="43"/>
        <v>15</v>
      </c>
      <c r="S125" s="96">
        <f t="shared" si="71"/>
        <v>1.5733333333333335</v>
      </c>
      <c r="T125" s="96">
        <f t="shared" si="45"/>
        <v>13</v>
      </c>
      <c r="U125" s="98">
        <f t="shared" si="72"/>
        <v>1.8153846153846156</v>
      </c>
      <c r="V125" s="97">
        <f t="shared" si="73"/>
        <v>2</v>
      </c>
      <c r="W125" s="96">
        <f t="shared" si="74"/>
        <v>0.5357142857142857</v>
      </c>
      <c r="X125" s="98">
        <f t="shared" si="75"/>
        <v>0.4642857142857143</v>
      </c>
      <c r="Y125" s="97">
        <f t="shared" si="55"/>
        <v>1.5827922077922081</v>
      </c>
      <c r="Z125" s="96">
        <f t="shared" si="56"/>
        <v>4.9715101565101572</v>
      </c>
      <c r="AA125" s="96">
        <f t="shared" si="57"/>
        <v>1.8720017537907898</v>
      </c>
      <c r="AB125" s="96">
        <v>0</v>
      </c>
      <c r="AC125" s="96">
        <f t="shared" si="58"/>
        <v>3.5043905661957926E-2</v>
      </c>
      <c r="AD125" s="98">
        <f t="shared" si="59"/>
        <v>3.5043905661957926E-2</v>
      </c>
      <c r="AE125" s="97">
        <f t="shared" si="60"/>
        <v>1.5301098901098904</v>
      </c>
      <c r="AF125" s="96">
        <f t="shared" si="61"/>
        <v>1.8720017537907898</v>
      </c>
      <c r="AG125" s="96">
        <f t="shared" si="76"/>
        <v>1.5769757547881069E-2</v>
      </c>
      <c r="AH125" s="96">
        <f t="shared" si="77"/>
        <v>0.21820600708397536</v>
      </c>
      <c r="AI125" s="98">
        <f t="shared" si="62"/>
        <v>0.23397576463185643</v>
      </c>
      <c r="AJ125" s="97">
        <f t="shared" si="63"/>
        <v>1.5733333333333335</v>
      </c>
      <c r="AK125" s="96">
        <f t="shared" si="64"/>
        <v>2.8652324503349496</v>
      </c>
      <c r="AL125" s="96">
        <f t="shared" si="65"/>
        <v>1.1013333333333333</v>
      </c>
      <c r="AM125" s="96">
        <f t="shared" si="78"/>
        <v>0.12628</v>
      </c>
      <c r="AN125" s="98">
        <f t="shared" si="66"/>
        <v>1.2276133333333332</v>
      </c>
      <c r="AO125" s="97">
        <f t="shared" si="79"/>
        <v>3.1539515095762131E-2</v>
      </c>
      <c r="AP125" s="96">
        <f t="shared" si="54"/>
        <v>5.049E-2</v>
      </c>
      <c r="AQ125" s="98">
        <f t="shared" si="67"/>
        <v>5.8500000000000002E-3</v>
      </c>
      <c r="AR125" s="97">
        <f t="shared" si="68"/>
        <v>1.5494686130609516</v>
      </c>
      <c r="AS125" s="96">
        <f t="shared" si="69"/>
        <v>23.6</v>
      </c>
      <c r="AT125" s="98">
        <f t="shared" si="70"/>
        <v>93.838960826964495</v>
      </c>
    </row>
    <row r="126" spans="17:46" ht="14.65" x14ac:dyDescent="0.4">
      <c r="Q126" s="32">
        <v>119</v>
      </c>
      <c r="R126" s="97">
        <f t="shared" si="43"/>
        <v>15</v>
      </c>
      <c r="S126" s="96">
        <f t="shared" si="71"/>
        <v>1.5866666666666667</v>
      </c>
      <c r="T126" s="96">
        <f t="shared" si="45"/>
        <v>13</v>
      </c>
      <c r="U126" s="98">
        <f t="shared" si="72"/>
        <v>1.8307692307692309</v>
      </c>
      <c r="V126" s="97">
        <f t="shared" si="73"/>
        <v>2</v>
      </c>
      <c r="W126" s="96">
        <f t="shared" si="74"/>
        <v>0.5357142857142857</v>
      </c>
      <c r="X126" s="98">
        <f t="shared" si="75"/>
        <v>0.4642857142857143</v>
      </c>
      <c r="Y126" s="97">
        <f t="shared" si="55"/>
        <v>1.5827922077922081</v>
      </c>
      <c r="Z126" s="96">
        <f t="shared" si="56"/>
        <v>5.0002281052281052</v>
      </c>
      <c r="AA126" s="96">
        <f t="shared" si="57"/>
        <v>1.8869248105719543</v>
      </c>
      <c r="AB126" s="96">
        <v>0</v>
      </c>
      <c r="AC126" s="96">
        <f t="shared" si="58"/>
        <v>3.5604852407520052E-2</v>
      </c>
      <c r="AD126" s="98">
        <f t="shared" si="59"/>
        <v>3.5604852407520052E-2</v>
      </c>
      <c r="AE126" s="97">
        <f t="shared" si="60"/>
        <v>1.5561538461538462</v>
      </c>
      <c r="AF126" s="96">
        <f t="shared" si="61"/>
        <v>1.8869248105719543</v>
      </c>
      <c r="AG126" s="96">
        <f t="shared" si="76"/>
        <v>1.6022183583384027E-2</v>
      </c>
      <c r="AH126" s="96">
        <f t="shared" si="77"/>
        <v>0.2200552105338395</v>
      </c>
      <c r="AI126" s="98">
        <f t="shared" si="62"/>
        <v>0.23607739411722353</v>
      </c>
      <c r="AJ126" s="97">
        <f t="shared" si="63"/>
        <v>1.5866666666666667</v>
      </c>
      <c r="AK126" s="96">
        <f t="shared" si="64"/>
        <v>2.8846853569332356</v>
      </c>
      <c r="AL126" s="96">
        <f t="shared" si="65"/>
        <v>1.1106666666666667</v>
      </c>
      <c r="AM126" s="96">
        <f t="shared" si="78"/>
        <v>0.12628</v>
      </c>
      <c r="AN126" s="98">
        <f t="shared" si="66"/>
        <v>1.2369466666666666</v>
      </c>
      <c r="AO126" s="97">
        <f t="shared" si="79"/>
        <v>3.2044367166768048E-2</v>
      </c>
      <c r="AP126" s="96">
        <f t="shared" si="54"/>
        <v>5.049E-2</v>
      </c>
      <c r="AQ126" s="98">
        <f t="shared" si="67"/>
        <v>5.8500000000000002E-3</v>
      </c>
      <c r="AR126" s="97">
        <f t="shared" si="68"/>
        <v>1.5614084279506582</v>
      </c>
      <c r="AS126" s="96">
        <f t="shared" si="69"/>
        <v>23.8</v>
      </c>
      <c r="AT126" s="98">
        <f t="shared" si="70"/>
        <v>93.843368626839208</v>
      </c>
    </row>
    <row r="127" spans="17:46" ht="14.65" x14ac:dyDescent="0.4">
      <c r="Q127" s="32">
        <v>120</v>
      </c>
      <c r="R127" s="97">
        <f t="shared" si="43"/>
        <v>15</v>
      </c>
      <c r="S127" s="96">
        <f t="shared" si="71"/>
        <v>1.6</v>
      </c>
      <c r="T127" s="96">
        <f t="shared" si="45"/>
        <v>13</v>
      </c>
      <c r="U127" s="98">
        <f t="shared" si="72"/>
        <v>1.8461538461538463</v>
      </c>
      <c r="V127" s="97">
        <f t="shared" si="73"/>
        <v>2</v>
      </c>
      <c r="W127" s="96">
        <f t="shared" si="74"/>
        <v>0.5357142857142857</v>
      </c>
      <c r="X127" s="98">
        <f t="shared" si="75"/>
        <v>0.4642857142857143</v>
      </c>
      <c r="Y127" s="97">
        <f t="shared" si="55"/>
        <v>1.5827922077922081</v>
      </c>
      <c r="Z127" s="96">
        <f t="shared" si="56"/>
        <v>5.0289460539460542</v>
      </c>
      <c r="AA127" s="96">
        <f t="shared" si="57"/>
        <v>1.9018552226942207</v>
      </c>
      <c r="AB127" s="96">
        <v>0</v>
      </c>
      <c r="AC127" s="96">
        <f t="shared" si="58"/>
        <v>3.6170532880892836E-2</v>
      </c>
      <c r="AD127" s="98">
        <f t="shared" si="59"/>
        <v>3.6170532880892836E-2</v>
      </c>
      <c r="AE127" s="97">
        <f t="shared" si="60"/>
        <v>1.5824175824175826</v>
      </c>
      <c r="AF127" s="96">
        <f t="shared" si="61"/>
        <v>1.9018552226942207</v>
      </c>
      <c r="AG127" s="96">
        <f t="shared" si="76"/>
        <v>1.627673979640178E-2</v>
      </c>
      <c r="AH127" s="96">
        <f t="shared" si="77"/>
        <v>0.22190441398370372</v>
      </c>
      <c r="AI127" s="98">
        <f t="shared" si="62"/>
        <v>0.23818115378010551</v>
      </c>
      <c r="AJ127" s="97">
        <f t="shared" si="63"/>
        <v>1.6</v>
      </c>
      <c r="AK127" s="96">
        <f t="shared" si="64"/>
        <v>2.9041398097411659</v>
      </c>
      <c r="AL127" s="96">
        <f t="shared" si="65"/>
        <v>1.1199999999999999</v>
      </c>
      <c r="AM127" s="96">
        <f t="shared" si="78"/>
        <v>0.12628</v>
      </c>
      <c r="AN127" s="98">
        <f t="shared" si="66"/>
        <v>1.2462799999999998</v>
      </c>
      <c r="AO127" s="97">
        <f t="shared" si="79"/>
        <v>3.2553479592803553E-2</v>
      </c>
      <c r="AP127" s="96">
        <f t="shared" si="54"/>
        <v>5.049E-2</v>
      </c>
      <c r="AQ127" s="98">
        <f t="shared" si="67"/>
        <v>5.8500000000000002E-3</v>
      </c>
      <c r="AR127" s="97">
        <f t="shared" si="68"/>
        <v>1.5733546333729087</v>
      </c>
      <c r="AS127" s="96">
        <f t="shared" si="69"/>
        <v>24</v>
      </c>
      <c r="AT127" s="98">
        <f t="shared" si="70"/>
        <v>93.847679915564541</v>
      </c>
    </row>
    <row r="128" spans="17:46" ht="14.65" x14ac:dyDescent="0.4">
      <c r="Q128" s="32">
        <v>121</v>
      </c>
      <c r="R128" s="97">
        <f t="shared" si="43"/>
        <v>15</v>
      </c>
      <c r="S128" s="96">
        <f t="shared" si="71"/>
        <v>1.6133333333333335</v>
      </c>
      <c r="T128" s="96">
        <f t="shared" si="45"/>
        <v>13</v>
      </c>
      <c r="U128" s="98">
        <f t="shared" si="72"/>
        <v>1.8615384615384618</v>
      </c>
      <c r="V128" s="97">
        <f t="shared" si="73"/>
        <v>2</v>
      </c>
      <c r="W128" s="96">
        <f t="shared" si="74"/>
        <v>0.5357142857142857</v>
      </c>
      <c r="X128" s="98">
        <f t="shared" si="75"/>
        <v>0.4642857142857143</v>
      </c>
      <c r="Y128" s="97">
        <f t="shared" si="55"/>
        <v>1.5827922077922081</v>
      </c>
      <c r="Z128" s="96">
        <f t="shared" si="56"/>
        <v>5.0576640026640032</v>
      </c>
      <c r="AA128" s="96">
        <f t="shared" si="57"/>
        <v>1.9167928182794371</v>
      </c>
      <c r="AB128" s="96">
        <v>0</v>
      </c>
      <c r="AC128" s="96">
        <f t="shared" si="58"/>
        <v>3.6740947082076272E-2</v>
      </c>
      <c r="AD128" s="98">
        <f t="shared" si="59"/>
        <v>3.6740947082076272E-2</v>
      </c>
      <c r="AE128" s="97">
        <f t="shared" si="60"/>
        <v>1.6089010989010992</v>
      </c>
      <c r="AF128" s="96">
        <f t="shared" si="61"/>
        <v>1.9167928182794371</v>
      </c>
      <c r="AG128" s="96">
        <f t="shared" si="76"/>
        <v>1.6533426186934326E-2</v>
      </c>
      <c r="AH128" s="96">
        <f t="shared" si="77"/>
        <v>0.22375361743356795</v>
      </c>
      <c r="AI128" s="98">
        <f t="shared" si="62"/>
        <v>0.24028704362050227</v>
      </c>
      <c r="AJ128" s="97">
        <f t="shared" si="63"/>
        <v>1.6133333333333335</v>
      </c>
      <c r="AK128" s="96">
        <f t="shared" si="64"/>
        <v>2.9235957778919599</v>
      </c>
      <c r="AL128" s="96">
        <f t="shared" si="65"/>
        <v>1.1293333333333333</v>
      </c>
      <c r="AM128" s="96">
        <f t="shared" si="78"/>
        <v>0.12628</v>
      </c>
      <c r="AN128" s="98">
        <f t="shared" si="66"/>
        <v>1.2556133333333332</v>
      </c>
      <c r="AO128" s="97">
        <f t="shared" si="79"/>
        <v>3.3066852373868645E-2</v>
      </c>
      <c r="AP128" s="96">
        <f t="shared" si="54"/>
        <v>5.049E-2</v>
      </c>
      <c r="AQ128" s="98">
        <f t="shared" si="67"/>
        <v>5.8500000000000002E-3</v>
      </c>
      <c r="AR128" s="97">
        <f t="shared" si="68"/>
        <v>1.585307229327704</v>
      </c>
      <c r="AS128" s="96">
        <f t="shared" si="69"/>
        <v>24.200000000000003</v>
      </c>
      <c r="AT128" s="98">
        <f t="shared" si="70"/>
        <v>93.85189706979871</v>
      </c>
    </row>
    <row r="129" spans="17:46" ht="14.65" x14ac:dyDescent="0.4">
      <c r="Q129" s="32">
        <v>122</v>
      </c>
      <c r="R129" s="97">
        <f t="shared" si="43"/>
        <v>15</v>
      </c>
      <c r="S129" s="96">
        <f t="shared" si="71"/>
        <v>1.6266666666666667</v>
      </c>
      <c r="T129" s="96">
        <f t="shared" si="45"/>
        <v>13</v>
      </c>
      <c r="U129" s="98">
        <f t="shared" si="72"/>
        <v>1.8769230769230771</v>
      </c>
      <c r="V129" s="97">
        <f t="shared" si="73"/>
        <v>2</v>
      </c>
      <c r="W129" s="96">
        <f t="shared" si="74"/>
        <v>0.5357142857142857</v>
      </c>
      <c r="X129" s="98">
        <f t="shared" si="75"/>
        <v>0.4642857142857143</v>
      </c>
      <c r="Y129" s="97">
        <f t="shared" si="55"/>
        <v>1.5827922077922081</v>
      </c>
      <c r="Z129" s="96">
        <f t="shared" si="56"/>
        <v>5.0863819513819521</v>
      </c>
      <c r="AA129" s="96">
        <f t="shared" si="57"/>
        <v>1.931737430684366</v>
      </c>
      <c r="AB129" s="96">
        <v>0</v>
      </c>
      <c r="AC129" s="96">
        <f t="shared" si="58"/>
        <v>3.7316095011070353E-2</v>
      </c>
      <c r="AD129" s="98">
        <f t="shared" si="59"/>
        <v>3.7316095011070353E-2</v>
      </c>
      <c r="AE129" s="97">
        <f t="shared" si="60"/>
        <v>1.6356043956043957</v>
      </c>
      <c r="AF129" s="96">
        <f t="shared" si="61"/>
        <v>1.931737430684366</v>
      </c>
      <c r="AG129" s="96">
        <f t="shared" si="76"/>
        <v>1.6792242754981663E-2</v>
      </c>
      <c r="AH129" s="96">
        <f t="shared" si="77"/>
        <v>0.22560282088343214</v>
      </c>
      <c r="AI129" s="98">
        <f t="shared" si="62"/>
        <v>0.24239506363841382</v>
      </c>
      <c r="AJ129" s="97">
        <f t="shared" si="63"/>
        <v>1.6266666666666667</v>
      </c>
      <c r="AK129" s="96">
        <f t="shared" si="64"/>
        <v>2.9430532313326827</v>
      </c>
      <c r="AL129" s="96">
        <f t="shared" si="65"/>
        <v>1.1386666666666667</v>
      </c>
      <c r="AM129" s="96">
        <f t="shared" si="78"/>
        <v>0.12628</v>
      </c>
      <c r="AN129" s="98">
        <f t="shared" si="66"/>
        <v>1.2649466666666667</v>
      </c>
      <c r="AO129" s="97">
        <f t="shared" si="79"/>
        <v>3.3584485509963319E-2</v>
      </c>
      <c r="AP129" s="96">
        <f t="shared" si="54"/>
        <v>5.049E-2</v>
      </c>
      <c r="AQ129" s="98">
        <f t="shared" si="67"/>
        <v>5.8500000000000002E-3</v>
      </c>
      <c r="AR129" s="97">
        <f t="shared" si="68"/>
        <v>1.5972662158150437</v>
      </c>
      <c r="AS129" s="96">
        <f t="shared" si="69"/>
        <v>24.400000000000002</v>
      </c>
      <c r="AT129" s="98">
        <f t="shared" si="70"/>
        <v>93.856022388833452</v>
      </c>
    </row>
    <row r="130" spans="17:46" ht="14.65" x14ac:dyDescent="0.4">
      <c r="Q130" s="32">
        <v>123</v>
      </c>
      <c r="R130" s="97">
        <f t="shared" si="43"/>
        <v>15</v>
      </c>
      <c r="S130" s="96">
        <f t="shared" si="71"/>
        <v>1.6400000000000001</v>
      </c>
      <c r="T130" s="96">
        <f t="shared" si="45"/>
        <v>13</v>
      </c>
      <c r="U130" s="98">
        <f t="shared" si="72"/>
        <v>1.8923076923076925</v>
      </c>
      <c r="V130" s="97">
        <f t="shared" si="73"/>
        <v>2</v>
      </c>
      <c r="W130" s="96">
        <f t="shared" si="74"/>
        <v>0.5357142857142857</v>
      </c>
      <c r="X130" s="98">
        <f t="shared" si="75"/>
        <v>0.4642857142857143</v>
      </c>
      <c r="Y130" s="97">
        <f t="shared" si="55"/>
        <v>1.5827922077922081</v>
      </c>
      <c r="Z130" s="96">
        <f t="shared" si="56"/>
        <v>5.1150999000999002</v>
      </c>
      <c r="AA130" s="96">
        <f t="shared" si="57"/>
        <v>1.9466888983059181</v>
      </c>
      <c r="AB130" s="96">
        <v>0</v>
      </c>
      <c r="AC130" s="96">
        <f t="shared" si="58"/>
        <v>3.7895976667875086E-2</v>
      </c>
      <c r="AD130" s="98">
        <f t="shared" si="59"/>
        <v>3.7895976667875086E-2</v>
      </c>
      <c r="AE130" s="97">
        <f t="shared" si="60"/>
        <v>1.6625274725274728</v>
      </c>
      <c r="AF130" s="96">
        <f t="shared" si="61"/>
        <v>1.9466888983059181</v>
      </c>
      <c r="AG130" s="96">
        <f t="shared" si="76"/>
        <v>1.705318950054379E-2</v>
      </c>
      <c r="AH130" s="96">
        <f t="shared" si="77"/>
        <v>0.22745202433329631</v>
      </c>
      <c r="AI130" s="98">
        <f t="shared" si="62"/>
        <v>0.24450521383384011</v>
      </c>
      <c r="AJ130" s="97">
        <f t="shared" si="63"/>
        <v>1.6400000000000001</v>
      </c>
      <c r="AK130" s="96">
        <f t="shared" si="64"/>
        <v>2.9625121407976716</v>
      </c>
      <c r="AL130" s="96">
        <f t="shared" si="65"/>
        <v>1.1479999999999999</v>
      </c>
      <c r="AM130" s="96">
        <f t="shared" si="78"/>
        <v>0.12628</v>
      </c>
      <c r="AN130" s="98">
        <f t="shared" si="66"/>
        <v>1.2742799999999999</v>
      </c>
      <c r="AO130" s="97">
        <f t="shared" si="79"/>
        <v>3.4106379001087581E-2</v>
      </c>
      <c r="AP130" s="96">
        <f t="shared" si="54"/>
        <v>5.049E-2</v>
      </c>
      <c r="AQ130" s="98">
        <f t="shared" si="67"/>
        <v>5.8500000000000002E-3</v>
      </c>
      <c r="AR130" s="97">
        <f t="shared" si="68"/>
        <v>1.6092315928349274</v>
      </c>
      <c r="AS130" s="96">
        <f t="shared" si="69"/>
        <v>24.6</v>
      </c>
      <c r="AT130" s="98">
        <f t="shared" si="70"/>
        <v>93.860058097716774</v>
      </c>
    </row>
    <row r="131" spans="17:46" ht="14.65" x14ac:dyDescent="0.4">
      <c r="Q131" s="32">
        <v>124</v>
      </c>
      <c r="R131" s="97">
        <f t="shared" si="43"/>
        <v>15</v>
      </c>
      <c r="S131" s="96">
        <f t="shared" si="71"/>
        <v>1.6533333333333335</v>
      </c>
      <c r="T131" s="96">
        <f t="shared" si="45"/>
        <v>13</v>
      </c>
      <c r="U131" s="98">
        <f t="shared" si="72"/>
        <v>1.907692307692308</v>
      </c>
      <c r="V131" s="97">
        <f t="shared" si="73"/>
        <v>2</v>
      </c>
      <c r="W131" s="96">
        <f t="shared" si="74"/>
        <v>0.5357142857142857</v>
      </c>
      <c r="X131" s="98">
        <f t="shared" si="75"/>
        <v>0.4642857142857143</v>
      </c>
      <c r="Y131" s="97">
        <f t="shared" si="55"/>
        <v>1.5827922077922081</v>
      </c>
      <c r="Z131" s="96">
        <f t="shared" si="56"/>
        <v>5.1438178488178492</v>
      </c>
      <c r="AA131" s="96">
        <f t="shared" si="57"/>
        <v>1.9616470643948793</v>
      </c>
      <c r="AB131" s="96">
        <v>0</v>
      </c>
      <c r="AC131" s="96">
        <f t="shared" si="58"/>
        <v>3.8480592052490485E-2</v>
      </c>
      <c r="AD131" s="98">
        <f t="shared" si="59"/>
        <v>3.8480592052490485E-2</v>
      </c>
      <c r="AE131" s="97">
        <f t="shared" si="60"/>
        <v>1.6896703296703302</v>
      </c>
      <c r="AF131" s="96">
        <f t="shared" si="61"/>
        <v>1.9616470643948793</v>
      </c>
      <c r="AG131" s="96">
        <f t="shared" si="76"/>
        <v>1.7316266423620719E-2</v>
      </c>
      <c r="AH131" s="96">
        <f t="shared" si="77"/>
        <v>0.22930122778316053</v>
      </c>
      <c r="AI131" s="98">
        <f t="shared" si="62"/>
        <v>0.24661749420678125</v>
      </c>
      <c r="AJ131" s="97">
        <f t="shared" si="63"/>
        <v>1.6533333333333335</v>
      </c>
      <c r="AK131" s="96">
        <f t="shared" si="64"/>
        <v>2.9819724777829992</v>
      </c>
      <c r="AL131" s="96">
        <f t="shared" si="65"/>
        <v>1.1573333333333333</v>
      </c>
      <c r="AM131" s="96">
        <f t="shared" si="78"/>
        <v>0.12628</v>
      </c>
      <c r="AN131" s="98">
        <f t="shared" si="66"/>
        <v>1.2836133333333333</v>
      </c>
      <c r="AO131" s="97">
        <f t="shared" si="79"/>
        <v>3.463253284724143E-2</v>
      </c>
      <c r="AP131" s="96">
        <f t="shared" si="54"/>
        <v>5.049E-2</v>
      </c>
      <c r="AQ131" s="98">
        <f t="shared" si="67"/>
        <v>5.8500000000000002E-3</v>
      </c>
      <c r="AR131" s="97">
        <f t="shared" si="68"/>
        <v>1.6212033603873557</v>
      </c>
      <c r="AS131" s="96">
        <f t="shared" si="69"/>
        <v>24.800000000000004</v>
      </c>
      <c r="AT131" s="98">
        <f t="shared" si="70"/>
        <v>93.86400635022558</v>
      </c>
    </row>
    <row r="132" spans="17:46" ht="14.65" x14ac:dyDescent="0.4">
      <c r="Q132" s="32">
        <v>125</v>
      </c>
      <c r="R132" s="97">
        <f t="shared" si="43"/>
        <v>15</v>
      </c>
      <c r="S132" s="96">
        <f t="shared" si="71"/>
        <v>1.6666666666666667</v>
      </c>
      <c r="T132" s="96">
        <f t="shared" si="45"/>
        <v>13</v>
      </c>
      <c r="U132" s="98">
        <f t="shared" si="72"/>
        <v>1.9230769230769231</v>
      </c>
      <c r="V132" s="97">
        <f t="shared" si="73"/>
        <v>2</v>
      </c>
      <c r="W132" s="96">
        <f t="shared" si="74"/>
        <v>0.5357142857142857</v>
      </c>
      <c r="X132" s="98">
        <f t="shared" si="75"/>
        <v>0.4642857142857143</v>
      </c>
      <c r="Y132" s="97">
        <f t="shared" si="55"/>
        <v>1.5827922077922081</v>
      </c>
      <c r="Z132" s="96">
        <f t="shared" si="56"/>
        <v>5.1725357975357982</v>
      </c>
      <c r="AA132" s="96">
        <f t="shared" si="57"/>
        <v>1.9766117768777081</v>
      </c>
      <c r="AB132" s="96">
        <v>0</v>
      </c>
      <c r="AC132" s="96">
        <f t="shared" si="58"/>
        <v>3.9069941164916501E-2</v>
      </c>
      <c r="AD132" s="98">
        <f t="shared" si="59"/>
        <v>3.9069941164916501E-2</v>
      </c>
      <c r="AE132" s="97">
        <f t="shared" si="60"/>
        <v>1.7170329670329672</v>
      </c>
      <c r="AF132" s="96">
        <f t="shared" si="61"/>
        <v>1.9766117768777081</v>
      </c>
      <c r="AG132" s="96">
        <f t="shared" si="76"/>
        <v>1.7581473524212427E-2</v>
      </c>
      <c r="AH132" s="96">
        <f t="shared" si="77"/>
        <v>0.2311504312330247</v>
      </c>
      <c r="AI132" s="98">
        <f t="shared" si="62"/>
        <v>0.24873190475723714</v>
      </c>
      <c r="AJ132" s="97">
        <f t="shared" si="63"/>
        <v>1.6666666666666667</v>
      </c>
      <c r="AK132" s="96">
        <f t="shared" si="64"/>
        <v>3.0014342145219119</v>
      </c>
      <c r="AL132" s="96">
        <f t="shared" si="65"/>
        <v>1.1666666666666667</v>
      </c>
      <c r="AM132" s="96">
        <f t="shared" si="78"/>
        <v>0.12628</v>
      </c>
      <c r="AN132" s="98">
        <f t="shared" si="66"/>
        <v>1.2929466666666667</v>
      </c>
      <c r="AO132" s="97">
        <f t="shared" si="79"/>
        <v>3.5162947048424847E-2</v>
      </c>
      <c r="AP132" s="96">
        <f t="shared" si="54"/>
        <v>5.049E-2</v>
      </c>
      <c r="AQ132" s="98">
        <f t="shared" si="67"/>
        <v>5.8500000000000002E-3</v>
      </c>
      <c r="AR132" s="97">
        <f t="shared" si="68"/>
        <v>1.6331815184723286</v>
      </c>
      <c r="AS132" s="96">
        <f t="shared" si="69"/>
        <v>25</v>
      </c>
      <c r="AT132" s="98">
        <f t="shared" si="70"/>
        <v>93.867869231696631</v>
      </c>
    </row>
    <row r="133" spans="17:46" ht="14.65" x14ac:dyDescent="0.4">
      <c r="Q133" s="32">
        <v>126</v>
      </c>
      <c r="R133" s="97">
        <f t="shared" si="43"/>
        <v>15</v>
      </c>
      <c r="S133" s="96">
        <f t="shared" si="71"/>
        <v>1.6800000000000002</v>
      </c>
      <c r="T133" s="96">
        <f t="shared" si="45"/>
        <v>13</v>
      </c>
      <c r="U133" s="98">
        <f t="shared" si="72"/>
        <v>1.9384615384615387</v>
      </c>
      <c r="V133" s="97">
        <f t="shared" si="73"/>
        <v>2</v>
      </c>
      <c r="W133" s="96">
        <f t="shared" si="74"/>
        <v>0.5357142857142857</v>
      </c>
      <c r="X133" s="98">
        <f t="shared" si="75"/>
        <v>0.4642857142857143</v>
      </c>
      <c r="Y133" s="97">
        <f t="shared" si="55"/>
        <v>1.5827922077922081</v>
      </c>
      <c r="Z133" s="96">
        <f t="shared" si="56"/>
        <v>5.2012537462537471</v>
      </c>
      <c r="AA133" s="96">
        <f t="shared" si="57"/>
        <v>1.9915828881860076</v>
      </c>
      <c r="AB133" s="96">
        <v>0</v>
      </c>
      <c r="AC133" s="96">
        <f t="shared" si="58"/>
        <v>3.9664024005153196E-2</v>
      </c>
      <c r="AD133" s="98">
        <f t="shared" si="59"/>
        <v>3.9664024005153196E-2</v>
      </c>
      <c r="AE133" s="97">
        <f t="shared" si="60"/>
        <v>1.7446153846153849</v>
      </c>
      <c r="AF133" s="96">
        <f t="shared" si="61"/>
        <v>1.9915828881860076</v>
      </c>
      <c r="AG133" s="96">
        <f t="shared" si="76"/>
        <v>1.784881080231894E-2</v>
      </c>
      <c r="AH133" s="96">
        <f t="shared" si="77"/>
        <v>0.23299963468288892</v>
      </c>
      <c r="AI133" s="98">
        <f t="shared" si="62"/>
        <v>0.25084844548520785</v>
      </c>
      <c r="AJ133" s="97">
        <f t="shared" si="63"/>
        <v>1.6800000000000002</v>
      </c>
      <c r="AK133" s="96">
        <f t="shared" si="64"/>
        <v>3.0208973239612211</v>
      </c>
      <c r="AL133" s="96">
        <f t="shared" si="65"/>
        <v>1.1759999999999999</v>
      </c>
      <c r="AM133" s="96">
        <f t="shared" si="78"/>
        <v>0.12628</v>
      </c>
      <c r="AN133" s="98">
        <f t="shared" si="66"/>
        <v>1.3022799999999999</v>
      </c>
      <c r="AO133" s="97">
        <f t="shared" si="79"/>
        <v>3.5697621604637873E-2</v>
      </c>
      <c r="AP133" s="96">
        <f t="shared" si="54"/>
        <v>5.049E-2</v>
      </c>
      <c r="AQ133" s="98">
        <f t="shared" si="67"/>
        <v>5.8500000000000002E-3</v>
      </c>
      <c r="AR133" s="97">
        <f t="shared" si="68"/>
        <v>1.6451660670898454</v>
      </c>
      <c r="AS133" s="96">
        <f t="shared" si="69"/>
        <v>25.200000000000003</v>
      </c>
      <c r="AT133" s="98">
        <f t="shared" si="70"/>
        <v>93.871648761723634</v>
      </c>
    </row>
    <row r="134" spans="17:46" ht="14.65" x14ac:dyDescent="0.4">
      <c r="Q134" s="32">
        <v>127</v>
      </c>
      <c r="R134" s="97">
        <f t="shared" si="43"/>
        <v>15</v>
      </c>
      <c r="S134" s="96">
        <f t="shared" si="71"/>
        <v>1.6933333333333334</v>
      </c>
      <c r="T134" s="96">
        <f t="shared" si="45"/>
        <v>13</v>
      </c>
      <c r="U134" s="98">
        <f t="shared" si="72"/>
        <v>1.9538461538461538</v>
      </c>
      <c r="V134" s="97">
        <f t="shared" si="73"/>
        <v>2</v>
      </c>
      <c r="W134" s="96">
        <f t="shared" si="74"/>
        <v>0.5357142857142857</v>
      </c>
      <c r="X134" s="98">
        <f t="shared" si="75"/>
        <v>0.4642857142857143</v>
      </c>
      <c r="Y134" s="97">
        <f t="shared" si="55"/>
        <v>1.5827922077922081</v>
      </c>
      <c r="Z134" s="96">
        <f t="shared" si="56"/>
        <v>5.2299716949716952</v>
      </c>
      <c r="AA134" s="96">
        <f t="shared" si="57"/>
        <v>2.0065602550932908</v>
      </c>
      <c r="AB134" s="96">
        <v>0</v>
      </c>
      <c r="AC134" s="96">
        <f t="shared" si="58"/>
        <v>4.0262840573200523E-2</v>
      </c>
      <c r="AD134" s="98">
        <f t="shared" si="59"/>
        <v>4.0262840573200523E-2</v>
      </c>
      <c r="AE134" s="97">
        <f t="shared" si="60"/>
        <v>1.7724175824175823</v>
      </c>
      <c r="AF134" s="96">
        <f t="shared" si="61"/>
        <v>2.0065602550932908</v>
      </c>
      <c r="AG134" s="96">
        <f t="shared" si="76"/>
        <v>1.8118278257940237E-2</v>
      </c>
      <c r="AH134" s="96">
        <f t="shared" si="77"/>
        <v>0.23484883813275312</v>
      </c>
      <c r="AI134" s="98">
        <f t="shared" si="62"/>
        <v>0.25296711639069336</v>
      </c>
      <c r="AJ134" s="97">
        <f t="shared" si="63"/>
        <v>1.6933333333333334</v>
      </c>
      <c r="AK134" s="96">
        <f t="shared" si="64"/>
        <v>3.0403617797385847</v>
      </c>
      <c r="AL134" s="96">
        <f t="shared" si="65"/>
        <v>1.1853333333333333</v>
      </c>
      <c r="AM134" s="96">
        <f t="shared" si="78"/>
        <v>0.12628</v>
      </c>
      <c r="AN134" s="98">
        <f t="shared" si="66"/>
        <v>1.3116133333333333</v>
      </c>
      <c r="AO134" s="97">
        <f t="shared" si="79"/>
        <v>3.6236556515880466E-2</v>
      </c>
      <c r="AP134" s="96">
        <f t="shared" si="54"/>
        <v>5.049E-2</v>
      </c>
      <c r="AQ134" s="98">
        <f t="shared" si="67"/>
        <v>5.8500000000000002E-3</v>
      </c>
      <c r="AR134" s="97">
        <f t="shared" si="68"/>
        <v>1.6571570062399068</v>
      </c>
      <c r="AS134" s="96">
        <f t="shared" si="69"/>
        <v>25.4</v>
      </c>
      <c r="AT134" s="98">
        <f t="shared" si="70"/>
        <v>93.875346896727791</v>
      </c>
    </row>
    <row r="135" spans="17:46" ht="14.65" x14ac:dyDescent="0.4">
      <c r="Q135" s="32">
        <v>128</v>
      </c>
      <c r="R135" s="97">
        <f t="shared" ref="R135:R157" si="80">VOUT</f>
        <v>15</v>
      </c>
      <c r="S135" s="96">
        <f t="shared" ref="S135:S157" si="81">Q135*$O$12</f>
        <v>1.7066666666666668</v>
      </c>
      <c r="T135" s="96">
        <f t="shared" ref="T135:T157" si="82">VIN_var</f>
        <v>13</v>
      </c>
      <c r="U135" s="98">
        <f t="shared" ref="U135:U157" si="83">(R135*S135)/(T135*EFF_est)</f>
        <v>1.9692307692307693</v>
      </c>
      <c r="V135" s="97">
        <f t="shared" ref="V135:V157" si="84">IF(S135&lt;((T135^2)*R135)/(2*Fsw*Lm*((T135+R135)^2)),1,2)</f>
        <v>2</v>
      </c>
      <c r="W135" s="96">
        <f t="shared" ref="W135:W166" si="85">CHOOSE(V135,SQRT(2*Lm*R135*S135*Fsw)/T135,R135/(T135+R135))</f>
        <v>0.5357142857142857</v>
      </c>
      <c r="X135" s="98">
        <f t="shared" ref="X135:X166" si="86">CHOOSE(V135,(Lm*Z135*Fsw)/(R135),1-W135)</f>
        <v>0.4642857142857143</v>
      </c>
      <c r="Y135" s="97">
        <f t="shared" si="55"/>
        <v>1.5827922077922081</v>
      </c>
      <c r="Z135" s="96">
        <f t="shared" si="56"/>
        <v>5.2586896436896442</v>
      </c>
      <c r="AA135" s="96">
        <f t="shared" si="57"/>
        <v>2.0215437385586918</v>
      </c>
      <c r="AB135" s="96">
        <v>0</v>
      </c>
      <c r="AC135" s="96">
        <f t="shared" si="58"/>
        <v>4.0866390869058529E-2</v>
      </c>
      <c r="AD135" s="98">
        <f t="shared" si="59"/>
        <v>4.0866390869058529E-2</v>
      </c>
      <c r="AE135" s="97">
        <f t="shared" si="60"/>
        <v>1.8004395604395604</v>
      </c>
      <c r="AF135" s="96">
        <f t="shared" si="61"/>
        <v>2.0215437385586918</v>
      </c>
      <c r="AG135" s="96">
        <f t="shared" ref="AG135:AG166" si="87">(AF135^2)*RDS_on</f>
        <v>1.8389875891076341E-2</v>
      </c>
      <c r="AH135" s="96">
        <f t="shared" ref="AH135:AH157" si="88">(((R135+T135)*(U135+S135))/2)*Fsw*(tr_sw+tf_sw)</f>
        <v>0.23669804158261731</v>
      </c>
      <c r="AI135" s="98">
        <f t="shared" si="62"/>
        <v>0.25508791747369364</v>
      </c>
      <c r="AJ135" s="97">
        <f t="shared" si="63"/>
        <v>1.7066666666666668</v>
      </c>
      <c r="AK135" s="96">
        <f t="shared" si="64"/>
        <v>3.0598275561606565</v>
      </c>
      <c r="AL135" s="96">
        <f t="shared" si="65"/>
        <v>1.1946666666666668</v>
      </c>
      <c r="AM135" s="96">
        <f t="shared" ref="AM135:AM157" si="89">(R135+T135+Vd_rect)*Qrr*Fsw</f>
        <v>0.12628</v>
      </c>
      <c r="AN135" s="98">
        <f t="shared" si="66"/>
        <v>1.3209466666666667</v>
      </c>
      <c r="AO135" s="97">
        <f t="shared" ref="AO135:AO157" si="90">(AF135^2)*R_cs</f>
        <v>3.6779751782152675E-2</v>
      </c>
      <c r="AP135" s="96">
        <f t="shared" ref="AP135:AP157" si="91">Qg_tot*Vcc*Fsw</f>
        <v>5.049E-2</v>
      </c>
      <c r="AQ135" s="98">
        <f t="shared" si="67"/>
        <v>5.8500000000000002E-3</v>
      </c>
      <c r="AR135" s="97">
        <f t="shared" si="68"/>
        <v>1.6691543359225129</v>
      </c>
      <c r="AS135" s="96">
        <f t="shared" si="69"/>
        <v>25.6</v>
      </c>
      <c r="AT135" s="98">
        <f t="shared" si="70"/>
        <v>93.8789655324086</v>
      </c>
    </row>
    <row r="136" spans="17:46" ht="14.65" x14ac:dyDescent="0.4">
      <c r="Q136" s="32">
        <v>129</v>
      </c>
      <c r="R136" s="97">
        <f t="shared" si="80"/>
        <v>15</v>
      </c>
      <c r="S136" s="96">
        <f t="shared" si="81"/>
        <v>1.7200000000000002</v>
      </c>
      <c r="T136" s="96">
        <f t="shared" si="82"/>
        <v>13</v>
      </c>
      <c r="U136" s="98">
        <f t="shared" si="83"/>
        <v>1.9846153846153849</v>
      </c>
      <c r="V136" s="97">
        <f t="shared" si="84"/>
        <v>2</v>
      </c>
      <c r="W136" s="96">
        <f t="shared" si="85"/>
        <v>0.5357142857142857</v>
      </c>
      <c r="X136" s="98">
        <f t="shared" si="86"/>
        <v>0.4642857142857143</v>
      </c>
      <c r="Y136" s="97">
        <f t="shared" ref="Y136:Y157" si="92">(T136*W136)/(Lm*Fsw)</f>
        <v>1.5827922077922081</v>
      </c>
      <c r="Z136" s="96">
        <f t="shared" ref="Z136:Z157" si="93">CHOOSE(V136,Y136,U136+S136+(Y136))</f>
        <v>5.2874075924075932</v>
      </c>
      <c r="AA136" s="96">
        <f t="shared" ref="AA136:AA157" si="94">CHOOSE(V136,Z136*SQRT((W136+X136)/3),SQRT((U136^2)+((Y136^2)/12)))</f>
        <v>2.0365332035772745</v>
      </c>
      <c r="AB136" s="96">
        <v>0</v>
      </c>
      <c r="AC136" s="96">
        <f t="shared" ref="AC136:AC157" si="95">(AA136^2)*Rdcr</f>
        <v>4.1474674892727166E-2</v>
      </c>
      <c r="AD136" s="98">
        <f t="shared" ref="AD136:AD157" si="96">AB136+AC136</f>
        <v>4.1474674892727166E-2</v>
      </c>
      <c r="AE136" s="97">
        <f t="shared" ref="AE136:AE157" si="97">U136*S136*W136</f>
        <v>1.8286813186813191</v>
      </c>
      <c r="AF136" s="96">
        <f t="shared" ref="AF136:AF157" si="98">AA136</f>
        <v>2.0365332035772745</v>
      </c>
      <c r="AG136" s="96">
        <f t="shared" si="87"/>
        <v>1.8663603701727226E-2</v>
      </c>
      <c r="AH136" s="96">
        <f t="shared" si="88"/>
        <v>0.23854724503248151</v>
      </c>
      <c r="AI136" s="98">
        <f t="shared" ref="AI136:AI157" si="99">AG136+AH136</f>
        <v>0.25721084873420874</v>
      </c>
      <c r="AJ136" s="97">
        <f t="shared" ref="AJ136:AJ157" si="100">S136</f>
        <v>1.7200000000000002</v>
      </c>
      <c r="AK136" s="96">
        <f t="shared" ref="AK136:AK157" si="101">CHOOSE(V136,Z136*SQRT(X136/3),SQRT(X136*((Z136^2)+((Y136^2)/3)-(Y136*Z136))))</f>
        <v>3.0792946281820504</v>
      </c>
      <c r="AL136" s="96">
        <f t="shared" ref="AL136:AL157" si="102">S136*Vd_rect</f>
        <v>1.204</v>
      </c>
      <c r="AM136" s="96">
        <f t="shared" si="89"/>
        <v>0.12628</v>
      </c>
      <c r="AN136" s="98">
        <f t="shared" ref="AN136:AN157" si="103">AL136+AM136</f>
        <v>1.3302799999999999</v>
      </c>
      <c r="AO136" s="97">
        <f t="shared" si="90"/>
        <v>3.7327207403454445E-2</v>
      </c>
      <c r="AP136" s="96">
        <f t="shared" si="91"/>
        <v>5.049E-2</v>
      </c>
      <c r="AQ136" s="98">
        <f t="shared" ref="AQ136:AQ157" si="104">IQ*T136</f>
        <v>5.8500000000000002E-3</v>
      </c>
      <c r="AR136" s="97">
        <f t="shared" ref="AR136:AR157" si="105">AO136+AN136+AI136+AP136+AQ136</f>
        <v>1.6811580561376631</v>
      </c>
      <c r="AS136" s="96">
        <f t="shared" ref="AS136:AS157" si="106">R136*S136</f>
        <v>25.800000000000004</v>
      </c>
      <c r="AT136" s="98">
        <f t="shared" ref="AT136:AT157" si="107">(AS136/(AS136+AR136))*100</f>
        <v>93.882506506081569</v>
      </c>
    </row>
    <row r="137" spans="17:46" ht="14.65" x14ac:dyDescent="0.4">
      <c r="Q137" s="32">
        <v>130</v>
      </c>
      <c r="R137" s="97">
        <f t="shared" si="80"/>
        <v>15</v>
      </c>
      <c r="S137" s="96">
        <f t="shared" si="81"/>
        <v>1.7333333333333334</v>
      </c>
      <c r="T137" s="96">
        <f t="shared" si="82"/>
        <v>13</v>
      </c>
      <c r="U137" s="98">
        <f t="shared" si="83"/>
        <v>2</v>
      </c>
      <c r="V137" s="97">
        <f t="shared" si="84"/>
        <v>2</v>
      </c>
      <c r="W137" s="96">
        <f t="shared" si="85"/>
        <v>0.5357142857142857</v>
      </c>
      <c r="X137" s="98">
        <f t="shared" si="86"/>
        <v>0.4642857142857143</v>
      </c>
      <c r="Y137" s="97">
        <f t="shared" si="92"/>
        <v>1.5827922077922081</v>
      </c>
      <c r="Z137" s="96">
        <f t="shared" si="93"/>
        <v>5.3161255411255413</v>
      </c>
      <c r="AA137" s="96">
        <f t="shared" si="94"/>
        <v>2.0515285190366339</v>
      </c>
      <c r="AB137" s="96">
        <v>0</v>
      </c>
      <c r="AC137" s="96">
        <f t="shared" si="95"/>
        <v>4.2087692644206448E-2</v>
      </c>
      <c r="AD137" s="98">
        <f t="shared" si="96"/>
        <v>4.2087692644206448E-2</v>
      </c>
      <c r="AE137" s="97">
        <f t="shared" si="97"/>
        <v>1.8571428571428572</v>
      </c>
      <c r="AF137" s="96">
        <f t="shared" si="98"/>
        <v>2.0515285190366339</v>
      </c>
      <c r="AG137" s="96">
        <f t="shared" si="87"/>
        <v>1.8939461689892904E-2</v>
      </c>
      <c r="AH137" s="96">
        <f t="shared" si="88"/>
        <v>0.24039644848234568</v>
      </c>
      <c r="AI137" s="98">
        <f t="shared" si="99"/>
        <v>0.25933591017223856</v>
      </c>
      <c r="AJ137" s="97">
        <f t="shared" si="100"/>
        <v>1.7333333333333334</v>
      </c>
      <c r="AK137" s="96">
        <f t="shared" si="101"/>
        <v>3.098762971385093</v>
      </c>
      <c r="AL137" s="96">
        <f t="shared" si="102"/>
        <v>1.2133333333333334</v>
      </c>
      <c r="AM137" s="96">
        <f t="shared" si="89"/>
        <v>0.12628</v>
      </c>
      <c r="AN137" s="98">
        <f t="shared" si="103"/>
        <v>1.3396133333333333</v>
      </c>
      <c r="AO137" s="97">
        <f t="shared" si="90"/>
        <v>3.7878923379785802E-2</v>
      </c>
      <c r="AP137" s="96">
        <f t="shared" si="91"/>
        <v>5.049E-2</v>
      </c>
      <c r="AQ137" s="98">
        <f t="shared" si="104"/>
        <v>5.8500000000000002E-3</v>
      </c>
      <c r="AR137" s="97">
        <f t="shared" si="105"/>
        <v>1.6931681668853575</v>
      </c>
      <c r="AS137" s="96">
        <f t="shared" si="106"/>
        <v>26</v>
      </c>
      <c r="AT137" s="98">
        <f t="shared" si="107"/>
        <v>93.885971598908654</v>
      </c>
    </row>
    <row r="138" spans="17:46" ht="14.65" x14ac:dyDescent="0.4">
      <c r="Q138" s="32">
        <v>131</v>
      </c>
      <c r="R138" s="97">
        <f t="shared" si="80"/>
        <v>15</v>
      </c>
      <c r="S138" s="96">
        <f t="shared" si="81"/>
        <v>1.7466666666666668</v>
      </c>
      <c r="T138" s="96">
        <f t="shared" si="82"/>
        <v>13</v>
      </c>
      <c r="U138" s="98">
        <f t="shared" si="83"/>
        <v>2.0153846153846158</v>
      </c>
      <c r="V138" s="97">
        <f t="shared" si="84"/>
        <v>2</v>
      </c>
      <c r="W138" s="96">
        <f t="shared" si="85"/>
        <v>0.5357142857142857</v>
      </c>
      <c r="X138" s="98">
        <f t="shared" si="86"/>
        <v>0.4642857142857143</v>
      </c>
      <c r="Y138" s="97">
        <f t="shared" si="92"/>
        <v>1.5827922077922081</v>
      </c>
      <c r="Z138" s="96">
        <f t="shared" si="93"/>
        <v>5.3448434898434902</v>
      </c>
      <c r="AA138" s="96">
        <f t="shared" si="94"/>
        <v>2.06652955757948</v>
      </c>
      <c r="AB138" s="96">
        <v>0</v>
      </c>
      <c r="AC138" s="96">
        <f t="shared" si="95"/>
        <v>4.2705444123496417E-2</v>
      </c>
      <c r="AD138" s="98">
        <f t="shared" si="96"/>
        <v>4.2705444123496417E-2</v>
      </c>
      <c r="AE138" s="97">
        <f t="shared" si="97"/>
        <v>1.8858241758241763</v>
      </c>
      <c r="AF138" s="96">
        <f t="shared" si="98"/>
        <v>2.06652955757948</v>
      </c>
      <c r="AG138" s="96">
        <f t="shared" si="87"/>
        <v>1.9217449855573391E-2</v>
      </c>
      <c r="AH138" s="96">
        <f t="shared" si="88"/>
        <v>0.24224565193220993</v>
      </c>
      <c r="AI138" s="98">
        <f t="shared" si="99"/>
        <v>0.26146310178778331</v>
      </c>
      <c r="AJ138" s="97">
        <f t="shared" si="100"/>
        <v>1.7466666666666668</v>
      </c>
      <c r="AK138" s="96">
        <f t="shared" si="101"/>
        <v>3.1182325619603382</v>
      </c>
      <c r="AL138" s="96">
        <f t="shared" si="102"/>
        <v>1.2226666666666668</v>
      </c>
      <c r="AM138" s="96">
        <f t="shared" si="89"/>
        <v>0.12628</v>
      </c>
      <c r="AN138" s="98">
        <f t="shared" si="103"/>
        <v>1.3489466666666667</v>
      </c>
      <c r="AO138" s="97">
        <f t="shared" si="90"/>
        <v>3.8434899711146775E-2</v>
      </c>
      <c r="AP138" s="96">
        <f t="shared" si="91"/>
        <v>5.049E-2</v>
      </c>
      <c r="AQ138" s="98">
        <f t="shared" si="104"/>
        <v>5.8500000000000002E-3</v>
      </c>
      <c r="AR138" s="97">
        <f t="shared" si="105"/>
        <v>1.7051846681655967</v>
      </c>
      <c r="AS138" s="96">
        <f t="shared" si="106"/>
        <v>26.200000000000003</v>
      </c>
      <c r="AT138" s="98">
        <f t="shared" si="107"/>
        <v>93.889362538027271</v>
      </c>
    </row>
    <row r="139" spans="17:46" ht="14.65" x14ac:dyDescent="0.4">
      <c r="Q139" s="32">
        <v>132</v>
      </c>
      <c r="R139" s="97">
        <f t="shared" si="80"/>
        <v>15</v>
      </c>
      <c r="S139" s="96">
        <f t="shared" si="81"/>
        <v>1.76</v>
      </c>
      <c r="T139" s="96">
        <f t="shared" si="82"/>
        <v>13</v>
      </c>
      <c r="U139" s="98">
        <f t="shared" si="83"/>
        <v>2.0307692307692307</v>
      </c>
      <c r="V139" s="97">
        <f t="shared" si="84"/>
        <v>2</v>
      </c>
      <c r="W139" s="96">
        <f t="shared" si="85"/>
        <v>0.5357142857142857</v>
      </c>
      <c r="X139" s="98">
        <f t="shared" si="86"/>
        <v>0.4642857142857143</v>
      </c>
      <c r="Y139" s="97">
        <f t="shared" si="92"/>
        <v>1.5827922077922081</v>
      </c>
      <c r="Z139" s="96">
        <f t="shared" si="93"/>
        <v>5.3735614385614383</v>
      </c>
      <c r="AA139" s="96">
        <f t="shared" si="94"/>
        <v>2.0815361954719158</v>
      </c>
      <c r="AB139" s="96">
        <v>0</v>
      </c>
      <c r="AC139" s="96">
        <f t="shared" si="95"/>
        <v>4.3327929330596975E-2</v>
      </c>
      <c r="AD139" s="98">
        <f t="shared" si="96"/>
        <v>4.3327929330596975E-2</v>
      </c>
      <c r="AE139" s="97">
        <f t="shared" si="97"/>
        <v>1.9147252747252745</v>
      </c>
      <c r="AF139" s="96">
        <f t="shared" si="98"/>
        <v>2.0815361954719158</v>
      </c>
      <c r="AG139" s="96">
        <f t="shared" si="87"/>
        <v>1.949756819876864E-2</v>
      </c>
      <c r="AH139" s="96">
        <f t="shared" si="88"/>
        <v>0.24409485538207407</v>
      </c>
      <c r="AI139" s="98">
        <f t="shared" si="99"/>
        <v>0.26359242358084273</v>
      </c>
      <c r="AJ139" s="97">
        <f t="shared" si="100"/>
        <v>1.76</v>
      </c>
      <c r="AK139" s="96">
        <f t="shared" si="101"/>
        <v>3.1377033766877802</v>
      </c>
      <c r="AL139" s="96">
        <f t="shared" si="102"/>
        <v>1.232</v>
      </c>
      <c r="AM139" s="96">
        <f t="shared" si="89"/>
        <v>0.12628</v>
      </c>
      <c r="AN139" s="98">
        <f t="shared" si="103"/>
        <v>1.3582799999999999</v>
      </c>
      <c r="AO139" s="97">
        <f t="shared" si="90"/>
        <v>3.8995136397537274E-2</v>
      </c>
      <c r="AP139" s="96">
        <f t="shared" si="91"/>
        <v>5.049E-2</v>
      </c>
      <c r="AQ139" s="98">
        <f t="shared" si="104"/>
        <v>5.8500000000000002E-3</v>
      </c>
      <c r="AR139" s="97">
        <f t="shared" si="105"/>
        <v>1.7172075599783798</v>
      </c>
      <c r="AS139" s="96">
        <f t="shared" si="106"/>
        <v>26.4</v>
      </c>
      <c r="AT139" s="98">
        <f t="shared" si="107"/>
        <v>93.892680998583131</v>
      </c>
    </row>
    <row r="140" spans="17:46" ht="14.65" x14ac:dyDescent="0.4">
      <c r="Q140" s="32">
        <v>133</v>
      </c>
      <c r="R140" s="97">
        <f t="shared" si="80"/>
        <v>15</v>
      </c>
      <c r="S140" s="96">
        <f t="shared" si="81"/>
        <v>1.7733333333333334</v>
      </c>
      <c r="T140" s="96">
        <f t="shared" si="82"/>
        <v>13</v>
      </c>
      <c r="U140" s="98">
        <f t="shared" si="83"/>
        <v>2.0461538461538464</v>
      </c>
      <c r="V140" s="97">
        <f t="shared" si="84"/>
        <v>2</v>
      </c>
      <c r="W140" s="96">
        <f t="shared" si="85"/>
        <v>0.5357142857142857</v>
      </c>
      <c r="X140" s="98">
        <f t="shared" si="86"/>
        <v>0.4642857142857143</v>
      </c>
      <c r="Y140" s="97">
        <f t="shared" si="92"/>
        <v>1.5827922077922081</v>
      </c>
      <c r="Z140" s="96">
        <f t="shared" si="93"/>
        <v>5.4022793872793882</v>
      </c>
      <c r="AA140" s="96">
        <f t="shared" si="94"/>
        <v>2.0965483124771591</v>
      </c>
      <c r="AB140" s="96">
        <v>0</v>
      </c>
      <c r="AC140" s="96">
        <f t="shared" si="95"/>
        <v>4.395514826550824E-2</v>
      </c>
      <c r="AD140" s="98">
        <f t="shared" si="96"/>
        <v>4.395514826550824E-2</v>
      </c>
      <c r="AE140" s="97">
        <f t="shared" si="97"/>
        <v>1.9438461538461542</v>
      </c>
      <c r="AF140" s="96">
        <f t="shared" si="98"/>
        <v>2.0965483124771591</v>
      </c>
      <c r="AG140" s="96">
        <f t="shared" si="87"/>
        <v>1.9779816719478708E-2</v>
      </c>
      <c r="AH140" s="96">
        <f t="shared" si="88"/>
        <v>0.24594405883193832</v>
      </c>
      <c r="AI140" s="98">
        <f t="shared" si="99"/>
        <v>0.26572387555141702</v>
      </c>
      <c r="AJ140" s="97">
        <f t="shared" si="100"/>
        <v>1.7733333333333334</v>
      </c>
      <c r="AK140" s="96">
        <f t="shared" si="101"/>
        <v>3.1571753929187851</v>
      </c>
      <c r="AL140" s="96">
        <f t="shared" si="102"/>
        <v>1.2413333333333334</v>
      </c>
      <c r="AM140" s="96">
        <f t="shared" si="89"/>
        <v>0.12628</v>
      </c>
      <c r="AN140" s="98">
        <f t="shared" si="103"/>
        <v>1.3676133333333333</v>
      </c>
      <c r="AO140" s="97">
        <f t="shared" si="90"/>
        <v>3.9559633438957409E-2</v>
      </c>
      <c r="AP140" s="96">
        <f t="shared" si="91"/>
        <v>5.049E-2</v>
      </c>
      <c r="AQ140" s="98">
        <f t="shared" si="104"/>
        <v>5.8500000000000002E-3</v>
      </c>
      <c r="AR140" s="97">
        <f t="shared" si="105"/>
        <v>1.7292368423237077</v>
      </c>
      <c r="AS140" s="96">
        <f t="shared" si="106"/>
        <v>26.6</v>
      </c>
      <c r="AT140" s="98">
        <f t="shared" si="107"/>
        <v>93.895928605672012</v>
      </c>
    </row>
    <row r="141" spans="17:46" ht="14.65" x14ac:dyDescent="0.4">
      <c r="Q141" s="32">
        <v>134</v>
      </c>
      <c r="R141" s="97">
        <f t="shared" si="80"/>
        <v>15</v>
      </c>
      <c r="S141" s="96">
        <f t="shared" si="81"/>
        <v>1.7866666666666668</v>
      </c>
      <c r="T141" s="96">
        <f t="shared" si="82"/>
        <v>13</v>
      </c>
      <c r="U141" s="98">
        <f t="shared" si="83"/>
        <v>2.0615384615384618</v>
      </c>
      <c r="V141" s="97">
        <f t="shared" si="84"/>
        <v>2</v>
      </c>
      <c r="W141" s="96">
        <f t="shared" si="85"/>
        <v>0.5357142857142857</v>
      </c>
      <c r="X141" s="98">
        <f t="shared" si="86"/>
        <v>0.4642857142857143</v>
      </c>
      <c r="Y141" s="97">
        <f t="shared" si="92"/>
        <v>1.5827922077922081</v>
      </c>
      <c r="Z141" s="96">
        <f t="shared" si="93"/>
        <v>5.4309973359973363</v>
      </c>
      <c r="AA141" s="96">
        <f t="shared" si="94"/>
        <v>2.1115657917344208</v>
      </c>
      <c r="AB141" s="96">
        <v>0</v>
      </c>
      <c r="AC141" s="96">
        <f t="shared" si="95"/>
        <v>4.4587100928230115E-2</v>
      </c>
      <c r="AD141" s="98">
        <f t="shared" si="96"/>
        <v>4.4587100928230115E-2</v>
      </c>
      <c r="AE141" s="97">
        <f t="shared" si="97"/>
        <v>1.9731868131868135</v>
      </c>
      <c r="AF141" s="96">
        <f t="shared" si="98"/>
        <v>2.1115657917344208</v>
      </c>
      <c r="AG141" s="96">
        <f t="shared" si="87"/>
        <v>2.0064195417703552E-2</v>
      </c>
      <c r="AH141" s="96">
        <f t="shared" si="88"/>
        <v>0.24779326228180246</v>
      </c>
      <c r="AI141" s="98">
        <f t="shared" si="99"/>
        <v>0.26785745769950603</v>
      </c>
      <c r="AJ141" s="97">
        <f t="shared" si="100"/>
        <v>1.7866666666666668</v>
      </c>
      <c r="AK141" s="96">
        <f t="shared" si="101"/>
        <v>3.1766485885586522</v>
      </c>
      <c r="AL141" s="96">
        <f t="shared" si="102"/>
        <v>1.2506666666666668</v>
      </c>
      <c r="AM141" s="96">
        <f t="shared" si="89"/>
        <v>0.12628</v>
      </c>
      <c r="AN141" s="98">
        <f t="shared" si="103"/>
        <v>1.3769466666666668</v>
      </c>
      <c r="AO141" s="97">
        <f t="shared" si="90"/>
        <v>4.0128390835407098E-2</v>
      </c>
      <c r="AP141" s="96">
        <f t="shared" si="91"/>
        <v>5.049E-2</v>
      </c>
      <c r="AQ141" s="98">
        <f t="shared" si="104"/>
        <v>5.8500000000000002E-3</v>
      </c>
      <c r="AR141" s="97">
        <f t="shared" si="105"/>
        <v>1.7412725152015798</v>
      </c>
      <c r="AS141" s="96">
        <f t="shared" si="106"/>
        <v>26.800000000000004</v>
      </c>
      <c r="AT141" s="98">
        <f t="shared" si="107"/>
        <v>93.899106936195125</v>
      </c>
    </row>
    <row r="142" spans="17:46" ht="14.65" x14ac:dyDescent="0.4">
      <c r="Q142" s="32">
        <v>135</v>
      </c>
      <c r="R142" s="97">
        <f t="shared" si="80"/>
        <v>15</v>
      </c>
      <c r="S142" s="96">
        <f t="shared" si="81"/>
        <v>1.8</v>
      </c>
      <c r="T142" s="96">
        <f t="shared" si="82"/>
        <v>13</v>
      </c>
      <c r="U142" s="98">
        <f t="shared" si="83"/>
        <v>2.0769230769230771</v>
      </c>
      <c r="V142" s="97">
        <f t="shared" si="84"/>
        <v>2</v>
      </c>
      <c r="W142" s="96">
        <f t="shared" si="85"/>
        <v>0.5357142857142857</v>
      </c>
      <c r="X142" s="98">
        <f t="shared" si="86"/>
        <v>0.4642857142857143</v>
      </c>
      <c r="Y142" s="97">
        <f t="shared" si="92"/>
        <v>1.5827922077922081</v>
      </c>
      <c r="Z142" s="96">
        <f t="shared" si="93"/>
        <v>5.4597152847152852</v>
      </c>
      <c r="AA142" s="96">
        <f t="shared" si="94"/>
        <v>2.1265885196427323</v>
      </c>
      <c r="AB142" s="96">
        <v>0</v>
      </c>
      <c r="AC142" s="96">
        <f t="shared" si="95"/>
        <v>4.5223787318762677E-2</v>
      </c>
      <c r="AD142" s="98">
        <f t="shared" si="96"/>
        <v>4.5223787318762677E-2</v>
      </c>
      <c r="AE142" s="97">
        <f t="shared" si="97"/>
        <v>2.0027472527472527</v>
      </c>
      <c r="AF142" s="96">
        <f t="shared" si="98"/>
        <v>2.1265885196427323</v>
      </c>
      <c r="AG142" s="96">
        <f t="shared" si="87"/>
        <v>2.0350704293443208E-2</v>
      </c>
      <c r="AH142" s="96">
        <f t="shared" si="88"/>
        <v>0.24964246573166671</v>
      </c>
      <c r="AI142" s="98">
        <f t="shared" si="99"/>
        <v>0.26999317002510992</v>
      </c>
      <c r="AJ142" s="97">
        <f t="shared" si="100"/>
        <v>1.8</v>
      </c>
      <c r="AK142" s="96">
        <f t="shared" si="101"/>
        <v>3.1961229420498336</v>
      </c>
      <c r="AL142" s="96">
        <f t="shared" si="102"/>
        <v>1.26</v>
      </c>
      <c r="AM142" s="96">
        <f t="shared" si="89"/>
        <v>0.12628</v>
      </c>
      <c r="AN142" s="98">
        <f t="shared" si="103"/>
        <v>1.38628</v>
      </c>
      <c r="AO142" s="97">
        <f t="shared" si="90"/>
        <v>4.0701408586886409E-2</v>
      </c>
      <c r="AP142" s="96">
        <f t="shared" si="91"/>
        <v>5.049E-2</v>
      </c>
      <c r="AQ142" s="98">
        <f t="shared" si="104"/>
        <v>5.8500000000000002E-3</v>
      </c>
      <c r="AR142" s="97">
        <f t="shared" si="105"/>
        <v>1.7533145786119961</v>
      </c>
      <c r="AS142" s="96">
        <f t="shared" si="106"/>
        <v>27</v>
      </c>
      <c r="AT142" s="98">
        <f t="shared" si="107"/>
        <v>93.902217520632604</v>
      </c>
    </row>
    <row r="143" spans="17:46" ht="14.65" x14ac:dyDescent="0.4">
      <c r="Q143" s="32">
        <v>136</v>
      </c>
      <c r="R143" s="97">
        <f t="shared" si="80"/>
        <v>15</v>
      </c>
      <c r="S143" s="96">
        <f t="shared" si="81"/>
        <v>1.8133333333333335</v>
      </c>
      <c r="T143" s="96">
        <f t="shared" si="82"/>
        <v>13</v>
      </c>
      <c r="U143" s="98">
        <f t="shared" si="83"/>
        <v>2.0923076923076924</v>
      </c>
      <c r="V143" s="97">
        <f t="shared" si="84"/>
        <v>2</v>
      </c>
      <c r="W143" s="96">
        <f t="shared" si="85"/>
        <v>0.5357142857142857</v>
      </c>
      <c r="X143" s="98">
        <f t="shared" si="86"/>
        <v>0.4642857142857143</v>
      </c>
      <c r="Y143" s="97">
        <f t="shared" si="92"/>
        <v>1.5827922077922081</v>
      </c>
      <c r="Z143" s="96">
        <f t="shared" si="93"/>
        <v>5.4884332334332342</v>
      </c>
      <c r="AA143" s="96">
        <f t="shared" si="94"/>
        <v>2.1416163857494612</v>
      </c>
      <c r="AB143" s="96">
        <v>0</v>
      </c>
      <c r="AC143" s="96">
        <f t="shared" si="95"/>
        <v>4.586520743710585E-2</v>
      </c>
      <c r="AD143" s="98">
        <f t="shared" si="96"/>
        <v>4.586520743710585E-2</v>
      </c>
      <c r="AE143" s="97">
        <f t="shared" si="97"/>
        <v>2.0325274725274727</v>
      </c>
      <c r="AF143" s="96">
        <f t="shared" si="98"/>
        <v>2.1416163857494612</v>
      </c>
      <c r="AG143" s="96">
        <f t="shared" si="87"/>
        <v>2.0639343346697633E-2</v>
      </c>
      <c r="AH143" s="96">
        <f t="shared" si="88"/>
        <v>0.25149166918153087</v>
      </c>
      <c r="AI143" s="98">
        <f t="shared" si="99"/>
        <v>0.27213101252822852</v>
      </c>
      <c r="AJ143" s="97">
        <f t="shared" si="100"/>
        <v>1.8133333333333335</v>
      </c>
      <c r="AK143" s="96">
        <f t="shared" si="101"/>
        <v>3.2155984323557414</v>
      </c>
      <c r="AL143" s="96">
        <f t="shared" si="102"/>
        <v>1.2693333333333334</v>
      </c>
      <c r="AM143" s="96">
        <f t="shared" si="89"/>
        <v>0.12628</v>
      </c>
      <c r="AN143" s="98">
        <f t="shared" si="103"/>
        <v>1.3956133333333334</v>
      </c>
      <c r="AO143" s="97">
        <f t="shared" si="90"/>
        <v>4.127868669339526E-2</v>
      </c>
      <c r="AP143" s="96">
        <f t="shared" si="91"/>
        <v>5.049E-2</v>
      </c>
      <c r="AQ143" s="98">
        <f t="shared" si="104"/>
        <v>5.8500000000000002E-3</v>
      </c>
      <c r="AR143" s="97">
        <f t="shared" si="105"/>
        <v>1.765363032554957</v>
      </c>
      <c r="AS143" s="96">
        <f t="shared" si="106"/>
        <v>27.200000000000003</v>
      </c>
      <c r="AT143" s="98">
        <f t="shared" si="107"/>
        <v>93.905261844739115</v>
      </c>
    </row>
    <row r="144" spans="17:46" ht="14.65" x14ac:dyDescent="0.4">
      <c r="Q144" s="32">
        <v>137</v>
      </c>
      <c r="R144" s="97">
        <f t="shared" si="80"/>
        <v>15</v>
      </c>
      <c r="S144" s="96">
        <f t="shared" si="81"/>
        <v>1.8266666666666669</v>
      </c>
      <c r="T144" s="96">
        <f t="shared" si="82"/>
        <v>13</v>
      </c>
      <c r="U144" s="98">
        <f t="shared" si="83"/>
        <v>2.1076923076923078</v>
      </c>
      <c r="V144" s="97">
        <f t="shared" si="84"/>
        <v>2</v>
      </c>
      <c r="W144" s="96">
        <f t="shared" si="85"/>
        <v>0.5357142857142857</v>
      </c>
      <c r="X144" s="98">
        <f t="shared" si="86"/>
        <v>0.4642857142857143</v>
      </c>
      <c r="Y144" s="97">
        <f t="shared" si="92"/>
        <v>1.5827922077922081</v>
      </c>
      <c r="Z144" s="96">
        <f t="shared" si="93"/>
        <v>5.5171511821511823</v>
      </c>
      <c r="AA144" s="96">
        <f t="shared" si="94"/>
        <v>2.1566492826433254</v>
      </c>
      <c r="AB144" s="96">
        <v>0</v>
      </c>
      <c r="AC144" s="96">
        <f t="shared" si="95"/>
        <v>4.6511361283259708E-2</v>
      </c>
      <c r="AD144" s="98">
        <f t="shared" si="96"/>
        <v>4.6511361283259708E-2</v>
      </c>
      <c r="AE144" s="97">
        <f t="shared" si="97"/>
        <v>2.0625274725274725</v>
      </c>
      <c r="AF144" s="96">
        <f t="shared" si="98"/>
        <v>2.1566492826433254</v>
      </c>
      <c r="AG144" s="96">
        <f t="shared" si="87"/>
        <v>2.093011257746687E-2</v>
      </c>
      <c r="AH144" s="96">
        <f t="shared" si="88"/>
        <v>0.25334087263139504</v>
      </c>
      <c r="AI144" s="98">
        <f t="shared" si="99"/>
        <v>0.27427098520886189</v>
      </c>
      <c r="AJ144" s="97">
        <f t="shared" si="100"/>
        <v>1.8266666666666669</v>
      </c>
      <c r="AK144" s="96">
        <f t="shared" si="101"/>
        <v>3.2350750389451446</v>
      </c>
      <c r="AL144" s="96">
        <f t="shared" si="102"/>
        <v>1.2786666666666668</v>
      </c>
      <c r="AM144" s="96">
        <f t="shared" si="89"/>
        <v>0.12628</v>
      </c>
      <c r="AN144" s="98">
        <f t="shared" si="103"/>
        <v>1.4049466666666668</v>
      </c>
      <c r="AO144" s="97">
        <f t="shared" si="90"/>
        <v>4.1860225154933733E-2</v>
      </c>
      <c r="AP144" s="96">
        <f t="shared" si="91"/>
        <v>5.049E-2</v>
      </c>
      <c r="AQ144" s="98">
        <f t="shared" si="104"/>
        <v>5.8500000000000002E-3</v>
      </c>
      <c r="AR144" s="97">
        <f t="shared" si="105"/>
        <v>1.7774178770304623</v>
      </c>
      <c r="AS144" s="96">
        <f t="shared" si="106"/>
        <v>27.400000000000002</v>
      </c>
      <c r="AT144" s="98">
        <f t="shared" si="107"/>
        <v>93.908241351165927</v>
      </c>
    </row>
    <row r="145" spans="17:46" ht="14.65" x14ac:dyDescent="0.4">
      <c r="Q145" s="32">
        <v>138</v>
      </c>
      <c r="R145" s="97">
        <f t="shared" si="80"/>
        <v>15</v>
      </c>
      <c r="S145" s="96">
        <f t="shared" si="81"/>
        <v>1.84</v>
      </c>
      <c r="T145" s="96">
        <f t="shared" si="82"/>
        <v>13</v>
      </c>
      <c r="U145" s="98">
        <f t="shared" si="83"/>
        <v>2.1230769230769231</v>
      </c>
      <c r="V145" s="97">
        <f t="shared" si="84"/>
        <v>2</v>
      </c>
      <c r="W145" s="96">
        <f t="shared" si="85"/>
        <v>0.5357142857142857</v>
      </c>
      <c r="X145" s="98">
        <f t="shared" si="86"/>
        <v>0.4642857142857143</v>
      </c>
      <c r="Y145" s="97">
        <f t="shared" si="92"/>
        <v>1.5827922077922081</v>
      </c>
      <c r="Z145" s="96">
        <f t="shared" si="93"/>
        <v>5.5458691308691312</v>
      </c>
      <c r="AA145" s="96">
        <f t="shared" si="94"/>
        <v>2.171687105851674</v>
      </c>
      <c r="AB145" s="96">
        <v>0</v>
      </c>
      <c r="AC145" s="96">
        <f t="shared" si="95"/>
        <v>4.7162248857224205E-2</v>
      </c>
      <c r="AD145" s="98">
        <f t="shared" si="96"/>
        <v>4.7162248857224205E-2</v>
      </c>
      <c r="AE145" s="97">
        <f t="shared" si="97"/>
        <v>2.0927472527472526</v>
      </c>
      <c r="AF145" s="96">
        <f t="shared" si="98"/>
        <v>2.171687105851674</v>
      </c>
      <c r="AG145" s="96">
        <f t="shared" si="87"/>
        <v>2.1223011985750894E-2</v>
      </c>
      <c r="AH145" s="96">
        <f t="shared" si="88"/>
        <v>0.25519007608125927</v>
      </c>
      <c r="AI145" s="98">
        <f t="shared" si="99"/>
        <v>0.27641308806701015</v>
      </c>
      <c r="AJ145" s="97">
        <f t="shared" si="100"/>
        <v>1.84</v>
      </c>
      <c r="AK145" s="96">
        <f t="shared" si="101"/>
        <v>3.2545527417771205</v>
      </c>
      <c r="AL145" s="96">
        <f t="shared" si="102"/>
        <v>1.288</v>
      </c>
      <c r="AM145" s="96">
        <f t="shared" si="89"/>
        <v>0.12628</v>
      </c>
      <c r="AN145" s="98">
        <f t="shared" si="103"/>
        <v>1.41428</v>
      </c>
      <c r="AO145" s="97">
        <f t="shared" si="90"/>
        <v>4.2446023971501781E-2</v>
      </c>
      <c r="AP145" s="96">
        <f t="shared" si="91"/>
        <v>5.049E-2</v>
      </c>
      <c r="AQ145" s="98">
        <f t="shared" si="104"/>
        <v>5.8500000000000002E-3</v>
      </c>
      <c r="AR145" s="97">
        <f t="shared" si="105"/>
        <v>1.7894791120385118</v>
      </c>
      <c r="AS145" s="96">
        <f t="shared" si="106"/>
        <v>27.6</v>
      </c>
      <c r="AT145" s="98">
        <f t="shared" si="107"/>
        <v>93.911157441012591</v>
      </c>
    </row>
    <row r="146" spans="17:46" ht="14.65" x14ac:dyDescent="0.4">
      <c r="Q146" s="32">
        <v>139</v>
      </c>
      <c r="R146" s="97">
        <f t="shared" si="80"/>
        <v>15</v>
      </c>
      <c r="S146" s="96">
        <f t="shared" si="81"/>
        <v>1.8533333333333335</v>
      </c>
      <c r="T146" s="96">
        <f t="shared" si="82"/>
        <v>13</v>
      </c>
      <c r="U146" s="98">
        <f t="shared" si="83"/>
        <v>2.1384615384615389</v>
      </c>
      <c r="V146" s="97">
        <f t="shared" si="84"/>
        <v>2</v>
      </c>
      <c r="W146" s="96">
        <f t="shared" si="85"/>
        <v>0.5357142857142857</v>
      </c>
      <c r="X146" s="98">
        <f t="shared" si="86"/>
        <v>0.4642857142857143</v>
      </c>
      <c r="Y146" s="97">
        <f t="shared" si="92"/>
        <v>1.5827922077922081</v>
      </c>
      <c r="Z146" s="96">
        <f t="shared" si="93"/>
        <v>5.5745870795870802</v>
      </c>
      <c r="AA146" s="96">
        <f t="shared" si="94"/>
        <v>2.1867297537418602</v>
      </c>
      <c r="AB146" s="96">
        <v>0</v>
      </c>
      <c r="AC146" s="96">
        <f t="shared" si="95"/>
        <v>4.7817870158999361E-2</v>
      </c>
      <c r="AD146" s="98">
        <f t="shared" si="96"/>
        <v>4.7817870158999361E-2</v>
      </c>
      <c r="AE146" s="97">
        <f t="shared" si="97"/>
        <v>2.1231868131868139</v>
      </c>
      <c r="AF146" s="96">
        <f t="shared" si="98"/>
        <v>2.1867297537418602</v>
      </c>
      <c r="AG146" s="96">
        <f t="shared" si="87"/>
        <v>2.1518041571549715E-2</v>
      </c>
      <c r="AH146" s="96">
        <f t="shared" si="88"/>
        <v>0.25703927953112349</v>
      </c>
      <c r="AI146" s="98">
        <f t="shared" si="99"/>
        <v>0.27855732110267323</v>
      </c>
      <c r="AJ146" s="97">
        <f t="shared" si="100"/>
        <v>1.8533333333333335</v>
      </c>
      <c r="AK146" s="96">
        <f t="shared" si="101"/>
        <v>3.2740315212865352</v>
      </c>
      <c r="AL146" s="96">
        <f t="shared" si="102"/>
        <v>1.2973333333333334</v>
      </c>
      <c r="AM146" s="96">
        <f t="shared" si="89"/>
        <v>0.12628</v>
      </c>
      <c r="AN146" s="98">
        <f t="shared" si="103"/>
        <v>1.4236133333333334</v>
      </c>
      <c r="AO146" s="97">
        <f t="shared" si="90"/>
        <v>4.3036083143099424E-2</v>
      </c>
      <c r="AP146" s="96">
        <f t="shared" si="91"/>
        <v>5.049E-2</v>
      </c>
      <c r="AQ146" s="98">
        <f t="shared" si="104"/>
        <v>5.8500000000000002E-3</v>
      </c>
      <c r="AR146" s="97">
        <f t="shared" si="105"/>
        <v>1.8015467375791059</v>
      </c>
      <c r="AS146" s="96">
        <f t="shared" si="106"/>
        <v>27.800000000000004</v>
      </c>
      <c r="AT146" s="98">
        <f t="shared" si="107"/>
        <v>93.914011475312392</v>
      </c>
    </row>
    <row r="147" spans="17:46" ht="14.65" x14ac:dyDescent="0.4">
      <c r="Q147" s="32">
        <v>140</v>
      </c>
      <c r="R147" s="97">
        <f t="shared" si="80"/>
        <v>15</v>
      </c>
      <c r="S147" s="96">
        <f t="shared" si="81"/>
        <v>1.8666666666666667</v>
      </c>
      <c r="T147" s="96">
        <f t="shared" si="82"/>
        <v>13</v>
      </c>
      <c r="U147" s="98">
        <f t="shared" si="83"/>
        <v>2.1538461538461537</v>
      </c>
      <c r="V147" s="97">
        <f t="shared" si="84"/>
        <v>2</v>
      </c>
      <c r="W147" s="96">
        <f t="shared" si="85"/>
        <v>0.5357142857142857</v>
      </c>
      <c r="X147" s="98">
        <f t="shared" si="86"/>
        <v>0.4642857142857143</v>
      </c>
      <c r="Y147" s="97">
        <f t="shared" si="92"/>
        <v>1.5827922077922081</v>
      </c>
      <c r="Z147" s="96">
        <f t="shared" si="93"/>
        <v>5.6033050283050283</v>
      </c>
      <c r="AA147" s="96">
        <f t="shared" si="94"/>
        <v>2.2017771274265057</v>
      </c>
      <c r="AB147" s="96">
        <v>0</v>
      </c>
      <c r="AC147" s="96">
        <f t="shared" si="95"/>
        <v>4.8478225188585154E-2</v>
      </c>
      <c r="AD147" s="98">
        <f t="shared" si="96"/>
        <v>4.8478225188585154E-2</v>
      </c>
      <c r="AE147" s="97">
        <f t="shared" si="97"/>
        <v>2.1538461538461537</v>
      </c>
      <c r="AF147" s="96">
        <f t="shared" si="98"/>
        <v>2.2017771274265057</v>
      </c>
      <c r="AG147" s="96">
        <f t="shared" si="87"/>
        <v>2.181520133486332E-2</v>
      </c>
      <c r="AH147" s="96">
        <f t="shared" si="88"/>
        <v>0.25888848298098766</v>
      </c>
      <c r="AI147" s="98">
        <f t="shared" si="99"/>
        <v>0.28070368431585097</v>
      </c>
      <c r="AJ147" s="97">
        <f t="shared" si="100"/>
        <v>1.8666666666666667</v>
      </c>
      <c r="AK147" s="96">
        <f t="shared" si="101"/>
        <v>3.2935113583700435</v>
      </c>
      <c r="AL147" s="96">
        <f t="shared" si="102"/>
        <v>1.3066666666666666</v>
      </c>
      <c r="AM147" s="96">
        <f t="shared" si="89"/>
        <v>0.12628</v>
      </c>
      <c r="AN147" s="98">
        <f t="shared" si="103"/>
        <v>1.4329466666666666</v>
      </c>
      <c r="AO147" s="97">
        <f t="shared" si="90"/>
        <v>4.3630402669726634E-2</v>
      </c>
      <c r="AP147" s="96">
        <f t="shared" si="91"/>
        <v>5.049E-2</v>
      </c>
      <c r="AQ147" s="98">
        <f t="shared" si="104"/>
        <v>5.8500000000000002E-3</v>
      </c>
      <c r="AR147" s="97">
        <f t="shared" si="105"/>
        <v>1.8136207536522442</v>
      </c>
      <c r="AS147" s="96">
        <f t="shared" si="106"/>
        <v>28</v>
      </c>
      <c r="AT147" s="98">
        <f t="shared" si="107"/>
        <v>93.916804776454157</v>
      </c>
    </row>
    <row r="148" spans="17:46" ht="14.65" x14ac:dyDescent="0.4">
      <c r="Q148" s="32">
        <v>141</v>
      </c>
      <c r="R148" s="97">
        <f t="shared" si="80"/>
        <v>15</v>
      </c>
      <c r="S148" s="96">
        <f t="shared" si="81"/>
        <v>1.8800000000000001</v>
      </c>
      <c r="T148" s="96">
        <f t="shared" si="82"/>
        <v>13</v>
      </c>
      <c r="U148" s="98">
        <f t="shared" si="83"/>
        <v>2.1692307692307695</v>
      </c>
      <c r="V148" s="97">
        <f t="shared" si="84"/>
        <v>2</v>
      </c>
      <c r="W148" s="96">
        <f t="shared" si="85"/>
        <v>0.5357142857142857</v>
      </c>
      <c r="X148" s="98">
        <f t="shared" si="86"/>
        <v>0.4642857142857143</v>
      </c>
      <c r="Y148" s="97">
        <f t="shared" si="92"/>
        <v>1.5827922077922081</v>
      </c>
      <c r="Z148" s="96">
        <f t="shared" si="93"/>
        <v>5.6320229770229773</v>
      </c>
      <c r="AA148" s="96">
        <f t="shared" si="94"/>
        <v>2.216829130672493</v>
      </c>
      <c r="AB148" s="96">
        <v>0</v>
      </c>
      <c r="AC148" s="96">
        <f t="shared" si="95"/>
        <v>4.9143313945981613E-2</v>
      </c>
      <c r="AD148" s="98">
        <f t="shared" si="96"/>
        <v>4.9143313945981613E-2</v>
      </c>
      <c r="AE148" s="97">
        <f t="shared" si="97"/>
        <v>2.1847252747252752</v>
      </c>
      <c r="AF148" s="96">
        <f t="shared" si="98"/>
        <v>2.216829130672493</v>
      </c>
      <c r="AG148" s="96">
        <f t="shared" si="87"/>
        <v>2.2114491275691726E-2</v>
      </c>
      <c r="AH148" s="96">
        <f t="shared" si="88"/>
        <v>0.26073768643085188</v>
      </c>
      <c r="AI148" s="98">
        <f t="shared" si="99"/>
        <v>0.28285217770654358</v>
      </c>
      <c r="AJ148" s="97">
        <f t="shared" si="100"/>
        <v>1.8800000000000001</v>
      </c>
      <c r="AK148" s="96">
        <f t="shared" si="101"/>
        <v>3.312992234372572</v>
      </c>
      <c r="AL148" s="96">
        <f t="shared" si="102"/>
        <v>1.3160000000000001</v>
      </c>
      <c r="AM148" s="96">
        <f t="shared" si="89"/>
        <v>0.12628</v>
      </c>
      <c r="AN148" s="98">
        <f t="shared" si="103"/>
        <v>1.44228</v>
      </c>
      <c r="AO148" s="97">
        <f t="shared" si="90"/>
        <v>4.4228982551383446E-2</v>
      </c>
      <c r="AP148" s="96">
        <f t="shared" si="91"/>
        <v>5.049E-2</v>
      </c>
      <c r="AQ148" s="98">
        <f t="shared" si="104"/>
        <v>5.8500000000000002E-3</v>
      </c>
      <c r="AR148" s="97">
        <f t="shared" si="105"/>
        <v>1.8257011602579269</v>
      </c>
      <c r="AS148" s="96">
        <f t="shared" si="106"/>
        <v>28.200000000000003</v>
      </c>
      <c r="AT148" s="98">
        <f t="shared" si="107"/>
        <v>93.919538629544391</v>
      </c>
    </row>
    <row r="149" spans="17:46" ht="14.65" x14ac:dyDescent="0.4">
      <c r="Q149" s="32">
        <v>142</v>
      </c>
      <c r="R149" s="97">
        <f t="shared" si="80"/>
        <v>15</v>
      </c>
      <c r="S149" s="96">
        <f t="shared" si="81"/>
        <v>1.8933333333333335</v>
      </c>
      <c r="T149" s="96">
        <f t="shared" si="82"/>
        <v>13</v>
      </c>
      <c r="U149" s="98">
        <f t="shared" si="83"/>
        <v>2.1846153846153848</v>
      </c>
      <c r="V149" s="97">
        <f t="shared" si="84"/>
        <v>2</v>
      </c>
      <c r="W149" s="96">
        <f t="shared" si="85"/>
        <v>0.5357142857142857</v>
      </c>
      <c r="X149" s="98">
        <f t="shared" si="86"/>
        <v>0.4642857142857143</v>
      </c>
      <c r="Y149" s="97">
        <f t="shared" si="92"/>
        <v>1.5827922077922081</v>
      </c>
      <c r="Z149" s="96">
        <f t="shared" si="93"/>
        <v>5.6607409257409262</v>
      </c>
      <c r="AA149" s="96">
        <f t="shared" si="94"/>
        <v>2.2318856698135034</v>
      </c>
      <c r="AB149" s="96">
        <v>0</v>
      </c>
      <c r="AC149" s="96">
        <f t="shared" si="95"/>
        <v>4.9813136431188711E-2</v>
      </c>
      <c r="AD149" s="98">
        <f t="shared" si="96"/>
        <v>4.9813136431188711E-2</v>
      </c>
      <c r="AE149" s="97">
        <f t="shared" si="97"/>
        <v>2.2158241758241761</v>
      </c>
      <c r="AF149" s="96">
        <f t="shared" si="98"/>
        <v>2.2318856698135034</v>
      </c>
      <c r="AG149" s="96">
        <f t="shared" si="87"/>
        <v>2.2415911394034923E-2</v>
      </c>
      <c r="AH149" s="96">
        <f t="shared" si="88"/>
        <v>0.2625868898807161</v>
      </c>
      <c r="AI149" s="98">
        <f t="shared" si="99"/>
        <v>0.28500280127475103</v>
      </c>
      <c r="AJ149" s="97">
        <f t="shared" si="100"/>
        <v>1.8933333333333335</v>
      </c>
      <c r="AK149" s="96">
        <f t="shared" si="101"/>
        <v>3.3324741310742767</v>
      </c>
      <c r="AL149" s="96">
        <f t="shared" si="102"/>
        <v>1.3253333333333335</v>
      </c>
      <c r="AM149" s="96">
        <f t="shared" si="89"/>
        <v>0.12628</v>
      </c>
      <c r="AN149" s="98">
        <f t="shared" si="103"/>
        <v>1.4516133333333334</v>
      </c>
      <c r="AO149" s="97">
        <f t="shared" si="90"/>
        <v>4.4831822788069839E-2</v>
      </c>
      <c r="AP149" s="96">
        <f t="shared" si="91"/>
        <v>5.049E-2</v>
      </c>
      <c r="AQ149" s="98">
        <f t="shared" si="104"/>
        <v>5.8500000000000002E-3</v>
      </c>
      <c r="AR149" s="97">
        <f t="shared" si="105"/>
        <v>1.837787957396154</v>
      </c>
      <c r="AS149" s="96">
        <f t="shared" si="106"/>
        <v>28.400000000000002</v>
      </c>
      <c r="AT149" s="98">
        <f t="shared" si="107"/>
        <v>93.922214283711739</v>
      </c>
    </row>
    <row r="150" spans="17:46" ht="14.65" x14ac:dyDescent="0.4">
      <c r="Q150" s="32">
        <v>143</v>
      </c>
      <c r="R150" s="97">
        <f t="shared" si="80"/>
        <v>15</v>
      </c>
      <c r="S150" s="96">
        <f t="shared" si="81"/>
        <v>1.9066666666666667</v>
      </c>
      <c r="T150" s="96">
        <f t="shared" si="82"/>
        <v>13</v>
      </c>
      <c r="U150" s="98">
        <f t="shared" si="83"/>
        <v>2.2000000000000002</v>
      </c>
      <c r="V150" s="97">
        <f t="shared" si="84"/>
        <v>2</v>
      </c>
      <c r="W150" s="96">
        <f t="shared" si="85"/>
        <v>0.5357142857142857</v>
      </c>
      <c r="X150" s="98">
        <f t="shared" si="86"/>
        <v>0.4642857142857143</v>
      </c>
      <c r="Y150" s="97">
        <f t="shared" si="92"/>
        <v>1.5827922077922081</v>
      </c>
      <c r="Z150" s="96">
        <f t="shared" si="93"/>
        <v>5.6894588744588752</v>
      </c>
      <c r="AA150" s="96">
        <f t="shared" si="94"/>
        <v>2.2469466536659577</v>
      </c>
      <c r="AB150" s="96">
        <v>0</v>
      </c>
      <c r="AC150" s="96">
        <f t="shared" si="95"/>
        <v>5.0487692644206453E-2</v>
      </c>
      <c r="AD150" s="98">
        <f t="shared" si="96"/>
        <v>5.0487692644206453E-2</v>
      </c>
      <c r="AE150" s="97">
        <f t="shared" si="97"/>
        <v>2.2471428571428573</v>
      </c>
      <c r="AF150" s="96">
        <f t="shared" si="98"/>
        <v>2.2469466536659577</v>
      </c>
      <c r="AG150" s="96">
        <f t="shared" si="87"/>
        <v>2.2719461689892907E-2</v>
      </c>
      <c r="AH150" s="96">
        <f t="shared" si="88"/>
        <v>0.26443609333058027</v>
      </c>
      <c r="AI150" s="98">
        <f t="shared" si="99"/>
        <v>0.28715555502047319</v>
      </c>
      <c r="AJ150" s="97">
        <f t="shared" si="100"/>
        <v>1.9066666666666667</v>
      </c>
      <c r="AK150" s="96">
        <f t="shared" si="101"/>
        <v>3.3519570306779527</v>
      </c>
      <c r="AL150" s="96">
        <f t="shared" si="102"/>
        <v>1.3346666666666667</v>
      </c>
      <c r="AM150" s="96">
        <f t="shared" si="89"/>
        <v>0.12628</v>
      </c>
      <c r="AN150" s="98">
        <f t="shared" si="103"/>
        <v>1.4609466666666666</v>
      </c>
      <c r="AO150" s="97">
        <f t="shared" si="90"/>
        <v>4.5438923379785806E-2</v>
      </c>
      <c r="AP150" s="96">
        <f t="shared" si="91"/>
        <v>5.049E-2</v>
      </c>
      <c r="AQ150" s="98">
        <f t="shared" si="104"/>
        <v>5.8500000000000002E-3</v>
      </c>
      <c r="AR150" s="97">
        <f t="shared" si="105"/>
        <v>1.8498811450669255</v>
      </c>
      <c r="AS150" s="96">
        <f t="shared" si="106"/>
        <v>28.6</v>
      </c>
      <c r="AT150" s="98">
        <f t="shared" si="107"/>
        <v>93.924832953357466</v>
      </c>
    </row>
    <row r="151" spans="17:46" ht="14.65" x14ac:dyDescent="0.4">
      <c r="Q151" s="32">
        <v>144</v>
      </c>
      <c r="R151" s="97">
        <f t="shared" si="80"/>
        <v>15</v>
      </c>
      <c r="S151" s="96">
        <f t="shared" si="81"/>
        <v>1.9200000000000002</v>
      </c>
      <c r="T151" s="96">
        <f t="shared" si="82"/>
        <v>13</v>
      </c>
      <c r="U151" s="98">
        <f t="shared" si="83"/>
        <v>2.2153846153846155</v>
      </c>
      <c r="V151" s="97">
        <f t="shared" si="84"/>
        <v>2</v>
      </c>
      <c r="W151" s="96">
        <f t="shared" si="85"/>
        <v>0.5357142857142857</v>
      </c>
      <c r="X151" s="98">
        <f t="shared" si="86"/>
        <v>0.4642857142857143</v>
      </c>
      <c r="Y151" s="97">
        <f t="shared" si="92"/>
        <v>1.5827922077922081</v>
      </c>
      <c r="Z151" s="96">
        <f t="shared" si="93"/>
        <v>5.7181768231768233</v>
      </c>
      <c r="AA151" s="96">
        <f t="shared" si="94"/>
        <v>2.2620119934481968</v>
      </c>
      <c r="AB151" s="96">
        <v>0</v>
      </c>
      <c r="AC151" s="96">
        <f t="shared" si="95"/>
        <v>5.1166982585034847E-2</v>
      </c>
      <c r="AD151" s="98">
        <f t="shared" si="96"/>
        <v>5.1166982585034847E-2</v>
      </c>
      <c r="AE151" s="97">
        <f t="shared" si="97"/>
        <v>2.2786813186813188</v>
      </c>
      <c r="AF151" s="96">
        <f t="shared" si="98"/>
        <v>2.2620119934481968</v>
      </c>
      <c r="AG151" s="96">
        <f t="shared" si="87"/>
        <v>2.3025142163265684E-2</v>
      </c>
      <c r="AH151" s="96">
        <f t="shared" si="88"/>
        <v>0.26628529678044449</v>
      </c>
      <c r="AI151" s="98">
        <f t="shared" si="99"/>
        <v>0.28931043894371017</v>
      </c>
      <c r="AJ151" s="97">
        <f t="shared" si="100"/>
        <v>1.9200000000000002</v>
      </c>
      <c r="AK151" s="96">
        <f t="shared" si="101"/>
        <v>3.3714409157968745</v>
      </c>
      <c r="AL151" s="96">
        <f t="shared" si="102"/>
        <v>1.3440000000000001</v>
      </c>
      <c r="AM151" s="96">
        <f t="shared" si="89"/>
        <v>0.12628</v>
      </c>
      <c r="AN151" s="98">
        <f t="shared" si="103"/>
        <v>1.47028</v>
      </c>
      <c r="AO151" s="97">
        <f t="shared" si="90"/>
        <v>4.6050284326531361E-2</v>
      </c>
      <c r="AP151" s="96">
        <f t="shared" si="91"/>
        <v>5.049E-2</v>
      </c>
      <c r="AQ151" s="98">
        <f t="shared" si="104"/>
        <v>5.8500000000000002E-3</v>
      </c>
      <c r="AR151" s="97">
        <f t="shared" si="105"/>
        <v>1.8619807232702414</v>
      </c>
      <c r="AS151" s="96">
        <f t="shared" si="106"/>
        <v>28.8</v>
      </c>
      <c r="AT151" s="98">
        <f t="shared" si="107"/>
        <v>93.927395819353805</v>
      </c>
    </row>
    <row r="152" spans="17:46" ht="14.65" x14ac:dyDescent="0.4">
      <c r="Q152" s="32">
        <v>145</v>
      </c>
      <c r="R152" s="97">
        <f t="shared" si="80"/>
        <v>15</v>
      </c>
      <c r="S152" s="96">
        <f t="shared" si="81"/>
        <v>1.9333333333333333</v>
      </c>
      <c r="T152" s="96">
        <f t="shared" si="82"/>
        <v>13</v>
      </c>
      <c r="U152" s="98">
        <f t="shared" si="83"/>
        <v>2.2307692307692308</v>
      </c>
      <c r="V152" s="97">
        <f t="shared" si="84"/>
        <v>2</v>
      </c>
      <c r="W152" s="96">
        <f t="shared" si="85"/>
        <v>0.5357142857142857</v>
      </c>
      <c r="X152" s="98">
        <f t="shared" si="86"/>
        <v>0.4642857142857143</v>
      </c>
      <c r="Y152" s="97">
        <f t="shared" si="92"/>
        <v>1.5827922077922081</v>
      </c>
      <c r="Z152" s="96">
        <f t="shared" si="93"/>
        <v>5.7468947718947723</v>
      </c>
      <c r="AA152" s="96">
        <f t="shared" si="94"/>
        <v>2.2770816027027645</v>
      </c>
      <c r="AB152" s="96">
        <v>0</v>
      </c>
      <c r="AC152" s="96">
        <f t="shared" si="95"/>
        <v>5.1851006253673913E-2</v>
      </c>
      <c r="AD152" s="98">
        <f t="shared" si="96"/>
        <v>5.1851006253673913E-2</v>
      </c>
      <c r="AE152" s="97">
        <f t="shared" si="97"/>
        <v>2.3104395604395602</v>
      </c>
      <c r="AF152" s="96">
        <f t="shared" si="98"/>
        <v>2.2770816027027645</v>
      </c>
      <c r="AG152" s="96">
        <f t="shared" si="87"/>
        <v>2.3332952814153263E-2</v>
      </c>
      <c r="AH152" s="96">
        <f t="shared" si="88"/>
        <v>0.26813450023030866</v>
      </c>
      <c r="AI152" s="98">
        <f t="shared" si="99"/>
        <v>0.29146745304446192</v>
      </c>
      <c r="AJ152" s="97">
        <f t="shared" si="100"/>
        <v>1.9333333333333333</v>
      </c>
      <c r="AK152" s="96">
        <f t="shared" si="101"/>
        <v>3.3909257694430579</v>
      </c>
      <c r="AL152" s="96">
        <f t="shared" si="102"/>
        <v>1.3533333333333333</v>
      </c>
      <c r="AM152" s="96">
        <f t="shared" si="89"/>
        <v>0.12628</v>
      </c>
      <c r="AN152" s="98">
        <f t="shared" si="103"/>
        <v>1.4796133333333332</v>
      </c>
      <c r="AO152" s="97">
        <f t="shared" si="90"/>
        <v>4.6665905628306519E-2</v>
      </c>
      <c r="AP152" s="96">
        <f t="shared" si="91"/>
        <v>5.049E-2</v>
      </c>
      <c r="AQ152" s="98">
        <f t="shared" si="104"/>
        <v>5.8500000000000002E-3</v>
      </c>
      <c r="AR152" s="97">
        <f t="shared" si="105"/>
        <v>1.8740866920061015</v>
      </c>
      <c r="AS152" s="96">
        <f t="shared" si="106"/>
        <v>29</v>
      </c>
      <c r="AT152" s="98">
        <f t="shared" si="107"/>
        <v>93.929904030193256</v>
      </c>
    </row>
    <row r="153" spans="17:46" ht="14.65" x14ac:dyDescent="0.4">
      <c r="Q153" s="32">
        <v>146</v>
      </c>
      <c r="R153" s="97">
        <f t="shared" si="80"/>
        <v>15</v>
      </c>
      <c r="S153" s="96">
        <f t="shared" si="81"/>
        <v>1.9466666666666668</v>
      </c>
      <c r="T153" s="96">
        <f t="shared" si="82"/>
        <v>13</v>
      </c>
      <c r="U153" s="98">
        <f t="shared" si="83"/>
        <v>2.2461538461538462</v>
      </c>
      <c r="V153" s="97">
        <f t="shared" si="84"/>
        <v>2</v>
      </c>
      <c r="W153" s="96">
        <f t="shared" si="85"/>
        <v>0.5357142857142857</v>
      </c>
      <c r="X153" s="98">
        <f t="shared" si="86"/>
        <v>0.4642857142857143</v>
      </c>
      <c r="Y153" s="97">
        <f t="shared" si="92"/>
        <v>1.5827922077922081</v>
      </c>
      <c r="Z153" s="96">
        <f t="shared" si="93"/>
        <v>5.7756127206127204</v>
      </c>
      <c r="AA153" s="96">
        <f t="shared" si="94"/>
        <v>2.2921553972216544</v>
      </c>
      <c r="AB153" s="96">
        <v>0</v>
      </c>
      <c r="AC153" s="96">
        <f t="shared" si="95"/>
        <v>5.2539763650123604E-2</v>
      </c>
      <c r="AD153" s="98">
        <f t="shared" si="96"/>
        <v>5.2539763650123604E-2</v>
      </c>
      <c r="AE153" s="97">
        <f t="shared" si="97"/>
        <v>2.3424175824175824</v>
      </c>
      <c r="AF153" s="96">
        <f t="shared" si="98"/>
        <v>2.2921553972216544</v>
      </c>
      <c r="AG153" s="96">
        <f t="shared" si="87"/>
        <v>2.3642893642555625E-2</v>
      </c>
      <c r="AH153" s="96">
        <f t="shared" si="88"/>
        <v>0.26998370368017288</v>
      </c>
      <c r="AI153" s="98">
        <f t="shared" si="99"/>
        <v>0.2936265973227285</v>
      </c>
      <c r="AJ153" s="97">
        <f t="shared" si="100"/>
        <v>1.9466666666666668</v>
      </c>
      <c r="AK153" s="96">
        <f t="shared" si="101"/>
        <v>3.4104115750159143</v>
      </c>
      <c r="AL153" s="96">
        <f t="shared" si="102"/>
        <v>1.3626666666666667</v>
      </c>
      <c r="AM153" s="96">
        <f t="shared" si="89"/>
        <v>0.12628</v>
      </c>
      <c r="AN153" s="98">
        <f t="shared" si="103"/>
        <v>1.4889466666666666</v>
      </c>
      <c r="AO153" s="97">
        <f t="shared" si="90"/>
        <v>4.7285787285111243E-2</v>
      </c>
      <c r="AP153" s="96">
        <f t="shared" si="91"/>
        <v>5.049E-2</v>
      </c>
      <c r="AQ153" s="98">
        <f t="shared" si="104"/>
        <v>5.8500000000000002E-3</v>
      </c>
      <c r="AR153" s="97">
        <f t="shared" si="105"/>
        <v>1.8861990512745064</v>
      </c>
      <c r="AS153" s="96">
        <f t="shared" si="106"/>
        <v>29.200000000000003</v>
      </c>
      <c r="AT153" s="98">
        <f t="shared" si="107"/>
        <v>93.93235870309087</v>
      </c>
    </row>
    <row r="154" spans="17:46" ht="14.65" x14ac:dyDescent="0.4">
      <c r="Q154" s="32">
        <v>147</v>
      </c>
      <c r="R154" s="97">
        <f t="shared" si="80"/>
        <v>15</v>
      </c>
      <c r="S154" s="96">
        <f t="shared" si="81"/>
        <v>1.9600000000000002</v>
      </c>
      <c r="T154" s="96">
        <f t="shared" si="82"/>
        <v>13</v>
      </c>
      <c r="U154" s="98">
        <f t="shared" si="83"/>
        <v>2.2615384615384615</v>
      </c>
      <c r="V154" s="97">
        <f t="shared" si="84"/>
        <v>2</v>
      </c>
      <c r="W154" s="96">
        <f t="shared" si="85"/>
        <v>0.5357142857142857</v>
      </c>
      <c r="X154" s="98">
        <f t="shared" si="86"/>
        <v>0.4642857142857143</v>
      </c>
      <c r="Y154" s="97">
        <f t="shared" si="92"/>
        <v>1.5827922077922081</v>
      </c>
      <c r="Z154" s="96">
        <f t="shared" si="93"/>
        <v>5.8043306693306693</v>
      </c>
      <c r="AA154" s="96">
        <f t="shared" si="94"/>
        <v>2.3072332949743934</v>
      </c>
      <c r="AB154" s="96">
        <v>0</v>
      </c>
      <c r="AC154" s="96">
        <f t="shared" si="95"/>
        <v>5.323325477438396E-2</v>
      </c>
      <c r="AD154" s="98">
        <f t="shared" si="96"/>
        <v>5.323325477438396E-2</v>
      </c>
      <c r="AE154" s="97">
        <f t="shared" si="97"/>
        <v>2.3746153846153848</v>
      </c>
      <c r="AF154" s="96">
        <f t="shared" si="98"/>
        <v>2.3072332949743934</v>
      </c>
      <c r="AG154" s="96">
        <f t="shared" si="87"/>
        <v>2.3954964648472785E-2</v>
      </c>
      <c r="AH154" s="96">
        <f t="shared" si="88"/>
        <v>0.27183290713003705</v>
      </c>
      <c r="AI154" s="98">
        <f t="shared" si="99"/>
        <v>0.29578787177850985</v>
      </c>
      <c r="AJ154" s="97">
        <f t="shared" si="100"/>
        <v>1.9600000000000002</v>
      </c>
      <c r="AK154" s="96">
        <f t="shared" si="101"/>
        <v>3.4298983162912982</v>
      </c>
      <c r="AL154" s="96">
        <f t="shared" si="102"/>
        <v>1.3720000000000001</v>
      </c>
      <c r="AM154" s="96">
        <f t="shared" si="89"/>
        <v>0.12628</v>
      </c>
      <c r="AN154" s="98">
        <f t="shared" si="103"/>
        <v>1.4982800000000001</v>
      </c>
      <c r="AO154" s="97">
        <f t="shared" si="90"/>
        <v>4.7909929296945562E-2</v>
      </c>
      <c r="AP154" s="96">
        <f t="shared" si="91"/>
        <v>5.049E-2</v>
      </c>
      <c r="AQ154" s="98">
        <f t="shared" si="104"/>
        <v>5.8500000000000002E-3</v>
      </c>
      <c r="AR154" s="97">
        <f t="shared" si="105"/>
        <v>1.8983178010754553</v>
      </c>
      <c r="AS154" s="96">
        <f t="shared" si="106"/>
        <v>29.400000000000002</v>
      </c>
      <c r="AT154" s="98">
        <f t="shared" si="107"/>
        <v>93.934760925041715</v>
      </c>
    </row>
    <row r="155" spans="17:46" ht="14.65" x14ac:dyDescent="0.4">
      <c r="Q155" s="32">
        <v>148</v>
      </c>
      <c r="R155" s="97">
        <f t="shared" si="80"/>
        <v>15</v>
      </c>
      <c r="S155" s="96">
        <f t="shared" si="81"/>
        <v>1.9733333333333334</v>
      </c>
      <c r="T155" s="96">
        <f t="shared" si="82"/>
        <v>13</v>
      </c>
      <c r="U155" s="98">
        <f t="shared" si="83"/>
        <v>2.2769230769230768</v>
      </c>
      <c r="V155" s="97">
        <f t="shared" si="84"/>
        <v>2</v>
      </c>
      <c r="W155" s="96">
        <f t="shared" si="85"/>
        <v>0.5357142857142857</v>
      </c>
      <c r="X155" s="98">
        <f t="shared" si="86"/>
        <v>0.4642857142857143</v>
      </c>
      <c r="Y155" s="97">
        <f t="shared" si="92"/>
        <v>1.5827922077922081</v>
      </c>
      <c r="Z155" s="96">
        <f t="shared" si="93"/>
        <v>5.8330486180486183</v>
      </c>
      <c r="AA155" s="96">
        <f t="shared" si="94"/>
        <v>2.3223152160388341</v>
      </c>
      <c r="AB155" s="96">
        <v>0</v>
      </c>
      <c r="AC155" s="96">
        <f t="shared" si="95"/>
        <v>5.3931479626454969E-2</v>
      </c>
      <c r="AD155" s="98">
        <f t="shared" si="96"/>
        <v>5.3931479626454969E-2</v>
      </c>
      <c r="AE155" s="97">
        <f t="shared" si="97"/>
        <v>2.4070329670329667</v>
      </c>
      <c r="AF155" s="96">
        <f t="shared" si="98"/>
        <v>2.3223152160388341</v>
      </c>
      <c r="AG155" s="96">
        <f t="shared" si="87"/>
        <v>2.4269165831904738E-2</v>
      </c>
      <c r="AH155" s="96">
        <f t="shared" si="88"/>
        <v>0.27368211057990127</v>
      </c>
      <c r="AI155" s="98">
        <f t="shared" si="99"/>
        <v>0.29795127641180602</v>
      </c>
      <c r="AJ155" s="97">
        <f t="shared" si="100"/>
        <v>1.9733333333333334</v>
      </c>
      <c r="AK155" s="96">
        <f t="shared" si="101"/>
        <v>3.4493859774109135</v>
      </c>
      <c r="AL155" s="96">
        <f t="shared" si="102"/>
        <v>1.3813333333333333</v>
      </c>
      <c r="AM155" s="96">
        <f t="shared" si="89"/>
        <v>0.12628</v>
      </c>
      <c r="AN155" s="98">
        <f t="shared" si="103"/>
        <v>1.5076133333333332</v>
      </c>
      <c r="AO155" s="97">
        <f t="shared" si="90"/>
        <v>4.8538331663809463E-2</v>
      </c>
      <c r="AP155" s="96">
        <f t="shared" si="91"/>
        <v>5.049E-2</v>
      </c>
      <c r="AQ155" s="98">
        <f t="shared" si="104"/>
        <v>5.8500000000000002E-3</v>
      </c>
      <c r="AR155" s="97">
        <f t="shared" si="105"/>
        <v>1.9104429414089485</v>
      </c>
      <c r="AS155" s="96">
        <f t="shared" si="106"/>
        <v>29.6</v>
      </c>
      <c r="AT155" s="98">
        <f t="shared" si="107"/>
        <v>93.937111753835836</v>
      </c>
    </row>
    <row r="156" spans="17:46" ht="14.65" x14ac:dyDescent="0.4">
      <c r="Q156" s="32">
        <v>149</v>
      </c>
      <c r="R156" s="97">
        <f t="shared" si="80"/>
        <v>15</v>
      </c>
      <c r="S156" s="96">
        <f t="shared" si="81"/>
        <v>1.9866666666666668</v>
      </c>
      <c r="T156" s="96">
        <f t="shared" si="82"/>
        <v>13</v>
      </c>
      <c r="U156" s="98">
        <f t="shared" si="83"/>
        <v>2.2923076923076922</v>
      </c>
      <c r="V156" s="97">
        <f t="shared" si="84"/>
        <v>2</v>
      </c>
      <c r="W156" s="96">
        <f t="shared" si="85"/>
        <v>0.5357142857142857</v>
      </c>
      <c r="X156" s="98">
        <f t="shared" si="86"/>
        <v>0.4642857142857143</v>
      </c>
      <c r="Y156" s="97">
        <f t="shared" si="92"/>
        <v>1.5827922077922081</v>
      </c>
      <c r="Z156" s="96">
        <f t="shared" si="93"/>
        <v>5.8617665667665673</v>
      </c>
      <c r="AA156" s="96">
        <f t="shared" si="94"/>
        <v>2.3374010825345448</v>
      </c>
      <c r="AB156" s="96">
        <v>0</v>
      </c>
      <c r="AC156" s="96">
        <f t="shared" si="95"/>
        <v>5.4634438206336622E-2</v>
      </c>
      <c r="AD156" s="98">
        <f t="shared" si="96"/>
        <v>5.4634438206336622E-2</v>
      </c>
      <c r="AE156" s="97">
        <f t="shared" si="97"/>
        <v>2.4396703296703297</v>
      </c>
      <c r="AF156" s="96">
        <f t="shared" si="98"/>
        <v>2.3374010825345448</v>
      </c>
      <c r="AG156" s="96">
        <f t="shared" si="87"/>
        <v>2.4585497192851483E-2</v>
      </c>
      <c r="AH156" s="96">
        <f t="shared" si="88"/>
        <v>0.2755313140297655</v>
      </c>
      <c r="AI156" s="98">
        <f t="shared" si="99"/>
        <v>0.30011681122261696</v>
      </c>
      <c r="AJ156" s="97">
        <f t="shared" si="100"/>
        <v>1.9866666666666668</v>
      </c>
      <c r="AK156" s="96">
        <f t="shared" si="101"/>
        <v>3.4688745428720846</v>
      </c>
      <c r="AL156" s="96">
        <f t="shared" si="102"/>
        <v>1.3906666666666667</v>
      </c>
      <c r="AM156" s="96">
        <f t="shared" si="89"/>
        <v>0.12628</v>
      </c>
      <c r="AN156" s="98">
        <f t="shared" si="103"/>
        <v>1.5169466666666667</v>
      </c>
      <c r="AO156" s="97">
        <f t="shared" si="90"/>
        <v>4.9170994385702958E-2</v>
      </c>
      <c r="AP156" s="96">
        <f t="shared" si="91"/>
        <v>5.049E-2</v>
      </c>
      <c r="AQ156" s="98">
        <f t="shared" si="104"/>
        <v>5.8500000000000002E-3</v>
      </c>
      <c r="AR156" s="97">
        <f t="shared" si="105"/>
        <v>1.9225744722749865</v>
      </c>
      <c r="AS156" s="96">
        <f t="shared" si="106"/>
        <v>29.8</v>
      </c>
      <c r="AT156" s="98">
        <f t="shared" si="107"/>
        <v>93.939412219032576</v>
      </c>
    </row>
    <row r="157" spans="17:46" ht="15" thickBot="1" x14ac:dyDescent="0.45">
      <c r="Q157" s="32">
        <v>150</v>
      </c>
      <c r="R157" s="99">
        <f t="shared" si="80"/>
        <v>15</v>
      </c>
      <c r="S157" s="100">
        <f t="shared" si="81"/>
        <v>2</v>
      </c>
      <c r="T157" s="100">
        <f t="shared" si="82"/>
        <v>13</v>
      </c>
      <c r="U157" s="101">
        <f t="shared" si="83"/>
        <v>2.3076923076923075</v>
      </c>
      <c r="V157" s="97">
        <f t="shared" si="84"/>
        <v>2</v>
      </c>
      <c r="W157" s="96">
        <f t="shared" si="85"/>
        <v>0.5357142857142857</v>
      </c>
      <c r="X157" s="98">
        <f t="shared" si="86"/>
        <v>0.4642857142857143</v>
      </c>
      <c r="Y157" s="97">
        <f t="shared" si="92"/>
        <v>1.5827922077922081</v>
      </c>
      <c r="Z157" s="96">
        <f t="shared" si="93"/>
        <v>5.8904845154845153</v>
      </c>
      <c r="AA157" s="96">
        <f t="shared" si="94"/>
        <v>2.3524908185586808</v>
      </c>
      <c r="AB157" s="96">
        <v>0</v>
      </c>
      <c r="AC157" s="96">
        <f t="shared" si="95"/>
        <v>5.534213051402892E-2</v>
      </c>
      <c r="AD157" s="98">
        <f t="shared" si="96"/>
        <v>5.534213051402892E-2</v>
      </c>
      <c r="AE157" s="97">
        <f t="shared" si="97"/>
        <v>2.4725274725274722</v>
      </c>
      <c r="AF157" s="96">
        <f t="shared" si="98"/>
        <v>2.3524908185586808</v>
      </c>
      <c r="AG157" s="96">
        <f t="shared" si="87"/>
        <v>2.4903958731313017E-2</v>
      </c>
      <c r="AH157" s="96">
        <f t="shared" si="88"/>
        <v>0.27738051747962966</v>
      </c>
      <c r="AI157" s="98">
        <f t="shared" si="99"/>
        <v>0.30228447621094268</v>
      </c>
      <c r="AJ157" s="97">
        <f t="shared" si="100"/>
        <v>2</v>
      </c>
      <c r="AK157" s="96">
        <f t="shared" si="101"/>
        <v>3.4883639975178617</v>
      </c>
      <c r="AL157" s="96">
        <f t="shared" si="102"/>
        <v>1.4</v>
      </c>
      <c r="AM157" s="96">
        <f t="shared" si="89"/>
        <v>0.12628</v>
      </c>
      <c r="AN157" s="98">
        <f t="shared" si="103"/>
        <v>1.5262799999999999</v>
      </c>
      <c r="AO157" s="97">
        <f t="shared" si="90"/>
        <v>4.9807917462626021E-2</v>
      </c>
      <c r="AP157" s="96">
        <f t="shared" si="91"/>
        <v>5.049E-2</v>
      </c>
      <c r="AQ157" s="98">
        <f t="shared" si="104"/>
        <v>5.8500000000000002E-3</v>
      </c>
      <c r="AR157" s="97">
        <f t="shared" si="105"/>
        <v>1.9347123936735684</v>
      </c>
      <c r="AS157" s="96">
        <f t="shared" si="106"/>
        <v>30</v>
      </c>
      <c r="AT157" s="98">
        <f t="shared" si="107"/>
        <v>93.941663322896105</v>
      </c>
    </row>
    <row r="158" spans="17:46" ht="14.65" x14ac:dyDescent="0.4">
      <c r="Q158" s="32"/>
    </row>
    <row r="159" spans="17:46" ht="14.65" x14ac:dyDescent="0.4">
      <c r="Q159" s="32"/>
    </row>
    <row r="160" spans="17:46" ht="14.65" x14ac:dyDescent="0.4">
      <c r="Q160" s="32"/>
    </row>
    <row r="161" spans="17:17" ht="14.65" x14ac:dyDescent="0.4">
      <c r="Q161" s="32"/>
    </row>
    <row r="162" spans="17:17" ht="14.65" x14ac:dyDescent="0.4">
      <c r="Q162" s="32"/>
    </row>
    <row r="163" spans="17:17" ht="14.65" x14ac:dyDescent="0.4">
      <c r="Q163" s="32"/>
    </row>
    <row r="164" spans="17:17" ht="14.65" x14ac:dyDescent="0.4">
      <c r="Q164" s="32"/>
    </row>
    <row r="165" spans="17:17" ht="14.65" x14ac:dyDescent="0.4">
      <c r="Q165" s="32"/>
    </row>
    <row r="166" spans="17:17" ht="14.65" x14ac:dyDescent="0.4">
      <c r="Q166" s="32"/>
    </row>
    <row r="167" spans="17:17" ht="14.65" x14ac:dyDescent="0.4">
      <c r="Q167" s="32"/>
    </row>
    <row r="168" spans="17:17" ht="14.65" x14ac:dyDescent="0.4">
      <c r="Q168" s="32"/>
    </row>
    <row r="169" spans="17:17" ht="14.65" x14ac:dyDescent="0.4">
      <c r="Q169" s="32"/>
    </row>
    <row r="170" spans="17:17" ht="14.65" x14ac:dyDescent="0.4">
      <c r="Q170" s="32"/>
    </row>
    <row r="171" spans="17:17" ht="14.65" x14ac:dyDescent="0.4">
      <c r="Q171" s="32"/>
    </row>
    <row r="172" spans="17:17" x14ac:dyDescent="0.35">
      <c r="Q172" s="32"/>
    </row>
    <row r="173" spans="17:17" x14ac:dyDescent="0.35">
      <c r="Q173" s="32"/>
    </row>
    <row r="174" spans="17:17" x14ac:dyDescent="0.35">
      <c r="Q174" s="32"/>
    </row>
    <row r="175" spans="17:17" x14ac:dyDescent="0.35">
      <c r="Q175" s="32"/>
    </row>
    <row r="176" spans="17:17" x14ac:dyDescent="0.35">
      <c r="Q176" s="32"/>
    </row>
    <row r="177" spans="17:17" x14ac:dyDescent="0.35">
      <c r="Q177" s="32"/>
    </row>
    <row r="178" spans="17:17" x14ac:dyDescent="0.35">
      <c r="Q178" s="32"/>
    </row>
    <row r="179" spans="17:17" x14ac:dyDescent="0.35">
      <c r="Q179" s="32"/>
    </row>
    <row r="180" spans="17:17" x14ac:dyDescent="0.35">
      <c r="Q180" s="32"/>
    </row>
    <row r="181" spans="17:17" x14ac:dyDescent="0.35">
      <c r="Q181" s="32"/>
    </row>
    <row r="182" spans="17:17" x14ac:dyDescent="0.35">
      <c r="Q182" s="32"/>
    </row>
    <row r="183" spans="17:17" x14ac:dyDescent="0.35">
      <c r="Q183" s="32"/>
    </row>
    <row r="184" spans="17:17" x14ac:dyDescent="0.35">
      <c r="Q184" s="32"/>
    </row>
    <row r="185" spans="17:17" x14ac:dyDescent="0.35">
      <c r="Q185" s="32"/>
    </row>
    <row r="186" spans="17:17" x14ac:dyDescent="0.35">
      <c r="Q186" s="32"/>
    </row>
    <row r="187" spans="17:17" x14ac:dyDescent="0.35">
      <c r="Q187" s="32"/>
    </row>
    <row r="188" spans="17:17" x14ac:dyDescent="0.35">
      <c r="Q188" s="32"/>
    </row>
    <row r="189" spans="17:17" x14ac:dyDescent="0.35">
      <c r="Q189" s="32"/>
    </row>
    <row r="190" spans="17:17" x14ac:dyDescent="0.35">
      <c r="Q190" s="32"/>
    </row>
    <row r="191" spans="17:17" x14ac:dyDescent="0.35">
      <c r="Q191" s="32"/>
    </row>
    <row r="192" spans="17:17" x14ac:dyDescent="0.35">
      <c r="Q192" s="32"/>
    </row>
    <row r="193" spans="17:17" x14ac:dyDescent="0.35">
      <c r="Q193" s="32"/>
    </row>
    <row r="194" spans="17:17" x14ac:dyDescent="0.35">
      <c r="Q194" s="32"/>
    </row>
    <row r="195" spans="17:17" x14ac:dyDescent="0.35">
      <c r="Q195" s="32"/>
    </row>
    <row r="196" spans="17:17" x14ac:dyDescent="0.35">
      <c r="Q196" s="32"/>
    </row>
    <row r="197" spans="17:17" x14ac:dyDescent="0.35">
      <c r="Q197" s="32"/>
    </row>
    <row r="198" spans="17:17" x14ac:dyDescent="0.35">
      <c r="Q198" s="32"/>
    </row>
    <row r="199" spans="17:17" x14ac:dyDescent="0.35">
      <c r="Q199" s="32"/>
    </row>
    <row r="200" spans="17:17" x14ac:dyDescent="0.35">
      <c r="Q200" s="32"/>
    </row>
    <row r="201" spans="17:17" x14ac:dyDescent="0.35">
      <c r="Q201" s="32"/>
    </row>
    <row r="202" spans="17:17" x14ac:dyDescent="0.35">
      <c r="Q202" s="32"/>
    </row>
    <row r="203" spans="17:17" x14ac:dyDescent="0.35">
      <c r="Q203" s="32"/>
    </row>
    <row r="204" spans="17:17" x14ac:dyDescent="0.35">
      <c r="Q204" s="32"/>
    </row>
    <row r="205" spans="17:17" x14ac:dyDescent="0.35">
      <c r="Q205" s="32"/>
    </row>
    <row r="206" spans="17:17" x14ac:dyDescent="0.35">
      <c r="Q206" s="32"/>
    </row>
    <row r="207" spans="17:17" x14ac:dyDescent="0.35">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M708"/>
  <sheetViews>
    <sheetView topLeftCell="W1" zoomScale="85" zoomScaleNormal="85" workbookViewId="0">
      <selection activeCell="BL7" sqref="BL7"/>
    </sheetView>
  </sheetViews>
  <sheetFormatPr defaultRowHeight="14.5" x14ac:dyDescent="0.35"/>
  <cols>
    <col min="1" max="1" width="18.7265625" customWidth="1"/>
    <col min="2" max="2" width="25" customWidth="1"/>
    <col min="8" max="10" width="8.81640625" style="32"/>
    <col min="15" max="15" width="16.54296875" style="52" bestFit="1" customWidth="1"/>
    <col min="16" max="16" width="16.54296875" customWidth="1"/>
    <col min="29" max="29" width="8.81640625" style="32"/>
    <col min="32" max="37" width="8.7265625" style="32"/>
    <col min="38" max="38" width="11.36328125" style="32" bestFit="1" customWidth="1"/>
    <col min="39" max="40" width="8.7265625" style="32"/>
    <col min="41" max="41" width="13.1796875" style="32" bestFit="1" customWidth="1"/>
    <col min="42" max="44" width="8.7265625" style="32"/>
    <col min="46" max="46" width="10.1796875" customWidth="1"/>
    <col min="47" max="47" width="12" bestFit="1" customWidth="1"/>
    <col min="55" max="55" width="8.81640625" style="32"/>
    <col min="58" max="58" width="8.81640625" style="32"/>
  </cols>
  <sheetData>
    <row r="1" spans="1:65" s="32" customFormat="1" ht="27.5" x14ac:dyDescent="0.65">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ht="14.65" x14ac:dyDescent="0.4">
      <c r="A2" s="12"/>
      <c r="B2" s="12" t="s">
        <v>16</v>
      </c>
      <c r="C2" s="13"/>
      <c r="D2" s="18"/>
      <c r="E2" s="12"/>
      <c r="F2" s="12"/>
      <c r="G2" s="12"/>
      <c r="H2" s="12"/>
      <c r="I2" s="12"/>
      <c r="J2" s="12"/>
      <c r="K2" s="12"/>
      <c r="L2" s="12"/>
      <c r="M2" s="12"/>
      <c r="AF2" s="244" t="s">
        <v>584</v>
      </c>
      <c r="AG2" s="244"/>
      <c r="AH2" s="244"/>
      <c r="AI2" s="244"/>
      <c r="AJ2" s="244"/>
      <c r="AK2" s="244"/>
      <c r="AL2" s="244"/>
      <c r="AM2" s="244"/>
      <c r="AN2" s="244"/>
      <c r="AO2" s="244"/>
      <c r="AP2" s="244"/>
      <c r="AQ2" s="244"/>
      <c r="AR2" s="244"/>
    </row>
    <row r="3" spans="1:65" s="32" customFormat="1" ht="15" thickBot="1" x14ac:dyDescent="0.45">
      <c r="A3" s="12"/>
      <c r="B3" s="12" t="s">
        <v>17</v>
      </c>
      <c r="C3" s="14"/>
      <c r="D3" s="18"/>
      <c r="E3" s="12"/>
      <c r="F3" s="24"/>
      <c r="G3" s="25"/>
      <c r="H3" s="25"/>
      <c r="I3" s="25"/>
      <c r="J3" s="25"/>
      <c r="K3" s="40"/>
      <c r="L3" s="12"/>
      <c r="M3" s="12"/>
      <c r="O3" s="32" t="s">
        <v>504</v>
      </c>
    </row>
    <row r="4" spans="1:65" s="32" customFormat="1" ht="15" thickBot="1" x14ac:dyDescent="0.4">
      <c r="A4" s="12"/>
      <c r="B4" s="12" t="s">
        <v>18</v>
      </c>
      <c r="C4" s="15"/>
      <c r="D4" s="18"/>
      <c r="E4" s="12"/>
      <c r="F4" s="24"/>
      <c r="G4" s="25"/>
      <c r="H4" s="25"/>
      <c r="I4" s="25"/>
      <c r="J4" s="25"/>
      <c r="K4" s="40"/>
      <c r="L4" s="12"/>
      <c r="M4" s="12"/>
      <c r="N4" s="86"/>
      <c r="O4" s="92"/>
      <c r="P4" s="247" t="s">
        <v>222</v>
      </c>
      <c r="Q4" s="247"/>
      <c r="R4" s="247"/>
      <c r="S4" s="247"/>
      <c r="T4" s="247"/>
      <c r="U4" s="247"/>
      <c r="V4" s="247"/>
      <c r="W4" s="247"/>
      <c r="X4" s="247"/>
      <c r="Y4" s="247"/>
      <c r="Z4" s="247"/>
      <c r="AA4" s="247"/>
      <c r="AB4" s="247"/>
      <c r="AC4" s="247"/>
      <c r="AD4" s="247"/>
      <c r="AE4" s="246"/>
      <c r="AF4" s="218"/>
      <c r="AG4" s="218"/>
      <c r="AH4" s="218"/>
      <c r="AI4" s="218"/>
      <c r="AJ4" s="218"/>
      <c r="AK4" s="218"/>
      <c r="AL4" s="218"/>
      <c r="AM4" s="218"/>
      <c r="AN4" s="218"/>
      <c r="AO4" s="218"/>
      <c r="AP4" s="218"/>
      <c r="AQ4" s="218"/>
      <c r="AR4" s="218"/>
      <c r="AS4" s="245" t="s">
        <v>223</v>
      </c>
      <c r="AT4" s="247"/>
      <c r="AU4" s="247"/>
      <c r="AV4" s="247"/>
      <c r="AW4" s="247"/>
      <c r="AX4" s="247"/>
      <c r="AY4" s="247"/>
      <c r="AZ4" s="247"/>
      <c r="BA4" s="247"/>
      <c r="BB4" s="247"/>
      <c r="BC4" s="247"/>
      <c r="BD4" s="247"/>
      <c r="BE4" s="246"/>
      <c r="BF4" s="245" t="s">
        <v>506</v>
      </c>
      <c r="BG4" s="247"/>
      <c r="BH4" s="246"/>
      <c r="BI4" s="245" t="s">
        <v>507</v>
      </c>
      <c r="BJ4" s="247"/>
      <c r="BK4" s="246"/>
      <c r="BL4" s="251" t="s">
        <v>508</v>
      </c>
      <c r="BM4" s="252"/>
    </row>
    <row r="5" spans="1:65" s="32" customFormat="1" x14ac:dyDescent="0.35">
      <c r="A5" s="12"/>
      <c r="D5" s="18"/>
      <c r="E5" s="12"/>
      <c r="F5" s="12"/>
      <c r="G5" s="12"/>
      <c r="H5" s="12"/>
      <c r="I5" s="12"/>
      <c r="J5" s="12"/>
      <c r="K5" s="12"/>
      <c r="L5" s="12"/>
      <c r="M5" s="12"/>
      <c r="N5" s="60"/>
      <c r="O5" s="63"/>
      <c r="P5" s="51"/>
      <c r="Q5" s="253" t="s">
        <v>214</v>
      </c>
      <c r="R5" s="253"/>
      <c r="S5" s="253"/>
      <c r="T5" s="249" t="s">
        <v>216</v>
      </c>
      <c r="U5" s="249"/>
      <c r="V5" s="249"/>
      <c r="W5" s="249" t="s">
        <v>216</v>
      </c>
      <c r="X5" s="249"/>
      <c r="Y5" s="249"/>
      <c r="Z5" s="249" t="s">
        <v>219</v>
      </c>
      <c r="AA5" s="249"/>
      <c r="AB5" s="249"/>
      <c r="AC5" s="248" t="s">
        <v>221</v>
      </c>
      <c r="AD5" s="249"/>
      <c r="AE5" s="250"/>
      <c r="AF5" s="217"/>
      <c r="AG5" s="253" t="s">
        <v>214</v>
      </c>
      <c r="AH5" s="253"/>
      <c r="AI5" s="253"/>
      <c r="AJ5" s="254" t="s">
        <v>216</v>
      </c>
      <c r="AK5" s="254"/>
      <c r="AL5" s="254"/>
      <c r="AM5" s="249" t="s">
        <v>258</v>
      </c>
      <c r="AN5" s="249"/>
      <c r="AO5" s="249"/>
      <c r="AP5" s="255" t="s">
        <v>221</v>
      </c>
      <c r="AQ5" s="254"/>
      <c r="AR5" s="256"/>
      <c r="AS5" s="51"/>
      <c r="AT5" s="249" t="s">
        <v>229</v>
      </c>
      <c r="AU5" s="249"/>
      <c r="AV5" s="249"/>
      <c r="AW5" s="249" t="s">
        <v>230</v>
      </c>
      <c r="AX5" s="249"/>
      <c r="AY5" s="249"/>
      <c r="AZ5" s="249" t="s">
        <v>224</v>
      </c>
      <c r="BA5" s="249"/>
      <c r="BB5" s="249"/>
      <c r="BC5" s="248" t="s">
        <v>221</v>
      </c>
      <c r="BD5" s="249"/>
      <c r="BE5" s="250"/>
      <c r="BF5" s="248" t="s">
        <v>221</v>
      </c>
      <c r="BG5" s="249"/>
      <c r="BH5" s="250"/>
      <c r="BI5" s="248" t="s">
        <v>221</v>
      </c>
      <c r="BJ5" s="249"/>
      <c r="BK5" s="250"/>
      <c r="BL5" s="248" t="s">
        <v>221</v>
      </c>
      <c r="BM5" s="243"/>
    </row>
    <row r="6" spans="1:65" s="32" customFormat="1" ht="15" thickBot="1" x14ac:dyDescent="0.4">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 thickBot="1" x14ac:dyDescent="0.4">
      <c r="A7" s="11"/>
      <c r="B7" s="11"/>
      <c r="C7" s="11"/>
      <c r="D7" s="18"/>
      <c r="E7" s="47"/>
      <c r="F7" s="47"/>
      <c r="G7" s="47"/>
      <c r="H7" s="47"/>
      <c r="I7" s="47"/>
      <c r="J7" s="47"/>
      <c r="K7" s="47"/>
      <c r="L7" s="47"/>
      <c r="M7" s="26"/>
      <c r="N7" s="32" t="s">
        <v>408</v>
      </c>
      <c r="O7" s="92">
        <f>fcross</f>
        <v>2728</v>
      </c>
      <c r="P7" s="88" t="str">
        <f>COMPLEX(ADC_VINmin,0)</f>
        <v>20.1388888888889</v>
      </c>
      <c r="Q7" s="89" t="str">
        <f>IMSUM(COMPLEX(1,0),IMDIV(COMPLEX(0,2*PI()*O7),COMPLEX(wp_lf_VINmin,0)))</f>
        <v>1+7.49898166411882i</v>
      </c>
      <c r="R7" s="89">
        <f t="shared" ref="R7:R13" si="0">IMABS(Q7)</f>
        <v>7.5653635734702318</v>
      </c>
      <c r="S7" s="89">
        <f t="shared" ref="S7:S13" si="1">IMARGUMENT(Q7)</f>
        <v>1.4382270045986283</v>
      </c>
      <c r="T7" s="89" t="str">
        <f>IMSUM(COMPLEX(1,0),IMDIV(COMPLEX(0,2*PI()*O7),COMPLEX(wz_esr_VINmin,0)))</f>
        <v>1+0.00342810590359718i</v>
      </c>
      <c r="U7" s="89">
        <f t="shared" ref="U7:U13" si="2">IMABS(T7)</f>
        <v>1.0000058759377797</v>
      </c>
      <c r="V7" s="89">
        <f t="shared" ref="V7:V13" si="3">IMARGUMENT(T7)</f>
        <v>3.428092474761087E-3</v>
      </c>
      <c r="W7" s="87" t="str">
        <f>IMSUB(COMPLEX(1,0),IMDIV(COMPLEX(0,2*PI()*O7),COMPLEX(wz_RHP_VINmin,0)))</f>
        <v>1-0.199972844376502i</v>
      </c>
      <c r="X7" s="89">
        <f t="shared" ref="X7:X13" si="4">IMABS(W7)</f>
        <v>1.0197985774102789</v>
      </c>
      <c r="Y7" s="89">
        <f t="shared" ref="Y7:Y13" si="5">IMARGUMENT(W7)</f>
        <v>-0.19736944853708691</v>
      </c>
      <c r="Z7" s="87" t="str">
        <f>IMSUM(COMPLEX(1,0),IMDIV(COMPLEX(0,2*PI()*O7),COMPLEX(Q_VINmin*(wsl_VINmin/2),0)),IMDIV(IMPOWER(COMPLEX(0,2*PI()*O7),2),IMPOWER(COMPLEX(wsl_VINmin/2,0),2)))</f>
        <v>0.99984624+0.0279195234053427i</v>
      </c>
      <c r="AA7" s="89">
        <f t="shared" ref="AA7:AA13" si="6">IMABS(Z7)</f>
        <v>1.0002359738728253</v>
      </c>
      <c r="AB7" s="89">
        <f t="shared" ref="AB7:AB13" si="7">IMARGUMENT(Z7)</f>
        <v>2.7916562596852126E-2</v>
      </c>
      <c r="AC7" s="90" t="str">
        <f t="shared" ref="AC7:AC13" si="8">(IMDIV(IMPRODUCT(P7,T7,W7),IMPRODUCT(Q7,Z7)))</f>
        <v>-0.24201314913163-2.7032529395026i</v>
      </c>
      <c r="AD7" s="91">
        <f t="shared" ref="AD7:AD13" si="9">20*LOG(IMABS(AC7))</f>
        <v>8.6724037080026566</v>
      </c>
      <c r="AE7" s="92">
        <f t="shared" ref="AE7:AE13" si="10">(180/PI())*IMARGUMENT(AC7)</f>
        <v>-95.115859735971455</v>
      </c>
      <c r="AF7" s="51" t="str">
        <f>COMPLEX($B$68,0)</f>
        <v>42.1703962805665</v>
      </c>
      <c r="AG7" s="51" t="str">
        <f t="shared" ref="AG7:AG13" si="11">IMSUM(COMPLEX(1,0),IMDIV(COMPLEX(0,2*PI()*O7),COMPLEX(wp_lf_DCM,0)))</f>
        <v>1+1.5123996633517i</v>
      </c>
      <c r="AH7" s="51">
        <f>IMABS(AG7)</f>
        <v>1.8131058274977596</v>
      </c>
      <c r="AI7" s="51">
        <f>IMARGUMENT(AG7)</f>
        <v>0.98658727577315941</v>
      </c>
      <c r="AJ7" s="51" t="str">
        <f t="shared" ref="AJ7:AJ13" si="12">IMSUM(COMPLEX(1,0),IMDIV(COMPLEX(0,2*PI()*O7),COMPLEX(wz1_dcm,0)))</f>
        <v>1+0.00342810590359718i</v>
      </c>
      <c r="AK7" s="51">
        <f>IMABS(AJ7)</f>
        <v>1.0000058759377797</v>
      </c>
      <c r="AL7" s="51">
        <f>IMARGUMENT(AJ7)</f>
        <v>3.428092474761087E-3</v>
      </c>
      <c r="AM7" s="51" t="str">
        <f t="shared" ref="AM7:AM13" si="13">IMSUB(COMPLEX(1,0),IMDIV(COMPLEX(0,2*PI()*O7),COMPLEX(wz2_dcm,0)))</f>
        <v>1-0.00888934049505634i</v>
      </c>
      <c r="AN7" s="51">
        <f>IMABS(AM7)</f>
        <v>1.0000395094067218</v>
      </c>
      <c r="AO7" s="51">
        <f>IMARGUMENT(AM7)</f>
        <v>-8.889106359818974E-3</v>
      </c>
      <c r="AP7" s="60" t="str">
        <f>(IMDIV(IMPRODUCT(AF7,AJ7,AM7),IMPRODUCT(AG7)))</f>
        <v>12.7225081509675-19.4718194714154i</v>
      </c>
      <c r="AQ7" s="51">
        <f>20*LOG(IMABS(AP7))</f>
        <v>27.332084772884386</v>
      </c>
      <c r="AR7" s="63">
        <f>(180/PI())*IMARGUMENT(AP7)</f>
        <v>-56.840180070587536</v>
      </c>
      <c r="AS7" s="87" t="str">
        <f t="shared" ref="AS7:AS13" si="14">COMPLEX(Adc_ea,0)</f>
        <v>-0.000133283554228113</v>
      </c>
      <c r="AT7" s="87" t="str">
        <f t="shared" ref="AT7:AT13" si="15">COMPLEX(0,2*PI()*O7*wp0_ea)</f>
        <v>0.00104728635354894i</v>
      </c>
      <c r="AU7" s="87">
        <f t="shared" ref="AU7:AU13" si="16">IMABS(AT7)</f>
        <v>1.04728635354894E-3</v>
      </c>
      <c r="AV7" s="87">
        <f t="shared" ref="AV7:AV13" si="17">IMARGUMENT(AT7)</f>
        <v>1.5707963267948966</v>
      </c>
      <c r="AW7" s="87" t="str">
        <f t="shared" ref="AW7:AW13" si="18">IMSUM(COMPLEX(1,0),IMDIV(COMPLEX(0,2*PI()*O7),COMPLEX(wp1_ea,0)))</f>
        <v>1+0.183110257007378i</v>
      </c>
      <c r="AX7" s="87">
        <f t="shared" ref="AX7:AX13" si="19">IMABS(AW7)</f>
        <v>1.0166264634669453</v>
      </c>
      <c r="AY7" s="87">
        <f t="shared" ref="AY7:AY13" si="20">IMARGUMENT(AW7)</f>
        <v>0.18110394356627815</v>
      </c>
      <c r="AZ7" s="87" t="str">
        <f t="shared" ref="AZ7:AZ13" si="21">IMSUM(COMPLEX(1,0),IMDIV(COMPLEX(0,2*PI()*O7),COMPLEX(wz_ea,0)))</f>
        <v>1+2.72878943979287i</v>
      </c>
      <c r="BA7" s="87">
        <f t="shared" ref="BA7:BA13" si="22">IMABS(AZ7)</f>
        <v>2.9062504721247078</v>
      </c>
      <c r="BB7" s="87">
        <f t="shared" ref="BB7:BB13" si="23">IMARGUMENT(AZ7)</f>
        <v>1.2195311922337477</v>
      </c>
      <c r="BC7" s="86" t="str">
        <f t="shared" ref="BC7:BC13" si="24">IMPRODUCT(AS7,IMDIV(AZ7,IMPRODUCT(AT7,AW7)))</f>
        <v>-0.313467103527628+0.184664668694714i</v>
      </c>
      <c r="BD7" s="87">
        <f t="shared" ref="BD7:BD13" si="25">20*LOG(IMABS(BC7))</f>
        <v>-8.7823449777140041</v>
      </c>
      <c r="BE7" s="92">
        <f t="shared" ref="BE7:BE13" si="26">(180/PI())*IMARGUMENT(BC7)</f>
        <v>149.49749868002809</v>
      </c>
      <c r="BF7" s="86" t="str">
        <f t="shared" ref="BF7:BF13" si="27">IMPRODUCT(AC7,BC7)</f>
        <v>0.575058469345151+0.80268959104427i</v>
      </c>
      <c r="BG7" s="91">
        <f t="shared" ref="BG7:BG13" si="28">20*LOG(IMABS(BF7))</f>
        <v>-0.10994126971134924</v>
      </c>
      <c r="BH7" s="92">
        <f t="shared" ref="BH7:BH13" si="29">(180/PI())*IMARGUMENT(BF7)</f>
        <v>54.381638944056633</v>
      </c>
      <c r="BI7" s="86" t="str">
        <f>IMPRODUCT(AP7,BC7)</f>
        <v>-0.392330688118214+8.45317260278167i</v>
      </c>
      <c r="BJ7" s="91">
        <f t="shared" ref="BJ7:BJ13" si="30">20*LOG(IMABS(BI7))</f>
        <v>18.549739795170382</v>
      </c>
      <c r="BK7" s="92">
        <f t="shared" ref="BK7:BK13" si="31">(180/PI())*IMARGUMENT(BI7)</f>
        <v>92.657318609440523</v>
      </c>
      <c r="BL7" s="32">
        <f>IF($B$31=0,BJ7,BG7)</f>
        <v>-0.10994126971134924</v>
      </c>
      <c r="BM7" s="32">
        <f>IF($B$31=0,BK7,BH7)</f>
        <v>54.381638944056633</v>
      </c>
    </row>
    <row r="8" spans="1:65" s="32" customFormat="1" ht="15" thickBot="1" x14ac:dyDescent="0.4">
      <c r="A8" s="11"/>
      <c r="B8" s="11"/>
      <c r="C8" s="11"/>
      <c r="D8" s="18"/>
      <c r="E8" s="104"/>
      <c r="F8" s="104"/>
      <c r="G8" s="104"/>
      <c r="H8" s="104"/>
      <c r="I8" s="104"/>
      <c r="J8" s="104"/>
      <c r="K8" s="104"/>
      <c r="L8" s="104"/>
      <c r="M8" s="26"/>
      <c r="N8" s="86" t="s">
        <v>257</v>
      </c>
      <c r="O8" s="92">
        <f>fcross</f>
        <v>2728</v>
      </c>
      <c r="P8" s="88" t="str">
        <f t="shared" ref="P8:P13" si="32">COMPLEX(Adc,0)</f>
        <v>36.531007751938</v>
      </c>
      <c r="Q8" s="89" t="str">
        <f t="shared" ref="Q8:Q13" si="33">IMSUM(COMPLEX(1,0),IMDIV(COMPLEX(0,2*PI()*O8),COMPLEX(wp_lf,0)))</f>
        <v>1+8.37095627622566i</v>
      </c>
      <c r="R8" s="89">
        <f t="shared" si="0"/>
        <v>8.4304750149965901</v>
      </c>
      <c r="S8" s="89">
        <f t="shared" si="1"/>
        <v>1.4518991138810351</v>
      </c>
      <c r="T8" s="89" t="str">
        <f t="shared" ref="T8:T13" si="34">IMSUM(COMPLEX(1,0),IMDIV(COMPLEX(0,2*PI()*O8),COMPLEX(wz_esr,0)))</f>
        <v>1+0.00342810590359718i</v>
      </c>
      <c r="U8" s="89">
        <f t="shared" si="2"/>
        <v>1.0000058759377797</v>
      </c>
      <c r="V8" s="89">
        <f t="shared" si="3"/>
        <v>3.428092474761087E-3</v>
      </c>
      <c r="W8" s="87" t="str">
        <f t="shared" ref="W8:W13" si="35">IMSUB(COMPLEX(1,0),IMDIV(COMPLEX(0,2*PI()*O8),COMPLEX(wz_rhp,0)))</f>
        <v>1-0.0567970208880007i</v>
      </c>
      <c r="X8" s="89">
        <f t="shared" si="4"/>
        <v>1.001611652079663</v>
      </c>
      <c r="Y8" s="89">
        <f t="shared" si="5"/>
        <v>-5.6736064960761189E-2</v>
      </c>
      <c r="Z8" s="87" t="str">
        <f t="shared" ref="Z8:Z13" si="36">IMSUM(COMPLEX(1,0),IMDIV(COMPLEX(0,2*PI()*O8),COMPLEX(Q*(wsl/2),0)),IMDIV(IMPOWER(COMPLEX(0,2*PI()*O8),2),IMPOWER(COMPLEX(wsl/2,0),2)))</f>
        <v>0.99984624+0.0258091111670712i</v>
      </c>
      <c r="AA8" s="89">
        <f t="shared" si="6"/>
        <v>1.00017929085808</v>
      </c>
      <c r="AB8" s="89">
        <f t="shared" si="7"/>
        <v>2.5807349262156932E-2</v>
      </c>
      <c r="AC8" s="90" t="str">
        <f t="shared" si="8"/>
        <v>0.172585591706904-4.33600647073286i</v>
      </c>
      <c r="AD8" s="91">
        <f t="shared" si="9"/>
        <v>12.748673385999957</v>
      </c>
      <c r="AE8" s="92">
        <f t="shared" si="10"/>
        <v>-87.720665535156371</v>
      </c>
      <c r="AF8" s="51" t="str">
        <f t="shared" ref="AF8:AF13" si="37">COMPLEX($B$68,0)</f>
        <v>42.1703962805665</v>
      </c>
      <c r="AG8" s="51" t="str">
        <f t="shared" si="11"/>
        <v>1+1.5123996633517i</v>
      </c>
      <c r="AH8" s="51">
        <f t="shared" ref="AH8:AH13" si="38">IMABS(AG8)</f>
        <v>1.8131058274977596</v>
      </c>
      <c r="AI8" s="51">
        <f t="shared" ref="AI8:AI13" si="39">IMARGUMENT(AG8)</f>
        <v>0.98658727577315941</v>
      </c>
      <c r="AJ8" s="51" t="str">
        <f t="shared" si="12"/>
        <v>1+0.00342810590359718i</v>
      </c>
      <c r="AK8" s="51">
        <f t="shared" ref="AK8:AK13" si="40">IMABS(AJ8)</f>
        <v>1.0000058759377797</v>
      </c>
      <c r="AL8" s="51">
        <f t="shared" ref="AL8:AL13" si="41">IMARGUMENT(AJ8)</f>
        <v>3.428092474761087E-3</v>
      </c>
      <c r="AM8" s="51" t="str">
        <f t="shared" si="13"/>
        <v>1-0.00888934049505634i</v>
      </c>
      <c r="AN8" s="51">
        <f t="shared" ref="AN8:AN13" si="42">IMABS(AM8)</f>
        <v>1.0000395094067218</v>
      </c>
      <c r="AO8" s="51">
        <f t="shared" ref="AO8:AO13" si="43">IMARGUMENT(AM8)</f>
        <v>-8.889106359818974E-3</v>
      </c>
      <c r="AP8" s="60" t="str">
        <f t="shared" ref="AP8:AP13" si="44">(IMDIV(IMPRODUCT(AF8,AJ8,AM8),IMPRODUCT(AG8)))</f>
        <v>12.7225081509675-19.4718194714154i</v>
      </c>
      <c r="AQ8" s="51">
        <f t="shared" ref="AQ8:AQ13" si="45">20*LOG(IMABS(AP8))</f>
        <v>27.332084772884386</v>
      </c>
      <c r="AR8" s="63">
        <f t="shared" ref="AR8:AR13" si="46">(180/PI())*IMARGUMENT(AP8)</f>
        <v>-56.840180070587536</v>
      </c>
      <c r="AS8" s="87" t="str">
        <f t="shared" si="14"/>
        <v>-0.000133283554228113</v>
      </c>
      <c r="AT8" s="87" t="str">
        <f t="shared" si="15"/>
        <v>0.00104728635354894i</v>
      </c>
      <c r="AU8" s="87">
        <f t="shared" si="16"/>
        <v>1.04728635354894E-3</v>
      </c>
      <c r="AV8" s="87">
        <f t="shared" si="17"/>
        <v>1.5707963267948966</v>
      </c>
      <c r="AW8" s="87" t="str">
        <f t="shared" si="18"/>
        <v>1+0.183110257007378i</v>
      </c>
      <c r="AX8" s="87">
        <f t="shared" si="19"/>
        <v>1.0166264634669453</v>
      </c>
      <c r="AY8" s="87">
        <f t="shared" si="20"/>
        <v>0.18110394356627815</v>
      </c>
      <c r="AZ8" s="87" t="str">
        <f t="shared" si="21"/>
        <v>1+2.72878943979287i</v>
      </c>
      <c r="BA8" s="87">
        <f t="shared" si="22"/>
        <v>2.9062504721247078</v>
      </c>
      <c r="BB8" s="87">
        <f t="shared" si="23"/>
        <v>1.2195311922337477</v>
      </c>
      <c r="BC8" s="86" t="str">
        <f t="shared" si="24"/>
        <v>-0.313467103527628+0.184664668694714i</v>
      </c>
      <c r="BD8" s="87">
        <f t="shared" si="25"/>
        <v>-8.7823449777140041</v>
      </c>
      <c r="BE8" s="92">
        <f t="shared" si="26"/>
        <v>149.49749868002809</v>
      </c>
      <c r="BF8" s="86" t="str">
        <f t="shared" si="27"/>
        <v>0.746607292833055+1.39106585037172i</v>
      </c>
      <c r="BG8" s="91">
        <f t="shared" si="28"/>
        <v>3.9663284082859578</v>
      </c>
      <c r="BH8" s="92">
        <f t="shared" si="29"/>
        <v>61.776833144871702</v>
      </c>
      <c r="BI8" s="86" t="str">
        <f t="shared" ref="BI8:BI13" si="47">IMPRODUCT(AP8,BC8)</f>
        <v>-0.392330688118214+8.45317260278167i</v>
      </c>
      <c r="BJ8" s="91">
        <f t="shared" si="30"/>
        <v>18.549739795170382</v>
      </c>
      <c r="BK8" s="92">
        <f t="shared" si="31"/>
        <v>92.657318609440523</v>
      </c>
      <c r="BL8" s="32">
        <f t="shared" ref="BL8:BL13" si="48">IF($B$31=0,BJ8,BG8)</f>
        <v>3.9663284082859578</v>
      </c>
      <c r="BM8" s="32">
        <f t="shared" ref="BM8:BM13" si="49">IF($B$31=0,BK8,BH8)</f>
        <v>61.776833144871702</v>
      </c>
    </row>
    <row r="9" spans="1:65" s="32" customFormat="1" ht="15" thickBot="1" x14ac:dyDescent="0.4">
      <c r="A9" s="71" t="s">
        <v>166</v>
      </c>
      <c r="B9" s="11"/>
      <c r="C9" s="11"/>
      <c r="D9" s="18"/>
      <c r="E9" s="36"/>
      <c r="F9" s="36"/>
      <c r="G9" s="36"/>
      <c r="H9" s="47"/>
      <c r="I9" s="47"/>
      <c r="J9" s="47"/>
      <c r="K9" s="36"/>
      <c r="L9" s="36"/>
      <c r="M9" s="26"/>
      <c r="N9" s="73" t="s">
        <v>258</v>
      </c>
      <c r="O9" s="93">
        <f>IF($B$31=0,B74,wz_rhp/(2*PI()))</f>
        <v>48030.688183089856</v>
      </c>
      <c r="P9" s="74" t="str">
        <f t="shared" si="32"/>
        <v>36.531007751938</v>
      </c>
      <c r="Q9" s="75" t="str">
        <f t="shared" si="33"/>
        <v>1+147.383720930232i</v>
      </c>
      <c r="R9" s="75">
        <f t="shared" si="0"/>
        <v>147.38711339611922</v>
      </c>
      <c r="S9" s="75">
        <f t="shared" si="1"/>
        <v>1.5640114210491374</v>
      </c>
      <c r="T9" s="75" t="str">
        <f t="shared" si="34"/>
        <v>1+0.0603571428571428i</v>
      </c>
      <c r="U9" s="75">
        <f t="shared" si="2"/>
        <v>1.0018198364445963</v>
      </c>
      <c r="V9" s="75">
        <f t="shared" si="3"/>
        <v>6.0284009262919366E-2</v>
      </c>
      <c r="W9" s="76" t="str">
        <f t="shared" si="35"/>
        <v>1-i</v>
      </c>
      <c r="X9" s="75">
        <f t="shared" si="4"/>
        <v>1.4142135623730951</v>
      </c>
      <c r="Y9" s="75">
        <f t="shared" si="5"/>
        <v>-0.78539816339744828</v>
      </c>
      <c r="Z9" s="76" t="str">
        <f t="shared" si="36"/>
        <v>0.952335805633446+0.454409593382807i</v>
      </c>
      <c r="AA9" s="75">
        <f t="shared" si="6"/>
        <v>1.0551926673597731</v>
      </c>
      <c r="AB9" s="75">
        <f t="shared" si="7"/>
        <v>0.44520327398599502</v>
      </c>
      <c r="AC9" s="77" t="str">
        <f t="shared" si="8"/>
        <v>-0.305573790142417-0.131819028440441i</v>
      </c>
      <c r="AD9" s="78">
        <f t="shared" si="9"/>
        <v>-9.5565000079633631</v>
      </c>
      <c r="AE9" s="79">
        <f t="shared" si="10"/>
        <v>-156.66550285828507</v>
      </c>
      <c r="AF9" s="51" t="str">
        <f t="shared" si="37"/>
        <v>42.1703962805665</v>
      </c>
      <c r="AG9" s="51" t="str">
        <f t="shared" si="11"/>
        <v>1+26.6281512605043i</v>
      </c>
      <c r="AH9" s="51">
        <f t="shared" si="38"/>
        <v>26.646921765042521</v>
      </c>
      <c r="AI9" s="51">
        <f t="shared" si="39"/>
        <v>1.5332597257509166</v>
      </c>
      <c r="AJ9" s="51" t="str">
        <f t="shared" si="12"/>
        <v>1+0.0603571428571428i</v>
      </c>
      <c r="AK9" s="51">
        <f t="shared" si="40"/>
        <v>1.0018198364445963</v>
      </c>
      <c r="AL9" s="51">
        <f t="shared" si="41"/>
        <v>6.0284009262919366E-2</v>
      </c>
      <c r="AM9" s="51" t="str">
        <f t="shared" si="13"/>
        <v>1-0.156510682357538i</v>
      </c>
      <c r="AN9" s="51">
        <f t="shared" si="42"/>
        <v>1.0121736973919162</v>
      </c>
      <c r="AO9" s="51">
        <f t="shared" si="43"/>
        <v>-0.15525120151884775</v>
      </c>
      <c r="AP9" s="60" t="str">
        <f t="shared" si="44"/>
        <v>-0.0921106470874122-1.60209662116423i</v>
      </c>
      <c r="AQ9" s="51">
        <f t="shared" si="45"/>
        <v>4.1081061877365137</v>
      </c>
      <c r="AR9" s="63">
        <f t="shared" si="46"/>
        <v>-93.290530491385738</v>
      </c>
      <c r="AS9" s="76" t="str">
        <f t="shared" si="14"/>
        <v>-0.000133283554228113</v>
      </c>
      <c r="AT9" s="76" t="str">
        <f t="shared" si="15"/>
        <v>0.0184391071428571i</v>
      </c>
      <c r="AU9" s="76">
        <f t="shared" si="16"/>
        <v>1.8439107142857101E-2</v>
      </c>
      <c r="AV9" s="76">
        <f t="shared" si="17"/>
        <v>1.5707963267948966</v>
      </c>
      <c r="AW9" s="76" t="str">
        <f t="shared" si="18"/>
        <v>1+3.22394122340425i</v>
      </c>
      <c r="AX9" s="76">
        <f t="shared" si="19"/>
        <v>3.3754698949872588</v>
      </c>
      <c r="AY9" s="76">
        <f t="shared" si="20"/>
        <v>1.2700270375231566</v>
      </c>
      <c r="AZ9" s="76" t="str">
        <f t="shared" si="21"/>
        <v>1+48.0445874999999i</v>
      </c>
      <c r="BA9" s="76">
        <f t="shared" si="22"/>
        <v>48.054993372646997</v>
      </c>
      <c r="BB9" s="76">
        <f t="shared" si="23"/>
        <v>1.5499853326323279</v>
      </c>
      <c r="BC9" s="73" t="str">
        <f t="shared" si="24"/>
        <v>-0.0284345470171104+0.0988996167612235i</v>
      </c>
      <c r="BD9" s="76">
        <f t="shared" si="25"/>
        <v>-19.751180794540137</v>
      </c>
      <c r="BE9" s="79">
        <f t="shared" si="26"/>
        <v>106.04042874943347</v>
      </c>
      <c r="BF9" s="73" t="str">
        <f t="shared" si="27"/>
        <v>0.0217257036975976-0.02647291637542i</v>
      </c>
      <c r="BG9" s="78">
        <f t="shared" si="28"/>
        <v>-29.307680802503519</v>
      </c>
      <c r="BH9" s="79">
        <f t="shared" si="29"/>
        <v>-50.625074108851578</v>
      </c>
      <c r="BI9" s="86" t="str">
        <f t="shared" si="47"/>
        <v>0.161065866372977+0.0364451840038746i</v>
      </c>
      <c r="BJ9" s="78">
        <f t="shared" si="30"/>
        <v>-15.643074606803619</v>
      </c>
      <c r="BK9" s="79">
        <f t="shared" si="31"/>
        <v>12.749898258047711</v>
      </c>
      <c r="BL9" s="32">
        <f t="shared" si="48"/>
        <v>-29.307680802503519</v>
      </c>
      <c r="BM9" s="32">
        <f t="shared" si="49"/>
        <v>-50.625074108851578</v>
      </c>
    </row>
    <row r="10" spans="1:65" s="32" customFormat="1" ht="15" thickBot="1" x14ac:dyDescent="0.4">
      <c r="A10" s="32" t="s">
        <v>25</v>
      </c>
      <c r="B10" s="3">
        <f>VIN_min</f>
        <v>6</v>
      </c>
      <c r="C10" s="32" t="s">
        <v>10</v>
      </c>
      <c r="E10" s="32" t="s">
        <v>28</v>
      </c>
      <c r="N10" s="60" t="s">
        <v>216</v>
      </c>
      <c r="O10" s="94">
        <f>IF(B31=0,B72,wz_esr/(2*PI()))</f>
        <v>795774.71545947669</v>
      </c>
      <c r="P10" s="80" t="str">
        <f t="shared" si="32"/>
        <v>36.531007751938</v>
      </c>
      <c r="Q10" s="81" t="str">
        <f t="shared" si="33"/>
        <v>1+2441.86046511628i</v>
      </c>
      <c r="R10" s="81">
        <f t="shared" si="0"/>
        <v>2441.8606698781759</v>
      </c>
      <c r="S10" s="81">
        <f t="shared" si="1"/>
        <v>1.5703868030082666</v>
      </c>
      <c r="T10" s="81" t="str">
        <f t="shared" si="34"/>
        <v>1+i</v>
      </c>
      <c r="U10" s="81">
        <f t="shared" si="2"/>
        <v>1.4142135623730951</v>
      </c>
      <c r="V10" s="81">
        <f t="shared" si="3"/>
        <v>0.78539816339744828</v>
      </c>
      <c r="W10" s="51" t="str">
        <f t="shared" si="35"/>
        <v>1-16.5680473372781i</v>
      </c>
      <c r="X10" s="81">
        <f t="shared" si="4"/>
        <v>16.598198473638273</v>
      </c>
      <c r="Y10" s="81">
        <f t="shared" si="5"/>
        <v>-1.5105123175319772</v>
      </c>
      <c r="Z10" s="51" t="str">
        <f t="shared" si="36"/>
        <v>-12.0838305323267+7.52867965367965i</v>
      </c>
      <c r="AA10" s="81">
        <f t="shared" si="6"/>
        <v>14.237274235671691</v>
      </c>
      <c r="AB10" s="81">
        <f t="shared" si="7"/>
        <v>2.5844058138330022</v>
      </c>
      <c r="AC10" s="68" t="str">
        <f t="shared" si="8"/>
        <v>0.00411261160153329+0.0243202215577724i</v>
      </c>
      <c r="AD10" s="66">
        <f t="shared" si="9"/>
        <v>-32.158202524022052</v>
      </c>
      <c r="AE10" s="63">
        <f t="shared" si="10"/>
        <v>80.401937605773199</v>
      </c>
      <c r="AF10" s="51" t="str">
        <f t="shared" si="37"/>
        <v>42.1703962805665</v>
      </c>
      <c r="AG10" s="51" t="str">
        <f t="shared" si="11"/>
        <v>1+441.176470588237i</v>
      </c>
      <c r="AH10" s="51">
        <f t="shared" si="38"/>
        <v>441.17760392011468</v>
      </c>
      <c r="AI10" s="51">
        <f t="shared" si="39"/>
        <v>1.5685296640100945</v>
      </c>
      <c r="AJ10" s="51" t="str">
        <f t="shared" si="12"/>
        <v>1+i</v>
      </c>
      <c r="AK10" s="51">
        <f t="shared" si="40"/>
        <v>1.4142135623730951</v>
      </c>
      <c r="AL10" s="51">
        <f t="shared" si="41"/>
        <v>0.78539816339744828</v>
      </c>
      <c r="AM10" s="51" t="str">
        <f t="shared" si="13"/>
        <v>1-2.5930763940894i</v>
      </c>
      <c r="AN10" s="51">
        <f t="shared" si="42"/>
        <v>2.779216649630555</v>
      </c>
      <c r="AO10" s="51">
        <f t="shared" si="43"/>
        <v>-1.2027282014118563</v>
      </c>
      <c r="AP10" s="60" t="str">
        <f t="shared" si="44"/>
        <v>-0.151496907189109-0.343792025241185i</v>
      </c>
      <c r="AQ10" s="51">
        <f t="shared" si="45"/>
        <v>-8.5033674962388712</v>
      </c>
      <c r="AR10" s="63">
        <f t="shared" si="46"/>
        <v>-113.78137963111128</v>
      </c>
      <c r="AS10" s="51" t="str">
        <f t="shared" si="14"/>
        <v>-0.000133283554228113</v>
      </c>
      <c r="AT10" s="51" t="str">
        <f t="shared" si="15"/>
        <v>0.3055i</v>
      </c>
      <c r="AU10" s="51">
        <f t="shared" si="16"/>
        <v>0.30549999999999999</v>
      </c>
      <c r="AV10" s="51">
        <f t="shared" si="17"/>
        <v>1.5707963267948966</v>
      </c>
      <c r="AW10" s="51" t="str">
        <f t="shared" si="18"/>
        <v>1+53.414410801964i</v>
      </c>
      <c r="AX10" s="51">
        <f t="shared" si="19"/>
        <v>53.423770751613638</v>
      </c>
      <c r="AY10" s="51">
        <f t="shared" si="20"/>
        <v>1.5520769741419749</v>
      </c>
      <c r="AZ10" s="51" t="str">
        <f t="shared" si="21"/>
        <v>1+796.004999999999i</v>
      </c>
      <c r="BA10" s="51">
        <f t="shared" si="22"/>
        <v>796.00562813650902</v>
      </c>
      <c r="BB10" s="51">
        <f t="shared" si="23"/>
        <v>1.5695400539399194</v>
      </c>
      <c r="BC10" s="60" t="str">
        <f t="shared" si="24"/>
        <v>-0.000113513029823613+0.00649951165294726i</v>
      </c>
      <c r="BD10" s="51">
        <f t="shared" si="25"/>
        <v>-43.741060977181839</v>
      </c>
      <c r="BE10" s="63">
        <f t="shared" si="26"/>
        <v>91.000560769722384</v>
      </c>
      <c r="BF10" s="60" t="str">
        <f t="shared" si="27"/>
        <v>-0.000158536398420379+0.0000239693049932074i</v>
      </c>
      <c r="BG10" s="66">
        <f t="shared" si="28"/>
        <v>-75.899263501203876</v>
      </c>
      <c r="BH10" s="63">
        <f t="shared" si="29"/>
        <v>171.40249837549561</v>
      </c>
      <c r="BI10" s="86" t="str">
        <f t="shared" si="47"/>
        <v>0.00225167714718936-0.000945631039246761i</v>
      </c>
      <c r="BJ10" s="66">
        <f t="shared" si="30"/>
        <v>-52.244428473420719</v>
      </c>
      <c r="BK10" s="63">
        <f t="shared" si="31"/>
        <v>-22.780818861388923</v>
      </c>
      <c r="BL10" s="32">
        <f t="shared" si="48"/>
        <v>-75.899263501203876</v>
      </c>
      <c r="BM10" s="32">
        <f t="shared" si="49"/>
        <v>171.40249837549561</v>
      </c>
    </row>
    <row r="11" spans="1:65" s="32" customFormat="1" ht="15" thickBot="1" x14ac:dyDescent="0.4">
      <c r="A11" s="32" t="s">
        <v>26</v>
      </c>
      <c r="B11" s="3">
        <f>VIN_nom</f>
        <v>14</v>
      </c>
      <c r="C11" s="32" t="s">
        <v>10</v>
      </c>
      <c r="E11" s="32" t="s">
        <v>29</v>
      </c>
      <c r="N11" s="64" t="s">
        <v>214</v>
      </c>
      <c r="O11" s="95">
        <f>IF(B31=0,B70,wp_lf/(2*PI()))</f>
        <v>325.8886929976905</v>
      </c>
      <c r="P11" s="82" t="str">
        <f t="shared" si="32"/>
        <v>36.531007751938</v>
      </c>
      <c r="Q11" s="56" t="str">
        <f t="shared" si="33"/>
        <v>1+i</v>
      </c>
      <c r="R11" s="56">
        <f t="shared" si="0"/>
        <v>1.4142135623730951</v>
      </c>
      <c r="S11" s="56">
        <f t="shared" si="1"/>
        <v>0.78539816339744828</v>
      </c>
      <c r="T11" s="56" t="str">
        <f t="shared" si="34"/>
        <v>1+0.00040952380952381i</v>
      </c>
      <c r="U11" s="56">
        <f t="shared" si="2"/>
        <v>1.0000000838548717</v>
      </c>
      <c r="V11" s="56">
        <f t="shared" si="3"/>
        <v>4.0952378663010032E-4</v>
      </c>
      <c r="W11" s="57" t="str">
        <f t="shared" si="35"/>
        <v>1-0.00678500986193295i</v>
      </c>
      <c r="X11" s="56">
        <f t="shared" si="4"/>
        <v>1.0000230179145011</v>
      </c>
      <c r="Y11" s="56">
        <f t="shared" si="5"/>
        <v>-6.7849057457592642E-3</v>
      </c>
      <c r="Z11" s="57" t="str">
        <f t="shared" si="36"/>
        <v>0.999997805714045+0.00308317357245929i</v>
      </c>
      <c r="AA11" s="56">
        <f t="shared" si="6"/>
        <v>1.0000025586928181</v>
      </c>
      <c r="AB11" s="56">
        <f t="shared" si="7"/>
        <v>3.0831705683225363E-3</v>
      </c>
      <c r="AC11" s="61" t="str">
        <f t="shared" si="8"/>
        <v>18.0922958386247-18.4378282403835i</v>
      </c>
      <c r="AD11" s="67">
        <f t="shared" si="9"/>
        <v>28.243111534275425</v>
      </c>
      <c r="AE11" s="65">
        <f t="shared" si="10"/>
        <v>-45.541935140125652</v>
      </c>
      <c r="AF11" s="51" t="str">
        <f t="shared" si="37"/>
        <v>42.1703962805665</v>
      </c>
      <c r="AG11" s="51" t="str">
        <f t="shared" si="11"/>
        <v>1+0.180672268907564i</v>
      </c>
      <c r="AH11" s="51">
        <f t="shared" si="38"/>
        <v>1.0161901735168506</v>
      </c>
      <c r="AI11" s="51">
        <f t="shared" si="39"/>
        <v>0.17874403279207873</v>
      </c>
      <c r="AJ11" s="51" t="str">
        <f t="shared" si="12"/>
        <v>1+0.00040952380952381i</v>
      </c>
      <c r="AK11" s="51">
        <f t="shared" si="40"/>
        <v>1.0000000838548717</v>
      </c>
      <c r="AL11" s="51">
        <f t="shared" si="41"/>
        <v>4.0952378663010032E-4</v>
      </c>
      <c r="AM11" s="51" t="str">
        <f t="shared" si="13"/>
        <v>1-0.00106192652329375i</v>
      </c>
      <c r="AN11" s="51">
        <f t="shared" si="42"/>
        <v>1.0000005638438114</v>
      </c>
      <c r="AO11" s="51">
        <f t="shared" si="43"/>
        <v>-1.0619261241201087E-3</v>
      </c>
      <c r="AP11" s="60" t="str">
        <f t="shared" si="44"/>
        <v>40.8325681207591-7.4048248086744i</v>
      </c>
      <c r="AQ11" s="51">
        <f t="shared" si="45"/>
        <v>32.360659448939089</v>
      </c>
      <c r="AR11" s="63">
        <f t="shared" si="46"/>
        <v>-10.278658592616736</v>
      </c>
      <c r="AS11" s="57" t="str">
        <f t="shared" si="14"/>
        <v>-0.000133283554228113</v>
      </c>
      <c r="AT11" s="57" t="str">
        <f t="shared" si="15"/>
        <v>0.000125109523809524i</v>
      </c>
      <c r="AU11" s="57">
        <f t="shared" si="16"/>
        <v>1.2510952380952401E-4</v>
      </c>
      <c r="AV11" s="57">
        <f t="shared" si="17"/>
        <v>1.5707963267948966</v>
      </c>
      <c r="AW11" s="57" t="str">
        <f t="shared" si="18"/>
        <v>1+0.02187447299509i</v>
      </c>
      <c r="AX11" s="57">
        <f t="shared" si="19"/>
        <v>1.0002392176718591</v>
      </c>
      <c r="AY11" s="57">
        <f t="shared" si="20"/>
        <v>2.1870985072144095E-2</v>
      </c>
      <c r="AZ11" s="57" t="str">
        <f t="shared" si="21"/>
        <v>1+0.325983i</v>
      </c>
      <c r="BA11" s="57">
        <f t="shared" si="22"/>
        <v>1.0517912893197965</v>
      </c>
      <c r="BB11" s="57">
        <f t="shared" si="23"/>
        <v>0.31512073189950796</v>
      </c>
      <c r="BC11" s="64" t="str">
        <f t="shared" si="24"/>
        <v>-0.323822510175407+1.07241844420022i</v>
      </c>
      <c r="BD11" s="57">
        <f t="shared" si="25"/>
        <v>0.98623771190701848</v>
      </c>
      <c r="BE11" s="65">
        <f t="shared" si="26"/>
        <v>106.80197283648791</v>
      </c>
      <c r="BF11" s="64" t="str">
        <f t="shared" si="27"/>
        <v>13.9143744226834+25.373095578252i</v>
      </c>
      <c r="BG11" s="67">
        <f t="shared" si="28"/>
        <v>29.229349246182437</v>
      </c>
      <c r="BH11" s="65">
        <f t="shared" si="29"/>
        <v>61.260037696362311</v>
      </c>
      <c r="BI11" s="86" t="str">
        <f t="shared" si="47"/>
        <v>-5.28143400487872+46.187448133718i</v>
      </c>
      <c r="BJ11" s="67">
        <f t="shared" si="30"/>
        <v>33.346897160846098</v>
      </c>
      <c r="BK11" s="65">
        <f t="shared" si="31"/>
        <v>96.52331424387117</v>
      </c>
      <c r="BL11" s="32">
        <f t="shared" si="48"/>
        <v>29.229349246182437</v>
      </c>
      <c r="BM11" s="32">
        <f t="shared" si="49"/>
        <v>61.260037696362311</v>
      </c>
    </row>
    <row r="12" spans="1:65" s="32" customFormat="1" ht="15" thickBot="1" x14ac:dyDescent="0.4">
      <c r="A12" s="32" t="s">
        <v>27</v>
      </c>
      <c r="B12" s="3">
        <f>VIN_max</f>
        <v>18</v>
      </c>
      <c r="C12" s="32" t="s">
        <v>10</v>
      </c>
      <c r="E12" s="32" t="s">
        <v>30</v>
      </c>
      <c r="N12" s="73" t="s">
        <v>224</v>
      </c>
      <c r="O12" s="79">
        <f>wz_ea/(2*PI())</f>
        <v>999.71069963062632</v>
      </c>
      <c r="P12" s="74" t="str">
        <f t="shared" si="32"/>
        <v>36.531007751938</v>
      </c>
      <c r="Q12" s="75" t="str">
        <f t="shared" si="33"/>
        <v>1+3.06764463177528i</v>
      </c>
      <c r="R12" s="75">
        <f t="shared" si="0"/>
        <v>3.2265219024298744</v>
      </c>
      <c r="S12" s="75">
        <f t="shared" si="1"/>
        <v>1.255675594895389</v>
      </c>
      <c r="T12" s="75" t="str">
        <f t="shared" si="34"/>
        <v>1+0.00125627351586988i</v>
      </c>
      <c r="U12" s="75">
        <f t="shared" si="2"/>
        <v>1.0000007891112619</v>
      </c>
      <c r="V12" s="75">
        <f t="shared" si="3"/>
        <v>1.256272854977192E-3</v>
      </c>
      <c r="W12" s="76" t="str">
        <f t="shared" si="35"/>
        <v>1-0.0208139990795009i</v>
      </c>
      <c r="X12" s="75">
        <f t="shared" si="4"/>
        <v>1.0002165878236982</v>
      </c>
      <c r="Y12" s="75">
        <f t="shared" si="5"/>
        <v>-2.0810994162568649E-2</v>
      </c>
      <c r="Z12" s="76" t="str">
        <f t="shared" si="36"/>
        <v>0.999979350795807+0.00945808085838613i</v>
      </c>
      <c r="AA12" s="75">
        <f t="shared" si="6"/>
        <v>1.0000240783658798</v>
      </c>
      <c r="AB12" s="75">
        <f t="shared" si="7"/>
        <v>9.457994136795116E-3</v>
      </c>
      <c r="AC12" s="77" t="str">
        <f t="shared" si="8"/>
        <v>3.19594784721429-10.8639521447847i</v>
      </c>
      <c r="AD12" s="78">
        <f t="shared" si="9"/>
        <v>21.080219476112667</v>
      </c>
      <c r="AE12" s="79">
        <f t="shared" si="10"/>
        <v>-73.60721817226198</v>
      </c>
      <c r="AF12" s="51" t="str">
        <f t="shared" si="37"/>
        <v>42.1703962805665</v>
      </c>
      <c r="AG12" s="51" t="str">
        <f t="shared" si="11"/>
        <v>1+0.554238315824947i</v>
      </c>
      <c r="AH12" s="51">
        <f t="shared" si="38"/>
        <v>1.1433197762343104</v>
      </c>
      <c r="AI12" s="51">
        <f t="shared" si="39"/>
        <v>0.50609137155557238</v>
      </c>
      <c r="AJ12" s="51" t="str">
        <f t="shared" si="12"/>
        <v>1+0.00125627351586988i</v>
      </c>
      <c r="AK12" s="51">
        <f t="shared" si="40"/>
        <v>1.0000007891112619</v>
      </c>
      <c r="AL12" s="51">
        <f t="shared" si="41"/>
        <v>1.256272854977192E-3</v>
      </c>
      <c r="AM12" s="51" t="str">
        <f t="shared" si="13"/>
        <v>1-0.00325761319852187i</v>
      </c>
      <c r="AN12" s="51">
        <f t="shared" si="42"/>
        <v>1.0000053060077987</v>
      </c>
      <c r="AO12" s="51">
        <f t="shared" si="43"/>
        <v>-3.2576016752839786E-3</v>
      </c>
      <c r="AP12" s="60" t="str">
        <f t="shared" si="44"/>
        <v>32.2249338899248-17.9446903742316i</v>
      </c>
      <c r="AQ12" s="51">
        <f t="shared" si="45"/>
        <v>31.336852271762055</v>
      </c>
      <c r="AR12" s="63">
        <f t="shared" si="46"/>
        <v>-29.111567332942929</v>
      </c>
      <c r="AS12" s="76" t="str">
        <f t="shared" si="14"/>
        <v>-0.000133283554228113</v>
      </c>
      <c r="AT12" s="76" t="str">
        <f t="shared" si="15"/>
        <v>0.000383791559098247i</v>
      </c>
      <c r="AU12" s="76">
        <f t="shared" si="16"/>
        <v>3.83791559098247E-4</v>
      </c>
      <c r="AV12" s="76">
        <f t="shared" si="17"/>
        <v>1.5707963267948966</v>
      </c>
      <c r="AW12" s="76" t="str">
        <f t="shared" si="18"/>
        <v>1+0.0671031096563012i</v>
      </c>
      <c r="AX12" s="76">
        <f t="shared" si="19"/>
        <v>1.0022488849210787</v>
      </c>
      <c r="AY12" s="76">
        <f t="shared" si="20"/>
        <v>6.7002662988107212E-2</v>
      </c>
      <c r="AZ12" s="76" t="str">
        <f t="shared" si="21"/>
        <v>1+i</v>
      </c>
      <c r="BA12" s="76">
        <f t="shared" si="22"/>
        <v>1.4142135623730951</v>
      </c>
      <c r="BB12" s="76">
        <f t="shared" si="23"/>
        <v>0.78539816339744828</v>
      </c>
      <c r="BC12" s="73" t="str">
        <f t="shared" si="24"/>
        <v>-0.322525181639079+0.368923541102946i</v>
      </c>
      <c r="BD12" s="76">
        <f t="shared" si="25"/>
        <v>-6.195588747411743</v>
      </c>
      <c r="BE12" s="79">
        <f t="shared" si="26"/>
        <v>131.16103019464407</v>
      </c>
      <c r="BF12" s="73" t="str">
        <f t="shared" si="27"/>
        <v>2.9771940356951+4.68295853578958i</v>
      </c>
      <c r="BG12" s="78">
        <f t="shared" si="28"/>
        <v>14.884630728700923</v>
      </c>
      <c r="BH12" s="79">
        <f t="shared" si="29"/>
        <v>57.553812022382154</v>
      </c>
      <c r="BI12" s="86" t="str">
        <f t="shared" si="47"/>
        <v>-3.77313393929784+17.6761512448855i</v>
      </c>
      <c r="BJ12" s="78">
        <f t="shared" si="30"/>
        <v>25.141263524350329</v>
      </c>
      <c r="BK12" s="79">
        <f t="shared" si="31"/>
        <v>102.04946286170114</v>
      </c>
      <c r="BL12" s="32">
        <f t="shared" si="48"/>
        <v>14.884630728700923</v>
      </c>
      <c r="BM12" s="32">
        <f t="shared" si="49"/>
        <v>57.553812022382154</v>
      </c>
    </row>
    <row r="13" spans="1:65" s="32" customFormat="1" ht="15" thickBot="1" x14ac:dyDescent="0.4">
      <c r="A13" s="32" t="s">
        <v>66</v>
      </c>
      <c r="B13" s="3">
        <f>Fsw</f>
        <v>440000</v>
      </c>
      <c r="C13" s="32" t="s">
        <v>67</v>
      </c>
      <c r="E13" s="32" t="s">
        <v>68</v>
      </c>
      <c r="N13" s="64" t="s">
        <v>230</v>
      </c>
      <c r="O13" s="65">
        <f>wp1_ea/(2*PI())</f>
        <v>14898.127743275916</v>
      </c>
      <c r="P13" s="82" t="str">
        <f t="shared" si="32"/>
        <v>36.531007751938</v>
      </c>
      <c r="Q13" s="56" t="str">
        <f t="shared" si="33"/>
        <v>1+45.7153870735291i</v>
      </c>
      <c r="R13" s="56">
        <f t="shared" si="0"/>
        <v>45.726323001992967</v>
      </c>
      <c r="S13" s="56">
        <f t="shared" si="1"/>
        <v>1.5489253417227524</v>
      </c>
      <c r="T13" s="56" t="str">
        <f t="shared" si="34"/>
        <v>1+0.0187215394682072i</v>
      </c>
      <c r="U13" s="56">
        <f t="shared" si="2"/>
        <v>1.0001752326667861</v>
      </c>
      <c r="V13" s="56">
        <f t="shared" si="3"/>
        <v>1.8719352652921701E-2</v>
      </c>
      <c r="W13" s="57" t="str">
        <f t="shared" si="35"/>
        <v>1-0.310179352135977i</v>
      </c>
      <c r="X13" s="56">
        <f t="shared" si="4"/>
        <v>1.0470010651816426</v>
      </c>
      <c r="Y13" s="56">
        <f t="shared" si="5"/>
        <v>-0.30076928927173985</v>
      </c>
      <c r="Z13" s="57" t="str">
        <f t="shared" si="36"/>
        <v>0.995414169209608+0.140948473279852i</v>
      </c>
      <c r="AA13" s="56">
        <f t="shared" si="6"/>
        <v>1.0053436429316969</v>
      </c>
      <c r="AB13" s="56">
        <f t="shared" si="7"/>
        <v>0.14066269817727955</v>
      </c>
      <c r="AC13" s="61" t="str">
        <f t="shared" si="8"/>
        <v>-0.32470127377432-0.766192197160988i</v>
      </c>
      <c r="AD13" s="67">
        <f t="shared" si="9"/>
        <v>-1.5959188711148167</v>
      </c>
      <c r="AE13" s="65">
        <f t="shared" si="10"/>
        <v>-112.96653478224384</v>
      </c>
      <c r="AF13" s="51" t="str">
        <f t="shared" si="37"/>
        <v>42.1703962805665</v>
      </c>
      <c r="AG13" s="51" t="str">
        <f t="shared" si="11"/>
        <v>1+8.25950270656201i</v>
      </c>
      <c r="AH13" s="51">
        <f t="shared" si="38"/>
        <v>8.3198188057015496</v>
      </c>
      <c r="AI13" s="51">
        <f t="shared" si="39"/>
        <v>1.4503100979482839</v>
      </c>
      <c r="AJ13" s="51" t="str">
        <f t="shared" si="12"/>
        <v>1+0.0187215394682072i</v>
      </c>
      <c r="AK13" s="51">
        <f t="shared" si="40"/>
        <v>1.0001752326667861</v>
      </c>
      <c r="AL13" s="51">
        <f t="shared" si="41"/>
        <v>1.8719352652921701E-2</v>
      </c>
      <c r="AM13" s="51" t="str">
        <f t="shared" si="13"/>
        <v>1-0.0485463820560209i</v>
      </c>
      <c r="AN13" s="51">
        <f t="shared" si="42"/>
        <v>1.0011776821377558</v>
      </c>
      <c r="AO13" s="51">
        <f t="shared" si="43"/>
        <v>-4.8508298645179471E-2</v>
      </c>
      <c r="AP13" s="60" t="str">
        <f t="shared" si="44"/>
        <v>0.459705569637489-5.05466482757609i</v>
      </c>
      <c r="AQ13" s="51">
        <f t="shared" si="45"/>
        <v>14.10962139871816</v>
      </c>
      <c r="AR13" s="63">
        <f t="shared" si="46"/>
        <v>-84.803428479141218</v>
      </c>
      <c r="AS13" s="57" t="str">
        <f t="shared" si="14"/>
        <v>-0.000133283554228113</v>
      </c>
      <c r="AT13" s="57" t="str">
        <f t="shared" si="15"/>
        <v>0.00571943030753729i</v>
      </c>
      <c r="AU13" s="57">
        <f t="shared" si="16"/>
        <v>5.7194303075372901E-3</v>
      </c>
      <c r="AV13" s="57">
        <f t="shared" si="17"/>
        <v>1.5707963267948966</v>
      </c>
      <c r="AW13" s="57" t="str">
        <f t="shared" si="18"/>
        <v>1+i</v>
      </c>
      <c r="AX13" s="57">
        <f t="shared" si="19"/>
        <v>1.4142135623730951</v>
      </c>
      <c r="AY13" s="57">
        <f t="shared" si="20"/>
        <v>0.78539816339744828</v>
      </c>
      <c r="AZ13" s="57" t="str">
        <f t="shared" si="21"/>
        <v>1+14.9024390243902i</v>
      </c>
      <c r="BA13" s="57">
        <f t="shared" si="22"/>
        <v>14.935952894799446</v>
      </c>
      <c r="BB13" s="57">
        <f t="shared" si="23"/>
        <v>1.5037936638067892</v>
      </c>
      <c r="BC13" s="64" t="str">
        <f t="shared" si="24"/>
        <v>-0.161988728420069+0.18529237005243i</v>
      </c>
      <c r="BD13" s="57">
        <f t="shared" si="25"/>
        <v>-12.177165391217999</v>
      </c>
      <c r="BE13" s="65">
        <f t="shared" si="26"/>
        <v>131.16103019464404</v>
      </c>
      <c r="BF13" s="64" t="str">
        <f t="shared" si="27"/>
        <v>0.194567514582717+0.0639498311668006i</v>
      </c>
      <c r="BG13" s="67">
        <f t="shared" si="28"/>
        <v>-13.77308426233281</v>
      </c>
      <c r="BH13" s="65">
        <f t="shared" si="29"/>
        <v>18.19449541240019</v>
      </c>
      <c r="BI13" s="86" t="str">
        <f t="shared" si="47"/>
        <v>0.862123705049031+0.903978662533131i</v>
      </c>
      <c r="BJ13" s="67">
        <f t="shared" si="30"/>
        <v>1.932456007500166</v>
      </c>
      <c r="BK13" s="65">
        <f t="shared" si="31"/>
        <v>46.357601715502803</v>
      </c>
      <c r="BL13" s="32">
        <f t="shared" si="48"/>
        <v>-13.77308426233281</v>
      </c>
      <c r="BM13" s="32">
        <f t="shared" si="49"/>
        <v>18.19449541240019</v>
      </c>
    </row>
    <row r="14" spans="1:65" s="32" customFormat="1" x14ac:dyDescent="0.35">
      <c r="B14" s="27"/>
      <c r="O14" s="52"/>
    </row>
    <row r="15" spans="1:65" ht="15" thickBot="1" x14ac:dyDescent="0.4">
      <c r="A15" s="70" t="s">
        <v>473</v>
      </c>
      <c r="N15" s="32"/>
      <c r="O15" s="52" t="s">
        <v>193</v>
      </c>
      <c r="P15" s="32">
        <f>B16</f>
        <v>13</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 thickBot="1" x14ac:dyDescent="0.4">
      <c r="A16" t="s">
        <v>195</v>
      </c>
      <c r="B16">
        <v>13</v>
      </c>
      <c r="C16" t="s">
        <v>10</v>
      </c>
      <c r="E16" t="s">
        <v>196</v>
      </c>
      <c r="F16" s="32"/>
      <c r="G16" s="32"/>
      <c r="N16" s="32"/>
      <c r="O16" s="69"/>
      <c r="P16" s="247" t="s">
        <v>471</v>
      </c>
      <c r="Q16" s="247"/>
      <c r="R16" s="247"/>
      <c r="S16" s="247"/>
      <c r="T16" s="247"/>
      <c r="U16" s="247"/>
      <c r="V16" s="247"/>
      <c r="W16" s="247"/>
      <c r="X16" s="247"/>
      <c r="Y16" s="247"/>
      <c r="Z16" s="247"/>
      <c r="AA16" s="247"/>
      <c r="AB16" s="247"/>
      <c r="AC16" s="247"/>
      <c r="AD16" s="247"/>
      <c r="AE16" s="246"/>
      <c r="AF16" s="245" t="s">
        <v>472</v>
      </c>
      <c r="AG16" s="247"/>
      <c r="AH16" s="247"/>
      <c r="AI16" s="247"/>
      <c r="AJ16" s="247"/>
      <c r="AK16" s="247"/>
      <c r="AL16" s="247"/>
      <c r="AM16" s="247"/>
      <c r="AN16" s="247"/>
      <c r="AO16" s="247"/>
      <c r="AP16" s="247"/>
      <c r="AQ16" s="247"/>
      <c r="AR16" s="246"/>
      <c r="AS16" s="245" t="s">
        <v>223</v>
      </c>
      <c r="AT16" s="247"/>
      <c r="AU16" s="247"/>
      <c r="AV16" s="247"/>
      <c r="AW16" s="247"/>
      <c r="AX16" s="247"/>
      <c r="AY16" s="247"/>
      <c r="AZ16" s="247"/>
      <c r="BA16" s="247"/>
      <c r="BB16" s="247"/>
      <c r="BC16" s="247"/>
      <c r="BD16" s="247"/>
      <c r="BE16" s="246"/>
      <c r="BF16" s="245" t="s">
        <v>506</v>
      </c>
      <c r="BG16" s="247"/>
      <c r="BH16" s="246"/>
      <c r="BI16" s="245" t="s">
        <v>507</v>
      </c>
      <c r="BJ16" s="247"/>
      <c r="BK16" s="246"/>
      <c r="BL16" s="245" t="s">
        <v>508</v>
      </c>
      <c r="BM16" s="246"/>
    </row>
    <row r="17" spans="1:65" x14ac:dyDescent="0.35">
      <c r="A17" t="s">
        <v>389</v>
      </c>
      <c r="B17">
        <f>IOUT</f>
        <v>2</v>
      </c>
      <c r="C17" t="s">
        <v>11</v>
      </c>
      <c r="E17" t="s">
        <v>498</v>
      </c>
      <c r="N17" s="32"/>
      <c r="O17" s="54"/>
      <c r="P17" s="51"/>
      <c r="Q17" s="253" t="s">
        <v>214</v>
      </c>
      <c r="R17" s="253"/>
      <c r="S17" s="253"/>
      <c r="T17" s="249" t="s">
        <v>216</v>
      </c>
      <c r="U17" s="249"/>
      <c r="V17" s="249"/>
      <c r="W17" s="249" t="s">
        <v>258</v>
      </c>
      <c r="X17" s="249"/>
      <c r="Y17" s="249"/>
      <c r="Z17" s="249" t="s">
        <v>219</v>
      </c>
      <c r="AA17" s="249"/>
      <c r="AB17" s="249"/>
      <c r="AC17" s="248" t="s">
        <v>221</v>
      </c>
      <c r="AD17" s="249"/>
      <c r="AE17" s="250"/>
      <c r="AF17" s="217"/>
      <c r="AG17" s="253" t="s">
        <v>214</v>
      </c>
      <c r="AH17" s="253"/>
      <c r="AI17" s="253"/>
      <c r="AJ17" s="254" t="s">
        <v>216</v>
      </c>
      <c r="AK17" s="254"/>
      <c r="AL17" s="254"/>
      <c r="AM17" s="249" t="s">
        <v>258</v>
      </c>
      <c r="AN17" s="249"/>
      <c r="AO17" s="249"/>
      <c r="AP17" s="255" t="s">
        <v>221</v>
      </c>
      <c r="AQ17" s="254"/>
      <c r="AR17" s="256"/>
      <c r="AS17" s="51"/>
      <c r="AT17" s="249" t="s">
        <v>229</v>
      </c>
      <c r="AU17" s="249"/>
      <c r="AV17" s="249"/>
      <c r="AW17" s="249" t="s">
        <v>230</v>
      </c>
      <c r="AX17" s="249"/>
      <c r="AY17" s="249"/>
      <c r="AZ17" s="249" t="s">
        <v>224</v>
      </c>
      <c r="BA17" s="249"/>
      <c r="BB17" s="249"/>
      <c r="BC17" s="248" t="s">
        <v>221</v>
      </c>
      <c r="BD17" s="249"/>
      <c r="BE17" s="250"/>
      <c r="BF17" s="248" t="s">
        <v>221</v>
      </c>
      <c r="BG17" s="249"/>
      <c r="BH17" s="250"/>
      <c r="BI17" s="248" t="s">
        <v>221</v>
      </c>
      <c r="BJ17" s="249"/>
      <c r="BK17" s="250"/>
      <c r="BL17" s="51"/>
      <c r="BM17" s="63"/>
    </row>
    <row r="18" spans="1:65" ht="15" thickBot="1" x14ac:dyDescent="0.4">
      <c r="A18" t="s">
        <v>582</v>
      </c>
      <c r="B18">
        <f>VOUT/(VOUT+VIN_var)</f>
        <v>0.5357142857142857</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35">
      <c r="A19" t="s">
        <v>31</v>
      </c>
      <c r="B19" s="45">
        <f>VOUT</f>
        <v>15</v>
      </c>
      <c r="C19" t="s">
        <v>10</v>
      </c>
      <c r="E19" t="s">
        <v>167</v>
      </c>
      <c r="N19" s="11">
        <v>1</v>
      </c>
      <c r="O19" s="52">
        <f>10^(1+(N19/100))</f>
        <v>10.232929922807543</v>
      </c>
      <c r="P19" s="50" t="str">
        <f t="shared" ref="P19:P82" si="50">COMPLEX(Adc,0)</f>
        <v>36.531007751938</v>
      </c>
      <c r="Q19" s="18" t="str">
        <f t="shared" ref="Q19:Q82" si="51">IMSUM(COMPLEX(1,0),IMDIV(COMPLEX(0,2*PI()*O19),COMPLEX(wp_lf,0)))</f>
        <v>1+0.0314000765987915i</v>
      </c>
      <c r="R19" s="18">
        <f>IMABS(Q19)</f>
        <v>1.0004928609492474</v>
      </c>
      <c r="S19" s="18">
        <f>IMARGUMENT(Q19)</f>
        <v>3.1389762909275101E-2</v>
      </c>
      <c r="T19" s="18" t="str">
        <f t="shared" ref="T19:T82" si="52">IMSUM(COMPLEX(1,0),IMDIV(COMPLEX(0,2*PI()*O19),COMPLEX(wz_esr,0)))</f>
        <v>1+0.0000128590789880765i</v>
      </c>
      <c r="U19" s="18">
        <f>IMABS(T19)</f>
        <v>1.0000000000826779</v>
      </c>
      <c r="V19" s="18">
        <f>IMARGUMENT(T19)</f>
        <v>1.2859078987367724E-5</v>
      </c>
      <c r="W19" s="32" t="str">
        <f t="shared" ref="W19:W82" si="53">IMSUB(COMPLEX(1,0),IMDIV(COMPLEX(0,2*PI()*O19),COMPLEX(wz_rhp,0)))</f>
        <v>1-0.000213049829388251i</v>
      </c>
      <c r="X19" s="18">
        <f>IMABS(W19)</f>
        <v>1.0000000226951147</v>
      </c>
      <c r="Y19" s="18">
        <f>IMARGUMENT(W19)</f>
        <v>-2.1304982616479083E-4</v>
      </c>
      <c r="Z19" s="32" t="str">
        <f t="shared" ref="Z19:Z82" si="54">IMSUM(COMPLEX(1,0),IMDIV(COMPLEX(0,2*PI()*O19),COMPLEX(Q*(wsl/2),0)),IMDIV(IMPOWER(COMPLEX(0,2*PI()*O19),2),IMPOWER(COMPLEX(wsl/2,0),2)))</f>
        <v>0.999999997836511+0.0000968118863425914i</v>
      </c>
      <c r="AA19" s="18">
        <f>IMABS(Z19)</f>
        <v>1.0000000025227815</v>
      </c>
      <c r="AB19" s="18">
        <f>IMARGUMENT(Z19)</f>
        <v>9.681188624958505E-5</v>
      </c>
      <c r="AC19" s="68" t="str">
        <f>(IMDIV(IMPRODUCT(P19,T19,W19),IMPRODUCT(Q19,Z19)))</f>
        <v>36.4946837220207-1.15678566988444i</v>
      </c>
      <c r="AD19" s="66">
        <f>20*LOG(IMABS(AC19))</f>
        <v>31.248953353019246</v>
      </c>
      <c r="AE19" s="63">
        <f>(180/PI())*IMARGUMENT(AC19)</f>
        <v>-1.8155179320173958</v>
      </c>
      <c r="AF19" s="51" t="str">
        <f>COMPLEX($B$68,0)</f>
        <v>42.1703962805665</v>
      </c>
      <c r="AG19" s="51" t="str">
        <f t="shared" ref="AG19:AG82" si="55">IMSUM(COMPLEX(1,0),IMDIV(COMPLEX(0,2*PI()*O19),COMPLEX(wp_lf_DCM,0)))</f>
        <v>1+0.00567312308297496i</v>
      </c>
      <c r="AH19" s="51">
        <f>IMABS(AG19)</f>
        <v>1.0000160920332806</v>
      </c>
      <c r="AI19" s="51">
        <f>IMARGUMENT(AG19)</f>
        <v>5.6730622222702165E-3</v>
      </c>
      <c r="AJ19" s="51" t="str">
        <f t="shared" ref="AJ19:AJ82" si="56">IMSUM(COMPLEX(1,0),IMDIV(COMPLEX(0,2*PI()*O19),COMPLEX(wz1_dcm,0)))</f>
        <v>1+0.0000128590789880765i</v>
      </c>
      <c r="AK19" s="51">
        <f>IMABS(AJ19)</f>
        <v>1.0000000000826779</v>
      </c>
      <c r="AL19" s="51">
        <f>IMARGUMENT(AJ19)</f>
        <v>1.2859078987367724E-5</v>
      </c>
      <c r="AM19" s="51" t="str">
        <f t="shared" ref="AM19:AM82" si="57">IMSUB(COMPLEX(1,0),IMDIV(COMPLEX(0,2*PI()*O19),COMPLEX(wz2_dcm,0)))</f>
        <v>1-0.0000333445741737122i</v>
      </c>
      <c r="AN19" s="51">
        <f>IMABS(AM19)</f>
        <v>1.0000000005559302</v>
      </c>
      <c r="AO19" s="51">
        <f>IMARGUMENT(AM19)</f>
        <v>-3.3344574161354032E-5</v>
      </c>
      <c r="AP19" s="60" t="str">
        <f>(IMDIV(IMPRODUCT(AF19,AJ19,AM19),IMPRODUCT(AG19)))</f>
        <v>42.1690342158187-0.240094002846504i</v>
      </c>
      <c r="AQ19" s="51">
        <f>20*LOG(IMABS(AP19))</f>
        <v>32.50001387613456</v>
      </c>
      <c r="AR19" s="63">
        <f>(180/PI())*IMARGUMENT(AP19)</f>
        <v>-0.32621625466589638</v>
      </c>
      <c r="AS19" s="32" t="str">
        <f t="shared" ref="AS19:AS82" si="58">COMPLEX(Adc_ea,0)</f>
        <v>-0.000133283554228113</v>
      </c>
      <c r="AT19" s="32" t="str">
        <f t="shared" ref="AT19:AT82" si="59">COMPLEX(0,2*PI()*O19*wp0_ea)</f>
        <v>3.92844863085738E-06i</v>
      </c>
      <c r="AU19" s="32">
        <f>IMABS(AT19)</f>
        <v>3.9284486308573803E-6</v>
      </c>
      <c r="AV19" s="32">
        <f>IMARGUMENT(AT19)</f>
        <v>1.5707963267948966</v>
      </c>
      <c r="AW19" s="32" t="str">
        <f t="shared" ref="AW19:AW82" si="60">IMSUM(COMPLEX(1,0),IMDIV(COMPLEX(0,2*PI()*O19),COMPLEX(wp1_ea,0)))</f>
        <v>1+0.000686860127604024i</v>
      </c>
      <c r="AX19" s="32">
        <f>IMABS(AW19)</f>
        <v>1.0000002358883897</v>
      </c>
      <c r="AY19" s="32">
        <f>IMARGUMENT(AW19)</f>
        <v>6.8686001958915557E-4</v>
      </c>
      <c r="AZ19" s="32" t="str">
        <f t="shared" ref="AZ19:AZ82" si="61">IMSUM(COMPLEX(1,0),IMDIV(COMPLEX(0,2*PI()*O19),COMPLEX(wz_ea,0)))</f>
        <v>1+0.0102358911699039i</v>
      </c>
      <c r="BA19" s="32">
        <f>IMABS(AZ19)</f>
        <v>1.0000523853619081</v>
      </c>
      <c r="BB19" s="32">
        <f>IMARGUMENT(AZ19)</f>
        <v>1.0235533709102951E-2</v>
      </c>
      <c r="BC19" s="60" t="str">
        <f>IMPRODUCT(AS19,IMDIV(AZ19,IMPRODUCT(AT19,AW19)))</f>
        <v>-0.323977303995154+33.9280059226013i</v>
      </c>
      <c r="BD19" s="51">
        <f>20*LOG(IMABS(BC19))</f>
        <v>30.611562688707224</v>
      </c>
      <c r="BE19" s="63">
        <f>(180/PI())*IMARGUMENT(BC19)</f>
        <v>90.547098702356749</v>
      </c>
      <c r="BF19" s="60" t="str">
        <f>IMPRODUCT(AC19,BC19)</f>
        <v>27.4239818166035+1238.56661776681i</v>
      </c>
      <c r="BG19" s="66">
        <f>20*LOG(IMABS(BF19))</f>
        <v>61.860516041726477</v>
      </c>
      <c r="BH19" s="63">
        <f>(180/PI())*IMARGUMENT(BF19)</f>
        <v>88.731580770339363</v>
      </c>
      <c r="BI19" s="60" t="str">
        <f>IMPRODUCT(AP19,BC19)</f>
        <v>-5.5158992667631+1430.78902763242i</v>
      </c>
      <c r="BJ19" s="66">
        <f>20*LOG(IMABS(BI19))</f>
        <v>63.111576564841776</v>
      </c>
      <c r="BK19" s="63">
        <f>(180/PI())*IMARGUMENT(BI19)</f>
        <v>90.220882447690855</v>
      </c>
      <c r="BL19" s="51">
        <f>IF($B$31=0,BJ19,BG19)</f>
        <v>61.860516041726477</v>
      </c>
      <c r="BM19" s="63">
        <f>IF($B$31=0,BK19,BH19)</f>
        <v>88.731580770339363</v>
      </c>
    </row>
    <row r="20" spans="1:65" x14ac:dyDescent="0.35">
      <c r="A20" t="s">
        <v>33</v>
      </c>
      <c r="B20" s="45">
        <f>IOUT</f>
        <v>2</v>
      </c>
      <c r="C20" t="s">
        <v>11</v>
      </c>
      <c r="E20" t="s">
        <v>34</v>
      </c>
      <c r="N20" s="11">
        <v>2</v>
      </c>
      <c r="O20" s="52">
        <f t="shared" ref="O20:O83" si="62">10^(1+(N20/100))</f>
        <v>10.471285480509</v>
      </c>
      <c r="P20" s="50" t="str">
        <f t="shared" si="50"/>
        <v>36.531007751938</v>
      </c>
      <c r="Q20" s="18" t="str">
        <f t="shared" si="51"/>
        <v>1+0.0321314783406223i</v>
      </c>
      <c r="R20" s="18">
        <f t="shared" ref="R20:R83" si="63">IMABS(Q20)</f>
        <v>1.0005160827794592</v>
      </c>
      <c r="S20" s="18">
        <f t="shared" ref="S20:S83" si="64">IMARGUMENT(Q20)</f>
        <v>3.2120427331049084E-2</v>
      </c>
      <c r="T20" s="18" t="str">
        <f t="shared" si="52"/>
        <v>1+0.0000131586054156834i</v>
      </c>
      <c r="U20" s="18">
        <f t="shared" ref="U20:U83" si="65">IMABS(T20)</f>
        <v>1.0000000000865743</v>
      </c>
      <c r="V20" s="18">
        <f t="shared" ref="V20:V83" si="66">IMARGUMENT(T20)</f>
        <v>1.3158605414923933E-5</v>
      </c>
      <c r="W20" s="32" t="str">
        <f t="shared" si="53"/>
        <v>1-0.000218012397419607i</v>
      </c>
      <c r="X20" s="18">
        <f t="shared" ref="X20:X83" si="67">IMABS(W20)</f>
        <v>1.0000000237647024</v>
      </c>
      <c r="Y20" s="18">
        <f t="shared" ref="Y20:Y83" si="68">IMARGUMENT(W20)</f>
        <v>-2.1801239396560722E-4</v>
      </c>
      <c r="Z20" s="32" t="str">
        <f t="shared" si="54"/>
        <v>0.999999997734549+0.0000990669248638546i</v>
      </c>
      <c r="AA20" s="18">
        <f t="shared" ref="AA20:AA83" si="69">IMABS(Z20)</f>
        <v>1.0000000026416767</v>
      </c>
      <c r="AB20" s="18">
        <f t="shared" ref="AB20:AB83" si="70">IMARGUMENT(Z20)</f>
        <v>9.9066924764196497E-5</v>
      </c>
      <c r="AC20" s="68" t="str">
        <f t="shared" ref="AC20:AC83" si="71">(IMDIV(IMPRODUCT(P20,T20,W20),IMPRODUCT(Q20,Z20)))</f>
        <v>36.4929735888276-1.18367572045296i</v>
      </c>
      <c r="AD20" s="66">
        <f t="shared" ref="AD20:AD83" si="72">20*LOG(IMABS(AC20))</f>
        <v>31.248751760758111</v>
      </c>
      <c r="AE20" s="63">
        <f t="shared" ref="AE20:AE83" si="73">(180/PI())*IMARGUMENT(AC20)</f>
        <v>-1.8577782964053244</v>
      </c>
      <c r="AF20" s="51" t="str">
        <f t="shared" ref="AF20:AF83" si="74">COMPLEX($B$68,0)</f>
        <v>42.1703962805665</v>
      </c>
      <c r="AG20" s="51" t="str">
        <f t="shared" si="55"/>
        <v>1+0.00580526709515447i</v>
      </c>
      <c r="AH20" s="51">
        <f t="shared" ref="AH20:AH83" si="75">IMABS(AG20)</f>
        <v>1.0000168504210547</v>
      </c>
      <c r="AI20" s="51">
        <f t="shared" ref="AI20:AI83" si="76">IMARGUMENT(AG20)</f>
        <v>5.8052018817937546E-3</v>
      </c>
      <c r="AJ20" s="51" t="str">
        <f t="shared" si="56"/>
        <v>1+0.0000131586054156834i</v>
      </c>
      <c r="AK20" s="51">
        <f t="shared" ref="AK20:AK83" si="77">IMABS(AJ20)</f>
        <v>1.0000000000865743</v>
      </c>
      <c r="AL20" s="51">
        <f t="shared" ref="AL20:AL83" si="78">IMARGUMENT(AJ20)</f>
        <v>1.3158605414923933E-5</v>
      </c>
      <c r="AM20" s="51" t="str">
        <f t="shared" si="57"/>
        <v>1-0.0000341212690825456i</v>
      </c>
      <c r="AN20" s="51">
        <f t="shared" ref="AN20:AN83" si="79">IMABS(AM20)</f>
        <v>1.0000000005821303</v>
      </c>
      <c r="AO20" s="51">
        <f t="shared" ref="AO20:AO83" si="80">IMARGUMENT(AM20)</f>
        <v>-3.4121269069303582E-5</v>
      </c>
      <c r="AP20" s="60" t="str">
        <f t="shared" ref="AP20:AP83" si="81">(IMDIV(IMPRODUCT(AF20,AJ20,AM20),IMPRODUCT(AG20)))</f>
        <v>42.1689700258481-0.245686137961539i</v>
      </c>
      <c r="AQ20" s="51">
        <f t="shared" ref="AQ20:AQ83" si="82">20*LOG(IMABS(AP20))</f>
        <v>32.500007289231981</v>
      </c>
      <c r="AR20" s="63">
        <f t="shared" ref="AR20:AR83" si="83">(180/PI())*IMARGUMENT(AP20)</f>
        <v>-0.33381463920293392</v>
      </c>
      <c r="AS20" s="32" t="str">
        <f t="shared" si="58"/>
        <v>-0.000133283554228113</v>
      </c>
      <c r="AT20" s="32" t="str">
        <f t="shared" si="59"/>
        <v>4.01995395449128E-06i</v>
      </c>
      <c r="AU20" s="32">
        <f t="shared" ref="AU20:AU83" si="84">IMABS(AT20)</f>
        <v>4.0199539544912801E-6</v>
      </c>
      <c r="AV20" s="32">
        <f t="shared" ref="AV20:AV83" si="85">IMARGUMENT(AT20)</f>
        <v>1.5707963267948966</v>
      </c>
      <c r="AW20" s="32" t="str">
        <f t="shared" si="60"/>
        <v>1+0.000702859155254262i</v>
      </c>
      <c r="AX20" s="32">
        <f t="shared" ref="AX20:AX83" si="86">IMABS(AW20)</f>
        <v>1.0000002470054656</v>
      </c>
      <c r="AY20" s="32">
        <f t="shared" ref="AY20:AY83" si="87">IMARGUMENT(AW20)</f>
        <v>7.0285903951424681E-4</v>
      </c>
      <c r="AZ20" s="32" t="str">
        <f t="shared" si="61"/>
        <v>1+0.0104743157039111i</v>
      </c>
      <c r="BA20" s="32">
        <f t="shared" ref="BA20:BA83" si="88">IMABS(AZ20)</f>
        <v>1.0000548541402443</v>
      </c>
      <c r="BB20" s="32">
        <f t="shared" ref="BB20:BB83" si="89">IMARGUMENT(AZ20)</f>
        <v>1.0473932678896703E-2</v>
      </c>
      <c r="BC20" s="60" t="str">
        <f t="shared" ref="BC20:BC83" si="90">IMPRODUCT(AS20,IMDIV(AZ20,IMPRODUCT(AT20,AW20)))</f>
        <v>-0.323977296791795+33.155720469027i</v>
      </c>
      <c r="BD20" s="51">
        <f t="shared" ref="BD20:BD83" si="91">20*LOG(IMABS(BC20))</f>
        <v>30.411584034531991</v>
      </c>
      <c r="BE20" s="63">
        <f t="shared" ref="BE20:BE83" si="92">(180/PI())*IMARGUMENT(BC20)</f>
        <v>90.559841280848147</v>
      </c>
      <c r="BF20" s="60" t="str">
        <f t="shared" ref="BF20:BF83" si="93">IMPRODUCT(AC20,BC20)</f>
        <v>27.4227263781098+1210.33431545494i</v>
      </c>
      <c r="BG20" s="66">
        <f t="shared" ref="BG20:BG83" si="94">20*LOG(IMABS(BF20))</f>
        <v>61.660335795290067</v>
      </c>
      <c r="BH20" s="63">
        <f t="shared" ref="BH20:BH83" si="95">(180/PI())*IMARGUMENT(BF20)</f>
        <v>88.702062984442819</v>
      </c>
      <c r="BI20" s="60" t="str">
        <f t="shared" ref="BI20:BI49" si="96">IMPRODUCT(AP20,BC20)</f>
        <v>-5.5158880041009+1398.22217937463i</v>
      </c>
      <c r="BJ20" s="66">
        <f t="shared" ref="BJ20:BJ83" si="97">20*LOG(IMABS(BI20))</f>
        <v>62.911591323763936</v>
      </c>
      <c r="BK20" s="63">
        <f t="shared" ref="BK20:BK49" si="98">(180/PI())*IMARGUMENT(BI20)</f>
        <v>90.22602664164522</v>
      </c>
      <c r="BL20" s="51">
        <f t="shared" ref="BL20:BL83" si="99">IF($B$31=0,BJ20,BG20)</f>
        <v>61.660335795290067</v>
      </c>
      <c r="BM20" s="63">
        <f t="shared" ref="BM20:BM83" si="100">IF($B$31=0,BK20,BH20)</f>
        <v>88.702062984442819</v>
      </c>
    </row>
    <row r="21" spans="1:65" s="32" customFormat="1" x14ac:dyDescent="0.35">
      <c r="A21"/>
      <c r="B21"/>
      <c r="C21"/>
      <c r="D21"/>
      <c r="E21"/>
      <c r="F21"/>
      <c r="G21"/>
      <c r="N21" s="11">
        <v>3</v>
      </c>
      <c r="O21" s="52">
        <f t="shared" si="62"/>
        <v>10.715193052376069</v>
      </c>
      <c r="P21" s="50" t="str">
        <f t="shared" si="50"/>
        <v>36.531007751938</v>
      </c>
      <c r="Q21" s="18" t="str">
        <f t="shared" si="51"/>
        <v>1+0.0328799166175796i</v>
      </c>
      <c r="R21" s="18">
        <f t="shared" si="63"/>
        <v>1.0005403984431507</v>
      </c>
      <c r="S21" s="18">
        <f t="shared" si="64"/>
        <v>3.2868075592871533E-2</v>
      </c>
      <c r="T21" s="18" t="str">
        <f t="shared" si="52"/>
        <v>1+0.0000134651087100564i</v>
      </c>
      <c r="U21" s="18">
        <f t="shared" si="65"/>
        <v>1.0000000000906546</v>
      </c>
      <c r="V21" s="18">
        <f t="shared" si="66"/>
        <v>1.3465108709242618E-5</v>
      </c>
      <c r="W21" s="32" t="str">
        <f t="shared" si="53"/>
        <v>1-0.000223090558509811i</v>
      </c>
      <c r="X21" s="18">
        <f t="shared" si="67"/>
        <v>1.0000000248846983</v>
      </c>
      <c r="Y21" s="18">
        <f t="shared" si="68"/>
        <v>-2.2309055480878356E-4</v>
      </c>
      <c r="Z21" s="32" t="str">
        <f t="shared" si="54"/>
        <v>0.999999997627782+0.000101374489979986i</v>
      </c>
      <c r="AA21" s="18">
        <f t="shared" si="69"/>
        <v>1.0000000027661755</v>
      </c>
      <c r="AB21" s="18">
        <f t="shared" si="70"/>
        <v>1.0137448987320036E-4</v>
      </c>
      <c r="AC21" s="68" t="str">
        <f t="shared" si="71"/>
        <v>36.4911830296976-1.21118819643434i</v>
      </c>
      <c r="AD21" s="66">
        <f t="shared" si="72"/>
        <v>31.248540677776205</v>
      </c>
      <c r="AE21" s="63">
        <f t="shared" si="73"/>
        <v>-1.9010209959485613</v>
      </c>
      <c r="AF21" s="51" t="str">
        <f t="shared" si="74"/>
        <v>42.1703962805665</v>
      </c>
      <c r="AG21" s="51" t="str">
        <f t="shared" si="55"/>
        <v>1+0.00594048913678962i</v>
      </c>
      <c r="AH21" s="51">
        <f t="shared" si="75"/>
        <v>1.0000176445499271</v>
      </c>
      <c r="AI21" s="51">
        <f t="shared" si="76"/>
        <v>5.9404192594812435E-3</v>
      </c>
      <c r="AJ21" s="51" t="str">
        <f t="shared" si="56"/>
        <v>1+0.0000134651087100564i</v>
      </c>
      <c r="AK21" s="51">
        <f t="shared" si="77"/>
        <v>1.0000000000906546</v>
      </c>
      <c r="AL21" s="51">
        <f t="shared" si="78"/>
        <v>1.3465108709242618E-5</v>
      </c>
      <c r="AM21" s="51" t="str">
        <f t="shared" si="57"/>
        <v>1-0.0000349160555398948i</v>
      </c>
      <c r="AN21" s="51">
        <f t="shared" si="79"/>
        <v>1.0000000006095655</v>
      </c>
      <c r="AO21" s="51">
        <f t="shared" si="80"/>
        <v>-3.491605552570572E-5</v>
      </c>
      <c r="AP21" s="60" t="str">
        <f t="shared" si="81"/>
        <v>42.168902810906-0.251408503986932i</v>
      </c>
      <c r="AQ21" s="51">
        <f t="shared" si="82"/>
        <v>32.500000391908927</v>
      </c>
      <c r="AR21" s="63">
        <f t="shared" si="83"/>
        <v>-0.341590000825648</v>
      </c>
      <c r="AS21" s="32" t="str">
        <f t="shared" si="58"/>
        <v>-0.000133283554228113</v>
      </c>
      <c r="AT21" s="32" t="str">
        <f t="shared" si="59"/>
        <v>4.11359071092224E-06i</v>
      </c>
      <c r="AU21" s="32">
        <f t="shared" si="84"/>
        <v>4.1135907109222396E-6</v>
      </c>
      <c r="AV21" s="32">
        <f t="shared" si="85"/>
        <v>1.5707963267948966</v>
      </c>
      <c r="AW21" s="32" t="str">
        <f t="shared" si="60"/>
        <v>1+0.000719230848132057i</v>
      </c>
      <c r="AX21" s="32">
        <f t="shared" si="86"/>
        <v>1.0000002586464729</v>
      </c>
      <c r="AY21" s="32">
        <f t="shared" si="87"/>
        <v>7.1923072411439796E-4</v>
      </c>
      <c r="AZ21" s="32" t="str">
        <f t="shared" si="61"/>
        <v>1+0.0107182938587485i</v>
      </c>
      <c r="BA21" s="32">
        <f t="shared" si="88"/>
        <v>1.000057439261987</v>
      </c>
      <c r="BB21" s="32">
        <f t="shared" si="89"/>
        <v>1.0717883441324315E-2</v>
      </c>
      <c r="BC21" s="60" t="str">
        <f t="shared" si="90"/>
        <v>-0.323977289248952+32.4010146173127i</v>
      </c>
      <c r="BD21" s="51">
        <f t="shared" si="91"/>
        <v>30.211606386240998</v>
      </c>
      <c r="BE21" s="63">
        <f t="shared" si="92"/>
        <v>90.572880601513134</v>
      </c>
      <c r="BF21" s="60" t="str">
        <f t="shared" si="93"/>
        <v>27.4214118975369+1182.74375221692i</v>
      </c>
      <c r="BG21" s="66">
        <f t="shared" si="94"/>
        <v>61.460147064017235</v>
      </c>
      <c r="BH21" s="63">
        <f t="shared" si="95"/>
        <v>88.671859605564592</v>
      </c>
      <c r="BI21" s="60" t="str">
        <f t="shared" si="96"/>
        <v>-5.51587621068254+1366.39668701782i</v>
      </c>
      <c r="BJ21" s="66">
        <f t="shared" si="97"/>
        <v>62.711606778149928</v>
      </c>
      <c r="BK21" s="63">
        <f t="shared" si="98"/>
        <v>90.231290600687487</v>
      </c>
      <c r="BL21" s="51">
        <f t="shared" si="99"/>
        <v>61.460147064017235</v>
      </c>
      <c r="BM21" s="63">
        <f t="shared" si="100"/>
        <v>88.671859605564592</v>
      </c>
    </row>
    <row r="22" spans="1:65" x14ac:dyDescent="0.35">
      <c r="A22" t="s">
        <v>168</v>
      </c>
      <c r="N22" s="11">
        <v>4</v>
      </c>
      <c r="O22" s="52">
        <f t="shared" si="62"/>
        <v>10.964781961431854</v>
      </c>
      <c r="P22" s="50" t="str">
        <f t="shared" si="50"/>
        <v>36.531007751938</v>
      </c>
      <c r="Q22" s="18" t="str">
        <f t="shared" si="51"/>
        <v>1+0.0336457882615447i</v>
      </c>
      <c r="R22" s="18">
        <f t="shared" si="63"/>
        <v>1.0005658594354201</v>
      </c>
      <c r="S22" s="18">
        <f t="shared" si="64"/>
        <v>3.3633100762484859E-2</v>
      </c>
      <c r="T22" s="18" t="str">
        <f t="shared" si="52"/>
        <v>1+0.0000137787513832993i</v>
      </c>
      <c r="U22" s="18">
        <f t="shared" si="65"/>
        <v>1.000000000094927</v>
      </c>
      <c r="V22" s="18">
        <f t="shared" si="66"/>
        <v>1.3778751382427317E-5</v>
      </c>
      <c r="W22" s="32" t="str">
        <f t="shared" si="53"/>
        <v>1-0.000228287005167089i</v>
      </c>
      <c r="X22" s="18">
        <f t="shared" si="67"/>
        <v>1.000000026057478</v>
      </c>
      <c r="Y22" s="18">
        <f t="shared" si="68"/>
        <v>-2.2828700120136667E-4</v>
      </c>
      <c r="Z22" s="32" t="str">
        <f t="shared" si="54"/>
        <v>0.999999997515983+0.000103735805192556i</v>
      </c>
      <c r="AA22" s="18">
        <f t="shared" si="69"/>
        <v>1.0000000028965417</v>
      </c>
      <c r="AB22" s="18">
        <f t="shared" si="70"/>
        <v>1.0373580507813312E-4</v>
      </c>
      <c r="AC22" s="68" t="str">
        <f t="shared" si="71"/>
        <v>36.4893082706624-1.23933731599552i</v>
      </c>
      <c r="AD22" s="66">
        <f t="shared" si="72"/>
        <v>31.248319657756252</v>
      </c>
      <c r="AE22" s="63">
        <f t="shared" si="73"/>
        <v>-1.9452687668293491</v>
      </c>
      <c r="AF22" s="51" t="str">
        <f t="shared" si="74"/>
        <v>42.1703962805665</v>
      </c>
      <c r="AG22" s="51" t="str">
        <f t="shared" si="55"/>
        <v>1+0.00607886090439676i</v>
      </c>
      <c r="AH22" s="51">
        <f t="shared" si="75"/>
        <v>1.0000184761042643</v>
      </c>
      <c r="AI22" s="51">
        <f t="shared" si="76"/>
        <v>6.0787860295865503E-3</v>
      </c>
      <c r="AJ22" s="51" t="str">
        <f t="shared" si="56"/>
        <v>1+0.0000137787513832993i</v>
      </c>
      <c r="AK22" s="51">
        <f t="shared" si="77"/>
        <v>1.000000000094927</v>
      </c>
      <c r="AL22" s="51">
        <f t="shared" si="78"/>
        <v>1.3778751382427317E-5</v>
      </c>
      <c r="AM22" s="51" t="str">
        <f t="shared" si="57"/>
        <v>1-0.00003572935495206i</v>
      </c>
      <c r="AN22" s="51">
        <f t="shared" si="79"/>
        <v>1.0000000006382934</v>
      </c>
      <c r="AO22" s="51">
        <f t="shared" si="80"/>
        <v>-3.5729354936856127E-5</v>
      </c>
      <c r="AP22" s="60" t="str">
        <f t="shared" si="81"/>
        <v>42.1688324284501-0.257264132484456i</v>
      </c>
      <c r="AQ22" s="51">
        <f t="shared" si="82"/>
        <v>32.499993169536793</v>
      </c>
      <c r="AR22" s="63">
        <f t="shared" si="83"/>
        <v>-0.34954646099982994</v>
      </c>
      <c r="AS22" s="32" t="str">
        <f t="shared" si="58"/>
        <v>-0.000133283554228113</v>
      </c>
      <c r="AT22" s="32" t="str">
        <f t="shared" si="59"/>
        <v>4.20940854759793E-06i</v>
      </c>
      <c r="AU22" s="32">
        <f t="shared" si="84"/>
        <v>4.2094085475979304E-6</v>
      </c>
      <c r="AV22" s="32">
        <f t="shared" si="85"/>
        <v>1.5707963267948966</v>
      </c>
      <c r="AW22" s="32" t="str">
        <f t="shared" si="60"/>
        <v>1+0.000735983886725678i</v>
      </c>
      <c r="AX22" s="32">
        <f t="shared" si="86"/>
        <v>1.000000270836104</v>
      </c>
      <c r="AY22" s="32">
        <f t="shared" si="87"/>
        <v>7.3598375383836408E-4</v>
      </c>
      <c r="AZ22" s="32" t="str">
        <f t="shared" si="61"/>
        <v>1+0.0109679549948631i</v>
      </c>
      <c r="BA22" s="32">
        <f t="shared" si="88"/>
        <v>1.0000601462096015</v>
      </c>
      <c r="BB22" s="32">
        <f t="shared" si="89"/>
        <v>1.0967515226098346E-2</v>
      </c>
      <c r="BC22" s="60" t="str">
        <f t="shared" si="90"/>
        <v>-0.323977281350625+31.6634882124263i</v>
      </c>
      <c r="BD22" s="51">
        <f t="shared" si="91"/>
        <v>30.011629791229247</v>
      </c>
      <c r="BE22" s="63">
        <f t="shared" si="92"/>
        <v>90.586223571315756</v>
      </c>
      <c r="BF22" s="60" t="str">
        <f t="shared" si="93"/>
        <v>27.4200356043501+1155.78029944202i</v>
      </c>
      <c r="BG22" s="66">
        <f t="shared" si="94"/>
        <v>61.259949448985495</v>
      </c>
      <c r="BH22" s="63">
        <f t="shared" si="95"/>
        <v>88.640954804486427</v>
      </c>
      <c r="BI22" s="60" t="str">
        <f t="shared" si="96"/>
        <v>-5.51586386149769+1335.29567626424i</v>
      </c>
      <c r="BJ22" s="66">
        <f t="shared" si="97"/>
        <v>62.511622960766033</v>
      </c>
      <c r="BK22" s="63">
        <f t="shared" si="98"/>
        <v>90.236677110315938</v>
      </c>
      <c r="BL22" s="51">
        <f t="shared" si="99"/>
        <v>61.259949448985495</v>
      </c>
      <c r="BM22" s="63">
        <f t="shared" si="100"/>
        <v>88.640954804486427</v>
      </c>
    </row>
    <row r="23" spans="1:65" x14ac:dyDescent="0.35">
      <c r="A23" t="s">
        <v>169</v>
      </c>
      <c r="B23" s="45">
        <f>Lm</f>
        <v>9.9999999999999991E-6</v>
      </c>
      <c r="C23" t="s">
        <v>86</v>
      </c>
      <c r="E23" t="s">
        <v>170</v>
      </c>
      <c r="N23" s="11">
        <v>5</v>
      </c>
      <c r="O23" s="52">
        <f t="shared" si="62"/>
        <v>11.220184543019636</v>
      </c>
      <c r="P23" s="50" t="str">
        <f t="shared" si="50"/>
        <v>36.531007751938</v>
      </c>
      <c r="Q23" s="18" t="str">
        <f t="shared" si="51"/>
        <v>1+0.0344294993478008i</v>
      </c>
      <c r="R23" s="18">
        <f t="shared" si="63"/>
        <v>1.0005925196728886</v>
      </c>
      <c r="S23" s="18">
        <f t="shared" si="64"/>
        <v>3.4415904882382491E-2</v>
      </c>
      <c r="T23" s="18" t="str">
        <f t="shared" si="52"/>
        <v>1+0.0000140996997329089i</v>
      </c>
      <c r="U23" s="18">
        <f t="shared" si="65"/>
        <v>1.0000000000994009</v>
      </c>
      <c r="V23" s="18">
        <f t="shared" si="66"/>
        <v>1.4099699731974554E-5</v>
      </c>
      <c r="W23" s="32" t="str">
        <f t="shared" si="53"/>
        <v>1-0.000233604492616242i</v>
      </c>
      <c r="X23" s="18">
        <f t="shared" si="67"/>
        <v>1.0000000272855292</v>
      </c>
      <c r="Y23" s="18">
        <f t="shared" si="68"/>
        <v>-2.3360448836689396E-4</v>
      </c>
      <c r="Z23" s="32" t="str">
        <f t="shared" si="54"/>
        <v>0.999999997398914+0.000106152122502144i</v>
      </c>
      <c r="AA23" s="18">
        <f t="shared" si="69"/>
        <v>1.0000000030330505</v>
      </c>
      <c r="AB23" s="18">
        <f t="shared" si="70"/>
        <v>1.0615212237953776E-4</v>
      </c>
      <c r="AC23" s="68" t="str">
        <f t="shared" si="71"/>
        <v>36.4873453614693-1.26813760854586i</v>
      </c>
      <c r="AD23" s="66">
        <f t="shared" si="72"/>
        <v>31.248088233439788</v>
      </c>
      <c r="AE23" s="63">
        <f t="shared" si="73"/>
        <v>-1.9905448644545993</v>
      </c>
      <c r="AF23" s="51" t="str">
        <f t="shared" si="74"/>
        <v>42.1703962805665</v>
      </c>
      <c r="AG23" s="51" t="str">
        <f t="shared" si="55"/>
        <v>1+0.00622045576451865i</v>
      </c>
      <c r="AH23" s="51">
        <f t="shared" si="75"/>
        <v>1.0000193468478089</v>
      </c>
      <c r="AI23" s="51">
        <f t="shared" si="76"/>
        <v>6.2203755347978651E-3</v>
      </c>
      <c r="AJ23" s="51" t="str">
        <f t="shared" si="56"/>
        <v>1+0.0000140996997329089i</v>
      </c>
      <c r="AK23" s="51">
        <f t="shared" si="77"/>
        <v>1.0000000000994009</v>
      </c>
      <c r="AL23" s="51">
        <f t="shared" si="78"/>
        <v>1.4099699731974554E-5</v>
      </c>
      <c r="AM23" s="51" t="str">
        <f t="shared" si="57"/>
        <v>1-0.0000365615985411546i</v>
      </c>
      <c r="AN23" s="51">
        <f t="shared" si="79"/>
        <v>1.0000000006683751</v>
      </c>
      <c r="AO23" s="51">
        <f t="shared" si="80"/>
        <v>-3.6561598524863356E-5</v>
      </c>
      <c r="AP23" s="60" t="str">
        <f t="shared" si="81"/>
        <v>42.1687587292223-0.263256125493745i</v>
      </c>
      <c r="AQ23" s="51">
        <f t="shared" si="82"/>
        <v>32.499985606797651</v>
      </c>
      <c r="AR23" s="63">
        <f t="shared" si="83"/>
        <v>-0.35768823713103298</v>
      </c>
      <c r="AS23" s="32" t="str">
        <f t="shared" si="58"/>
        <v>-0.000133283554228113</v>
      </c>
      <c r="AT23" s="32" t="str">
        <f t="shared" si="59"/>
        <v>4.30745826840367E-06i</v>
      </c>
      <c r="AU23" s="32">
        <f t="shared" si="84"/>
        <v>4.3074582684036701E-6</v>
      </c>
      <c r="AV23" s="32">
        <f t="shared" si="85"/>
        <v>1.5707963267948966</v>
      </c>
      <c r="AW23" s="32" t="str">
        <f t="shared" si="60"/>
        <v>1+0.000753127153717938i</v>
      </c>
      <c r="AX23" s="32">
        <f t="shared" si="86"/>
        <v>1.0000002836002146</v>
      </c>
      <c r="AY23" s="32">
        <f t="shared" si="87"/>
        <v>7.5312701132661806E-4</v>
      </c>
      <c r="AZ23" s="32" t="str">
        <f t="shared" si="61"/>
        <v>1+0.0112234314858941i</v>
      </c>
      <c r="BA23" s="32">
        <f t="shared" si="88"/>
        <v>1.0000629807238735</v>
      </c>
      <c r="BB23" s="32">
        <f t="shared" si="89"/>
        <v>1.1222960266775576E-2</v>
      </c>
      <c r="BC23" s="60" t="str">
        <f t="shared" si="90"/>
        <v>-0.323977273080065+30.9427502081051i</v>
      </c>
      <c r="BD23" s="51">
        <f t="shared" si="91"/>
        <v>29.811654299124108</v>
      </c>
      <c r="BE23" s="63">
        <f t="shared" si="92"/>
        <v>90.599877257742932</v>
      </c>
      <c r="BF23" s="60" t="str">
        <f t="shared" si="93"/>
        <v>27.4185945985989+1129.42966104111i</v>
      </c>
      <c r="BG23" s="66">
        <f t="shared" si="94"/>
        <v>61.05974253256386</v>
      </c>
      <c r="BH23" s="63">
        <f t="shared" si="95"/>
        <v>88.609332393288355</v>
      </c>
      <c r="BI23" s="60" t="str">
        <f t="shared" si="96"/>
        <v>-5.51585093035811+1304.90265694584i</v>
      </c>
      <c r="BJ23" s="66">
        <f t="shared" si="97"/>
        <v>62.311639905921787</v>
      </c>
      <c r="BK23" s="63">
        <f t="shared" si="98"/>
        <v>90.242189020611903</v>
      </c>
      <c r="BL23" s="51">
        <f t="shared" si="99"/>
        <v>61.05974253256386</v>
      </c>
      <c r="BM23" s="63">
        <f t="shared" si="100"/>
        <v>88.609332393288355</v>
      </c>
    </row>
    <row r="24" spans="1:65" x14ac:dyDescent="0.35">
      <c r="A24" s="32"/>
      <c r="B24" s="32"/>
      <c r="C24" s="32"/>
      <c r="D24" s="32"/>
      <c r="E24" s="32"/>
      <c r="F24" s="32"/>
      <c r="G24" s="32"/>
      <c r="N24" s="11">
        <v>6</v>
      </c>
      <c r="O24" s="52">
        <f t="shared" si="62"/>
        <v>11.481536214968834</v>
      </c>
      <c r="P24" s="50" t="str">
        <f t="shared" si="50"/>
        <v>36.531007751938</v>
      </c>
      <c r="Q24" s="18" t="str">
        <f t="shared" si="51"/>
        <v>1+0.0352314654103393i</v>
      </c>
      <c r="R24" s="18">
        <f t="shared" si="63"/>
        <v>1.0006204356073085</v>
      </c>
      <c r="S24" s="18">
        <f t="shared" si="64"/>
        <v>3.5216899165969373E-2</v>
      </c>
      <c r="T24" s="18" t="str">
        <f t="shared" si="52"/>
        <v>1+0.0000144281239299485i</v>
      </c>
      <c r="U24" s="18">
        <f t="shared" si="65"/>
        <v>1.0000000001040854</v>
      </c>
      <c r="V24" s="18">
        <f t="shared" si="66"/>
        <v>1.442812392894733E-5</v>
      </c>
      <c r="W24" s="32" t="str">
        <f t="shared" si="53"/>
        <v>1-0.000239045840259502i</v>
      </c>
      <c r="X24" s="18">
        <f t="shared" si="67"/>
        <v>1.0000000285714565</v>
      </c>
      <c r="Y24" s="18">
        <f t="shared" si="68"/>
        <v>-2.3904583570624353E-4</v>
      </c>
      <c r="Z24" s="32" t="str">
        <f t="shared" si="54"/>
        <v>0.999999997276329+0.000108624723072172i</v>
      </c>
      <c r="AA24" s="18">
        <f t="shared" si="69"/>
        <v>1.0000000031759941</v>
      </c>
      <c r="AB24" s="18">
        <f t="shared" si="70"/>
        <v>1.0862472294079701E-4</v>
      </c>
      <c r="AC24" s="68" t="str">
        <f t="shared" si="71"/>
        <v>36.4852901674245-1.29760392057088i</v>
      </c>
      <c r="AD24" s="66">
        <f t="shared" si="72"/>
        <v>31.247845915649151</v>
      </c>
      <c r="AE24" s="63">
        <f t="shared" si="73"/>
        <v>-2.0368730748118473</v>
      </c>
      <c r="AF24" s="51" t="str">
        <f t="shared" si="74"/>
        <v>42.1703962805665</v>
      </c>
      <c r="AG24" s="51" t="str">
        <f t="shared" si="55"/>
        <v>1+0.00636534879262436i</v>
      </c>
      <c r="AH24" s="51">
        <f t="shared" si="75"/>
        <v>1.0000202586274198</v>
      </c>
      <c r="AI24" s="51">
        <f t="shared" si="76"/>
        <v>6.3652628250237438E-3</v>
      </c>
      <c r="AJ24" s="51" t="str">
        <f t="shared" si="56"/>
        <v>1+0.0000144281239299485i</v>
      </c>
      <c r="AK24" s="51">
        <f t="shared" si="77"/>
        <v>1.0000000001040854</v>
      </c>
      <c r="AL24" s="51">
        <f t="shared" si="78"/>
        <v>1.442812392894733E-5</v>
      </c>
      <c r="AM24" s="51" t="str">
        <f t="shared" si="57"/>
        <v>1-0.0000374132275737458i</v>
      </c>
      <c r="AN24" s="51">
        <f t="shared" si="79"/>
        <v>1.0000000006998748</v>
      </c>
      <c r="AO24" s="51">
        <f t="shared" si="80"/>
        <v>-3.741322755628942E-5</v>
      </c>
      <c r="AP24" s="60" t="str">
        <f t="shared" si="81"/>
        <v>42.1686815569319-0.269387657164187i</v>
      </c>
      <c r="AQ24" s="51">
        <f t="shared" si="82"/>
        <v>32.499977687651686</v>
      </c>
      <c r="AR24" s="63">
        <f t="shared" si="83"/>
        <v>-0.36601964479489829</v>
      </c>
      <c r="AS24" s="32" t="str">
        <f t="shared" si="58"/>
        <v>-0.000133283554228113</v>
      </c>
      <c r="AT24" s="32" t="str">
        <f t="shared" si="59"/>
        <v>4.40779186059927E-06i</v>
      </c>
      <c r="AU24" s="32">
        <f t="shared" si="84"/>
        <v>4.40779186059927E-6</v>
      </c>
      <c r="AV24" s="32">
        <f t="shared" si="85"/>
        <v>1.5707963267948966</v>
      </c>
      <c r="AW24" s="32" t="str">
        <f t="shared" si="60"/>
        <v>1+0.000770669738695917i</v>
      </c>
      <c r="AX24" s="32">
        <f t="shared" si="86"/>
        <v>1.000000296965879</v>
      </c>
      <c r="AY24" s="32">
        <f t="shared" si="87"/>
        <v>7.7066958612087122E-4</v>
      </c>
      <c r="AZ24" s="32" t="str">
        <f t="shared" si="61"/>
        <v>1+0.0114848587888586i</v>
      </c>
      <c r="BA24" s="32">
        <f t="shared" si="88"/>
        <v>1.0000659488160768</v>
      </c>
      <c r="BB24" s="32">
        <f t="shared" si="89"/>
        <v>1.1484353870274406E-2</v>
      </c>
      <c r="BC24" s="60" t="str">
        <f t="shared" si="90"/>
        <v>-0.323977264419723+30.2384184595196i</v>
      </c>
      <c r="BD24" s="51">
        <f t="shared" si="91"/>
        <v>29.611679961890964</v>
      </c>
      <c r="BE24" s="63">
        <f t="shared" si="92"/>
        <v>90.613848892517638</v>
      </c>
      <c r="BF24" s="60" t="str">
        <f t="shared" si="93"/>
        <v>27.4170858449335+1103.67786586806i</v>
      </c>
      <c r="BG24" s="66">
        <f t="shared" si="94"/>
        <v>60.859525877540079</v>
      </c>
      <c r="BH24" s="63">
        <f t="shared" si="95"/>
        <v>88.576975817705787</v>
      </c>
      <c r="BI24" s="60" t="str">
        <f t="shared" si="96"/>
        <v>-5.51583738984093+1275.20151428097i</v>
      </c>
      <c r="BJ24" s="66">
        <f t="shared" si="97"/>
        <v>62.111657649542657</v>
      </c>
      <c r="BK24" s="63">
        <f t="shared" si="98"/>
        <v>90.247829247722734</v>
      </c>
      <c r="BL24" s="51">
        <f t="shared" si="99"/>
        <v>60.859525877540079</v>
      </c>
      <c r="BM24" s="63">
        <f t="shared" si="100"/>
        <v>88.576975817705787</v>
      </c>
    </row>
    <row r="25" spans="1:65" x14ac:dyDescent="0.35">
      <c r="A25" t="s">
        <v>130</v>
      </c>
      <c r="B25" s="45">
        <f>R_cs</f>
        <v>8.9999999999999993E-3</v>
      </c>
      <c r="C25" s="2" t="s">
        <v>36</v>
      </c>
      <c r="E25" t="s">
        <v>171</v>
      </c>
      <c r="N25" s="11">
        <v>7</v>
      </c>
      <c r="O25" s="52">
        <f t="shared" si="62"/>
        <v>11.748975549395301</v>
      </c>
      <c r="P25" s="50" t="str">
        <f t="shared" si="50"/>
        <v>36.531007751938</v>
      </c>
      <c r="Q25" s="18" t="str">
        <f t="shared" si="51"/>
        <v>1+0.036052111662182i</v>
      </c>
      <c r="R25" s="18">
        <f t="shared" si="63"/>
        <v>1.0006496663444717</v>
      </c>
      <c r="S25" s="18">
        <f t="shared" si="64"/>
        <v>3.6036504197377292E-2</v>
      </c>
      <c r="T25" s="18" t="str">
        <f t="shared" si="52"/>
        <v>1+0.0000147641981092746i</v>
      </c>
      <c r="U25" s="18">
        <f t="shared" si="65"/>
        <v>1.0000000001089908</v>
      </c>
      <c r="V25" s="18">
        <f t="shared" si="66"/>
        <v>1.4764198108201826E-5</v>
      </c>
      <c r="W25" s="32" t="str">
        <f t="shared" si="53"/>
        <v>1-0.000244613933171413i</v>
      </c>
      <c r="X25" s="18">
        <f t="shared" si="67"/>
        <v>1.0000000299179876</v>
      </c>
      <c r="Y25" s="18">
        <f t="shared" si="68"/>
        <v>-2.446139282925087E-4</v>
      </c>
      <c r="Z25" s="32" t="str">
        <f t="shared" si="54"/>
        <v>0.999999997147966+0.000111154917908191i</v>
      </c>
      <c r="AA25" s="18">
        <f t="shared" si="69"/>
        <v>1.0000000033256737</v>
      </c>
      <c r="AB25" s="18">
        <f t="shared" si="70"/>
        <v>1.1115491776742019E-4</v>
      </c>
      <c r="AC25" s="68" t="str">
        <f t="shared" si="71"/>
        <v>36.483138360867-1.32775142150178i</v>
      </c>
      <c r="AD25" s="66">
        <f t="shared" si="72"/>
        <v>31.247592192264349</v>
      </c>
      <c r="AE25" s="63">
        <f t="shared" si="73"/>
        <v>-2.084277726037175</v>
      </c>
      <c r="AF25" s="51" t="str">
        <f t="shared" si="74"/>
        <v>42.1703962805665</v>
      </c>
      <c r="AG25" s="51" t="str">
        <f t="shared" si="55"/>
        <v>1+0.00651361681291527i</v>
      </c>
      <c r="AH25" s="51">
        <f t="shared" si="75"/>
        <v>1.000021213376989</v>
      </c>
      <c r="AI25" s="51">
        <f t="shared" si="76"/>
        <v>6.5135246970771206E-3</v>
      </c>
      <c r="AJ25" s="51" t="str">
        <f t="shared" si="56"/>
        <v>1+0.0000147641981092746i</v>
      </c>
      <c r="AK25" s="51">
        <f t="shared" si="77"/>
        <v>1.0000000001089908</v>
      </c>
      <c r="AL25" s="51">
        <f t="shared" si="78"/>
        <v>1.4764198108201826E-5</v>
      </c>
      <c r="AM25" s="51" t="str">
        <f t="shared" si="57"/>
        <v>1-0.0000382846935948192i</v>
      </c>
      <c r="AN25" s="51">
        <f t="shared" si="79"/>
        <v>1.0000000007328589</v>
      </c>
      <c r="AO25" s="51">
        <f t="shared" si="80"/>
        <v>-3.8284693576114349E-5</v>
      </c>
      <c r="AP25" s="60" t="str">
        <f t="shared" si="81"/>
        <v>42.1686007479252-0.275661975424138i</v>
      </c>
      <c r="AQ25" s="51">
        <f t="shared" si="82"/>
        <v>32.499969395303367</v>
      </c>
      <c r="AR25" s="63">
        <f t="shared" si="83"/>
        <v>-0.37454510001911545</v>
      </c>
      <c r="AS25" s="32" t="str">
        <f t="shared" si="58"/>
        <v>-0.000133283554228113</v>
      </c>
      <c r="AT25" s="32" t="str">
        <f t="shared" si="59"/>
        <v>4.51046252238338E-06i</v>
      </c>
      <c r="AU25" s="32">
        <f t="shared" si="84"/>
        <v>4.5104625223833803E-6</v>
      </c>
      <c r="AV25" s="32">
        <f t="shared" si="85"/>
        <v>1.5707963267948966</v>
      </c>
      <c r="AW25" s="32" t="str">
        <f t="shared" si="60"/>
        <v>1+0.000788620942970372i</v>
      </c>
      <c r="AX25" s="32">
        <f t="shared" si="86"/>
        <v>1.0000003109614475</v>
      </c>
      <c r="AY25" s="32">
        <f t="shared" si="87"/>
        <v>7.8862077948326761E-4</v>
      </c>
      <c r="AZ25" s="32" t="str">
        <f t="shared" si="61"/>
        <v>1+0.0117523755159731i</v>
      </c>
      <c r="BA25" s="32">
        <f t="shared" si="88"/>
        <v>1.0000690567807147</v>
      </c>
      <c r="BB25" s="32">
        <f t="shared" si="89"/>
        <v>1.175183448798027E-2</v>
      </c>
      <c r="BC25" s="60" t="str">
        <f t="shared" si="90"/>
        <v>-0.323977255351237+29.5501195206533i</v>
      </c>
      <c r="BD25" s="51">
        <f t="shared" si="91"/>
        <v>29.411706833942706</v>
      </c>
      <c r="BE25" s="63">
        <f t="shared" si="92"/>
        <v>90.628145875396839</v>
      </c>
      <c r="BF25" s="60" t="str">
        <f t="shared" si="93"/>
        <v>27.4155061663418+1078.51126031348i</v>
      </c>
      <c r="BG25" s="66">
        <f t="shared" si="94"/>
        <v>60.659299026207066</v>
      </c>
      <c r="BH25" s="63">
        <f t="shared" si="95"/>
        <v>88.543868149359682</v>
      </c>
      <c r="BI25" s="60" t="str">
        <f t="shared" si="96"/>
        <v>-5.51582321123226+1246.1765003301i</v>
      </c>
      <c r="BJ25" s="66">
        <f t="shared" si="97"/>
        <v>61.911676229246055</v>
      </c>
      <c r="BK25" s="63">
        <f t="shared" si="98"/>
        <v>90.25360077537772</v>
      </c>
      <c r="BL25" s="51">
        <f t="shared" si="99"/>
        <v>60.659299026207066</v>
      </c>
      <c r="BM25" s="63">
        <f t="shared" si="100"/>
        <v>88.543868149359682</v>
      </c>
    </row>
    <row r="26" spans="1:65" s="32" customFormat="1" x14ac:dyDescent="0.35">
      <c r="A26" t="s">
        <v>131</v>
      </c>
      <c r="B26" s="45">
        <f>R_sl</f>
        <v>0</v>
      </c>
      <c r="C26" s="2" t="s">
        <v>36</v>
      </c>
      <c r="D26"/>
      <c r="E26" t="s">
        <v>172</v>
      </c>
      <c r="F26"/>
      <c r="G26"/>
      <c r="K26"/>
      <c r="N26" s="11">
        <v>8</v>
      </c>
      <c r="O26" s="52">
        <f t="shared" si="62"/>
        <v>12.022644346174133</v>
      </c>
      <c r="P26" s="50" t="str">
        <f t="shared" si="50"/>
        <v>36.531007751938</v>
      </c>
      <c r="Q26" s="18" t="str">
        <f t="shared" si="51"/>
        <v>1+0.0368918732208341i</v>
      </c>
      <c r="R26" s="18">
        <f t="shared" si="63"/>
        <v>1.0006802737686709</v>
      </c>
      <c r="S26" s="18">
        <f t="shared" si="64"/>
        <v>3.6875150134953731E-2</v>
      </c>
      <c r="T26" s="18" t="str">
        <f t="shared" si="52"/>
        <v>1+0.0000151081004618654i</v>
      </c>
      <c r="U26" s="18">
        <f t="shared" si="65"/>
        <v>1.0000000001141274</v>
      </c>
      <c r="V26" s="18">
        <f t="shared" si="66"/>
        <v>1.5108100460715901E-5</v>
      </c>
      <c r="W26" s="32" t="str">
        <f t="shared" si="53"/>
        <v>1-0.000250311723628539i</v>
      </c>
      <c r="X26" s="18">
        <f t="shared" si="67"/>
        <v>1.0000000313279791</v>
      </c>
      <c r="Y26" s="18">
        <f t="shared" si="68"/>
        <v>-2.5031171840069882E-4</v>
      </c>
      <c r="Z26" s="32" t="str">
        <f t="shared" si="54"/>
        <v>0.999999997013554+0.000113744048552994i</v>
      </c>
      <c r="AA26" s="18">
        <f t="shared" si="69"/>
        <v>1.0000000034824084</v>
      </c>
      <c r="AB26" s="18">
        <f t="shared" si="70"/>
        <v>1.1374404840215534E-4</v>
      </c>
      <c r="AC26" s="68" t="str">
        <f t="shared" si="71"/>
        <v>36.4808854122562-1.35859560961461i</v>
      </c>
      <c r="AD26" s="66">
        <f t="shared" si="72"/>
        <v>31.247326527152516</v>
      </c>
      <c r="AE26" s="63">
        <f t="shared" si="73"/>
        <v>-2.132783700196454</v>
      </c>
      <c r="AF26" s="51" t="str">
        <f t="shared" si="74"/>
        <v>42.1703962805665</v>
      </c>
      <c r="AG26" s="51" t="str">
        <f t="shared" si="55"/>
        <v>1+0.00666533843905828i</v>
      </c>
      <c r="AH26" s="51">
        <f t="shared" si="75"/>
        <v>1.0000222131215422</v>
      </c>
      <c r="AI26" s="51">
        <f t="shared" si="76"/>
        <v>6.6652397352777977E-3</v>
      </c>
      <c r="AJ26" s="51" t="str">
        <f t="shared" si="56"/>
        <v>1+0.0000151081004618654i</v>
      </c>
      <c r="AK26" s="51">
        <f t="shared" si="77"/>
        <v>1.0000000001141274</v>
      </c>
      <c r="AL26" s="51">
        <f t="shared" si="78"/>
        <v>1.5108100460715901E-5</v>
      </c>
      <c r="AM26" s="51" t="str">
        <f t="shared" si="57"/>
        <v>1-0.0000391764586671943i</v>
      </c>
      <c r="AN26" s="51">
        <f t="shared" si="79"/>
        <v>1.0000000007673975</v>
      </c>
      <c r="AO26" s="51">
        <f t="shared" si="80"/>
        <v>-3.917645864715169E-5</v>
      </c>
      <c r="AP26" s="60" t="str">
        <f t="shared" si="81"/>
        <v>42.1685161308381-0.282082403688266i</v>
      </c>
      <c r="AQ26" s="51">
        <f t="shared" si="82"/>
        <v>32.499960712165674</v>
      </c>
      <c r="AR26" s="63">
        <f t="shared" si="83"/>
        <v>-0.38326912161820426</v>
      </c>
      <c r="AS26" s="32" t="str">
        <f t="shared" si="58"/>
        <v>-0.000133283554228113</v>
      </c>
      <c r="AT26" s="32" t="str">
        <f t="shared" si="59"/>
        <v>4.61552469109988E-06i</v>
      </c>
      <c r="AU26" s="32">
        <f t="shared" si="84"/>
        <v>4.6155246910998796E-6</v>
      </c>
      <c r="AV26" s="32">
        <f t="shared" si="85"/>
        <v>1.5707963267948966</v>
      </c>
      <c r="AW26" s="32" t="str">
        <f t="shared" si="60"/>
        <v>1+0.00080699028450742i</v>
      </c>
      <c r="AX26" s="32">
        <f t="shared" si="86"/>
        <v>1.0000003256166066</v>
      </c>
      <c r="AY26" s="32">
        <f t="shared" si="87"/>
        <v>8.0699010932783449E-4</v>
      </c>
      <c r="AZ26" s="32" t="str">
        <f t="shared" si="61"/>
        <v>1+0.0120261235081472i</v>
      </c>
      <c r="BA26" s="32">
        <f t="shared" si="88"/>
        <v>1.0000723112088612</v>
      </c>
      <c r="BB26" s="32">
        <f t="shared" si="89"/>
        <v>1.2025543788472095E-2</v>
      </c>
      <c r="BC26" s="60" t="str">
        <f t="shared" si="90"/>
        <v>-0.323977245855363+28.8774884462985i</v>
      </c>
      <c r="BD26" s="51">
        <f t="shared" si="91"/>
        <v>29.211734972255478</v>
      </c>
      <c r="BE26" s="63">
        <f t="shared" si="92"/>
        <v>90.642775778055935</v>
      </c>
      <c r="BF26" s="60" t="str">
        <f t="shared" si="93"/>
        <v>27.4138522376099+1053.916501067i</v>
      </c>
      <c r="BG26" s="66">
        <f t="shared" si="94"/>
        <v>60.459061499407973</v>
      </c>
      <c r="BH26" s="63">
        <f t="shared" si="95"/>
        <v>88.509992077859465</v>
      </c>
      <c r="BI26" s="60" t="str">
        <f t="shared" si="96"/>
        <v>-5.51580836446437+1217.81222564608i</v>
      </c>
      <c r="BJ26" s="66">
        <f t="shared" si="97"/>
        <v>61.711695684421144</v>
      </c>
      <c r="BK26" s="63">
        <f t="shared" si="98"/>
        <v>90.259506656437722</v>
      </c>
      <c r="BL26" s="51">
        <f t="shared" si="99"/>
        <v>60.459061499407973</v>
      </c>
      <c r="BM26" s="63">
        <f t="shared" si="100"/>
        <v>88.509992077859465</v>
      </c>
    </row>
    <row r="27" spans="1:65" s="32" customFormat="1" x14ac:dyDescent="0.35">
      <c r="A27" t="s">
        <v>118</v>
      </c>
      <c r="B27" s="22">
        <f>Rsl_int</f>
        <v>1333</v>
      </c>
      <c r="C27" s="2" t="s">
        <v>36</v>
      </c>
      <c r="D27"/>
      <c r="E27" t="s">
        <v>173</v>
      </c>
      <c r="F27"/>
      <c r="G27"/>
      <c r="K27"/>
      <c r="N27" s="11">
        <v>9</v>
      </c>
      <c r="O27" s="52">
        <f t="shared" si="62"/>
        <v>12.302687708123818</v>
      </c>
      <c r="P27" s="50" t="str">
        <f t="shared" si="50"/>
        <v>36.531007751938</v>
      </c>
      <c r="Q27" s="18" t="str">
        <f t="shared" si="51"/>
        <v>1+0.0377511953389896i</v>
      </c>
      <c r="R27" s="18">
        <f t="shared" si="63"/>
        <v>1.0007123226729662</v>
      </c>
      <c r="S27" s="18">
        <f t="shared" si="64"/>
        <v>3.7733276918442617E-2</v>
      </c>
      <c r="T27" s="18" t="str">
        <f t="shared" si="52"/>
        <v>1+0.0000154600133293005i</v>
      </c>
      <c r="U27" s="18">
        <f t="shared" si="65"/>
        <v>1.000000000119506</v>
      </c>
      <c r="V27" s="18">
        <f t="shared" si="66"/>
        <v>1.546001332806879E-5</v>
      </c>
      <c r="W27" s="32" t="str">
        <f t="shared" si="53"/>
        <v>1-0.000256142232674801i</v>
      </c>
      <c r="X27" s="18">
        <f t="shared" si="67"/>
        <v>1.0000000328044212</v>
      </c>
      <c r="Y27" s="18">
        <f t="shared" si="68"/>
        <v>-2.5614222707306933E-4</v>
      </c>
      <c r="Z27" s="32" t="str">
        <f t="shared" si="54"/>
        <v>0.999999996872807+0.000116393487797921i</v>
      </c>
      <c r="AA27" s="18">
        <f t="shared" si="69"/>
        <v>1.0000000036465291</v>
      </c>
      <c r="AB27" s="18">
        <f t="shared" si="70"/>
        <v>1.1639348763629448E-4</v>
      </c>
      <c r="AC27" s="68" t="str">
        <f t="shared" si="71"/>
        <v>36.4785265808572-1.39015231795236i</v>
      </c>
      <c r="AD27" s="66">
        <f t="shared" si="72"/>
        <v>31.247048359048051</v>
      </c>
      <c r="AE27" s="63">
        <f t="shared" si="73"/>
        <v>-2.1824164452809902</v>
      </c>
      <c r="AF27" s="51" t="str">
        <f t="shared" si="74"/>
        <v>42.1703962805665</v>
      </c>
      <c r="AG27" s="51" t="str">
        <f t="shared" si="55"/>
        <v>1+0.00682059411586789i</v>
      </c>
      <c r="AH27" s="51">
        <f t="shared" si="75"/>
        <v>1.0000232599815333</v>
      </c>
      <c r="AI27" s="51">
        <f t="shared" si="76"/>
        <v>6.8204883529944639E-3</v>
      </c>
      <c r="AJ27" s="51" t="str">
        <f t="shared" si="56"/>
        <v>1+0.0000154600133293005i</v>
      </c>
      <c r="AK27" s="51">
        <f t="shared" si="77"/>
        <v>1.000000000119506</v>
      </c>
      <c r="AL27" s="51">
        <f t="shared" si="78"/>
        <v>1.546001332806879E-5</v>
      </c>
      <c r="AM27" s="51" t="str">
        <f t="shared" si="57"/>
        <v>1-0.0000400889956165165i</v>
      </c>
      <c r="AN27" s="51">
        <f t="shared" si="79"/>
        <v>1.0000000008035637</v>
      </c>
      <c r="AO27" s="51">
        <f t="shared" si="80"/>
        <v>-4.0088995595040457E-5</v>
      </c>
      <c r="AP27" s="60" t="str">
        <f t="shared" si="81"/>
        <v>42.1684275262332-0.288652342603867i</v>
      </c>
      <c r="AQ27" s="51">
        <f t="shared" si="82"/>
        <v>32.499951619822909</v>
      </c>
      <c r="AR27" s="63">
        <f t="shared" si="83"/>
        <v>-0.39219633358231731</v>
      </c>
      <c r="AS27" s="32" t="str">
        <f t="shared" si="58"/>
        <v>-0.000133283554228113</v>
      </c>
      <c r="AT27" s="32" t="str">
        <f t="shared" si="59"/>
        <v>0.0000047230340721013i</v>
      </c>
      <c r="AU27" s="32">
        <f t="shared" si="84"/>
        <v>4.7230340721013003E-6</v>
      </c>
      <c r="AV27" s="32">
        <f t="shared" si="85"/>
        <v>1.5707963267948966</v>
      </c>
      <c r="AW27" s="32" t="str">
        <f t="shared" si="60"/>
        <v>1+0.000825787502975096i</v>
      </c>
      <c r="AX27" s="32">
        <f t="shared" si="86"/>
        <v>1.0000003409624418</v>
      </c>
      <c r="AY27" s="32">
        <f t="shared" si="87"/>
        <v>8.2578731526679176E-4</v>
      </c>
      <c r="AZ27" s="32" t="str">
        <f t="shared" si="61"/>
        <v>1+0.0123062479101898i</v>
      </c>
      <c r="BA27" s="32">
        <f t="shared" si="88"/>
        <v>1.0000757190021299</v>
      </c>
      <c r="BB27" s="32">
        <f t="shared" si="89"/>
        <v>1.2305626731906398E-2</v>
      </c>
      <c r="BC27" s="60" t="str">
        <f t="shared" si="90"/>
        <v>-0.323977235911962+28.2201685985557i</v>
      </c>
      <c r="BD27" s="51">
        <f t="shared" si="91"/>
        <v>29.011764436488832</v>
      </c>
      <c r="BE27" s="63">
        <f t="shared" si="92"/>
        <v>90.657746348061366</v>
      </c>
      <c r="BF27" s="60" t="str">
        <f t="shared" si="93"/>
        <v>27.4121205784815+1029.88054804415i</v>
      </c>
      <c r="BG27" s="66">
        <f t="shared" si="94"/>
        <v>60.258812795536869</v>
      </c>
      <c r="BH27" s="63">
        <f t="shared" si="95"/>
        <v>88.475329902780373</v>
      </c>
      <c r="BI27" s="60" t="str">
        <f t="shared" si="96"/>
        <v>-5.51579281805374+1190.09365111437i</v>
      </c>
      <c r="BJ27" s="66">
        <f t="shared" si="97"/>
        <v>61.511716056311705</v>
      </c>
      <c r="BK27" s="63">
        <f t="shared" si="98"/>
        <v>90.265550014479047</v>
      </c>
      <c r="BL27" s="51">
        <f t="shared" si="99"/>
        <v>60.258812795536869</v>
      </c>
      <c r="BM27" s="63">
        <f t="shared" si="100"/>
        <v>88.475329902780373</v>
      </c>
    </row>
    <row r="28" spans="1:65" x14ac:dyDescent="0.35">
      <c r="A28" t="s">
        <v>116</v>
      </c>
      <c r="B28" s="22">
        <f>Isl</f>
        <v>2.9999999999999997E-5</v>
      </c>
      <c r="C28" s="2" t="s">
        <v>11</v>
      </c>
      <c r="E28" t="s">
        <v>174</v>
      </c>
      <c r="K28" s="32"/>
      <c r="N28" s="11">
        <v>10</v>
      </c>
      <c r="O28" s="52">
        <f t="shared" si="62"/>
        <v>12.58925411794168</v>
      </c>
      <c r="P28" s="50" t="str">
        <f t="shared" si="50"/>
        <v>36.531007751938</v>
      </c>
      <c r="Q28" s="18" t="str">
        <f t="shared" si="51"/>
        <v>1+0.0386305336406099i</v>
      </c>
      <c r="R28" s="18">
        <f t="shared" si="63"/>
        <v>1.0007458808955241</v>
      </c>
      <c r="S28" s="18">
        <f t="shared" si="64"/>
        <v>3.8611334479867407E-2</v>
      </c>
      <c r="T28" s="18" t="str">
        <f t="shared" si="52"/>
        <v>1+0.0000158201233004403i</v>
      </c>
      <c r="U28" s="18">
        <f t="shared" si="65"/>
        <v>1.0000000001251381</v>
      </c>
      <c r="V28" s="18">
        <f t="shared" si="66"/>
        <v>1.5820123299120501E-5</v>
      </c>
      <c r="W28" s="32" t="str">
        <f t="shared" si="53"/>
        <v>1-0.000262108551723271i</v>
      </c>
      <c r="X28" s="18">
        <f t="shared" si="67"/>
        <v>1.0000000343504458</v>
      </c>
      <c r="Y28" s="18">
        <f t="shared" si="68"/>
        <v>-2.6210854572090742E-4</v>
      </c>
      <c r="Z28" s="32" t="str">
        <f t="shared" si="54"/>
        <v>0.999999996725427+0.000119104640410728i</v>
      </c>
      <c r="AA28" s="18">
        <f t="shared" si="69"/>
        <v>1.0000000038183847</v>
      </c>
      <c r="AB28" s="18">
        <f t="shared" si="70"/>
        <v>1.1910464023754206E-4</v>
      </c>
      <c r="AC28" s="68" t="str">
        <f t="shared" si="71"/>
        <v>36.4760569050065-1.42243772026236i</v>
      </c>
      <c r="AD28" s="66">
        <f t="shared" si="72"/>
        <v>31.246757100381217</v>
      </c>
      <c r="AE28" s="63">
        <f t="shared" si="73"/>
        <v>-2.2332019874180933</v>
      </c>
      <c r="AF28" s="51" t="str">
        <f t="shared" si="74"/>
        <v>42.1703962805665</v>
      </c>
      <c r="AG28" s="51" t="str">
        <f t="shared" si="55"/>
        <v>1+0.00697946616195896i</v>
      </c>
      <c r="AH28" s="51">
        <f t="shared" si="75"/>
        <v>1.0000243561773412</v>
      </c>
      <c r="AI28" s="51">
        <f t="shared" si="76"/>
        <v>6.9793528351473786E-3</v>
      </c>
      <c r="AJ28" s="51" t="str">
        <f t="shared" si="56"/>
        <v>1+0.0000158201233004403i</v>
      </c>
      <c r="AK28" s="51">
        <f t="shared" si="77"/>
        <v>1.0000000001251381</v>
      </c>
      <c r="AL28" s="51">
        <f t="shared" si="78"/>
        <v>1.5820123299120501E-5</v>
      </c>
      <c r="AM28" s="51" t="str">
        <f t="shared" si="57"/>
        <v>1-0.0000410227882819553i</v>
      </c>
      <c r="AN28" s="51">
        <f t="shared" si="79"/>
        <v>1.0000000008414345</v>
      </c>
      <c r="AO28" s="51">
        <f t="shared" si="80"/>
        <v>-4.1022788258943308E-5</v>
      </c>
      <c r="AP28" s="60" t="str">
        <f t="shared" si="81"/>
        <v>42.1683347462196-0.295375271836995i</v>
      </c>
      <c r="AQ28" s="51">
        <f t="shared" si="82"/>
        <v>32.499942098991646</v>
      </c>
      <c r="AR28" s="63">
        <f t="shared" si="83"/>
        <v>-0.40133146752129056</v>
      </c>
      <c r="AS28" s="32" t="str">
        <f t="shared" si="58"/>
        <v>-0.000133283554228113</v>
      </c>
      <c r="AT28" s="32" t="str">
        <f t="shared" si="59"/>
        <v>0.0000048330476682845i</v>
      </c>
      <c r="AU28" s="32">
        <f t="shared" si="84"/>
        <v>4.8330476682845004E-6</v>
      </c>
      <c r="AV28" s="32">
        <f t="shared" si="85"/>
        <v>1.5707963267948966</v>
      </c>
      <c r="AW28" s="32" t="str">
        <f t="shared" si="60"/>
        <v>1+0.000845022564907439i</v>
      </c>
      <c r="AX28" s="32">
        <f t="shared" si="86"/>
        <v>1.0000003570315039</v>
      </c>
      <c r="AY28" s="32">
        <f t="shared" si="87"/>
        <v>8.4502236377437116E-4</v>
      </c>
      <c r="AZ28" s="32" t="str">
        <f t="shared" si="61"/>
        <v>1+0.0125928972477669i</v>
      </c>
      <c r="BA28" s="32">
        <f t="shared" si="88"/>
        <v>1.0000792873873015</v>
      </c>
      <c r="BB28" s="32">
        <f t="shared" si="89"/>
        <v>1.2592231646094248E-2</v>
      </c>
      <c r="BC28" s="60" t="str">
        <f t="shared" si="90"/>
        <v>-0.323977225499946+27.5778114577413i</v>
      </c>
      <c r="BD28" s="51">
        <f t="shared" si="91"/>
        <v>28.811795289112577</v>
      </c>
      <c r="BE28" s="63">
        <f t="shared" si="92"/>
        <v>90.673065512933832</v>
      </c>
      <c r="BF28" s="60" t="str">
        <f t="shared" si="93"/>
        <v>27.4103075465126+1006.39065747417i</v>
      </c>
      <c r="BG28" s="66">
        <f t="shared" si="94"/>
        <v>60.058552389493805</v>
      </c>
      <c r="BH28" s="63">
        <f t="shared" si="95"/>
        <v>88.439863525515747</v>
      </c>
      <c r="BI28" s="60" t="str">
        <f t="shared" si="96"/>
        <v>-5.51577653903346+1163.00607997922i</v>
      </c>
      <c r="BJ28" s="66">
        <f t="shared" si="97"/>
        <v>61.311737388104255</v>
      </c>
      <c r="BK28" s="63">
        <f t="shared" si="98"/>
        <v>90.271734045412543</v>
      </c>
      <c r="BL28" s="51">
        <f t="shared" si="99"/>
        <v>60.058552389493805</v>
      </c>
      <c r="BM28" s="63">
        <f t="shared" si="100"/>
        <v>88.439863525515747</v>
      </c>
    </row>
    <row r="29" spans="1:65" x14ac:dyDescent="0.35">
      <c r="A29" s="32"/>
      <c r="B29" s="27"/>
      <c r="C29" s="2"/>
      <c r="D29" s="32"/>
      <c r="E29" s="32"/>
      <c r="F29" s="32"/>
      <c r="G29" s="32"/>
      <c r="N29" s="11">
        <v>11</v>
      </c>
      <c r="O29" s="52">
        <f t="shared" si="62"/>
        <v>12.882495516931346</v>
      </c>
      <c r="P29" s="50" t="str">
        <f t="shared" si="50"/>
        <v>36.531007751938</v>
      </c>
      <c r="Q29" s="18" t="str">
        <f t="shared" si="51"/>
        <v>1+0.039530354362502i</v>
      </c>
      <c r="R29" s="18">
        <f t="shared" si="63"/>
        <v>1.0007810194623121</v>
      </c>
      <c r="S29" s="18">
        <f t="shared" si="64"/>
        <v>3.9509782958124982E-2</v>
      </c>
      <c r="T29" s="18" t="str">
        <f t="shared" si="52"/>
        <v>1+0.000016188621310358i</v>
      </c>
      <c r="U29" s="18">
        <f t="shared" si="65"/>
        <v>1.0000000001310356</v>
      </c>
      <c r="V29" s="18">
        <f t="shared" si="66"/>
        <v>1.6188621308943806E-5</v>
      </c>
      <c r="W29" s="32" t="str">
        <f t="shared" si="53"/>
        <v>1-0.00026821384419528i</v>
      </c>
      <c r="X29" s="18">
        <f t="shared" si="67"/>
        <v>1.0000000359693324</v>
      </c>
      <c r="Y29" s="18">
        <f t="shared" si="68"/>
        <v>-2.6821383776363153E-4</v>
      </c>
      <c r="Z29" s="32" t="str">
        <f t="shared" si="54"/>
        <v>0.999999996571101+0.000121878943880417i</v>
      </c>
      <c r="AA29" s="18">
        <f t="shared" si="69"/>
        <v>1.0000000039983392</v>
      </c>
      <c r="AB29" s="18">
        <f t="shared" si="70"/>
        <v>1.2187894369484494E-4</v>
      </c>
      <c r="AC29" s="68" t="str">
        <f t="shared" si="71"/>
        <v>36.4734711919384-1.45546833694095i</v>
      </c>
      <c r="AD29" s="66">
        <f t="shared" si="72"/>
        <v>31.246452136052305</v>
      </c>
      <c r="AE29" s="63">
        <f t="shared" si="73"/>
        <v>-2.2851669432974098</v>
      </c>
      <c r="AF29" s="51" t="str">
        <f t="shared" si="74"/>
        <v>42.1703962805665</v>
      </c>
      <c r="AG29" s="51" t="str">
        <f t="shared" si="55"/>
        <v>1+0.00714203881339325i</v>
      </c>
      <c r="AH29" s="51">
        <f t="shared" si="75"/>
        <v>1.0000255040339781</v>
      </c>
      <c r="AI29" s="51">
        <f t="shared" si="76"/>
        <v>7.1419173816941002E-3</v>
      </c>
      <c r="AJ29" s="51" t="str">
        <f t="shared" si="56"/>
        <v>1+0.000016188621310358i</v>
      </c>
      <c r="AK29" s="51">
        <f t="shared" si="77"/>
        <v>1.0000000001310356</v>
      </c>
      <c r="AL29" s="51">
        <f t="shared" si="78"/>
        <v>1.6188621308943806E-5</v>
      </c>
      <c r="AM29" s="51" t="str">
        <f t="shared" si="57"/>
        <v>1-0.0000419783317727418i</v>
      </c>
      <c r="AN29" s="51">
        <f t="shared" si="79"/>
        <v>1.0000000008810901</v>
      </c>
      <c r="AO29" s="51">
        <f t="shared" si="80"/>
        <v>-4.1978331748083997E-5</v>
      </c>
      <c r="AP29" s="60" t="str">
        <f t="shared" si="81"/>
        <v>42.1682375940547-0.302254751899287i</v>
      </c>
      <c r="AQ29" s="51">
        <f t="shared" si="82"/>
        <v>32.499932129479802</v>
      </c>
      <c r="AR29" s="63">
        <f t="shared" si="83"/>
        <v>-0.41067936516522274</v>
      </c>
      <c r="AS29" s="32" t="str">
        <f t="shared" si="58"/>
        <v>-0.000133283554228113</v>
      </c>
      <c r="AT29" s="32" t="str">
        <f t="shared" si="59"/>
        <v>4.94562381031436E-06i</v>
      </c>
      <c r="AU29" s="32">
        <f t="shared" si="84"/>
        <v>4.9456238103143597E-6</v>
      </c>
      <c r="AV29" s="32">
        <f t="shared" si="85"/>
        <v>1.5707963267948966</v>
      </c>
      <c r="AW29" s="32" t="str">
        <f t="shared" si="60"/>
        <v>1+0.00086470566898889i</v>
      </c>
      <c r="AX29" s="32">
        <f t="shared" si="86"/>
        <v>1.0000003738578771</v>
      </c>
      <c r="AY29" s="32">
        <f t="shared" si="87"/>
        <v>8.6470545347092922E-4</v>
      </c>
      <c r="AZ29" s="32" t="str">
        <f t="shared" si="61"/>
        <v>1+0.0128862235061515i</v>
      </c>
      <c r="BA29" s="32">
        <f t="shared" si="88"/>
        <v>1.0000830239316387</v>
      </c>
      <c r="BB29" s="32">
        <f t="shared" si="89"/>
        <v>1.2885510304307386E-2</v>
      </c>
      <c r="BC29" s="60" t="str">
        <f t="shared" si="90"/>
        <v>-0.323977214597228+26.9500764375965i</v>
      </c>
      <c r="BD29" s="51">
        <f t="shared" si="91"/>
        <v>28.61182759553866</v>
      </c>
      <c r="BE29" s="63">
        <f t="shared" si="92"/>
        <v>90.688741384303313</v>
      </c>
      <c r="BF29" s="60" t="str">
        <f t="shared" si="93"/>
        <v>27.4084093296036+983.43437514495i</v>
      </c>
      <c r="BG29" s="66">
        <f t="shared" si="94"/>
        <v>59.858279731590962</v>
      </c>
      <c r="BH29" s="63">
        <f t="shared" si="95"/>
        <v>88.403574441005915</v>
      </c>
      <c r="BI29" s="60" t="str">
        <f t="shared" si="96"/>
        <v>-5.51575949288341+1136.53515005112i</v>
      </c>
      <c r="BJ29" s="66">
        <f t="shared" si="97"/>
        <v>61.111759725018437</v>
      </c>
      <c r="BK29" s="63">
        <f t="shared" si="98"/>
        <v>90.27806201913809</v>
      </c>
      <c r="BL29" s="51">
        <f t="shared" si="99"/>
        <v>59.858279731590962</v>
      </c>
      <c r="BM29" s="63">
        <f t="shared" si="100"/>
        <v>88.403574441005915</v>
      </c>
    </row>
    <row r="30" spans="1:65" x14ac:dyDescent="0.35">
      <c r="A30" s="32" t="s">
        <v>198</v>
      </c>
      <c r="B30" s="22">
        <f>Gcomp</f>
        <v>0.14499999999999999</v>
      </c>
      <c r="C30" s="2"/>
      <c r="D30" s="32"/>
      <c r="E30" s="32" t="s">
        <v>199</v>
      </c>
      <c r="F30" s="32"/>
      <c r="G30" s="32"/>
      <c r="N30" s="11">
        <v>12</v>
      </c>
      <c r="O30" s="52">
        <f t="shared" si="62"/>
        <v>13.182567385564075</v>
      </c>
      <c r="P30" s="50" t="str">
        <f t="shared" si="50"/>
        <v>36.531007751938</v>
      </c>
      <c r="Q30" s="18" t="str">
        <f t="shared" si="51"/>
        <v>1+0.0404511346015232i</v>
      </c>
      <c r="R30" s="18">
        <f t="shared" si="63"/>
        <v>1.0008178127364393</v>
      </c>
      <c r="S30" s="18">
        <f t="shared" si="64"/>
        <v>4.0429092917290771E-2</v>
      </c>
      <c r="T30" s="18" t="str">
        <f t="shared" si="52"/>
        <v>1+0.0000165657027415762i</v>
      </c>
      <c r="U30" s="18">
        <f t="shared" si="65"/>
        <v>1.0000000001372111</v>
      </c>
      <c r="V30" s="18">
        <f t="shared" si="66"/>
        <v>1.6565702740060863E-5</v>
      </c>
      <c r="W30" s="32" t="str">
        <f t="shared" si="53"/>
        <v>1-0.000274461347197712i</v>
      </c>
      <c r="X30" s="18">
        <f t="shared" si="67"/>
        <v>1.0000000376645148</v>
      </c>
      <c r="Y30" s="18">
        <f t="shared" si="68"/>
        <v>-2.7446134030607649E-4</v>
      </c>
      <c r="Z30" s="32" t="str">
        <f t="shared" si="54"/>
        <v>0.999999996409502+0.00012471786917941i</v>
      </c>
      <c r="AA30" s="18">
        <f t="shared" si="69"/>
        <v>1.0000000041867754</v>
      </c>
      <c r="AB30" s="18">
        <f t="shared" si="70"/>
        <v>1.2471786898056594E-4</v>
      </c>
      <c r="AC30" s="68" t="str">
        <f t="shared" si="71"/>
        <v>36.4707640071569-1.48926104097636i</v>
      </c>
      <c r="AD30" s="66">
        <f t="shared" si="72"/>
        <v>31.246132822150003</v>
      </c>
      <c r="AE30" s="63">
        <f t="shared" si="73"/>
        <v>-2.3383385328128359</v>
      </c>
      <c r="AF30" s="51" t="str">
        <f t="shared" si="74"/>
        <v>42.1703962805665</v>
      </c>
      <c r="AG30" s="51" t="str">
        <f t="shared" si="55"/>
        <v>1+0.00730839826834246i</v>
      </c>
      <c r="AH30" s="51">
        <f t="shared" si="75"/>
        <v>1.0000267059860195</v>
      </c>
      <c r="AI30" s="51">
        <f t="shared" si="76"/>
        <v>7.3082681521202224E-3</v>
      </c>
      <c r="AJ30" s="51" t="str">
        <f t="shared" si="56"/>
        <v>1+0.0000165657027415762i</v>
      </c>
      <c r="AK30" s="51">
        <f t="shared" si="77"/>
        <v>1.0000000001372111</v>
      </c>
      <c r="AL30" s="51">
        <f t="shared" si="78"/>
        <v>1.6565702740060863E-5</v>
      </c>
      <c r="AM30" s="51" t="str">
        <f t="shared" si="57"/>
        <v>1-0.0000429561327306832i</v>
      </c>
      <c r="AN30" s="51">
        <f t="shared" si="79"/>
        <v>1.0000000009226147</v>
      </c>
      <c r="AO30" s="51">
        <f t="shared" si="80"/>
        <v>-4.29561327042619E-5</v>
      </c>
      <c r="AP30" s="60" t="str">
        <f t="shared" si="81"/>
        <v>42.1681358637274-0.30929442601635i</v>
      </c>
      <c r="AQ30" s="51">
        <f t="shared" si="82"/>
        <v>32.499921690143871</v>
      </c>
      <c r="AR30" s="63">
        <f t="shared" si="83"/>
        <v>-0.42024498092284596</v>
      </c>
      <c r="AS30" s="32" t="str">
        <f t="shared" si="58"/>
        <v>-0.000133283554228113</v>
      </c>
      <c r="AT30" s="32" t="str">
        <f t="shared" si="59"/>
        <v>5.06082218755153E-06i</v>
      </c>
      <c r="AU30" s="32">
        <f t="shared" si="84"/>
        <v>5.0608221875515303E-6</v>
      </c>
      <c r="AV30" s="32">
        <f t="shared" si="85"/>
        <v>1.5707963267948966</v>
      </c>
      <c r="AW30" s="32" t="str">
        <f t="shared" si="60"/>
        <v>1+0.000884847251461773i</v>
      </c>
      <c r="AX30" s="32">
        <f t="shared" si="86"/>
        <v>1.0000003914772526</v>
      </c>
      <c r="AY30" s="32">
        <f t="shared" si="87"/>
        <v>8.8484702053012233E-4</v>
      </c>
      <c r="AZ30" s="32" t="str">
        <f t="shared" si="61"/>
        <v>1+0.0131863822108084i</v>
      </c>
      <c r="BA30" s="32">
        <f t="shared" si="88"/>
        <v>1.0000869365589222</v>
      </c>
      <c r="BB30" s="32">
        <f t="shared" si="89"/>
        <v>1.3185618004851771E-2</v>
      </c>
      <c r="BC30" s="60" t="str">
        <f t="shared" si="90"/>
        <v>-0.32397720318068+26.3366307047044i</v>
      </c>
      <c r="BD30" s="51">
        <f t="shared" si="91"/>
        <v>28.411861424259772</v>
      </c>
      <c r="BE30" s="63">
        <f t="shared" si="92"/>
        <v>90.704782262158602</v>
      </c>
      <c r="BF30" s="60" t="str">
        <f t="shared" si="93"/>
        <v>27.4064219381967+960.999529801778i</v>
      </c>
      <c r="BG30" s="66">
        <f t="shared" si="94"/>
        <v>59.657994246409771</v>
      </c>
      <c r="BH30" s="63">
        <f t="shared" si="95"/>
        <v>88.366443729345789</v>
      </c>
      <c r="BI30" s="60" t="str">
        <f t="shared" si="96"/>
        <v>-5.5157416434572+1110.66682609189i</v>
      </c>
      <c r="BJ30" s="66">
        <f t="shared" si="97"/>
        <v>60.911783114403633</v>
      </c>
      <c r="BK30" s="63">
        <f t="shared" si="98"/>
        <v>90.284537281235757</v>
      </c>
      <c r="BL30" s="51">
        <f t="shared" si="99"/>
        <v>59.657994246409771</v>
      </c>
      <c r="BM30" s="63">
        <f t="shared" si="100"/>
        <v>88.366443729345789</v>
      </c>
    </row>
    <row r="31" spans="1:65" ht="14.65" x14ac:dyDescent="0.4">
      <c r="A31" t="s">
        <v>504</v>
      </c>
      <c r="B31">
        <v>1</v>
      </c>
      <c r="E31" t="s">
        <v>583</v>
      </c>
      <c r="N31" s="11">
        <v>13</v>
      </c>
      <c r="O31" s="52">
        <f t="shared" si="62"/>
        <v>13.489628825916535</v>
      </c>
      <c r="P31" s="50" t="str">
        <f t="shared" si="50"/>
        <v>36.531007751938</v>
      </c>
      <c r="Q31" s="18" t="str">
        <f t="shared" si="51"/>
        <v>1+0.0413933625675443i</v>
      </c>
      <c r="R31" s="18">
        <f t="shared" si="63"/>
        <v>1.0008563385744471</v>
      </c>
      <c r="S31" s="18">
        <f t="shared" si="64"/>
        <v>4.1369745568631891E-2</v>
      </c>
      <c r="T31" s="18" t="str">
        <f t="shared" si="52"/>
        <v>1+0.000016951567527661i</v>
      </c>
      <c r="U31" s="18">
        <f t="shared" si="65"/>
        <v>1.000000000143678</v>
      </c>
      <c r="V31" s="18">
        <f t="shared" si="66"/>
        <v>1.6951567526037291E-5</v>
      </c>
      <c r="W31" s="32" t="str">
        <f t="shared" si="53"/>
        <v>1-0.000280854373239354i</v>
      </c>
      <c r="X31" s="18">
        <f t="shared" si="67"/>
        <v>1.0000000394395887</v>
      </c>
      <c r="Y31" s="18">
        <f t="shared" si="68"/>
        <v>-2.8085436585483355E-4</v>
      </c>
      <c r="Z31" s="32" t="str">
        <f t="shared" si="54"/>
        <v>0.999999996240287+0.000127622921543478i</v>
      </c>
      <c r="AA31" s="18">
        <f t="shared" si="69"/>
        <v>1.000000004384092</v>
      </c>
      <c r="AB31" s="18">
        <f t="shared" si="70"/>
        <v>1.2762292133041279E-4</v>
      </c>
      <c r="AC31" s="68" t="str">
        <f t="shared" si="71"/>
        <v>36.4679296633309-1.52383306387994i</v>
      </c>
      <c r="AD31" s="66">
        <f t="shared" si="72"/>
        <v>31.24579848461055</v>
      </c>
      <c r="AE31" s="63">
        <f t="shared" si="73"/>
        <v>-2.3927445919199397</v>
      </c>
      <c r="AF31" s="51" t="str">
        <f t="shared" si="74"/>
        <v>42.1703962805665</v>
      </c>
      <c r="AG31" s="51" t="str">
        <f t="shared" si="55"/>
        <v>1+0.00747863273279164i</v>
      </c>
      <c r="AH31" s="51">
        <f t="shared" si="75"/>
        <v>1.000027964582767</v>
      </c>
      <c r="AI31" s="51">
        <f t="shared" si="76"/>
        <v>7.4784933109581552E-3</v>
      </c>
      <c r="AJ31" s="51" t="str">
        <f t="shared" si="56"/>
        <v>1+0.000016951567527661i</v>
      </c>
      <c r="AK31" s="51">
        <f t="shared" si="77"/>
        <v>1.000000000143678</v>
      </c>
      <c r="AL31" s="51">
        <f t="shared" si="78"/>
        <v>1.6951567526037291E-5</v>
      </c>
      <c r="AM31" s="51" t="str">
        <f t="shared" si="57"/>
        <v>1-0.0000439567095987901i</v>
      </c>
      <c r="AN31" s="51">
        <f t="shared" si="79"/>
        <v>1.0000000009660961</v>
      </c>
      <c r="AO31" s="51">
        <f t="shared" si="80"/>
        <v>-4.395670957047916E-5</v>
      </c>
      <c r="AP31" s="60" t="str">
        <f t="shared" si="81"/>
        <v>42.1680293395216-0.316498022038617i</v>
      </c>
      <c r="AQ31" s="51">
        <f t="shared" si="82"/>
        <v>32.499910758844074</v>
      </c>
      <c r="AR31" s="63">
        <f t="shared" si="83"/>
        <v>-0.43003338449901723</v>
      </c>
      <c r="AS31" s="32" t="str">
        <f t="shared" si="58"/>
        <v>-0.000133283554228113</v>
      </c>
      <c r="AT31" s="32" t="str">
        <f t="shared" si="59"/>
        <v>5.17870387970043E-06i</v>
      </c>
      <c r="AU31" s="32">
        <f t="shared" si="84"/>
        <v>5.1787038797004296E-6</v>
      </c>
      <c r="AV31" s="32">
        <f t="shared" si="85"/>
        <v>1.5707963267948966</v>
      </c>
      <c r="AW31" s="32" t="str">
        <f t="shared" si="60"/>
        <v>1+0.000905457991659718i</v>
      </c>
      <c r="AX31" s="32">
        <f t="shared" si="86"/>
        <v>1.0000004099270032</v>
      </c>
      <c r="AY31" s="32">
        <f t="shared" si="87"/>
        <v>9.0545774421200162E-4</v>
      </c>
      <c r="AZ31" s="32" t="str">
        <f t="shared" si="61"/>
        <v>1+0.0134935325098558i</v>
      </c>
      <c r="BA31" s="32">
        <f t="shared" si="88"/>
        <v>1.0000910335662421</v>
      </c>
      <c r="BB31" s="32">
        <f t="shared" si="89"/>
        <v>1.3492713652445708E-2</v>
      </c>
      <c r="BC31" s="60" t="str">
        <f t="shared" si="90"/>
        <v>-0.323977191226088+25.7371490020176i</v>
      </c>
      <c r="BD31" s="51">
        <f t="shared" si="91"/>
        <v>28.211896846994442</v>
      </c>
      <c r="BE31" s="63">
        <f t="shared" si="92"/>
        <v>90.721196639192897</v>
      </c>
      <c r="BF31" s="60" t="str">
        <f t="shared" si="93"/>
        <v>27.4043411971225+939.074226696178i</v>
      </c>
      <c r="BG31" s="66">
        <f t="shared" si="94"/>
        <v>59.457695331604995</v>
      </c>
      <c r="BH31" s="63">
        <f t="shared" si="95"/>
        <v>88.328452047272961</v>
      </c>
      <c r="BI31" s="60" t="str">
        <f t="shared" si="96"/>
        <v>-5.51572295290574+1085.38739237293i</v>
      </c>
      <c r="BJ31" s="66">
        <f t="shared" si="97"/>
        <v>60.711807605838544</v>
      </c>
      <c r="BK31" s="63">
        <f t="shared" si="98"/>
        <v>90.291163254693885</v>
      </c>
      <c r="BL31" s="51">
        <f t="shared" si="99"/>
        <v>59.457695331604995</v>
      </c>
      <c r="BM31" s="63">
        <f t="shared" si="100"/>
        <v>88.328452047272961</v>
      </c>
    </row>
    <row r="32" spans="1:65" ht="15.5" x14ac:dyDescent="0.35">
      <c r="A32" s="53" t="s">
        <v>497</v>
      </c>
      <c r="N32" s="11">
        <v>14</v>
      </c>
      <c r="O32" s="52">
        <f t="shared" si="62"/>
        <v>13.803842646028857</v>
      </c>
      <c r="P32" s="50" t="str">
        <f t="shared" si="50"/>
        <v>36.531007751938</v>
      </c>
      <c r="Q32" s="18" t="str">
        <f t="shared" si="51"/>
        <v>1+0.0423575378423045i</v>
      </c>
      <c r="R32" s="18">
        <f t="shared" si="63"/>
        <v>1.0008966784898741</v>
      </c>
      <c r="S32" s="18">
        <f t="shared" si="64"/>
        <v>4.2332232996316999E-2</v>
      </c>
      <c r="T32" s="18" t="str">
        <f t="shared" si="52"/>
        <v>1+0.0000173464202592295i</v>
      </c>
      <c r="U32" s="18">
        <f t="shared" si="65"/>
        <v>1.000000000150449</v>
      </c>
      <c r="V32" s="18">
        <f t="shared" si="66"/>
        <v>1.7346420257489663E-5</v>
      </c>
      <c r="W32" s="32" t="str">
        <f t="shared" si="53"/>
        <v>1-0.000287396311987235i</v>
      </c>
      <c r="X32" s="18">
        <f t="shared" si="67"/>
        <v>1.0000000412983192</v>
      </c>
      <c r="Y32" s="18">
        <f t="shared" si="68"/>
        <v>-2.8739630407457881E-4</v>
      </c>
      <c r="Z32" s="32" t="str">
        <f t="shared" si="54"/>
        <v>0.999999996063098+0.000130595641269838i</v>
      </c>
      <c r="AA32" s="18">
        <f t="shared" si="69"/>
        <v>1.0000000045907087</v>
      </c>
      <c r="AB32" s="18">
        <f t="shared" si="70"/>
        <v>1.3059564104153437E-4</v>
      </c>
      <c r="AC32" s="68" t="str">
        <f t="shared" si="71"/>
        <v>36.4649622086927-1.5592020015952i</v>
      </c>
      <c r="AD32" s="66">
        <f t="shared" si="72"/>
        <v>31.245448417815147</v>
      </c>
      <c r="AE32" s="63">
        <f t="shared" si="73"/>
        <v>-2.4484135857086189</v>
      </c>
      <c r="AF32" s="51" t="str">
        <f t="shared" si="74"/>
        <v>42.1703962805665</v>
      </c>
      <c r="AG32" s="51" t="str">
        <f t="shared" si="55"/>
        <v>1+0.00765283246730716i</v>
      </c>
      <c r="AH32" s="51">
        <f t="shared" si="75"/>
        <v>1.0000292824936541</v>
      </c>
      <c r="AI32" s="51">
        <f t="shared" si="76"/>
        <v>7.652683074357269E-3</v>
      </c>
      <c r="AJ32" s="51" t="str">
        <f t="shared" si="56"/>
        <v>1+0.0000173464202592295i</v>
      </c>
      <c r="AK32" s="51">
        <f t="shared" si="77"/>
        <v>1.000000000150449</v>
      </c>
      <c r="AL32" s="51">
        <f t="shared" si="78"/>
        <v>1.7346420257489663E-5</v>
      </c>
      <c r="AM32" s="51" t="str">
        <f t="shared" si="57"/>
        <v>1-0.0000449805928961621i</v>
      </c>
      <c r="AN32" s="51">
        <f t="shared" si="79"/>
        <v>1.0000000010116268</v>
      </c>
      <c r="AO32" s="51">
        <f t="shared" si="80"/>
        <v>-4.4980592865826378E-5</v>
      </c>
      <c r="AP32" s="60" t="str">
        <f t="shared" si="81"/>
        <v>42.1679177955596-0.323869354395583i</v>
      </c>
      <c r="AQ32" s="51">
        <f t="shared" si="82"/>
        <v>32.499899312397517</v>
      </c>
      <c r="AR32" s="63">
        <f t="shared" si="83"/>
        <v>-0.4400497635726649</v>
      </c>
      <c r="AS32" s="32" t="str">
        <f t="shared" si="58"/>
        <v>-0.000133283554228113</v>
      </c>
      <c r="AT32" s="32" t="str">
        <f t="shared" si="59"/>
        <v>5.29933138919461E-06i</v>
      </c>
      <c r="AU32" s="32">
        <f t="shared" si="84"/>
        <v>5.2993313891946097E-6</v>
      </c>
      <c r="AV32" s="32">
        <f t="shared" si="85"/>
        <v>1.5707963267948966</v>
      </c>
      <c r="AW32" s="32" t="str">
        <f t="shared" si="60"/>
        <v>1+0.000926548817669996i</v>
      </c>
      <c r="AX32" s="32">
        <f t="shared" si="86"/>
        <v>1.0000004292462636</v>
      </c>
      <c r="AY32" s="32">
        <f t="shared" si="87"/>
        <v>9.2654855252499691E-4</v>
      </c>
      <c r="AZ32" s="32" t="str">
        <f t="shared" si="61"/>
        <v>1+0.013807837258448i</v>
      </c>
      <c r="BA32" s="32">
        <f t="shared" si="88"/>
        <v>1.0000953236415795</v>
      </c>
      <c r="BB32" s="32">
        <f t="shared" si="89"/>
        <v>1.3806959841441608E-2</v>
      </c>
      <c r="BC32" s="60" t="str">
        <f t="shared" si="90"/>
        <v>-0.323977178708095+25.1513134764019i</v>
      </c>
      <c r="BD32" s="51">
        <f t="shared" si="91"/>
        <v>28.011933938838638</v>
      </c>
      <c r="BE32" s="63">
        <f t="shared" si="92"/>
        <v>90.737993205247577</v>
      </c>
      <c r="BF32" s="60" t="str">
        <f t="shared" si="93"/>
        <v>27.4021627370846+917.646841281491i</v>
      </c>
      <c r="BG32" s="66">
        <f t="shared" si="94"/>
        <v>59.257382356653785</v>
      </c>
      <c r="BH32" s="63">
        <f t="shared" si="95"/>
        <v>88.289579619538969</v>
      </c>
      <c r="BI32" s="60" t="str">
        <f t="shared" si="96"/>
        <v>-5.51570338159706+1060.68344540297i</v>
      </c>
      <c r="BJ32" s="66">
        <f t="shared" si="97"/>
        <v>60.511833251236133</v>
      </c>
      <c r="BK32" s="63">
        <f t="shared" si="98"/>
        <v>90.297943441674917</v>
      </c>
      <c r="BL32" s="51">
        <f t="shared" si="99"/>
        <v>59.257382356653785</v>
      </c>
      <c r="BM32" s="63">
        <f t="shared" si="100"/>
        <v>88.289579619538969</v>
      </c>
    </row>
    <row r="33" spans="1:65" x14ac:dyDescent="0.35">
      <c r="K33" s="32"/>
      <c r="N33" s="11">
        <v>15</v>
      </c>
      <c r="O33" s="52">
        <f t="shared" si="62"/>
        <v>14.125375446227544</v>
      </c>
      <c r="P33" s="50" t="str">
        <f t="shared" si="50"/>
        <v>36.531007751938</v>
      </c>
      <c r="Q33" s="18" t="str">
        <f t="shared" si="51"/>
        <v>1+0.0433441716442971i</v>
      </c>
      <c r="R33" s="18">
        <f t="shared" si="63"/>
        <v>1.0009389178244246</v>
      </c>
      <c r="S33" s="18">
        <f t="shared" si="64"/>
        <v>4.3317058386807043E-2</v>
      </c>
      <c r="T33" s="18" t="str">
        <f t="shared" si="52"/>
        <v>1+0.0000177504702924264i</v>
      </c>
      <c r="U33" s="18">
        <f t="shared" si="65"/>
        <v>1.0000000001575398</v>
      </c>
      <c r="V33" s="18">
        <f t="shared" si="66"/>
        <v>1.775047029056213E-5</v>
      </c>
      <c r="W33" s="32" t="str">
        <f t="shared" si="53"/>
        <v>1-0.00029409063206387i</v>
      </c>
      <c r="X33" s="18">
        <f t="shared" si="67"/>
        <v>1.000000043244649</v>
      </c>
      <c r="Y33" s="18">
        <f t="shared" si="68"/>
        <v>-2.9409062358530617E-4</v>
      </c>
      <c r="Z33" s="32" t="str">
        <f t="shared" si="54"/>
        <v>0.999999995877557+0.000133637604533836i</v>
      </c>
      <c r="AA33" s="18">
        <f t="shared" si="69"/>
        <v>1.0000000048070616</v>
      </c>
      <c r="AB33" s="18">
        <f t="shared" si="70"/>
        <v>1.3363760428920435E-4</v>
      </c>
      <c r="AC33" s="68" t="str">
        <f t="shared" si="71"/>
        <v>36.4618554149216-1.59538582037281i</v>
      </c>
      <c r="AD33" s="66">
        <f t="shared" si="72"/>
        <v>31.245081883123493</v>
      </c>
      <c r="AE33" s="63">
        <f t="shared" si="73"/>
        <v>-2.5053746216896156</v>
      </c>
      <c r="AF33" s="51" t="str">
        <f t="shared" si="74"/>
        <v>42.1703962805665</v>
      </c>
      <c r="AG33" s="51" t="str">
        <f t="shared" si="55"/>
        <v>1+0.00783108983489404i</v>
      </c>
      <c r="AH33" s="51">
        <f t="shared" si="75"/>
        <v>1.0000306625139062</v>
      </c>
      <c r="AI33" s="51">
        <f t="shared" si="76"/>
        <v>7.830929757729253E-3</v>
      </c>
      <c r="AJ33" s="51" t="str">
        <f t="shared" si="56"/>
        <v>1+0.0000177504702924264i</v>
      </c>
      <c r="AK33" s="51">
        <f t="shared" si="77"/>
        <v>1.0000000001575398</v>
      </c>
      <c r="AL33" s="51">
        <f t="shared" si="78"/>
        <v>1.775047029056213E-5</v>
      </c>
      <c r="AM33" s="51" t="str">
        <f t="shared" si="57"/>
        <v>1-0.0000460283254992761i</v>
      </c>
      <c r="AN33" s="51">
        <f t="shared" si="79"/>
        <v>1.0000000010593033</v>
      </c>
      <c r="AO33" s="51">
        <f t="shared" si="80"/>
        <v>-4.602832546677079E-5</v>
      </c>
      <c r="AP33" s="60" t="str">
        <f t="shared" si="81"/>
        <v>42.1678009953227-0.331412326094343i</v>
      </c>
      <c r="AQ33" s="51">
        <f t="shared" si="82"/>
        <v>32.499887326528857</v>
      </c>
      <c r="AR33" s="63">
        <f t="shared" si="83"/>
        <v>-0.4502994265365684</v>
      </c>
      <c r="AS33" s="32" t="str">
        <f t="shared" si="58"/>
        <v>-0.000133283554228113</v>
      </c>
      <c r="AT33" s="32" t="str">
        <f t="shared" si="59"/>
        <v>5.42276867433628E-06i</v>
      </c>
      <c r="AU33" s="32">
        <f t="shared" si="84"/>
        <v>5.4227686743362802E-6</v>
      </c>
      <c r="AV33" s="32">
        <f t="shared" si="85"/>
        <v>1.5707963267948966</v>
      </c>
      <c r="AW33" s="32" t="str">
        <f t="shared" si="60"/>
        <v>1+0.000948130912127724i</v>
      </c>
      <c r="AX33" s="32">
        <f t="shared" si="86"/>
        <v>1.0000004494760122</v>
      </c>
      <c r="AY33" s="32">
        <f t="shared" si="87"/>
        <v>9.4813062801974574E-4</v>
      </c>
      <c r="AZ33" s="32" t="str">
        <f t="shared" si="61"/>
        <v>1+0.0141294631051229i</v>
      </c>
      <c r="BA33" s="32">
        <f t="shared" si="88"/>
        <v>1.0000998158822143</v>
      </c>
      <c r="BB33" s="32">
        <f t="shared" si="89"/>
        <v>1.4128522940929627E-2</v>
      </c>
      <c r="BC33" s="60" t="str">
        <f t="shared" si="90"/>
        <v>-0.323977165600145+24.5788135101074i</v>
      </c>
      <c r="BD33" s="51">
        <f t="shared" si="91"/>
        <v>27.811972778425023</v>
      </c>
      <c r="BE33" s="63">
        <f t="shared" si="92"/>
        <v>90.755180851856394</v>
      </c>
      <c r="BF33" s="60" t="str">
        <f t="shared" si="93"/>
        <v>27.3998819857644+896.706013051981i</v>
      </c>
      <c r="BG33" s="66">
        <f t="shared" si="94"/>
        <v>59.05705466154852</v>
      </c>
      <c r="BH33" s="63">
        <f t="shared" si="95"/>
        <v>88.249806230166797</v>
      </c>
      <c r="BI33" s="60" t="str">
        <f t="shared" si="96"/>
        <v>-5.51568288803186+1036.54188682141i</v>
      </c>
      <c r="BJ33" s="66">
        <f t="shared" si="97"/>
        <v>60.31186010495388</v>
      </c>
      <c r="BK33" s="63">
        <f t="shared" si="98"/>
        <v>90.304881425319834</v>
      </c>
      <c r="BL33" s="51">
        <f t="shared" si="99"/>
        <v>59.05705466154852</v>
      </c>
      <c r="BM33" s="63">
        <f t="shared" si="100"/>
        <v>88.249806230166797</v>
      </c>
    </row>
    <row r="34" spans="1:65" x14ac:dyDescent="0.35">
      <c r="A34" t="s">
        <v>197</v>
      </c>
      <c r="B34" s="28">
        <f>(Gcomp*(VOUT/IOUT)*(1-DC_VIN_Var))/(R_cs*Acs*(1+DC_VIN_Var))</f>
        <v>36.531007751937985</v>
      </c>
      <c r="C34" t="s">
        <v>147</v>
      </c>
      <c r="E34" t="s">
        <v>201</v>
      </c>
      <c r="K34" s="32"/>
      <c r="N34" s="11">
        <v>16</v>
      </c>
      <c r="O34" s="52">
        <f t="shared" si="62"/>
        <v>14.454397707459275</v>
      </c>
      <c r="P34" s="50" t="str">
        <f t="shared" si="50"/>
        <v>36.531007751938</v>
      </c>
      <c r="Q34" s="18" t="str">
        <f t="shared" si="51"/>
        <v>1+0.0443537870998234i</v>
      </c>
      <c r="R34" s="18">
        <f t="shared" si="63"/>
        <v>1.0009831459270913</v>
      </c>
      <c r="S34" s="18">
        <f t="shared" si="64"/>
        <v>4.4324736261898874E-2</v>
      </c>
      <c r="T34" s="18" t="str">
        <f t="shared" si="52"/>
        <v>1+0.0000181639318599277i</v>
      </c>
      <c r="U34" s="18">
        <f t="shared" si="65"/>
        <v>1.0000000001649643</v>
      </c>
      <c r="V34" s="18">
        <f t="shared" si="66"/>
        <v>1.8163931857930103E-5</v>
      </c>
      <c r="W34" s="32" t="str">
        <f t="shared" si="53"/>
        <v>1-0.000300940882886376i</v>
      </c>
      <c r="X34" s="18">
        <f t="shared" si="67"/>
        <v>1.0000000452827065</v>
      </c>
      <c r="Y34" s="18">
        <f t="shared" si="68"/>
        <v>-3.009408738014312E-4</v>
      </c>
      <c r="Z34" s="32" t="str">
        <f t="shared" si="54"/>
        <v>0.999999995683272+0.000136750424224661i</v>
      </c>
      <c r="AA34" s="18">
        <f t="shared" si="69"/>
        <v>1.0000000050336113</v>
      </c>
      <c r="AB34" s="18">
        <f t="shared" si="70"/>
        <v>1.367504239625335E-4</v>
      </c>
      <c r="AC34" s="68" t="str">
        <f t="shared" si="71"/>
        <v>36.458602764488-1.63240286259901i</v>
      </c>
      <c r="AD34" s="66">
        <f t="shared" si="72"/>
        <v>31.244698107339751</v>
      </c>
      <c r="AE34" s="63">
        <f t="shared" si="73"/>
        <v>-2.5636574632939402</v>
      </c>
      <c r="AF34" s="51" t="str">
        <f t="shared" si="74"/>
        <v>42.1703962805665</v>
      </c>
      <c r="AG34" s="51" t="str">
        <f t="shared" si="55"/>
        <v>1+0.00801349934996812i</v>
      </c>
      <c r="AH34" s="51">
        <f t="shared" si="75"/>
        <v>1.0000321075704679</v>
      </c>
      <c r="AI34" s="51">
        <f t="shared" si="76"/>
        <v>8.0133278244931532E-3</v>
      </c>
      <c r="AJ34" s="51" t="str">
        <f t="shared" si="56"/>
        <v>1+0.0000181639318599277i</v>
      </c>
      <c r="AK34" s="51">
        <f t="shared" si="77"/>
        <v>1.0000000001649643</v>
      </c>
      <c r="AL34" s="51">
        <f t="shared" si="78"/>
        <v>1.8163931857930103E-5</v>
      </c>
      <c r="AM34" s="51" t="str">
        <f t="shared" si="57"/>
        <v>1-0.0000471004629298268i</v>
      </c>
      <c r="AN34" s="51">
        <f t="shared" si="79"/>
        <v>1.0000000011092267</v>
      </c>
      <c r="AO34" s="51">
        <f t="shared" si="80"/>
        <v>-4.710046289499674E-5</v>
      </c>
      <c r="AP34" s="60" t="str">
        <f t="shared" si="81"/>
        <v>42.1676786911513-0.339130930763408i</v>
      </c>
      <c r="AQ34" s="51">
        <f t="shared" si="82"/>
        <v>32.49987477581908</v>
      </c>
      <c r="AR34" s="63">
        <f t="shared" si="83"/>
        <v>-0.46078780530038049</v>
      </c>
      <c r="AS34" s="32" t="str">
        <f t="shared" si="58"/>
        <v>-0.000133283554228113</v>
      </c>
      <c r="AT34" s="32" t="str">
        <f t="shared" si="59"/>
        <v>5.54908118320791E-06i</v>
      </c>
      <c r="AU34" s="32">
        <f t="shared" si="84"/>
        <v>5.5490811832079101E-6</v>
      </c>
      <c r="AV34" s="32">
        <f t="shared" si="85"/>
        <v>1.5707963267948966</v>
      </c>
      <c r="AW34" s="32" t="str">
        <f t="shared" si="60"/>
        <v>1+0.000970215718145059i</v>
      </c>
      <c r="AX34" s="32">
        <f t="shared" si="86"/>
        <v>1.0000004706591592</v>
      </c>
      <c r="AY34" s="32">
        <f t="shared" si="87"/>
        <v>9.7021541371788327E-4</v>
      </c>
      <c r="AZ34" s="32" t="str">
        <f t="shared" si="61"/>
        <v>1+0.0144585805801617i</v>
      </c>
      <c r="BA34" s="32">
        <f t="shared" si="88"/>
        <v>1.0001045198140008</v>
      </c>
      <c r="BB34" s="32">
        <f t="shared" si="89"/>
        <v>1.4457573181764629E-2</v>
      </c>
      <c r="BC34" s="60" t="str">
        <f t="shared" si="90"/>
        <v>-0.323977151874439+24.0193455560738i</v>
      </c>
      <c r="BD34" s="51">
        <f t="shared" si="91"/>
        <v>27.612013448089062</v>
      </c>
      <c r="BE34" s="63">
        <f t="shared" si="92"/>
        <v>90.772768676892056</v>
      </c>
      <c r="BF34" s="60" t="str">
        <f t="shared" si="93"/>
        <v>27.3974941585293+876.240639522001i</v>
      </c>
      <c r="BG34" s="66">
        <f t="shared" si="94"/>
        <v>58.856711555428809</v>
      </c>
      <c r="BH34" s="63">
        <f t="shared" si="95"/>
        <v>88.209111213598121</v>
      </c>
      <c r="BI34" s="60" t="str">
        <f t="shared" si="96"/>
        <v>-5.51566142875643+1012.94991645331i</v>
      </c>
      <c r="BJ34" s="66">
        <f t="shared" si="97"/>
        <v>60.11188822390811</v>
      </c>
      <c r="BK34" s="63">
        <f t="shared" si="98"/>
        <v>90.311980871591686</v>
      </c>
      <c r="BL34" s="51">
        <f t="shared" si="99"/>
        <v>58.856711555428809</v>
      </c>
      <c r="BM34" s="63">
        <f t="shared" si="100"/>
        <v>88.209111213598121</v>
      </c>
    </row>
    <row r="35" spans="1:65" x14ac:dyDescent="0.35">
      <c r="A35" t="s">
        <v>214</v>
      </c>
      <c r="B35" s="30">
        <f>(1+DC_VIN_Var)/(Cout*(VOUT/IOUT))</f>
        <v>2047.6190476190477</v>
      </c>
      <c r="C35" t="s">
        <v>213</v>
      </c>
      <c r="E35" t="s">
        <v>204</v>
      </c>
      <c r="N35" s="11">
        <v>17</v>
      </c>
      <c r="O35" s="52">
        <f t="shared" si="62"/>
        <v>14.791083881682074</v>
      </c>
      <c r="P35" s="50" t="str">
        <f t="shared" si="50"/>
        <v>36.531007751938</v>
      </c>
      <c r="Q35" s="18" t="str">
        <f t="shared" si="51"/>
        <v>1+0.0453869195203618i</v>
      </c>
      <c r="R35" s="18">
        <f t="shared" si="63"/>
        <v>1.0010294563415942</v>
      </c>
      <c r="S35" s="18">
        <f t="shared" si="64"/>
        <v>4.5355792715391585E-2</v>
      </c>
      <c r="T35" s="18" t="str">
        <f t="shared" si="52"/>
        <v>1+0.0000185870241845291i</v>
      </c>
      <c r="U35" s="18">
        <f t="shared" si="65"/>
        <v>1.0000000001727387</v>
      </c>
      <c r="V35" s="18">
        <f t="shared" si="66"/>
        <v>1.8587024182388636E-5</v>
      </c>
      <c r="W35" s="32" t="str">
        <f t="shared" si="53"/>
        <v>1-0.000307950696548412i</v>
      </c>
      <c r="X35" s="18">
        <f t="shared" si="67"/>
        <v>1.0000000474168147</v>
      </c>
      <c r="Y35" s="18">
        <f t="shared" si="68"/>
        <v>-3.0795068681371829E-4</v>
      </c>
      <c r="Z35" s="32" t="str">
        <f t="shared" si="54"/>
        <v>0.999999995479831+0.000139935750800516i</v>
      </c>
      <c r="AA35" s="18">
        <f t="shared" si="69"/>
        <v>1.000000005270838</v>
      </c>
      <c r="AB35" s="18">
        <f t="shared" si="70"/>
        <v>1.3993575051964128E-4</v>
      </c>
      <c r="AC35" s="68" t="str">
        <f t="shared" si="71"/>
        <v>36.4551974374383-1.67027185256359i</v>
      </c>
      <c r="AD35" s="66">
        <f t="shared" si="72"/>
        <v>31.244296281108713</v>
      </c>
      <c r="AE35" s="63">
        <f t="shared" si="73"/>
        <v>-2.623292543583136</v>
      </c>
      <c r="AF35" s="51" t="str">
        <f t="shared" si="74"/>
        <v>42.1703962805665</v>
      </c>
      <c r="AG35" s="51" t="str">
        <f t="shared" si="55"/>
        <v>1+0.00820015772846875i</v>
      </c>
      <c r="AH35" s="51">
        <f t="shared" si="75"/>
        <v>1.0000336207282092</v>
      </c>
      <c r="AI35" s="51">
        <f t="shared" si="76"/>
        <v>8.1999739359447047E-3</v>
      </c>
      <c r="AJ35" s="51" t="str">
        <f t="shared" si="56"/>
        <v>1+0.0000185870241845291i</v>
      </c>
      <c r="AK35" s="51">
        <f t="shared" si="77"/>
        <v>1.0000000001727387</v>
      </c>
      <c r="AL35" s="51">
        <f t="shared" si="78"/>
        <v>1.8587024182388636E-5</v>
      </c>
      <c r="AM35" s="51" t="str">
        <f t="shared" si="57"/>
        <v>1-0.0000481975736492712i</v>
      </c>
      <c r="AN35" s="51">
        <f t="shared" si="79"/>
        <v>1.0000000011615029</v>
      </c>
      <c r="AO35" s="51">
        <f t="shared" si="80"/>
        <v>-4.8197573611950114E-5</v>
      </c>
      <c r="AP35" s="60" t="str">
        <f t="shared" si="81"/>
        <v>42.1675506237195-0.347029254742704i</v>
      </c>
      <c r="AQ35" s="51">
        <f t="shared" si="82"/>
        <v>32.499861633651442</v>
      </c>
      <c r="AR35" s="63">
        <f t="shared" si="83"/>
        <v>-0.47152045815828675</v>
      </c>
      <c r="AS35" s="32" t="str">
        <f t="shared" si="58"/>
        <v>-0.000133283554228113</v>
      </c>
      <c r="AT35" s="32" t="str">
        <f t="shared" si="59"/>
        <v>5.67833588837365E-06i</v>
      </c>
      <c r="AU35" s="32">
        <f t="shared" si="84"/>
        <v>5.67833588837365E-6</v>
      </c>
      <c r="AV35" s="32">
        <f t="shared" si="85"/>
        <v>1.5707963267948966</v>
      </c>
      <c r="AW35" s="32" t="str">
        <f t="shared" si="60"/>
        <v>1+0.000992814945378478i</v>
      </c>
      <c r="AX35" s="32">
        <f t="shared" si="86"/>
        <v>1.0000004928406365</v>
      </c>
      <c r="AY35" s="32">
        <f t="shared" si="87"/>
        <v>9.9281461917889095E-4</v>
      </c>
      <c r="AZ35" s="32" t="str">
        <f t="shared" si="61"/>
        <v>1+0.0147953641860061i</v>
      </c>
      <c r="BA35" s="32">
        <f t="shared" si="88"/>
        <v>1.0001094454115493</v>
      </c>
      <c r="BB35" s="32">
        <f t="shared" si="89"/>
        <v>1.479428474555541E-2</v>
      </c>
      <c r="BC35" s="60" t="str">
        <f t="shared" si="90"/>
        <v>-0.323977137501863+23.4726129769864i</v>
      </c>
      <c r="BD35" s="51">
        <f t="shared" si="91"/>
        <v>27.412056034043424</v>
      </c>
      <c r="BE35" s="63">
        <f t="shared" si="92"/>
        <v>90.790765989317251</v>
      </c>
      <c r="BF35" s="60" t="str">
        <f t="shared" si="93"/>
        <v>27.3949942487327+856.239870342259i</v>
      </c>
      <c r="BG35" s="66">
        <f t="shared" si="94"/>
        <v>58.656352315152134</v>
      </c>
      <c r="BH35" s="63">
        <f t="shared" si="95"/>
        <v>88.167473445734117</v>
      </c>
      <c r="BI35" s="60" t="str">
        <f t="shared" si="96"/>
        <v>-5.51563895827003+989.89502552263i</v>
      </c>
      <c r="BJ35" s="66">
        <f t="shared" si="97"/>
        <v>59.911917667694865</v>
      </c>
      <c r="BK35" s="63">
        <f t="shared" si="98"/>
        <v>90.31924553115897</v>
      </c>
      <c r="BL35" s="51">
        <f t="shared" si="99"/>
        <v>58.656352315152134</v>
      </c>
      <c r="BM35" s="63">
        <f t="shared" si="100"/>
        <v>88.167473445734117</v>
      </c>
    </row>
    <row r="36" spans="1:65" x14ac:dyDescent="0.35">
      <c r="B36" s="29">
        <f>wp_lf/(2*PI())</f>
        <v>325.8886929976905</v>
      </c>
      <c r="C36" t="s">
        <v>67</v>
      </c>
      <c r="N36" s="11">
        <v>18</v>
      </c>
      <c r="O36" s="52">
        <f t="shared" si="62"/>
        <v>15.135612484362087</v>
      </c>
      <c r="P36" s="50" t="str">
        <f t="shared" si="50"/>
        <v>36.531007751938</v>
      </c>
      <c r="Q36" s="18" t="str">
        <f t="shared" si="51"/>
        <v>1+0.0464441166863968i</v>
      </c>
      <c r="R36" s="18">
        <f t="shared" si="63"/>
        <v>1.0010779470025197</v>
      </c>
      <c r="S36" s="18">
        <f t="shared" si="64"/>
        <v>4.6410765653330854E-2</v>
      </c>
      <c r="T36" s="18" t="str">
        <f t="shared" si="52"/>
        <v>1+0.0000190199715953816i</v>
      </c>
      <c r="U36" s="18">
        <f t="shared" si="65"/>
        <v>1.0000000001808798</v>
      </c>
      <c r="V36" s="18">
        <f t="shared" si="66"/>
        <v>1.901997159308805E-5</v>
      </c>
      <c r="W36" s="32" t="str">
        <f t="shared" si="53"/>
        <v>1-0.000315123789745967i</v>
      </c>
      <c r="X36" s="18">
        <f t="shared" si="67"/>
        <v>1.0000000496515002</v>
      </c>
      <c r="Y36" s="18">
        <f t="shared" si="68"/>
        <v>-3.1512377931505476E-4</v>
      </c>
      <c r="Z36" s="32" t="str">
        <f t="shared" si="54"/>
        <v>0.999999995266802+0.000143195273163714i</v>
      </c>
      <c r="AA36" s="18">
        <f t="shared" si="69"/>
        <v>1.0000000055192451</v>
      </c>
      <c r="AB36" s="18">
        <f t="shared" si="70"/>
        <v>1.4319527286275132E-4</v>
      </c>
      <c r="AC36" s="68" t="str">
        <f t="shared" si="71"/>
        <v>36.4516322975952-1.70901190215237i</v>
      </c>
      <c r="AD36" s="66">
        <f t="shared" si="72"/>
        <v>31.243875557238351</v>
      </c>
      <c r="AE36" s="63">
        <f t="shared" si="73"/>
        <v>-2.6843109791680577</v>
      </c>
      <c r="AF36" s="51" t="str">
        <f t="shared" si="74"/>
        <v>42.1703962805665</v>
      </c>
      <c r="AG36" s="51" t="str">
        <f t="shared" si="55"/>
        <v>1+0.00839116393913895i</v>
      </c>
      <c r="AH36" s="51">
        <f t="shared" si="75"/>
        <v>1.0000352051964239</v>
      </c>
      <c r="AI36" s="51">
        <f t="shared" si="76"/>
        <v>8.390967002275717E-3</v>
      </c>
      <c r="AJ36" s="51" t="str">
        <f t="shared" si="56"/>
        <v>1+0.0000190199715953816i</v>
      </c>
      <c r="AK36" s="51">
        <f t="shared" si="77"/>
        <v>1.0000000001808798</v>
      </c>
      <c r="AL36" s="51">
        <f t="shared" si="78"/>
        <v>1.901997159308805E-5</v>
      </c>
      <c r="AM36" s="51" t="str">
        <f t="shared" si="57"/>
        <v>1-0.0000493202393602347i</v>
      </c>
      <c r="AN36" s="51">
        <f t="shared" si="79"/>
        <v>1.0000000012162429</v>
      </c>
      <c r="AO36" s="51">
        <f t="shared" si="80"/>
        <v>-4.9320239320244437E-5</v>
      </c>
      <c r="AP36" s="60" t="str">
        <f t="shared" si="81"/>
        <v>42.1674165214865-0.355111479220801i</v>
      </c>
      <c r="AQ36" s="51">
        <f t="shared" si="82"/>
        <v>32.499847872155186</v>
      </c>
      <c r="AR36" s="63">
        <f t="shared" si="83"/>
        <v>-0.48250307272282184</v>
      </c>
      <c r="AS36" s="32" t="str">
        <f t="shared" si="58"/>
        <v>-0.000133283554228113</v>
      </c>
      <c r="AT36" s="32" t="str">
        <f t="shared" si="59"/>
        <v>5.81060132238906E-06i</v>
      </c>
      <c r="AU36" s="32">
        <f t="shared" si="84"/>
        <v>5.8106013223890603E-6</v>
      </c>
      <c r="AV36" s="32">
        <f t="shared" si="85"/>
        <v>1.5707963267948966</v>
      </c>
      <c r="AW36" s="32" t="str">
        <f t="shared" si="60"/>
        <v>1+0.0010159405762374i</v>
      </c>
      <c r="AX36" s="32">
        <f t="shared" si="86"/>
        <v>1.0000005160674941</v>
      </c>
      <c r="AY36" s="32">
        <f t="shared" si="87"/>
        <v>1.0159402267082547E-3</v>
      </c>
      <c r="AZ36" s="32" t="str">
        <f t="shared" si="61"/>
        <v>1+0.0151399924897817i</v>
      </c>
      <c r="BA36" s="32">
        <f t="shared" si="88"/>
        <v>1.0001146031193577</v>
      </c>
      <c r="BB36" s="32">
        <f t="shared" si="89"/>
        <v>1.5138835855658124E-2</v>
      </c>
      <c r="BC36" s="60" t="str">
        <f t="shared" si="90"/>
        <v>-0.323977122451931+22.9383258879949i</v>
      </c>
      <c r="BD36" s="51">
        <f t="shared" si="91"/>
        <v>27.212100626560392</v>
      </c>
      <c r="BE36" s="63">
        <f t="shared" si="92"/>
        <v>90.809182314042587</v>
      </c>
      <c r="BF36" s="60" t="str">
        <f t="shared" si="93"/>
        <v>27.3923770175824+836.693101549894i</v>
      </c>
      <c r="BG36" s="66">
        <f t="shared" si="94"/>
        <v>58.455976183798739</v>
      </c>
      <c r="BH36" s="63">
        <f t="shared" si="95"/>
        <v>88.124871334874527</v>
      </c>
      <c r="BI36" s="60" t="str">
        <f t="shared" si="96"/>
        <v>-5.51561542892855+967.364990019865i</v>
      </c>
      <c r="BJ36" s="66">
        <f t="shared" si="97"/>
        <v>59.711948498715579</v>
      </c>
      <c r="BK36" s="63">
        <f t="shared" si="98"/>
        <v>90.326679241319752</v>
      </c>
      <c r="BL36" s="51">
        <f t="shared" si="99"/>
        <v>58.455976183798739</v>
      </c>
      <c r="BM36" s="63">
        <f t="shared" si="100"/>
        <v>88.124871334874527</v>
      </c>
    </row>
    <row r="37" spans="1:65" x14ac:dyDescent="0.35">
      <c r="B37" s="1"/>
      <c r="C37" t="s">
        <v>235</v>
      </c>
      <c r="E37" t="s">
        <v>234</v>
      </c>
      <c r="N37" s="11">
        <v>19</v>
      </c>
      <c r="O37" s="52">
        <f t="shared" si="62"/>
        <v>15.488166189124817</v>
      </c>
      <c r="P37" s="50" t="str">
        <f t="shared" si="50"/>
        <v>36.531007751938</v>
      </c>
      <c r="Q37" s="18" t="str">
        <f t="shared" si="51"/>
        <v>1+0.0475259391378594i</v>
      </c>
      <c r="R37" s="18">
        <f t="shared" si="63"/>
        <v>1.0011287204405512</v>
      </c>
      <c r="S37" s="18">
        <f t="shared" si="64"/>
        <v>4.749020503778028E-2</v>
      </c>
      <c r="T37" s="18" t="str">
        <f t="shared" si="52"/>
        <v>1+0.0000194630036469329i</v>
      </c>
      <c r="U37" s="18">
        <f t="shared" si="65"/>
        <v>1.0000000001894043</v>
      </c>
      <c r="V37" s="18">
        <f t="shared" si="66"/>
        <v>1.9463003644475316E-5</v>
      </c>
      <c r="W37" s="32" t="str">
        <f t="shared" si="53"/>
        <v>1-0.000322463965748002i</v>
      </c>
      <c r="X37" s="18">
        <f t="shared" si="67"/>
        <v>1.0000000519915033</v>
      </c>
      <c r="Y37" s="18">
        <f t="shared" si="68"/>
        <v>-3.2246395457107821E-4</v>
      </c>
      <c r="Z37" s="32" t="str">
        <f t="shared" si="54"/>
        <v>0.999999995043734+0.000146530719556157i</v>
      </c>
      <c r="AA37" s="18">
        <f t="shared" si="69"/>
        <v>1.0000000057793599</v>
      </c>
      <c r="AB37" s="18">
        <f t="shared" si="70"/>
        <v>1.4653071923366955E-4</v>
      </c>
      <c r="AC37" s="68" t="str">
        <f t="shared" si="71"/>
        <v>36.4478998781529-1.74864251644817i</v>
      </c>
      <c r="AD37" s="66">
        <f t="shared" si="72"/>
        <v>31.243435048946345</v>
      </c>
      <c r="AE37" s="63">
        <f t="shared" si="73"/>
        <v>-2.7467445843333818</v>
      </c>
      <c r="AF37" s="51" t="str">
        <f t="shared" si="74"/>
        <v>42.1703962805665</v>
      </c>
      <c r="AG37" s="51" t="str">
        <f t="shared" si="55"/>
        <v>1+0.00858661925599985i</v>
      </c>
      <c r="AH37" s="51">
        <f t="shared" si="75"/>
        <v>1.0000368643356341</v>
      </c>
      <c r="AI37" s="51">
        <f t="shared" si="76"/>
        <v>8.5864082347691089E-3</v>
      </c>
      <c r="AJ37" s="51" t="str">
        <f t="shared" si="56"/>
        <v>1+0.0000194630036469329i</v>
      </c>
      <c r="AK37" s="51">
        <f t="shared" si="77"/>
        <v>1.0000000001894043</v>
      </c>
      <c r="AL37" s="51">
        <f t="shared" si="78"/>
        <v>1.9463003644475316E-5</v>
      </c>
      <c r="AM37" s="51" t="str">
        <f t="shared" si="57"/>
        <v>1-0.0000504690553149376i</v>
      </c>
      <c r="AN37" s="51">
        <f t="shared" si="79"/>
        <v>1.0000000012735628</v>
      </c>
      <c r="AO37" s="51">
        <f t="shared" si="80"/>
        <v>-5.0469055272087262E-5</v>
      </c>
      <c r="AP37" s="60" t="str">
        <f t="shared" si="81"/>
        <v>42.1672761001207-0.363381882420294i</v>
      </c>
      <c r="AQ37" s="51">
        <f t="shared" si="82"/>
        <v>32.499833462146292</v>
      </c>
      <c r="AR37" s="63">
        <f t="shared" si="83"/>
        <v>-0.49374146892627208</v>
      </c>
      <c r="AS37" s="32" t="str">
        <f t="shared" si="58"/>
        <v>-0.000133283554228113</v>
      </c>
      <c r="AT37" s="32" t="str">
        <f t="shared" si="59"/>
        <v>5.94594761413801E-06i</v>
      </c>
      <c r="AU37" s="32">
        <f t="shared" si="84"/>
        <v>5.9459476141380099E-6</v>
      </c>
      <c r="AV37" s="32">
        <f t="shared" si="85"/>
        <v>1.5707963267948966</v>
      </c>
      <c r="AW37" s="32" t="str">
        <f t="shared" si="60"/>
        <v>1+0.0010396048722374i</v>
      </c>
      <c r="AX37" s="32">
        <f t="shared" si="86"/>
        <v>1.0000005403889991</v>
      </c>
      <c r="AY37" s="32">
        <f t="shared" si="87"/>
        <v>1.0396044977101842E-3</v>
      </c>
      <c r="AZ37" s="32" t="str">
        <f t="shared" si="61"/>
        <v>1+0.0154926482179768i</v>
      </c>
      <c r="BA37" s="32">
        <f t="shared" si="88"/>
        <v>1.0001200038739382</v>
      </c>
      <c r="BB37" s="32">
        <f t="shared" si="89"/>
        <v>1.5491408870215793E-2</v>
      </c>
      <c r="BC37" s="60" t="str">
        <f t="shared" si="90"/>
        <v>-0.323977106692715+22.4162010030123i</v>
      </c>
      <c r="BD37" s="51">
        <f t="shared" si="91"/>
        <v>27.012147320162722</v>
      </c>
      <c r="BE37" s="63">
        <f t="shared" si="92"/>
        <v>90.828027396893276</v>
      </c>
      <c r="BF37" s="60" t="str">
        <f t="shared" si="93"/>
        <v>27.3896369835657+817.589969949462i</v>
      </c>
      <c r="BG37" s="66">
        <f t="shared" si="94"/>
        <v>58.255582369109071</v>
      </c>
      <c r="BH37" s="63">
        <f t="shared" si="95"/>
        <v>88.081282812559905</v>
      </c>
      <c r="BI37" s="60" t="str">
        <f t="shared" si="96"/>
        <v>-5.51559079084368+945.347864220713i</v>
      </c>
      <c r="BJ37" s="66">
        <f t="shared" si="97"/>
        <v>59.51198078230901</v>
      </c>
      <c r="BK37" s="63">
        <f t="shared" si="98"/>
        <v>90.334285927967002</v>
      </c>
      <c r="BL37" s="51">
        <f t="shared" si="99"/>
        <v>58.255582369109071</v>
      </c>
      <c r="BM37" s="63">
        <f t="shared" si="100"/>
        <v>88.081282812559905</v>
      </c>
    </row>
    <row r="38" spans="1:65" x14ac:dyDescent="0.35">
      <c r="A38" t="s">
        <v>215</v>
      </c>
      <c r="B38" s="30">
        <f>((VOUT/IOUT)*((1-DC_VIN_Var)^2))/(Lm*DC_VIN_Var)</f>
        <v>301785.71428571438</v>
      </c>
      <c r="C38" t="s">
        <v>213</v>
      </c>
      <c r="E38" t="s">
        <v>205</v>
      </c>
      <c r="N38" s="11">
        <v>20</v>
      </c>
      <c r="O38" s="52">
        <f t="shared" si="62"/>
        <v>15.848931924611136</v>
      </c>
      <c r="P38" s="50" t="str">
        <f t="shared" si="50"/>
        <v>36.531007751938</v>
      </c>
      <c r="Q38" s="18" t="str">
        <f t="shared" si="51"/>
        <v>1+0.0486329604713332i</v>
      </c>
      <c r="R38" s="18">
        <f t="shared" si="63"/>
        <v>1.0011818839972118</v>
      </c>
      <c r="S38" s="18">
        <f t="shared" si="64"/>
        <v>4.8594673134057298E-2</v>
      </c>
      <c r="T38" s="18" t="str">
        <f t="shared" si="52"/>
        <v>1+0.0000199163552406412i</v>
      </c>
      <c r="U38" s="18">
        <f t="shared" si="65"/>
        <v>1.0000000001983307</v>
      </c>
      <c r="V38" s="18">
        <f t="shared" si="66"/>
        <v>1.9916355238007854E-5</v>
      </c>
      <c r="W38" s="32" t="str">
        <f t="shared" si="53"/>
        <v>1-0.000329975116412991i</v>
      </c>
      <c r="X38" s="18">
        <f t="shared" si="67"/>
        <v>1.0000000544417873</v>
      </c>
      <c r="Y38" s="18">
        <f t="shared" si="68"/>
        <v>-3.299751044367014E-4</v>
      </c>
      <c r="Z38" s="32" t="str">
        <f t="shared" si="54"/>
        <v>0.999999994810152+0.000149943858475672i</v>
      </c>
      <c r="AA38" s="18">
        <f t="shared" si="69"/>
        <v>1.0000000060517322</v>
      </c>
      <c r="AB38" s="18">
        <f t="shared" si="70"/>
        <v>1.4994385813012055E-4</v>
      </c>
      <c r="AC38" s="68" t="str">
        <f t="shared" si="71"/>
        <v>36.4439923666392-1.78918359922243i</v>
      </c>
      <c r="AD38" s="66">
        <f t="shared" si="72"/>
        <v>31.242973828026454</v>
      </c>
      <c r="AE38" s="63">
        <f t="shared" si="73"/>
        <v>-2.8106258853642072</v>
      </c>
      <c r="AF38" s="51" t="str">
        <f t="shared" si="74"/>
        <v>42.1703962805665</v>
      </c>
      <c r="AG38" s="51" t="str">
        <f t="shared" si="55"/>
        <v>1+0.00878662731204763i</v>
      </c>
      <c r="AH38" s="51">
        <f t="shared" si="75"/>
        <v>1.000038601664716</v>
      </c>
      <c r="AI38" s="51">
        <f t="shared" si="76"/>
        <v>8.7864011991964659E-3</v>
      </c>
      <c r="AJ38" s="51" t="str">
        <f t="shared" si="56"/>
        <v>1+0.0000199163552406412i</v>
      </c>
      <c r="AK38" s="51">
        <f t="shared" si="77"/>
        <v>1.0000000001983307</v>
      </c>
      <c r="AL38" s="51">
        <f t="shared" si="78"/>
        <v>1.9916355238007854E-5</v>
      </c>
      <c r="AM38" s="51" t="str">
        <f t="shared" si="57"/>
        <v>1-0.0000516446306308054i</v>
      </c>
      <c r="AN38" s="51">
        <f t="shared" si="79"/>
        <v>1.0000000013335839</v>
      </c>
      <c r="AO38" s="51">
        <f t="shared" si="80"/>
        <v>-5.1644630584890432E-5</v>
      </c>
      <c r="AP38" s="60" t="str">
        <f t="shared" si="81"/>
        <v>42.1671290618987-0.371844841832419i</v>
      </c>
      <c r="AQ38" s="51">
        <f t="shared" si="82"/>
        <v>32.499818373065871</v>
      </c>
      <c r="AR38" s="63">
        <f t="shared" si="83"/>
        <v>-0.50524160209124858</v>
      </c>
      <c r="AS38" s="32" t="str">
        <f t="shared" si="58"/>
        <v>-0.000133283554228113</v>
      </c>
      <c r="AT38" s="32" t="str">
        <f t="shared" si="59"/>
        <v>0.0000060844465260159i</v>
      </c>
      <c r="AU38" s="32">
        <f t="shared" si="84"/>
        <v>6.0844465260158998E-6</v>
      </c>
      <c r="AV38" s="32">
        <f t="shared" si="85"/>
        <v>1.5707963267948966</v>
      </c>
      <c r="AW38" s="32" t="str">
        <f t="shared" si="60"/>
        <v>1+0.00106382038050146i</v>
      </c>
      <c r="AX38" s="32">
        <f t="shared" si="86"/>
        <v>1.0000005658567408</v>
      </c>
      <c r="AY38" s="32">
        <f t="shared" si="87"/>
        <v>1.0638199791883299E-3</v>
      </c>
      <c r="AZ38" s="32" t="str">
        <f t="shared" si="61"/>
        <v>1+0.0158535183533266i</v>
      </c>
      <c r="BA38" s="32">
        <f t="shared" si="88"/>
        <v>1.0001256591269816</v>
      </c>
      <c r="BB38" s="32">
        <f t="shared" si="89"/>
        <v>1.5852190377286132E-2</v>
      </c>
      <c r="BC38" s="60" t="str">
        <f t="shared" si="90"/>
        <v>-0.323977090190795+21.9059614845135i</v>
      </c>
      <c r="BD38" s="51">
        <f t="shared" si="91"/>
        <v>26.81219621382381</v>
      </c>
      <c r="BE38" s="63">
        <f t="shared" si="92"/>
        <v>90.847311209687206</v>
      </c>
      <c r="BF38" s="60" t="str">
        <f t="shared" si="93"/>
        <v>27.3867684114105+798.920347621796i</v>
      </c>
      <c r="BG38" s="66">
        <f t="shared" si="94"/>
        <v>58.055170041850268</v>
      </c>
      <c r="BH38" s="63">
        <f t="shared" si="95"/>
        <v>88.036685324323003</v>
      </c>
      <c r="BI38" s="60" t="str">
        <f t="shared" si="96"/>
        <v>-5.51556499177766+923.831974352322i</v>
      </c>
      <c r="BJ38" s="66">
        <f t="shared" si="97"/>
        <v>59.312014586889674</v>
      </c>
      <c r="BK38" s="63">
        <f t="shared" si="98"/>
        <v>90.34206960759596</v>
      </c>
      <c r="BL38" s="51">
        <f t="shared" si="99"/>
        <v>58.055170041850268</v>
      </c>
      <c r="BM38" s="63">
        <f t="shared" si="100"/>
        <v>88.036685324323003</v>
      </c>
    </row>
    <row r="39" spans="1:65" x14ac:dyDescent="0.35">
      <c r="A39" s="32"/>
      <c r="B39" s="1">
        <f>wz_rhp/2*PI()</f>
        <v>474043.89147917426</v>
      </c>
      <c r="C39" s="32" t="s">
        <v>67</v>
      </c>
      <c r="D39" s="32"/>
      <c r="E39" s="32"/>
      <c r="F39" s="32"/>
      <c r="G39" s="32"/>
      <c r="N39" s="11">
        <v>21</v>
      </c>
      <c r="O39" s="52">
        <f t="shared" si="62"/>
        <v>16.218100973589298</v>
      </c>
      <c r="P39" s="50" t="str">
        <f t="shared" si="50"/>
        <v>36.531007751938</v>
      </c>
      <c r="Q39" s="18" t="str">
        <f t="shared" si="51"/>
        <v>1+0.0497657676441821i</v>
      </c>
      <c r="R39" s="18">
        <f t="shared" si="63"/>
        <v>1.0012375500495447</v>
      </c>
      <c r="S39" s="18">
        <f t="shared" si="64"/>
        <v>4.972474476135804E-2</v>
      </c>
      <c r="T39" s="18" t="str">
        <f t="shared" si="52"/>
        <v>1+0.0000203802667495222i</v>
      </c>
      <c r="U39" s="18">
        <f t="shared" si="65"/>
        <v>1.0000000002076777</v>
      </c>
      <c r="V39" s="18">
        <f t="shared" si="66"/>
        <v>2.0380266746700518E-5</v>
      </c>
      <c r="W39" s="32" t="str">
        <f t="shared" si="53"/>
        <v>1-0.000337661224252439i</v>
      </c>
      <c r="X39" s="18">
        <f t="shared" si="67"/>
        <v>1.0000000570075496</v>
      </c>
      <c r="Y39" s="18">
        <f t="shared" si="68"/>
        <v>-3.3766121141961354E-4</v>
      </c>
      <c r="Z39" s="32" t="str">
        <f t="shared" si="54"/>
        <v>0.999999994565562+0.000153436499613692i</v>
      </c>
      <c r="AA39" s="18">
        <f t="shared" si="69"/>
        <v>1.0000000063369419</v>
      </c>
      <c r="AB39" s="18">
        <f t="shared" si="70"/>
        <v>1.5343649924342697E-4</v>
      </c>
      <c r="AC39" s="68" t="str">
        <f t="shared" si="71"/>
        <v>36.4399015892212-1.83065545829859i</v>
      </c>
      <c r="AD39" s="66">
        <f t="shared" si="72"/>
        <v>31.242490922931555</v>
      </c>
      <c r="AE39" s="63">
        <f t="shared" si="73"/>
        <v>-2.8759881350706569</v>
      </c>
      <c r="AF39" s="51" t="str">
        <f t="shared" si="74"/>
        <v>42.1703962805665</v>
      </c>
      <c r="AG39" s="51" t="str">
        <f t="shared" si="55"/>
        <v>1+0.008991294154201i</v>
      </c>
      <c r="AH39" s="51">
        <f t="shared" si="75"/>
        <v>1.0000404208683604</v>
      </c>
      <c r="AI39" s="51">
        <f t="shared" si="76"/>
        <v>8.9910518704447162E-3</v>
      </c>
      <c r="AJ39" s="51" t="str">
        <f t="shared" si="56"/>
        <v>1+0.0000203802667495222i</v>
      </c>
      <c r="AK39" s="51">
        <f t="shared" si="77"/>
        <v>1.0000000002076777</v>
      </c>
      <c r="AL39" s="51">
        <f t="shared" si="78"/>
        <v>2.0380266746700518E-5</v>
      </c>
      <c r="AM39" s="51" t="str">
        <f t="shared" si="57"/>
        <v>1-0.000052847588613431i</v>
      </c>
      <c r="AN39" s="51">
        <f t="shared" si="79"/>
        <v>1.0000000013964339</v>
      </c>
      <c r="AO39" s="51">
        <f t="shared" si="80"/>
        <v>-5.2847588564232227E-5</v>
      </c>
      <c r="AP39" s="60" t="str">
        <f t="shared" si="81"/>
        <v>42.1669750950739-0.380504836501847i</v>
      </c>
      <c r="AQ39" s="51">
        <f t="shared" si="82"/>
        <v>32.499802572915186</v>
      </c>
      <c r="AR39" s="63">
        <f t="shared" si="83"/>
        <v>-0.51700956607192472</v>
      </c>
      <c r="AS39" s="32" t="str">
        <f t="shared" si="58"/>
        <v>-0.000133283554228113</v>
      </c>
      <c r="AT39" s="32" t="str">
        <f t="shared" si="59"/>
        <v>6.22617149197905E-06i</v>
      </c>
      <c r="AU39" s="32">
        <f t="shared" si="84"/>
        <v>6.2261714919790496E-6</v>
      </c>
      <c r="AV39" s="32">
        <f t="shared" si="85"/>
        <v>1.5707963267948966</v>
      </c>
      <c r="AW39" s="32" t="str">
        <f t="shared" si="60"/>
        <v>1+0.00108859994041259i</v>
      </c>
      <c r="AX39" s="32">
        <f t="shared" si="86"/>
        <v>1.0000005925247395</v>
      </c>
      <c r="AY39" s="32">
        <f t="shared" si="87"/>
        <v>1.0885995103978375E-3</v>
      </c>
      <c r="AZ39" s="32" t="str">
        <f t="shared" si="61"/>
        <v>1+0.0162227942339534i</v>
      </c>
      <c r="BA39" s="32">
        <f t="shared" si="88"/>
        <v>1.0001315808696161</v>
      </c>
      <c r="BB39" s="32">
        <f t="shared" si="89"/>
        <v>1.6221371292099881E-2</v>
      </c>
      <c r="BC39" s="60" t="str">
        <f t="shared" si="90"/>
        <v>-0.323977072911163+21.4073367967518i</v>
      </c>
      <c r="BD39" s="51">
        <f t="shared" si="91"/>
        <v>26.612247411176835</v>
      </c>
      <c r="BE39" s="63">
        <f t="shared" si="92"/>
        <v>90.867043955426197</v>
      </c>
      <c r="BF39" s="60" t="str">
        <f t="shared" si="93"/>
        <v>27.3837653005632+780.674336557838i</v>
      </c>
      <c r="BG39" s="66">
        <f t="shared" si="94"/>
        <v>57.854738334108397</v>
      </c>
      <c r="BH39" s="63">
        <f t="shared" si="95"/>
        <v>87.991055820355541</v>
      </c>
      <c r="BI39" s="60" t="str">
        <f t="shared" si="96"/>
        <v>-5.51553797703194+902.805912403651i</v>
      </c>
      <c r="BJ39" s="66">
        <f t="shared" si="97"/>
        <v>59.112049984092032</v>
      </c>
      <c r="BK39" s="63">
        <f t="shared" si="98"/>
        <v>90.350034389354263</v>
      </c>
      <c r="BL39" s="51">
        <f t="shared" si="99"/>
        <v>57.854738334108397</v>
      </c>
      <c r="BM39" s="63">
        <f t="shared" si="100"/>
        <v>87.991055820355541</v>
      </c>
    </row>
    <row r="40" spans="1:65" x14ac:dyDescent="0.35">
      <c r="A40" s="32"/>
      <c r="B40" s="1"/>
      <c r="C40" s="32"/>
      <c r="D40" s="32"/>
      <c r="E40" s="32"/>
      <c r="F40" s="32"/>
      <c r="G40" s="32"/>
      <c r="N40" s="11">
        <v>22</v>
      </c>
      <c r="O40" s="52">
        <f t="shared" si="62"/>
        <v>16.595869074375614</v>
      </c>
      <c r="P40" s="50" t="str">
        <f t="shared" si="50"/>
        <v>36.531007751938</v>
      </c>
      <c r="Q40" s="18" t="str">
        <f t="shared" si="51"/>
        <v>1+0.050924961285764i</v>
      </c>
      <c r="R40" s="18">
        <f t="shared" si="63"/>
        <v>1.0012958362451911</v>
      </c>
      <c r="S40" s="18">
        <f t="shared" si="64"/>
        <v>5.0881007546687673E-2</v>
      </c>
      <c r="T40" s="18" t="str">
        <f t="shared" si="52"/>
        <v>1+0.0000208549841455986i</v>
      </c>
      <c r="U40" s="18">
        <f t="shared" si="65"/>
        <v>1.0000000002174652</v>
      </c>
      <c r="V40" s="18">
        <f t="shared" si="66"/>
        <v>2.0854984142575112E-5</v>
      </c>
      <c r="W40" s="32" t="str">
        <f t="shared" si="53"/>
        <v>1-0.000345526364542462i</v>
      </c>
      <c r="X40" s="18">
        <f t="shared" si="67"/>
        <v>1.0000000596942324</v>
      </c>
      <c r="Y40" s="18">
        <f t="shared" si="68"/>
        <v>-3.4552635079184183E-4</v>
      </c>
      <c r="Z40" s="32" t="str">
        <f t="shared" si="54"/>
        <v>0.999999994309445+0.00015701049481478i</v>
      </c>
      <c r="AA40" s="18">
        <f t="shared" si="69"/>
        <v>1.0000000066355927</v>
      </c>
      <c r="AB40" s="18">
        <f t="shared" si="70"/>
        <v>1.5701049441803382E-4</v>
      </c>
      <c r="AC40" s="68" t="str">
        <f t="shared" si="71"/>
        <v>36.4356189943292-1.8730788107667i</v>
      </c>
      <c r="AD40" s="66">
        <f t="shared" si="72"/>
        <v>31.241985316770059</v>
      </c>
      <c r="AE40" s="63">
        <f t="shared" si="73"/>
        <v>-2.9428653275056571</v>
      </c>
      <c r="AF40" s="51" t="str">
        <f t="shared" si="74"/>
        <v>42.1703962805665</v>
      </c>
      <c r="AG40" s="51" t="str">
        <f t="shared" si="55"/>
        <v>1+0.00920072829952882i</v>
      </c>
      <c r="AH40" s="51">
        <f t="shared" si="75"/>
        <v>1.0000423258048841</v>
      </c>
      <c r="AI40" s="51">
        <f t="shared" si="76"/>
        <v>9.2004686884000521E-3</v>
      </c>
      <c r="AJ40" s="51" t="str">
        <f t="shared" si="56"/>
        <v>1+0.0000208549841455986i</v>
      </c>
      <c r="AK40" s="51">
        <f t="shared" si="77"/>
        <v>1.0000000002174652</v>
      </c>
      <c r="AL40" s="51">
        <f t="shared" si="78"/>
        <v>2.0854984142575112E-5</v>
      </c>
      <c r="AM40" s="51" t="str">
        <f t="shared" si="57"/>
        <v>1-0.0000540785670870603i</v>
      </c>
      <c r="AN40" s="51">
        <f t="shared" si="79"/>
        <v>1.0000000014622457</v>
      </c>
      <c r="AO40" s="51">
        <f t="shared" si="80"/>
        <v>-5.4078567034342867E-5</v>
      </c>
      <c r="AP40" s="60" t="str">
        <f t="shared" si="81"/>
        <v>42.1668138732171-0.389366449362774i</v>
      </c>
      <c r="AQ40" s="51">
        <f t="shared" si="82"/>
        <v>32.499786028187984</v>
      </c>
      <c r="AR40" s="63">
        <f t="shared" si="83"/>
        <v>-0.52905159646758737</v>
      </c>
      <c r="AS40" s="32" t="str">
        <f t="shared" si="58"/>
        <v>-0.000133283554228113</v>
      </c>
      <c r="AT40" s="32" t="str">
        <f t="shared" si="59"/>
        <v>6.37119765648037E-06i</v>
      </c>
      <c r="AU40" s="32">
        <f t="shared" si="84"/>
        <v>6.3711976564803702E-6</v>
      </c>
      <c r="AV40" s="32">
        <f t="shared" si="85"/>
        <v>1.5707963267948966</v>
      </c>
      <c r="AW40" s="32" t="str">
        <f t="shared" si="60"/>
        <v>1+0.00111395669042145i</v>
      </c>
      <c r="AX40" s="32">
        <f t="shared" si="86"/>
        <v>1.0000006204495615</v>
      </c>
      <c r="AY40" s="32">
        <f t="shared" si="87"/>
        <v>1.1139562296523565E-3</v>
      </c>
      <c r="AZ40" s="32" t="str">
        <f t="shared" si="61"/>
        <v>1+0.0166006716548172i</v>
      </c>
      <c r="BA40" s="32">
        <f t="shared" si="88"/>
        <v>1.0001377816578028</v>
      </c>
      <c r="BB40" s="32">
        <f t="shared" si="89"/>
        <v>1.659914695649516E-2</v>
      </c>
      <c r="BC40" s="60" t="str">
        <f t="shared" si="90"/>
        <v>-0.323977054817173+20.9200625623176i</v>
      </c>
      <c r="BD40" s="51">
        <f t="shared" si="91"/>
        <v>26.412301020734063</v>
      </c>
      <c r="BE40" s="63">
        <f t="shared" si="92"/>
        <v>90.887236073603205</v>
      </c>
      <c r="BF40" s="60" t="str">
        <f t="shared" si="93"/>
        <v>27.3806213731674+762.842263414687i</v>
      </c>
      <c r="BG40" s="66">
        <f t="shared" si="94"/>
        <v>57.654286337504118</v>
      </c>
      <c r="BH40" s="63">
        <f t="shared" si="95"/>
        <v>87.944370746097562</v>
      </c>
      <c r="BI40" s="60" t="str">
        <f t="shared" si="96"/>
        <v>-5.51550968933209+882.258530076813i</v>
      </c>
      <c r="BJ40" s="66">
        <f t="shared" si="97"/>
        <v>58.912087048922047</v>
      </c>
      <c r="BK40" s="63">
        <f t="shared" si="98"/>
        <v>90.358184477135609</v>
      </c>
      <c r="BL40" s="51">
        <f t="shared" si="99"/>
        <v>57.654286337504118</v>
      </c>
      <c r="BM40" s="63">
        <f t="shared" si="100"/>
        <v>87.944370746097562</v>
      </c>
    </row>
    <row r="41" spans="1:65" x14ac:dyDescent="0.35">
      <c r="A41" t="s">
        <v>216</v>
      </c>
      <c r="B41" s="30">
        <f>1/(Cout*Resr)</f>
        <v>5000000</v>
      </c>
      <c r="C41" t="s">
        <v>213</v>
      </c>
      <c r="E41" t="s">
        <v>206</v>
      </c>
      <c r="N41" s="11">
        <v>23</v>
      </c>
      <c r="O41" s="52">
        <f t="shared" si="62"/>
        <v>16.982436524617448</v>
      </c>
      <c r="P41" s="50" t="str">
        <f t="shared" si="50"/>
        <v>36.531007751938</v>
      </c>
      <c r="Q41" s="18" t="str">
        <f t="shared" si="51"/>
        <v>1+0.0521111560158908i</v>
      </c>
      <c r="R41" s="18">
        <f t="shared" si="63"/>
        <v>1.0013568657483267</v>
      </c>
      <c r="S41" s="18">
        <f t="shared" si="64"/>
        <v>5.2064062181991957E-2</v>
      </c>
      <c r="T41" s="18" t="str">
        <f t="shared" si="52"/>
        <v>1+0.0000213407591303172i</v>
      </c>
      <c r="U41" s="18">
        <f t="shared" si="65"/>
        <v>1.0000000002277138</v>
      </c>
      <c r="V41" s="18">
        <f t="shared" si="66"/>
        <v>2.1340759127077475E-5</v>
      </c>
      <c r="W41" s="32" t="str">
        <f t="shared" si="53"/>
        <v>1-0.000353574707484546i</v>
      </c>
      <c r="X41" s="18">
        <f t="shared" si="67"/>
        <v>1.0000000625075349</v>
      </c>
      <c r="Y41" s="18">
        <f t="shared" si="68"/>
        <v>-3.5357469275049103E-4</v>
      </c>
      <c r="Z41" s="32" t="str">
        <f t="shared" si="54"/>
        <v>0.999999994041257+0.000160667739058497i</v>
      </c>
      <c r="AA41" s="18">
        <f t="shared" si="69"/>
        <v>1.0000000069483181</v>
      </c>
      <c r="AB41" s="18">
        <f t="shared" si="70"/>
        <v>1.6066773863337587E-4</v>
      </c>
      <c r="AC41" s="68" t="str">
        <f t="shared" si="71"/>
        <v>36.4311356355694-1.9164747880268i</v>
      </c>
      <c r="AD41" s="66">
        <f t="shared" si="72"/>
        <v>31.24145594521114</v>
      </c>
      <c r="AE41" s="63">
        <f t="shared" si="73"/>
        <v>-3.0112922128700812</v>
      </c>
      <c r="AF41" s="51" t="str">
        <f t="shared" si="74"/>
        <v>42.1703962805665</v>
      </c>
      <c r="AG41" s="51" t="str">
        <f t="shared" si="55"/>
        <v>1+0.00941504079278703i</v>
      </c>
      <c r="AH41" s="51">
        <f t="shared" si="75"/>
        <v>1.0000443205144109</v>
      </c>
      <c r="AI41" s="51">
        <f t="shared" si="76"/>
        <v>9.4147626151165429E-3</v>
      </c>
      <c r="AJ41" s="51" t="str">
        <f t="shared" si="56"/>
        <v>1+0.0000213407591303172i</v>
      </c>
      <c r="AK41" s="51">
        <f t="shared" si="77"/>
        <v>1.0000000002277138</v>
      </c>
      <c r="AL41" s="51">
        <f t="shared" si="78"/>
        <v>2.1340759127077475E-5</v>
      </c>
      <c r="AM41" s="51" t="str">
        <f t="shared" si="57"/>
        <v>1-0.0000553382187327733i</v>
      </c>
      <c r="AN41" s="51">
        <f t="shared" si="79"/>
        <v>1.0000000015311592</v>
      </c>
      <c r="AO41" s="51">
        <f t="shared" si="80"/>
        <v>-5.5338218676285553E-5</v>
      </c>
      <c r="AP41" s="60" t="str">
        <f t="shared" si="81"/>
        <v>42.1666450545247-0.39843436962729i</v>
      </c>
      <c r="AQ41" s="51">
        <f t="shared" si="82"/>
        <v>32.499768703799326</v>
      </c>
      <c r="AR41" s="63">
        <f t="shared" si="83"/>
        <v>-0.54137407391006465</v>
      </c>
      <c r="AS41" s="32" t="str">
        <f t="shared" si="58"/>
        <v>-0.000133283554228113</v>
      </c>
      <c r="AT41" s="32" t="str">
        <f t="shared" si="59"/>
        <v>6.51960191431192E-06i</v>
      </c>
      <c r="AU41" s="32">
        <f t="shared" si="84"/>
        <v>6.5196019143119201E-6</v>
      </c>
      <c r="AV41" s="32">
        <f t="shared" si="85"/>
        <v>1.5707963267948966</v>
      </c>
      <c r="AW41" s="32" t="str">
        <f t="shared" si="60"/>
        <v>1+0.00113990407501253i</v>
      </c>
      <c r="AX41" s="32">
        <f t="shared" si="86"/>
        <v>1.0000006496904392</v>
      </c>
      <c r="AY41" s="32">
        <f t="shared" si="87"/>
        <v>1.1399035812895686E-3</v>
      </c>
      <c r="AZ41" s="32" t="str">
        <f t="shared" si="61"/>
        <v>1+0.0169873509715281i</v>
      </c>
      <c r="BA41" s="32">
        <f t="shared" si="88"/>
        <v>1.0001442746389293</v>
      </c>
      <c r="BB41" s="32">
        <f t="shared" si="89"/>
        <v>1.6985717240569579E-2</v>
      </c>
      <c r="BC41" s="60" t="str">
        <f t="shared" si="90"/>
        <v>-0.323977035870436+20.4438804219618i</v>
      </c>
      <c r="BD41" s="51">
        <f t="shared" si="91"/>
        <v>26.212357156116198</v>
      </c>
      <c r="BE41" s="63">
        <f t="shared" si="92"/>
        <v>90.907898245627479</v>
      </c>
      <c r="BF41" s="60" t="str">
        <f t="shared" si="93"/>
        <v>27.3773300615189+745.414674390997i</v>
      </c>
      <c r="BG41" s="66">
        <f t="shared" si="94"/>
        <v>57.453813101327341</v>
      </c>
      <c r="BH41" s="63">
        <f t="shared" si="95"/>
        <v>87.896606032757418</v>
      </c>
      <c r="BI41" s="60" t="str">
        <f t="shared" si="96"/>
        <v>-5.51548006870565+862.178932876071i</v>
      </c>
      <c r="BJ41" s="66">
        <f t="shared" si="97"/>
        <v>58.712125859915531</v>
      </c>
      <c r="BK41" s="63">
        <f t="shared" si="98"/>
        <v>90.366524171717415</v>
      </c>
      <c r="BL41" s="51">
        <f t="shared" si="99"/>
        <v>57.453813101327341</v>
      </c>
      <c r="BM41" s="63">
        <f t="shared" si="100"/>
        <v>87.896606032757418</v>
      </c>
    </row>
    <row r="42" spans="1:65" s="32" customFormat="1" x14ac:dyDescent="0.35">
      <c r="B42" s="30"/>
      <c r="K42"/>
      <c r="N42" s="11">
        <v>24</v>
      </c>
      <c r="O42" s="52">
        <f t="shared" si="62"/>
        <v>17.378008287493756</v>
      </c>
      <c r="P42" s="50" t="str">
        <f t="shared" si="50"/>
        <v>36.531007751938</v>
      </c>
      <c r="Q42" s="18" t="str">
        <f t="shared" si="51"/>
        <v>1+0.0533249807707103i</v>
      </c>
      <c r="R42" s="18">
        <f t="shared" si="63"/>
        <v>1.0014207674969582</v>
      </c>
      <c r="S42" s="18">
        <f t="shared" si="64"/>
        <v>5.3274522684382361E-2</v>
      </c>
      <c r="T42" s="18" t="str">
        <f t="shared" si="52"/>
        <v>1+0.0000218378492680052i</v>
      </c>
      <c r="U42" s="18">
        <f t="shared" si="65"/>
        <v>1.0000000002384457</v>
      </c>
      <c r="V42" s="18">
        <f t="shared" si="66"/>
        <v>2.183784926453377E-5</v>
      </c>
      <c r="W42" s="32" t="str">
        <f t="shared" si="53"/>
        <v>1-0.000361810520416654i</v>
      </c>
      <c r="X42" s="18">
        <f t="shared" si="67"/>
        <v>1.0000000654534242</v>
      </c>
      <c r="Y42" s="18">
        <f t="shared" si="68"/>
        <v>-3.6181050462882972E-4</v>
      </c>
      <c r="Z42" s="32" t="str">
        <f t="shared" si="54"/>
        <v>0.99999999376043+0.000164410171464154i</v>
      </c>
      <c r="AA42" s="18">
        <f t="shared" si="69"/>
        <v>1.0000000072757824</v>
      </c>
      <c r="AB42" s="18">
        <f t="shared" si="70"/>
        <v>1.6441017100862852E-4</v>
      </c>
      <c r="AC42" s="68" t="str">
        <f t="shared" si="71"/>
        <v>36.4264421539016-1.96086494063747i</v>
      </c>
      <c r="AD42" s="66">
        <f t="shared" si="72"/>
        <v>31.240901694295857</v>
      </c>
      <c r="AE42" s="63">
        <f t="shared" si="73"/>
        <v>-3.0813043125991268</v>
      </c>
      <c r="AF42" s="51" t="str">
        <f t="shared" si="74"/>
        <v>42.1703962805665</v>
      </c>
      <c r="AG42" s="51" t="str">
        <f t="shared" si="55"/>
        <v>1+0.00963434526529644i</v>
      </c>
      <c r="AH42" s="51">
        <f t="shared" si="75"/>
        <v>1.0000464092274373</v>
      </c>
      <c r="AI42" s="51">
        <f t="shared" si="76"/>
        <v>9.6340471932993103E-3</v>
      </c>
      <c r="AJ42" s="51" t="str">
        <f t="shared" si="56"/>
        <v>1+0.0000218378492680052i</v>
      </c>
      <c r="AK42" s="51">
        <f t="shared" si="77"/>
        <v>1.0000000002384457</v>
      </c>
      <c r="AL42" s="51">
        <f t="shared" si="78"/>
        <v>2.183784926453377E-5</v>
      </c>
      <c r="AM42" s="51" t="str">
        <f t="shared" si="57"/>
        <v>1-0.0000566272114345467i</v>
      </c>
      <c r="AN42" s="51">
        <f t="shared" si="79"/>
        <v>1.0000000016033206</v>
      </c>
      <c r="AO42" s="51">
        <f t="shared" si="80"/>
        <v>-5.6627211374018988E-5</v>
      </c>
      <c r="AP42" s="60" t="str">
        <f t="shared" si="81"/>
        <v>42.1664682810962-0.407713395227163i</v>
      </c>
      <c r="AQ42" s="51">
        <f t="shared" si="82"/>
        <v>32.499750563011489</v>
      </c>
      <c r="AR42" s="63">
        <f t="shared" si="83"/>
        <v>-0.55398352742673285</v>
      </c>
      <c r="AS42" s="32" t="str">
        <f t="shared" si="58"/>
        <v>-0.000133283554228113</v>
      </c>
      <c r="AT42" s="32" t="str">
        <f t="shared" si="59"/>
        <v>6.67146295137558E-06i</v>
      </c>
      <c r="AU42" s="32">
        <f t="shared" si="84"/>
        <v>6.6714629513755799E-6</v>
      </c>
      <c r="AV42" s="32">
        <f t="shared" si="85"/>
        <v>1.5707963267948966</v>
      </c>
      <c r="AW42" s="32" t="str">
        <f t="shared" si="60"/>
        <v>1+0.0011664558518326i</v>
      </c>
      <c r="AX42" s="32">
        <f t="shared" si="86"/>
        <v>1.0000006803093957</v>
      </c>
      <c r="AY42" s="32">
        <f t="shared" si="87"/>
        <v>1.1664553227989348E-3</v>
      </c>
      <c r="AZ42" s="32" t="str">
        <f t="shared" si="61"/>
        <v>1+0.0173830372065785i</v>
      </c>
      <c r="BA42" s="32">
        <f t="shared" si="88"/>
        <v>1.0001510735796493</v>
      </c>
      <c r="BB42" s="32">
        <f t="shared" si="89"/>
        <v>1.7381286646597899E-2</v>
      </c>
      <c r="BC42" s="60" t="str">
        <f t="shared" si="90"/>
        <v>-0.323977016030775+19.9785378976103i</v>
      </c>
      <c r="BD42" s="51">
        <f t="shared" si="91"/>
        <v>26.012415936292612</v>
      </c>
      <c r="BE42" s="63">
        <f t="shared" si="92"/>
        <v>90.929041400370195</v>
      </c>
      <c r="BF42" s="60" t="str">
        <f t="shared" si="93"/>
        <v>27.3738844949824+728.382330219139i</v>
      </c>
      <c r="BG42" s="66">
        <f t="shared" si="94"/>
        <v>57.253317630588462</v>
      </c>
      <c r="BH42" s="63">
        <f t="shared" si="95"/>
        <v>87.84773708777108</v>
      </c>
      <c r="BI42" s="60" t="str">
        <f t="shared" si="96"/>
        <v>-5.51544905235663+842.556474331445i</v>
      </c>
      <c r="BJ42" s="66">
        <f t="shared" si="97"/>
        <v>58.512166499304108</v>
      </c>
      <c r="BK42" s="63">
        <f t="shared" si="98"/>
        <v>90.375057872943472</v>
      </c>
      <c r="BL42" s="51">
        <f t="shared" si="99"/>
        <v>57.253317630588462</v>
      </c>
      <c r="BM42" s="63">
        <f t="shared" si="100"/>
        <v>87.84773708777108</v>
      </c>
    </row>
    <row r="43" spans="1:65" s="32" customFormat="1" x14ac:dyDescent="0.35">
      <c r="A43"/>
      <c r="B43" s="1"/>
      <c r="C43"/>
      <c r="D43"/>
      <c r="E43"/>
      <c r="F43"/>
      <c r="G43"/>
      <c r="N43" s="11">
        <v>25</v>
      </c>
      <c r="O43" s="52">
        <f t="shared" si="62"/>
        <v>17.782794100389236</v>
      </c>
      <c r="P43" s="50" t="str">
        <f t="shared" si="50"/>
        <v>36.531007751938</v>
      </c>
      <c r="Q43" s="18" t="str">
        <f t="shared" si="51"/>
        <v>1+0.0545670791361735i</v>
      </c>
      <c r="R43" s="18">
        <f t="shared" si="63"/>
        <v>1.0014876764720839</v>
      </c>
      <c r="S43" s="18">
        <f t="shared" si="64"/>
        <v>5.4513016659315863E-2</v>
      </c>
      <c r="T43" s="18" t="str">
        <f t="shared" si="52"/>
        <v>1+0.000022346518122433i</v>
      </c>
      <c r="U43" s="18">
        <f t="shared" si="65"/>
        <v>1.0000000002496834</v>
      </c>
      <c r="V43" s="18">
        <f t="shared" si="66"/>
        <v>2.2346518118713297E-5</v>
      </c>
      <c r="W43" s="32" t="str">
        <f t="shared" si="53"/>
        <v>1-0.000370238170075813i</v>
      </c>
      <c r="X43" s="18">
        <f t="shared" si="67"/>
        <v>1.0000000685381489</v>
      </c>
      <c r="Y43" s="18">
        <f t="shared" si="68"/>
        <v>-3.7023815315885463E-4</v>
      </c>
      <c r="Z43" s="32" t="str">
        <f t="shared" si="54"/>
        <v>0.999999993466368+0.000168239776318945i</v>
      </c>
      <c r="AA43" s="18">
        <f t="shared" si="69"/>
        <v>1.0000000076186792</v>
      </c>
      <c r="AB43" s="18">
        <f t="shared" si="70"/>
        <v>1.6823977583084067E-4</v>
      </c>
      <c r="AC43" s="68" t="str">
        <f t="shared" si="71"/>
        <v>36.4215287590488-2.00627124294319i</v>
      </c>
      <c r="AD43" s="66">
        <f t="shared" si="72"/>
        <v>31.240321398148883</v>
      </c>
      <c r="AE43" s="63">
        <f t="shared" si="73"/>
        <v>-3.15293793462219</v>
      </c>
      <c r="AF43" s="51" t="str">
        <f t="shared" si="74"/>
        <v>42.1703962805665</v>
      </c>
      <c r="AG43" s="51" t="str">
        <f t="shared" si="55"/>
        <v>1+0.00985875799519106i</v>
      </c>
      <c r="AH43" s="51">
        <f t="shared" si="75"/>
        <v>1.0000485963738002</v>
      </c>
      <c r="AI43" s="51">
        <f t="shared" si="76"/>
        <v>9.8584386061300218E-3</v>
      </c>
      <c r="AJ43" s="51" t="str">
        <f t="shared" si="56"/>
        <v>1+0.000022346518122433i</v>
      </c>
      <c r="AK43" s="51">
        <f t="shared" si="77"/>
        <v>1.0000000002496834</v>
      </c>
      <c r="AL43" s="51">
        <f t="shared" si="78"/>
        <v>2.2346518118713297E-5</v>
      </c>
      <c r="AM43" s="51" t="str">
        <f t="shared" si="57"/>
        <v>1-0.0000579462286333719i</v>
      </c>
      <c r="AN43" s="51">
        <f t="shared" si="79"/>
        <v>1.0000000016788826</v>
      </c>
      <c r="AO43" s="51">
        <f t="shared" si="80"/>
        <v>-5.7946228568515288E-5</v>
      </c>
      <c r="AP43" s="60" t="str">
        <f t="shared" si="81"/>
        <v>42.1662831781755-0.417208435310048i</v>
      </c>
      <c r="AQ43" s="51">
        <f t="shared" si="82"/>
        <v>32.499731567355866</v>
      </c>
      <c r="AR43" s="63">
        <f t="shared" si="83"/>
        <v>-0.56688663788074611</v>
      </c>
      <c r="AS43" s="32" t="str">
        <f t="shared" si="58"/>
        <v>-0.000133283554228113</v>
      </c>
      <c r="AT43" s="32" t="str">
        <f t="shared" si="59"/>
        <v>6.82686128640331E-06i</v>
      </c>
      <c r="AU43" s="32">
        <f t="shared" si="84"/>
        <v>6.8268612864033098E-6</v>
      </c>
      <c r="AV43" s="32">
        <f t="shared" si="85"/>
        <v>1.5707963267948966</v>
      </c>
      <c r="AW43" s="32" t="str">
        <f t="shared" si="60"/>
        <v>1+0.00119362609898517i</v>
      </c>
      <c r="AX43" s="32">
        <f t="shared" si="86"/>
        <v>1.0000007123713783</v>
      </c>
      <c r="AY43" s="32">
        <f t="shared" si="87"/>
        <v>1.1936255321154064E-3</v>
      </c>
      <c r="AZ43" s="32" t="str">
        <f t="shared" si="61"/>
        <v>1+0.0177879401580473i</v>
      </c>
      <c r="BA43" s="32">
        <f t="shared" si="88"/>
        <v>1.0001581928950372</v>
      </c>
      <c r="BB43" s="32">
        <f t="shared" si="89"/>
        <v>1.7786064415256354E-2</v>
      </c>
      <c r="BC43" s="60" t="str">
        <f t="shared" si="90"/>
        <v>-0.323976995256098+19.5237882584973i</v>
      </c>
      <c r="BD43" s="51">
        <f t="shared" si="91"/>
        <v>25.812477485833071</v>
      </c>
      <c r="BE43" s="63">
        <f t="shared" si="92"/>
        <v>90.950676719832728</v>
      </c>
      <c r="BF43" s="60" t="str">
        <f t="shared" si="93"/>
        <v>27.3702774863448+711.736201271396i</v>
      </c>
      <c r="BG43" s="66">
        <f t="shared" si="94"/>
        <v>57.05279888398195</v>
      </c>
      <c r="BH43" s="63">
        <f t="shared" si="95"/>
        <v>87.797738785210555</v>
      </c>
      <c r="BI43" s="60" t="str">
        <f t="shared" si="96"/>
        <v>-5.5154165745307+823.380750353802i</v>
      </c>
      <c r="BJ43" s="66">
        <f t="shared" si="97"/>
        <v>58.312209053188937</v>
      </c>
      <c r="BK43" s="63">
        <f t="shared" si="98"/>
        <v>90.383790081951986</v>
      </c>
      <c r="BL43" s="51">
        <f t="shared" si="99"/>
        <v>57.05279888398195</v>
      </c>
      <c r="BM43" s="63">
        <f t="shared" si="100"/>
        <v>87.797738785210555</v>
      </c>
    </row>
    <row r="44" spans="1:65" s="32" customFormat="1" x14ac:dyDescent="0.35">
      <c r="A44" s="32" t="s">
        <v>209</v>
      </c>
      <c r="B44" s="1">
        <f>(Isl*(Rsl_int+R_sl)*Fsw)</f>
        <v>17595.599999999999</v>
      </c>
      <c r="C44" s="32" t="s">
        <v>147</v>
      </c>
      <c r="E44" s="32" t="s">
        <v>210</v>
      </c>
      <c r="N44" s="11">
        <v>26</v>
      </c>
      <c r="O44" s="52">
        <f t="shared" si="62"/>
        <v>18.197008586099841</v>
      </c>
      <c r="P44" s="50" t="str">
        <f t="shared" si="50"/>
        <v>36.531007751938</v>
      </c>
      <c r="Q44" s="18" t="str">
        <f t="shared" si="51"/>
        <v>1+0.0558381096892758i</v>
      </c>
      <c r="R44" s="18">
        <f t="shared" si="63"/>
        <v>1.0015577339792607</v>
      </c>
      <c r="S44" s="18">
        <f t="shared" si="64"/>
        <v>5.5780185566594413E-2</v>
      </c>
      <c r="T44" s="18" t="str">
        <f t="shared" si="52"/>
        <v>1+0.0000228670353965606i</v>
      </c>
      <c r="U44" s="18">
        <f t="shared" si="65"/>
        <v>1.0000000002614506</v>
      </c>
      <c r="V44" s="18">
        <f t="shared" si="66"/>
        <v>2.2867035392574867E-5</v>
      </c>
      <c r="W44" s="32" t="str">
        <f t="shared" si="53"/>
        <v>1-0.00037886212491343i</v>
      </c>
      <c r="X44" s="18">
        <f t="shared" si="67"/>
        <v>1.0000000717682522</v>
      </c>
      <c r="Y44" s="18">
        <f t="shared" si="68"/>
        <v>-3.7886210678658255E-4</v>
      </c>
      <c r="Z44" s="32" t="str">
        <f t="shared" si="54"/>
        <v>0.999999993158448+0.000172158584130058i</v>
      </c>
      <c r="AA44" s="18">
        <f t="shared" si="69"/>
        <v>1.0000000079777371</v>
      </c>
      <c r="AB44" s="18">
        <f t="shared" si="70"/>
        <v>1.7215858360704469E-4</v>
      </c>
      <c r="AC44" s="68" t="str">
        <f t="shared" si="71"/>
        <v>36.4163852101157-2.05271609745324i</v>
      </c>
      <c r="AD44" s="66">
        <f t="shared" si="72"/>
        <v>31.239713836588084</v>
      </c>
      <c r="AE44" s="63">
        <f t="shared" si="73"/>
        <v>-3.2262301887883802</v>
      </c>
      <c r="AF44" s="51" t="str">
        <f t="shared" si="74"/>
        <v>42.1703962805665</v>
      </c>
      <c r="AG44" s="51" t="str">
        <f t="shared" si="55"/>
        <v>1+0.0100883979690709i</v>
      </c>
      <c r="AH44" s="51">
        <f t="shared" si="75"/>
        <v>1.0000508865920685</v>
      </c>
      <c r="AI44" s="51">
        <f t="shared" si="76"/>
        <v>1.0088055738466625E-2</v>
      </c>
      <c r="AJ44" s="51" t="str">
        <f t="shared" si="56"/>
        <v>1+0.0000228670353965606i</v>
      </c>
      <c r="AK44" s="51">
        <f t="shared" si="77"/>
        <v>1.0000000002614506</v>
      </c>
      <c r="AL44" s="51">
        <f t="shared" si="78"/>
        <v>2.2867035392574867E-5</v>
      </c>
      <c r="AM44" s="51" t="str">
        <f t="shared" si="57"/>
        <v>1-0.0000592959696896279i</v>
      </c>
      <c r="AN44" s="51">
        <f t="shared" si="79"/>
        <v>1.000000001758006</v>
      </c>
      <c r="AO44" s="51">
        <f t="shared" si="80"/>
        <v>-5.9295969620132782E-5</v>
      </c>
      <c r="AP44" s="60" t="str">
        <f t="shared" si="81"/>
        <v>42.1660893533585-0.426924512791301i</v>
      </c>
      <c r="AQ44" s="51">
        <f t="shared" si="82"/>
        <v>32.499711676551641</v>
      </c>
      <c r="AR44" s="63">
        <f t="shared" si="83"/>
        <v>-0.58009024149026689</v>
      </c>
      <c r="AS44" s="32" t="str">
        <f t="shared" si="58"/>
        <v>-0.000133283554228113</v>
      </c>
      <c r="AT44" s="32" t="str">
        <f t="shared" si="59"/>
        <v>6.98587931364928E-06i</v>
      </c>
      <c r="AU44" s="32">
        <f t="shared" si="84"/>
        <v>6.9858793136492797E-6</v>
      </c>
      <c r="AV44" s="32">
        <f t="shared" si="85"/>
        <v>1.5707963267948966</v>
      </c>
      <c r="AW44" s="32" t="str">
        <f t="shared" si="60"/>
        <v>1+0.00122142922249494i</v>
      </c>
      <c r="AX44" s="32">
        <f t="shared" si="86"/>
        <v>1.0000007459443947</v>
      </c>
      <c r="AY44" s="32">
        <f t="shared" si="87"/>
        <v>1.2214286150830692E-3</v>
      </c>
      <c r="AZ44" s="32" t="str">
        <f t="shared" si="61"/>
        <v>1+0.0182022745108392i</v>
      </c>
      <c r="BA44" s="32">
        <f t="shared" si="88"/>
        <v>1.0001656476791072</v>
      </c>
      <c r="BB44" s="32">
        <f t="shared" si="89"/>
        <v>1.8200264634205047E-2</v>
      </c>
      <c r="BC44" s="60" t="str">
        <f t="shared" si="90"/>
        <v>-0.323976973502344+19.0793903903445i</v>
      </c>
      <c r="BD44" s="51">
        <f t="shared" si="91"/>
        <v>25.612541935170622</v>
      </c>
      <c r="BE44" s="63">
        <f t="shared" si="92"/>
        <v>90.972815644940383</v>
      </c>
      <c r="BF44" s="60" t="str">
        <f t="shared" si="93"/>
        <v>27.366501517586+695.467462777677i</v>
      </c>
      <c r="BG44" s="66">
        <f t="shared" si="94"/>
        <v>56.852255771758699</v>
      </c>
      <c r="BH44" s="63">
        <f t="shared" si="95"/>
        <v>87.746585456152019</v>
      </c>
      <c r="BI44" s="60" t="str">
        <f t="shared" si="96"/>
        <v>-5.51538256637764+804.641593718444i</v>
      </c>
      <c r="BJ44" s="66">
        <f t="shared" si="97"/>
        <v>58.112253611722274</v>
      </c>
      <c r="BK44" s="63">
        <f t="shared" si="98"/>
        <v>90.392725403450115</v>
      </c>
      <c r="BL44" s="51">
        <f t="shared" si="99"/>
        <v>56.852255771758699</v>
      </c>
      <c r="BM44" s="63">
        <f t="shared" si="100"/>
        <v>87.746585456152019</v>
      </c>
    </row>
    <row r="45" spans="1:65" x14ac:dyDescent="0.35">
      <c r="A45" s="32" t="s">
        <v>212</v>
      </c>
      <c r="B45" s="1">
        <f>(R_cs*VIN_var*Acs)/Lm</f>
        <v>11700</v>
      </c>
      <c r="C45" s="32" t="s">
        <v>147</v>
      </c>
      <c r="D45" s="32"/>
      <c r="E45" s="32" t="s">
        <v>211</v>
      </c>
      <c r="F45" s="32"/>
      <c r="G45" s="32"/>
      <c r="N45" s="11">
        <v>27</v>
      </c>
      <c r="O45" s="52">
        <f t="shared" si="62"/>
        <v>18.62087136662868</v>
      </c>
      <c r="P45" s="50" t="str">
        <f t="shared" si="50"/>
        <v>36.531007751938</v>
      </c>
      <c r="Q45" s="18" t="str">
        <f t="shared" si="51"/>
        <v>1+0.05713874634724i</v>
      </c>
      <c r="R45" s="18">
        <f t="shared" si="63"/>
        <v>1.0016310879431281</v>
      </c>
      <c r="S45" s="18">
        <f t="shared" si="64"/>
        <v>5.707668498900665E-2</v>
      </c>
      <c r="T45" s="18" t="str">
        <f t="shared" si="52"/>
        <v>1+0.0000233996770755364i</v>
      </c>
      <c r="U45" s="18">
        <f t="shared" si="65"/>
        <v>1.0000000002737726</v>
      </c>
      <c r="V45" s="18">
        <f t="shared" si="66"/>
        <v>2.3399677071265608E-5</v>
      </c>
      <c r="W45" s="32" t="str">
        <f t="shared" si="53"/>
        <v>1-0.000387686957464509i</v>
      </c>
      <c r="X45" s="18">
        <f t="shared" si="67"/>
        <v>1.0000000751505858</v>
      </c>
      <c r="Y45" s="18">
        <f t="shared" si="68"/>
        <v>-3.8768693804124205E-4</v>
      </c>
      <c r="Z45" s="32" t="str">
        <f t="shared" si="54"/>
        <v>0.999999992836015+0.000176168672701265i</v>
      </c>
      <c r="AA45" s="18">
        <f t="shared" si="69"/>
        <v>1.0000000083537155</v>
      </c>
      <c r="AB45" s="18">
        <f t="shared" si="70"/>
        <v>1.7616867214084627E-4</v>
      </c>
      <c r="AC45" s="68" t="str">
        <f t="shared" si="71"/>
        <v>36.4110007953796-2.10022233894145i</v>
      </c>
      <c r="AD45" s="66">
        <f t="shared" si="72"/>
        <v>31.239077732625972</v>
      </c>
      <c r="AE45" s="63">
        <f t="shared" si="73"/>
        <v>-3.3012190024478301</v>
      </c>
      <c r="AF45" s="51" t="str">
        <f t="shared" si="74"/>
        <v>42.1703962805665</v>
      </c>
      <c r="AG45" s="51" t="str">
        <f t="shared" si="55"/>
        <v>1+0.0103233869450896i</v>
      </c>
      <c r="AH45" s="51">
        <f t="shared" si="75"/>
        <v>1.0000532847393773</v>
      </c>
      <c r="AI45" s="51">
        <f t="shared" si="76"/>
        <v>1.0323020239445539E-2</v>
      </c>
      <c r="AJ45" s="51" t="str">
        <f t="shared" si="56"/>
        <v>1+0.0000233996770755364i</v>
      </c>
      <c r="AK45" s="51">
        <f t="shared" si="77"/>
        <v>1.0000000002737726</v>
      </c>
      <c r="AL45" s="51">
        <f t="shared" si="78"/>
        <v>2.3399677071265608E-5</v>
      </c>
      <c r="AM45" s="51" t="str">
        <f t="shared" si="57"/>
        <v>1-0.0000606771502538882i</v>
      </c>
      <c r="AN45" s="51">
        <f t="shared" si="79"/>
        <v>1.0000000018408581</v>
      </c>
      <c r="AO45" s="51">
        <f t="shared" si="80"/>
        <v>-6.0677150179422841E-5</v>
      </c>
      <c r="AP45" s="60" t="str">
        <f t="shared" si="81"/>
        <v>42.1658863957623-0.436866766962413i</v>
      </c>
      <c r="AQ45" s="51">
        <f t="shared" si="82"/>
        <v>32.49969084842035</v>
      </c>
      <c r="AR45" s="63">
        <f t="shared" si="83"/>
        <v>-0.59360133342836774</v>
      </c>
      <c r="AS45" s="32" t="str">
        <f t="shared" si="58"/>
        <v>-0.000133283554228113</v>
      </c>
      <c r="AT45" s="32" t="str">
        <f t="shared" si="59"/>
        <v>7.14860134657639E-06i</v>
      </c>
      <c r="AU45" s="32">
        <f t="shared" si="84"/>
        <v>7.1486013465763899E-6</v>
      </c>
      <c r="AV45" s="32">
        <f t="shared" si="85"/>
        <v>1.5707963267948966</v>
      </c>
      <c r="AW45" s="32" t="str">
        <f t="shared" si="60"/>
        <v>1+0.001249879963946i</v>
      </c>
      <c r="AX45" s="32">
        <f t="shared" si="86"/>
        <v>1.0000007810996572</v>
      </c>
      <c r="AY45" s="32">
        <f t="shared" si="87"/>
        <v>1.2498793130924818E-3</v>
      </c>
      <c r="AZ45" s="32" t="str">
        <f t="shared" si="61"/>
        <v>1+0.0186262599505123i</v>
      </c>
      <c r="BA45" s="32">
        <f t="shared" si="88"/>
        <v>1.0001734537367726</v>
      </c>
      <c r="BB45" s="32">
        <f t="shared" si="89"/>
        <v>1.8624106349068869E-2</v>
      </c>
      <c r="BC45" s="60" t="str">
        <f t="shared" si="90"/>
        <v>-0.32397695072337+18.6451086675198i</v>
      </c>
      <c r="BD45" s="51">
        <f t="shared" si="91"/>
        <v>25.412609420877537</v>
      </c>
      <c r="BE45" s="63">
        <f t="shared" si="92"/>
        <v>90.995469881463535</v>
      </c>
      <c r="BF45" s="60" t="str">
        <f t="shared" si="93"/>
        <v>27.3625487250427+679.567490152214i</v>
      </c>
      <c r="BG45" s="66">
        <f t="shared" si="94"/>
        <v>56.651687153503509</v>
      </c>
      <c r="BH45" s="63">
        <f t="shared" si="95"/>
        <v>87.694250879015698</v>
      </c>
      <c r="BI45" s="60" t="str">
        <f t="shared" si="96"/>
        <v>-5.51534695580486+786.329068674316i</v>
      </c>
      <c r="BJ45" s="66">
        <f t="shared" si="97"/>
        <v>57.912300269297887</v>
      </c>
      <c r="BK45" s="63">
        <f t="shared" si="98"/>
        <v>90.401868548035168</v>
      </c>
      <c r="BL45" s="51">
        <f t="shared" si="99"/>
        <v>56.651687153503509</v>
      </c>
      <c r="BM45" s="63">
        <f t="shared" si="100"/>
        <v>87.694250879015698</v>
      </c>
    </row>
    <row r="46" spans="1:65" x14ac:dyDescent="0.35">
      <c r="B46" s="1"/>
      <c r="K46" s="32"/>
      <c r="N46" s="11">
        <v>28</v>
      </c>
      <c r="O46" s="52">
        <f t="shared" si="62"/>
        <v>19.054607179632477</v>
      </c>
      <c r="P46" s="50" t="str">
        <f t="shared" si="50"/>
        <v>36.531007751938</v>
      </c>
      <c r="Q46" s="18" t="str">
        <f t="shared" si="51"/>
        <v>1+0.0584696787248382i</v>
      </c>
      <c r="R46" s="18">
        <f t="shared" si="63"/>
        <v>1.0017078932154753</v>
      </c>
      <c r="S46" s="18">
        <f t="shared" si="64"/>
        <v>5.8403184903439612E-2</v>
      </c>
      <c r="T46" s="18" t="str">
        <f t="shared" si="52"/>
        <v>1+0.000023944725573029i</v>
      </c>
      <c r="U46" s="18">
        <f t="shared" si="65"/>
        <v>1.0000000002866749</v>
      </c>
      <c r="V46" s="18">
        <f t="shared" si="66"/>
        <v>2.3944725568452765E-5</v>
      </c>
      <c r="W46" s="32" t="str">
        <f t="shared" si="53"/>
        <v>1-0.000396717346772078i</v>
      </c>
      <c r="X46" s="18">
        <f t="shared" si="67"/>
        <v>1.0000000786923235</v>
      </c>
      <c r="Y46" s="18">
        <f t="shared" si="68"/>
        <v>-3.967173259596726E-4</v>
      </c>
      <c r="Z46" s="32" t="str">
        <f t="shared" si="54"/>
        <v>0.999999992498387+0.000180272168234606i</v>
      </c>
      <c r="AA46" s="18">
        <f t="shared" si="69"/>
        <v>1.0000000087474143</v>
      </c>
      <c r="AB46" s="18">
        <f t="shared" si="70"/>
        <v>1.8027216763410645E-4</v>
      </c>
      <c r="AC46" s="68" t="str">
        <f t="shared" si="71"/>
        <v>36.4053643112291-2.14881323823518i</v>
      </c>
      <c r="AD46" s="66">
        <f t="shared" si="72"/>
        <v>31.238411749859782</v>
      </c>
      <c r="AE46" s="63">
        <f t="shared" si="73"/>
        <v>-3.3779431361789047</v>
      </c>
      <c r="AF46" s="51" t="str">
        <f t="shared" si="74"/>
        <v>42.1703962805665</v>
      </c>
      <c r="AG46" s="51" t="str">
        <f t="shared" si="55"/>
        <v>1+0.0105638495175128i</v>
      </c>
      <c r="AH46" s="51">
        <f t="shared" si="75"/>
        <v>1.0000557959017229</v>
      </c>
      <c r="AI46" s="51">
        <f t="shared" si="76"/>
        <v>1.0563456586519865E-2</v>
      </c>
      <c r="AJ46" s="51" t="str">
        <f t="shared" si="56"/>
        <v>1+0.000023944725573029i</v>
      </c>
      <c r="AK46" s="51">
        <f t="shared" si="77"/>
        <v>1.0000000002866749</v>
      </c>
      <c r="AL46" s="51">
        <f t="shared" si="78"/>
        <v>2.3944725568452765E-5</v>
      </c>
      <c r="AM46" s="51" t="str">
        <f t="shared" si="57"/>
        <v>1-0.0000620905026463702i</v>
      </c>
      <c r="AN46" s="51">
        <f t="shared" si="79"/>
        <v>1.0000000019276152</v>
      </c>
      <c r="AO46" s="51">
        <f t="shared" si="80"/>
        <v>-6.2090502566579129E-5</v>
      </c>
      <c r="AP46" s="60" t="str">
        <f t="shared" si="81"/>
        <v>42.1656738751558-0.44704045615728i</v>
      </c>
      <c r="AQ46" s="51">
        <f t="shared" si="82"/>
        <v>32.499669038796533</v>
      </c>
      <c r="AR46" s="63">
        <f t="shared" si="83"/>
        <v>-0.60742707150549979</v>
      </c>
      <c r="AS46" s="32" t="str">
        <f t="shared" si="58"/>
        <v>-0.000133283554228113</v>
      </c>
      <c r="AT46" s="32" t="str">
        <f t="shared" si="59"/>
        <v>7.31511366256039E-06i</v>
      </c>
      <c r="AU46" s="32">
        <f t="shared" si="84"/>
        <v>7.3151136625603897E-6</v>
      </c>
      <c r="AV46" s="32">
        <f t="shared" si="85"/>
        <v>1.5707963267948966</v>
      </c>
      <c r="AW46" s="32" t="str">
        <f t="shared" si="60"/>
        <v>1+0.00127899340829806i</v>
      </c>
      <c r="AX46" s="32">
        <f t="shared" si="86"/>
        <v>1.0000008179117348</v>
      </c>
      <c r="AY46" s="32">
        <f t="shared" si="87"/>
        <v>1.278992710895981E-3</v>
      </c>
      <c r="AZ46" s="32" t="str">
        <f t="shared" si="61"/>
        <v>1+0.0190601212797589i</v>
      </c>
      <c r="BA46" s="32">
        <f t="shared" si="88"/>
        <v>1.0001816276173039</v>
      </c>
      <c r="BB46" s="32">
        <f t="shared" si="89"/>
        <v>1.9057813676868429E-2</v>
      </c>
      <c r="BC46" s="60" t="str">
        <f t="shared" si="90"/>
        <v>-0.323976926870861+18.2207128281049i</v>
      </c>
      <c r="BD46" s="51">
        <f t="shared" si="91"/>
        <v>25.212680085953604</v>
      </c>
      <c r="BE46" s="63">
        <f t="shared" si="92"/>
        <v>91.018651406068912</v>
      </c>
      <c r="BF46" s="60" t="str">
        <f t="shared" si="93"/>
        <v>27.3584108839473+664.027854426787i</v>
      </c>
      <c r="BG46" s="66">
        <f t="shared" si="94"/>
        <v>56.451091835813386</v>
      </c>
      <c r="BH46" s="63">
        <f t="shared" si="95"/>
        <v>87.640708269890027</v>
      </c>
      <c r="BI46" s="60" t="str">
        <f t="shared" si="96"/>
        <v>-5.51530966732511+768.433465675912i</v>
      </c>
      <c r="BJ46" s="66">
        <f t="shared" si="97"/>
        <v>57.712349124750133</v>
      </c>
      <c r="BK46" s="63">
        <f t="shared" si="98"/>
        <v>90.411224334563414</v>
      </c>
      <c r="BL46" s="51">
        <f t="shared" si="99"/>
        <v>56.451091835813386</v>
      </c>
      <c r="BM46" s="63">
        <f t="shared" si="100"/>
        <v>87.640708269890027</v>
      </c>
    </row>
    <row r="47" spans="1:65" x14ac:dyDescent="0.35">
      <c r="A47" t="s">
        <v>207</v>
      </c>
      <c r="B47" s="1">
        <f>2*PI()*Fsw</f>
        <v>2764601.5351590179</v>
      </c>
      <c r="C47" t="s">
        <v>213</v>
      </c>
      <c r="N47" s="11">
        <v>29</v>
      </c>
      <c r="O47" s="52">
        <f t="shared" si="62"/>
        <v>19.498445997580465</v>
      </c>
      <c r="P47" s="50" t="str">
        <f t="shared" si="50"/>
        <v>36.531007751938</v>
      </c>
      <c r="Q47" s="18" t="str">
        <f t="shared" si="51"/>
        <v>1+0.0598316125000342i</v>
      </c>
      <c r="R47" s="18">
        <f t="shared" si="63"/>
        <v>1.001788311897456</v>
      </c>
      <c r="S47" s="18">
        <f t="shared" si="64"/>
        <v>5.9760369954247793E-2</v>
      </c>
      <c r="T47" s="18" t="str">
        <f t="shared" si="52"/>
        <v>1+0.0000245024698809664i</v>
      </c>
      <c r="U47" s="18">
        <f t="shared" si="65"/>
        <v>1.0000000003001857</v>
      </c>
      <c r="V47" s="18">
        <f t="shared" si="66"/>
        <v>2.4502469876062877E-5</v>
      </c>
      <c r="W47" s="32" t="str">
        <f t="shared" si="53"/>
        <v>1-0.000405958080868083i</v>
      </c>
      <c r="X47" s="18">
        <f t="shared" si="67"/>
        <v>1.0000000824009783</v>
      </c>
      <c r="Y47" s="18">
        <f t="shared" si="68"/>
        <v>-4.0595805856718896E-4</v>
      </c>
      <c r="Z47" s="32" t="str">
        <f t="shared" si="54"/>
        <v>0.999999992144847+0.00018447124645773i</v>
      </c>
      <c r="AA47" s="18">
        <f t="shared" si="69"/>
        <v>1.0000000091596672</v>
      </c>
      <c r="AB47" s="18">
        <f t="shared" si="70"/>
        <v>1.8447124581428312E-4</v>
      </c>
      <c r="AC47" s="68" t="str">
        <f t="shared" si="71"/>
        <v>36.3994640402165-2.19851250565835i</v>
      </c>
      <c r="AD47" s="66">
        <f t="shared" si="72"/>
        <v>31.237714489744835</v>
      </c>
      <c r="AE47" s="63">
        <f t="shared" si="73"/>
        <v>-3.4564421996491705</v>
      </c>
      <c r="AF47" s="51" t="str">
        <f t="shared" si="74"/>
        <v>42.1703962805665</v>
      </c>
      <c r="AG47" s="51" t="str">
        <f t="shared" si="55"/>
        <v>1+0.0108099131827793i</v>
      </c>
      <c r="AH47" s="51">
        <f t="shared" si="75"/>
        <v>1.0000584254047455</v>
      </c>
      <c r="AI47" s="51">
        <f t="shared" si="76"/>
        <v>1.080949215096322E-2</v>
      </c>
      <c r="AJ47" s="51" t="str">
        <f t="shared" si="56"/>
        <v>1+0.0000245024698809664i</v>
      </c>
      <c r="AK47" s="51">
        <f t="shared" si="77"/>
        <v>1.0000000003001857</v>
      </c>
      <c r="AL47" s="51">
        <f t="shared" si="78"/>
        <v>2.4502469876062877E-5</v>
      </c>
      <c r="AM47" s="51" t="str">
        <f t="shared" si="57"/>
        <v>1-0.0000635367762452204i</v>
      </c>
      <c r="AN47" s="51">
        <f t="shared" si="79"/>
        <v>1.000000002018461</v>
      </c>
      <c r="AO47" s="51">
        <f t="shared" si="80"/>
        <v>-6.3536776159722739E-5</v>
      </c>
      <c r="AP47" s="60" t="str">
        <f t="shared" si="81"/>
        <v>42.1654513410496-0.457450960477368i</v>
      </c>
      <c r="AQ47" s="51">
        <f t="shared" si="82"/>
        <v>32.499646201434217</v>
      </c>
      <c r="AR47" s="63">
        <f t="shared" si="83"/>
        <v>-0.62157477993625632</v>
      </c>
      <c r="AS47" s="32" t="str">
        <f t="shared" si="58"/>
        <v>-0.000133283554228113</v>
      </c>
      <c r="AT47" s="32" t="str">
        <f t="shared" si="59"/>
        <v>7.48550454863525E-06i</v>
      </c>
      <c r="AU47" s="32">
        <f t="shared" si="84"/>
        <v>7.4855045486352499E-6</v>
      </c>
      <c r="AV47" s="32">
        <f t="shared" si="85"/>
        <v>1.5707963267948966</v>
      </c>
      <c r="AW47" s="32" t="str">
        <f t="shared" si="60"/>
        <v>1+0.00130878499188469i</v>
      </c>
      <c r="AX47" s="32">
        <f t="shared" si="86"/>
        <v>1.0000008564587106</v>
      </c>
      <c r="AY47" s="32">
        <f t="shared" si="87"/>
        <v>1.3087842446049334E-3</v>
      </c>
      <c r="AZ47" s="32" t="str">
        <f t="shared" si="61"/>
        <v>1+0.0195040885375986i</v>
      </c>
      <c r="BA47" s="32">
        <f t="shared" si="88"/>
        <v>1.0001901866493603</v>
      </c>
      <c r="BB47" s="32">
        <f t="shared" si="89"/>
        <v>1.9501615921945506E-2</v>
      </c>
      <c r="BC47" s="60" t="str">
        <f t="shared" si="90"/>
        <v>-0.323976901894221+17.8059778518084i</v>
      </c>
      <c r="BD47" s="51">
        <f t="shared" si="91"/>
        <v>25.012754080128691</v>
      </c>
      <c r="BE47" s="63">
        <f t="shared" si="92"/>
        <v>91.042372472503516</v>
      </c>
      <c r="BF47" s="60" t="str">
        <f t="shared" si="93"/>
        <v>27.3540793923169+648.84031778815i</v>
      </c>
      <c r="BG47" s="66">
        <f t="shared" si="94"/>
        <v>56.250468569873519</v>
      </c>
      <c r="BH47" s="63">
        <f t="shared" si="95"/>
        <v>87.585930272854355</v>
      </c>
      <c r="BI47" s="60" t="str">
        <f t="shared" si="96"/>
        <v>-5.51527062189628+750.945296235178i</v>
      </c>
      <c r="BJ47" s="66">
        <f t="shared" si="97"/>
        <v>57.512400281562904</v>
      </c>
      <c r="BK47" s="63">
        <f t="shared" si="98"/>
        <v>90.420797692567263</v>
      </c>
      <c r="BL47" s="51">
        <f t="shared" si="99"/>
        <v>56.250468569873519</v>
      </c>
      <c r="BM47" s="63">
        <f t="shared" si="100"/>
        <v>87.585930272854355</v>
      </c>
    </row>
    <row r="48" spans="1:65" x14ac:dyDescent="0.35">
      <c r="A48" t="s">
        <v>208</v>
      </c>
      <c r="B48" s="1">
        <f>1/(PI()*(((1-DC_VIN_Var)*(1+(B44/B45)))-0.5))</f>
        <v>0.48045048586642736</v>
      </c>
      <c r="K48" s="32"/>
      <c r="N48" s="11">
        <v>30</v>
      </c>
      <c r="O48" s="52">
        <f t="shared" si="62"/>
        <v>19.952623149688804</v>
      </c>
      <c r="P48" s="50" t="str">
        <f t="shared" si="50"/>
        <v>36.531007751938</v>
      </c>
      <c r="Q48" s="18" t="str">
        <f t="shared" si="51"/>
        <v>1+0.0612252697881426i</v>
      </c>
      <c r="R48" s="18">
        <f t="shared" si="63"/>
        <v>1.0018725136765809</v>
      </c>
      <c r="S48" s="18">
        <f t="shared" si="64"/>
        <v>6.1148939728654435E-2</v>
      </c>
      <c r="T48" s="18" t="str">
        <f t="shared" si="52"/>
        <v>1+0.0000250732057227632i</v>
      </c>
      <c r="U48" s="18">
        <f t="shared" si="65"/>
        <v>1.0000000003143328</v>
      </c>
      <c r="V48" s="18">
        <f t="shared" si="66"/>
        <v>2.5073205717508981E-5</v>
      </c>
      <c r="W48" s="32" t="str">
        <f t="shared" si="53"/>
        <v>1-0.000415414059312053i</v>
      </c>
      <c r="X48" s="18">
        <f t="shared" si="67"/>
        <v>1.0000000862844167</v>
      </c>
      <c r="Y48" s="18">
        <f t="shared" si="68"/>
        <v>-4.1541403541621463E-4</v>
      </c>
      <c r="Z48" s="32" t="str">
        <f t="shared" si="54"/>
        <v>0.999999991774645+0.000188768133777491i</v>
      </c>
      <c r="AA48" s="18">
        <f t="shared" si="69"/>
        <v>1.0000000095913493</v>
      </c>
      <c r="AB48" s="18">
        <f t="shared" si="70"/>
        <v>1.8876813308802527E-4</v>
      </c>
      <c r="AC48" s="68" t="str">
        <f t="shared" si="71"/>
        <v>36.3932877281927-2.24934429409153i</v>
      </c>
      <c r="AD48" s="66">
        <f t="shared" si="72"/>
        <v>31.23698448874633</v>
      </c>
      <c r="AE48" s="63">
        <f t="shared" si="73"/>
        <v>-3.5367566675976256</v>
      </c>
      <c r="AF48" s="51" t="str">
        <f t="shared" si="74"/>
        <v>42.1703962805665</v>
      </c>
      <c r="AG48" s="51" t="str">
        <f t="shared" si="55"/>
        <v>1+0.0110617084071014i</v>
      </c>
      <c r="AH48" s="51">
        <f t="shared" si="75"/>
        <v>1.0000611788250175</v>
      </c>
      <c r="AI48" s="51">
        <f t="shared" si="76"/>
        <v>1.1061257264872915E-2</v>
      </c>
      <c r="AJ48" s="51" t="str">
        <f t="shared" si="56"/>
        <v>1+0.0000250732057227632i</v>
      </c>
      <c r="AK48" s="51">
        <f t="shared" si="77"/>
        <v>1.0000000003143328</v>
      </c>
      <c r="AL48" s="51">
        <f t="shared" si="78"/>
        <v>2.5073205717508981E-5</v>
      </c>
      <c r="AM48" s="51" t="str">
        <f t="shared" si="57"/>
        <v>1-0.0000650167378838444i</v>
      </c>
      <c r="AN48" s="51">
        <f t="shared" si="79"/>
        <v>1.000000002113588</v>
      </c>
      <c r="AO48" s="51">
        <f t="shared" si="80"/>
        <v>-6.5016737792232001E-5</v>
      </c>
      <c r="AP48" s="60" t="str">
        <f t="shared" si="81"/>
        <v>42.1652183217426-0.468103784576964i</v>
      </c>
      <c r="AQ48" s="51">
        <f t="shared" si="82"/>
        <v>32.499622287908906</v>
      </c>
      <c r="AR48" s="63">
        <f t="shared" si="83"/>
        <v>-0.63605195319236507</v>
      </c>
      <c r="AS48" s="32" t="str">
        <f t="shared" si="58"/>
        <v>-0.000133283554228113</v>
      </c>
      <c r="AT48" s="32" t="str">
        <f t="shared" si="59"/>
        <v>7.65986434830416E-06i</v>
      </c>
      <c r="AU48" s="32">
        <f t="shared" si="84"/>
        <v>7.6598643483041602E-6</v>
      </c>
      <c r="AV48" s="32">
        <f t="shared" si="85"/>
        <v>1.5707963267948966</v>
      </c>
      <c r="AW48" s="32" t="str">
        <f t="shared" si="60"/>
        <v>1+0.00133927051059783i</v>
      </c>
      <c r="AX48" s="32">
        <f t="shared" si="86"/>
        <v>1.0000008968223482</v>
      </c>
      <c r="AY48" s="32">
        <f t="shared" si="87"/>
        <v>1.3392697098731832E-3</v>
      </c>
      <c r="AZ48" s="32" t="str">
        <f t="shared" si="61"/>
        <v>1+0.0199583971213481i</v>
      </c>
      <c r="BA48" s="32">
        <f t="shared" si="88"/>
        <v>1.0001991489776689</v>
      </c>
      <c r="BB48" s="32">
        <f t="shared" si="89"/>
        <v>1.9955747694431925E-2</v>
      </c>
      <c r="BC48" s="60" t="str">
        <f t="shared" si="90"/>
        <v>-0.323976875740475+17.4006838406557i</v>
      </c>
      <c r="BD48" s="51">
        <f t="shared" si="91"/>
        <v>24.812831560178317</v>
      </c>
      <c r="BE48" s="63">
        <f t="shared" si="92"/>
        <v>91.066645617913437</v>
      </c>
      <c r="BF48" s="60" t="str">
        <f t="shared" si="93"/>
        <v>27.3495452541655+633.996829217161i</v>
      </c>
      <c r="BG48" s="66">
        <f t="shared" si="94"/>
        <v>56.049816048924662</v>
      </c>
      <c r="BH48" s="63">
        <f t="shared" si="95"/>
        <v>87.529888950315822</v>
      </c>
      <c r="BI48" s="60" t="str">
        <f t="shared" si="96"/>
        <v>-5.51522973675505+733.855287890516i</v>
      </c>
      <c r="BJ48" s="66">
        <f t="shared" si="97"/>
        <v>57.31245384808723</v>
      </c>
      <c r="BK48" s="63">
        <f t="shared" si="98"/>
        <v>90.430593664721073</v>
      </c>
      <c r="BL48" s="51">
        <f t="shared" si="99"/>
        <v>56.049816048924662</v>
      </c>
      <c r="BM48" s="63">
        <f t="shared" si="100"/>
        <v>87.529888950315822</v>
      </c>
    </row>
    <row r="49" spans="1:65" x14ac:dyDescent="0.35">
      <c r="K49" s="32"/>
      <c r="N49" s="11">
        <v>31</v>
      </c>
      <c r="O49" s="52">
        <f t="shared" si="62"/>
        <v>20.4173794466953</v>
      </c>
      <c r="P49" s="50" t="str">
        <f t="shared" si="50"/>
        <v>36.531007751938</v>
      </c>
      <c r="Q49" s="18" t="str">
        <f t="shared" si="51"/>
        <v>1+0.0626513895247047i</v>
      </c>
      <c r="R49" s="18">
        <f t="shared" si="63"/>
        <v>1.0019606761791484</v>
      </c>
      <c r="S49" s="18">
        <f t="shared" si="64"/>
        <v>6.2569609033935228E-2</v>
      </c>
      <c r="T49" s="18" t="str">
        <f t="shared" si="52"/>
        <v>1+0.0000256572357101172i</v>
      </c>
      <c r="U49" s="18">
        <f t="shared" si="65"/>
        <v>1.0000000003291469</v>
      </c>
      <c r="V49" s="18">
        <f t="shared" si="66"/>
        <v>2.5657235704487204E-5</v>
      </c>
      <c r="W49" s="32" t="str">
        <f t="shared" si="53"/>
        <v>1-0.000425090295788924i</v>
      </c>
      <c r="X49" s="18">
        <f t="shared" si="67"/>
        <v>1.0000000903508757</v>
      </c>
      <c r="Y49" s="18">
        <f t="shared" si="68"/>
        <v>-4.2509027018407199E-4</v>
      </c>
      <c r="Z49" s="32" t="str">
        <f t="shared" si="54"/>
        <v>0.999999991386996+0.000193165108460422i</v>
      </c>
      <c r="AA49" s="18">
        <f t="shared" si="69"/>
        <v>1.0000000100433757</v>
      </c>
      <c r="AB49" s="18">
        <f t="shared" si="70"/>
        <v>1.9316510772164616E-4</v>
      </c>
      <c r="AC49" s="68" t="str">
        <f t="shared" si="71"/>
        <v>36.3868225604918-2.30133320160881i</v>
      </c>
      <c r="AD49" s="66">
        <f t="shared" si="72"/>
        <v>31.236220215364476</v>
      </c>
      <c r="AE49" s="63">
        <f t="shared" si="73"/>
        <v>-3.618927895923528</v>
      </c>
      <c r="AF49" s="51" t="str">
        <f t="shared" si="74"/>
        <v>42.1703962805665</v>
      </c>
      <c r="AG49" s="51" t="str">
        <f t="shared" si="55"/>
        <v>1+0.01131936869564i</v>
      </c>
      <c r="AH49" s="51">
        <f t="shared" si="75"/>
        <v>1.0000640620018639</v>
      </c>
      <c r="AI49" s="51">
        <f t="shared" si="76"/>
        <v>1.13188852897052E-2</v>
      </c>
      <c r="AJ49" s="51" t="str">
        <f t="shared" si="56"/>
        <v>1+0.0000256572357101172i</v>
      </c>
      <c r="AK49" s="51">
        <f t="shared" si="77"/>
        <v>1.0000000003291469</v>
      </c>
      <c r="AL49" s="51">
        <f t="shared" si="78"/>
        <v>2.5657235704487204E-5</v>
      </c>
      <c r="AM49" s="51" t="str">
        <f t="shared" si="57"/>
        <v>1-0.0000665311722574924i</v>
      </c>
      <c r="AN49" s="51">
        <f t="shared" si="79"/>
        <v>1.0000000022131983</v>
      </c>
      <c r="AO49" s="51">
        <f t="shared" si="80"/>
        <v>-6.6531172159327935E-5</v>
      </c>
      <c r="AP49" s="60" t="str">
        <f t="shared" si="81"/>
        <v>42.1649743233243-0.479004560509651i</v>
      </c>
      <c r="AQ49" s="51">
        <f t="shared" si="82"/>
        <v>32.49959724751497</v>
      </c>
      <c r="AR49" s="63">
        <f t="shared" si="83"/>
        <v>-0.65086625994376823</v>
      </c>
      <c r="AS49" s="32" t="str">
        <f t="shared" si="58"/>
        <v>-0.000133283554228113</v>
      </c>
      <c r="AT49" s="32" t="str">
        <f t="shared" si="59"/>
        <v>7.83828550944083E-06i</v>
      </c>
      <c r="AU49" s="32">
        <f t="shared" si="84"/>
        <v>7.8382855094408305E-6</v>
      </c>
      <c r="AV49" s="32">
        <f t="shared" si="85"/>
        <v>1.5707963267948966</v>
      </c>
      <c r="AW49" s="32" t="str">
        <f t="shared" si="60"/>
        <v>1+0.00137046612826302i</v>
      </c>
      <c r="AX49" s="32">
        <f t="shared" si="86"/>
        <v>1.0000009390882634</v>
      </c>
      <c r="AY49" s="32">
        <f t="shared" si="87"/>
        <v>1.3704652702711464E-3</v>
      </c>
      <c r="AZ49" s="32" t="str">
        <f t="shared" si="61"/>
        <v>1+0.0204232879114318i</v>
      </c>
      <c r="BA49" s="32">
        <f t="shared" si="88"/>
        <v>1.0002085336014253</v>
      </c>
      <c r="BB49" s="32">
        <f t="shared" si="89"/>
        <v>2.0420449031309386E-2</v>
      </c>
      <c r="BC49" s="60" t="str">
        <f t="shared" si="90"/>
        <v>-0.32397684835414+17.0046159023974i</v>
      </c>
      <c r="BD49" s="51">
        <f t="shared" si="91"/>
        <v>24.612912690255335</v>
      </c>
      <c r="BE49" s="63">
        <f t="shared" si="92"/>
        <v>91.091483669300246</v>
      </c>
      <c r="BF49" s="60" t="str">
        <f t="shared" si="93"/>
        <v>27.3447990620228+619.489520227521i</v>
      </c>
      <c r="BG49" s="66">
        <f t="shared" si="94"/>
        <v>55.849132905619797</v>
      </c>
      <c r="BH49" s="63">
        <f t="shared" si="95"/>
        <v>87.472555773376726</v>
      </c>
      <c r="BI49" s="60" t="str">
        <f t="shared" si="96"/>
        <v>-5.51518692524055+717.15437929044i</v>
      </c>
      <c r="BJ49" s="66">
        <f t="shared" si="97"/>
        <v>57.112509937770312</v>
      </c>
      <c r="BK49" s="63">
        <f t="shared" si="98"/>
        <v>90.440617409356477</v>
      </c>
      <c r="BL49" s="51">
        <f t="shared" si="99"/>
        <v>55.849132905619797</v>
      </c>
      <c r="BM49" s="63">
        <f t="shared" si="100"/>
        <v>87.472555773376726</v>
      </c>
    </row>
    <row r="50" spans="1:65" ht="15.5" x14ac:dyDescent="0.35">
      <c r="A50" s="53" t="s">
        <v>223</v>
      </c>
      <c r="N50" s="11">
        <v>32</v>
      </c>
      <c r="O50" s="52">
        <f t="shared" si="62"/>
        <v>20.8929613085404</v>
      </c>
      <c r="P50" s="50" t="str">
        <f t="shared" si="50"/>
        <v>36.531007751938</v>
      </c>
      <c r="Q50" s="18" t="str">
        <f t="shared" si="51"/>
        <v>1+0.0641107278572826i</v>
      </c>
      <c r="R50" s="18">
        <f t="shared" si="63"/>
        <v>1.0020529853387945</v>
      </c>
      <c r="S50" s="18">
        <f t="shared" si="64"/>
        <v>6.4023108176105431E-2</v>
      </c>
      <c r="T50" s="18" t="str">
        <f t="shared" si="52"/>
        <v>1+0.0000262548695034586i</v>
      </c>
      <c r="U50" s="18">
        <f t="shared" si="65"/>
        <v>1.000000000344659</v>
      </c>
      <c r="V50" s="18">
        <f t="shared" si="66"/>
        <v>2.6254869497425946E-5</v>
      </c>
      <c r="W50" s="32" t="str">
        <f t="shared" si="53"/>
        <v>1-0.000434991920767362i</v>
      </c>
      <c r="X50" s="18">
        <f t="shared" si="67"/>
        <v>1.0000000946089811</v>
      </c>
      <c r="Y50" s="18">
        <f t="shared" si="68"/>
        <v>-4.349918933312689E-4</v>
      </c>
      <c r="Z50" s="32" t="str">
        <f t="shared" si="54"/>
        <v>0.999999990981078+0.000197664501840703i</v>
      </c>
      <c r="AA50" s="18">
        <f t="shared" si="69"/>
        <v>1.0000000105167055</v>
      </c>
      <c r="AB50" s="18">
        <f t="shared" si="70"/>
        <v>1.9766450104909036E-4</v>
      </c>
      <c r="AC50" s="68" t="str">
        <f t="shared" si="71"/>
        <v>36.3800551371348-2.3545042736489i</v>
      </c>
      <c r="AD50" s="66">
        <f t="shared" si="72"/>
        <v>31.235420067028041</v>
      </c>
      <c r="AE50" s="63">
        <f t="shared" si="73"/>
        <v>-3.7029981378664516</v>
      </c>
      <c r="AF50" s="51" t="str">
        <f t="shared" si="74"/>
        <v>42.1703962805665</v>
      </c>
      <c r="AG50" s="51" t="str">
        <f t="shared" si="55"/>
        <v>1+0.0115830306632906i</v>
      </c>
      <c r="AH50" s="51">
        <f t="shared" si="75"/>
        <v>1.0000670810497398</v>
      </c>
      <c r="AI50" s="51">
        <f t="shared" si="76"/>
        <v>1.1582512686375675E-2</v>
      </c>
      <c r="AJ50" s="51" t="str">
        <f t="shared" si="56"/>
        <v>1+0.0000262548695034586i</v>
      </c>
      <c r="AK50" s="51">
        <f t="shared" si="77"/>
        <v>1.000000000344659</v>
      </c>
      <c r="AL50" s="51">
        <f t="shared" si="78"/>
        <v>2.6254869497425946E-5</v>
      </c>
      <c r="AM50" s="51" t="str">
        <f t="shared" si="57"/>
        <v>1-0.0000680808823393161i</v>
      </c>
      <c r="AN50" s="51">
        <f t="shared" si="79"/>
        <v>1.0000000023175033</v>
      </c>
      <c r="AO50" s="51">
        <f t="shared" si="80"/>
        <v>-6.8080882234130991E-5</v>
      </c>
      <c r="AP50" s="60" t="str">
        <f t="shared" si="81"/>
        <v>42.1647188286308-0.490159050637181i</v>
      </c>
      <c r="AQ50" s="51">
        <f t="shared" si="82"/>
        <v>32.49957102715841</v>
      </c>
      <c r="AR50" s="63">
        <f t="shared" si="83"/>
        <v>-0.66602554708973272</v>
      </c>
      <c r="AS50" s="32" t="str">
        <f t="shared" si="58"/>
        <v>-0.000133283554228113</v>
      </c>
      <c r="AT50" s="32" t="str">
        <f t="shared" si="59"/>
        <v>8.02086263330658E-06i</v>
      </c>
      <c r="AU50" s="32">
        <f t="shared" si="84"/>
        <v>8.0208626333065794E-6</v>
      </c>
      <c r="AV50" s="32">
        <f t="shared" si="85"/>
        <v>1.5707963267948966</v>
      </c>
      <c r="AW50" s="32" t="str">
        <f t="shared" si="60"/>
        <v>1+0.00140238838520969i</v>
      </c>
      <c r="AX50" s="32">
        <f t="shared" si="86"/>
        <v>1.0000009833461081</v>
      </c>
      <c r="AY50" s="32">
        <f t="shared" si="87"/>
        <v>1.4023874658548824E-3</v>
      </c>
      <c r="AZ50" s="32" t="str">
        <f t="shared" si="61"/>
        <v>1+0.0208990073991005i</v>
      </c>
      <c r="BA50" s="32">
        <f t="shared" si="88"/>
        <v>1.0002183604144985</v>
      </c>
      <c r="BB50" s="32">
        <f t="shared" si="89"/>
        <v>2.0895965520109631E-2</v>
      </c>
      <c r="BC50" s="60" t="str">
        <f t="shared" si="90"/>
        <v>-0.323976819677137+16.6175640365698i</v>
      </c>
      <c r="BD50" s="51">
        <f t="shared" si="91"/>
        <v>24.412997642236057</v>
      </c>
      <c r="BE50" s="63">
        <f t="shared" si="92"/>
        <v>91.116899750117639</v>
      </c>
      <c r="BF50" s="60" t="str">
        <f t="shared" si="93"/>
        <v>27.33983097873+605.310700701771i</v>
      </c>
      <c r="BG50" s="66">
        <f t="shared" si="94"/>
        <v>55.648417709264102</v>
      </c>
      <c r="BH50" s="63">
        <f t="shared" si="95"/>
        <v>87.413901612251195</v>
      </c>
      <c r="BI50" s="60" t="str">
        <f t="shared" ref="BI50:BI113" si="101">IMPRODUCT(AP50,BC50)</f>
        <v>-5.51514209661289+700.833715389094i</v>
      </c>
      <c r="BJ50" s="66">
        <f t="shared" si="97"/>
        <v>56.912568669394474</v>
      </c>
      <c r="BK50" s="63">
        <f t="shared" ref="BK50:BK113" si="102">(180/PI())*IMARGUMENT(BI50)</f>
        <v>90.450874203027908</v>
      </c>
      <c r="BL50" s="51">
        <f t="shared" si="99"/>
        <v>55.648417709264102</v>
      </c>
      <c r="BM50" s="63">
        <f t="shared" si="100"/>
        <v>87.413901612251195</v>
      </c>
    </row>
    <row r="51" spans="1:65" x14ac:dyDescent="0.35">
      <c r="A51" t="s">
        <v>188</v>
      </c>
      <c r="N51" s="11">
        <v>33</v>
      </c>
      <c r="O51" s="52">
        <f t="shared" si="62"/>
        <v>21.379620895022335</v>
      </c>
      <c r="P51" s="50" t="str">
        <f t="shared" si="50"/>
        <v>36.531007751938</v>
      </c>
      <c r="Q51" s="18" t="str">
        <f t="shared" si="51"/>
        <v>1+0.0656040585463756i</v>
      </c>
      <c r="R51" s="18">
        <f t="shared" si="63"/>
        <v>1.0021496357818809</v>
      </c>
      <c r="S51" s="18">
        <f t="shared" si="64"/>
        <v>6.5510183239801678E-2</v>
      </c>
      <c r="T51" s="18" t="str">
        <f t="shared" si="52"/>
        <v>1+0.0000268664239761348i</v>
      </c>
      <c r="U51" s="18">
        <f t="shared" si="65"/>
        <v>1.0000000003609024</v>
      </c>
      <c r="V51" s="18">
        <f t="shared" si="66"/>
        <v>2.6866423969670694E-5</v>
      </c>
      <c r="W51" s="32" t="str">
        <f t="shared" si="53"/>
        <v>1-0.000445124184219985i</v>
      </c>
      <c r="X51" s="18">
        <f t="shared" si="67"/>
        <v>1.0000000990677647</v>
      </c>
      <c r="Y51" s="18">
        <f t="shared" si="68"/>
        <v>-4.4512415482168171E-4</v>
      </c>
      <c r="Z51" s="32" t="str">
        <f t="shared" si="54"/>
        <v>0.999999990556029+0.000202268699556257i</v>
      </c>
      <c r="AA51" s="18">
        <f t="shared" si="69"/>
        <v>1.0000000110123424</v>
      </c>
      <c r="AB51" s="18">
        <f t="shared" si="70"/>
        <v>2.0226869870802879E-4</v>
      </c>
      <c r="AC51" s="68" t="str">
        <f t="shared" si="71"/>
        <v>36.3729714470171-2.4088830046738i</v>
      </c>
      <c r="AD51" s="66">
        <f t="shared" si="72"/>
        <v>31.234582366850681</v>
      </c>
      <c r="AE51" s="63">
        <f t="shared" si="73"/>
        <v>-3.7890105602594102</v>
      </c>
      <c r="AF51" s="51" t="str">
        <f t="shared" si="74"/>
        <v>42.1703962805665</v>
      </c>
      <c r="AG51" s="51" t="str">
        <f t="shared" si="55"/>
        <v>1+0.0118528341071183i</v>
      </c>
      <c r="AH51" s="51">
        <f t="shared" si="75"/>
        <v>1.00007024237119</v>
      </c>
      <c r="AI51" s="51">
        <f t="shared" si="76"/>
        <v>1.1852279086959714E-2</v>
      </c>
      <c r="AJ51" s="51" t="str">
        <f t="shared" si="56"/>
        <v>1+0.0000268664239761348i</v>
      </c>
      <c r="AK51" s="51">
        <f t="shared" si="77"/>
        <v>1.0000000003609024</v>
      </c>
      <c r="AL51" s="51">
        <f t="shared" si="78"/>
        <v>2.6866423969670694E-5</v>
      </c>
      <c r="AM51" s="51" t="str">
        <f t="shared" si="57"/>
        <v>1-0.0000696666898061125i</v>
      </c>
      <c r="AN51" s="51">
        <f t="shared" si="79"/>
        <v>1.0000000024267237</v>
      </c>
      <c r="AO51" s="51">
        <f t="shared" si="80"/>
        <v>-6.9666689693404635E-5</v>
      </c>
      <c r="AP51" s="60" t="str">
        <f t="shared" si="81"/>
        <v>42.1644512961499-0.501573150601898i</v>
      </c>
      <c r="AQ51" s="51">
        <f t="shared" si="82"/>
        <v>32.499543571244175</v>
      </c>
      <c r="AR51" s="63">
        <f t="shared" si="83"/>
        <v>-0.68153784388196936</v>
      </c>
      <c r="AS51" s="32" t="str">
        <f t="shared" si="58"/>
        <v>-0.000133283554228113</v>
      </c>
      <c r="AT51" s="32" t="str">
        <f t="shared" si="59"/>
        <v>8.20769252470918E-06i</v>
      </c>
      <c r="AU51" s="32">
        <f t="shared" si="84"/>
        <v>8.2076925247091798E-6</v>
      </c>
      <c r="AV51" s="32">
        <f t="shared" si="85"/>
        <v>1.5707963267948966</v>
      </c>
      <c r="AW51" s="32" t="str">
        <f t="shared" si="60"/>
        <v>1+0.001435054207041i</v>
      </c>
      <c r="AX51" s="32">
        <f t="shared" si="86"/>
        <v>1.0000010296897586</v>
      </c>
      <c r="AY51" s="32">
        <f t="shared" si="87"/>
        <v>1.4350532219346303E-3</v>
      </c>
      <c r="AZ51" s="32" t="str">
        <f t="shared" si="61"/>
        <v>1+0.0213858078171232i</v>
      </c>
      <c r="BA51" s="32">
        <f t="shared" si="88"/>
        <v>1.0002286502475277</v>
      </c>
      <c r="BB51" s="32">
        <f t="shared" si="89"/>
        <v>2.1382548425300942E-2</v>
      </c>
      <c r="BC51" s="60" t="str">
        <f t="shared" si="90"/>
        <v>-0.323976789648633+16.2393230231499i</v>
      </c>
      <c r="BD51" s="51">
        <f t="shared" si="91"/>
        <v>24.213086596083059</v>
      </c>
      <c r="BE51" s="63">
        <f t="shared" si="92"/>
        <v>91.142907287010345</v>
      </c>
      <c r="BF51" s="60" t="str">
        <f t="shared" si="93"/>
        <v>27.3346307184878+591.452854822412i</v>
      </c>
      <c r="BG51" s="66">
        <f t="shared" si="94"/>
        <v>55.44766896293374</v>
      </c>
      <c r="BH51" s="63">
        <f t="shared" si="95"/>
        <v>87.353896726750932</v>
      </c>
      <c r="BI51" s="60" t="str">
        <f t="shared" si="101"/>
        <v>-5.51509515585955+684.884642751156i</v>
      </c>
      <c r="BJ51" s="66">
        <f t="shared" si="97"/>
        <v>56.712630167327241</v>
      </c>
      <c r="BK51" s="63">
        <f t="shared" si="102"/>
        <v>90.461369443128362</v>
      </c>
      <c r="BL51" s="51">
        <f t="shared" si="99"/>
        <v>55.44766896293374</v>
      </c>
      <c r="BM51" s="63">
        <f t="shared" si="100"/>
        <v>87.353896726750932</v>
      </c>
    </row>
    <row r="52" spans="1:65" x14ac:dyDescent="0.35">
      <c r="A52" t="s">
        <v>186</v>
      </c>
      <c r="B52" s="3">
        <f>RFBT</f>
        <v>150000</v>
      </c>
      <c r="C52" s="2" t="s">
        <v>36</v>
      </c>
      <c r="E52" t="s">
        <v>189</v>
      </c>
      <c r="N52" s="11">
        <v>34</v>
      </c>
      <c r="O52" s="52">
        <f t="shared" si="62"/>
        <v>21.877616239495538</v>
      </c>
      <c r="P52" s="50" t="str">
        <f t="shared" si="50"/>
        <v>36.531007751938</v>
      </c>
      <c r="Q52" s="18" t="str">
        <f t="shared" si="51"/>
        <v>1+0.0671321733756825i</v>
      </c>
      <c r="R52" s="18">
        <f t="shared" si="63"/>
        <v>1.0022508312304574</v>
      </c>
      <c r="S52" s="18">
        <f t="shared" si="64"/>
        <v>6.7031596369034357E-2</v>
      </c>
      <c r="T52" s="18" t="str">
        <f t="shared" si="52"/>
        <v>1+0.0000274922233824224i</v>
      </c>
      <c r="U52" s="18">
        <f t="shared" si="65"/>
        <v>1.000000000377911</v>
      </c>
      <c r="V52" s="18">
        <f t="shared" si="66"/>
        <v>2.7492223375495988E-5</v>
      </c>
      <c r="W52" s="32" t="str">
        <f t="shared" si="53"/>
        <v>1-0.000455492458406999i</v>
      </c>
      <c r="X52" s="18">
        <f t="shared" si="67"/>
        <v>1.0000001037366844</v>
      </c>
      <c r="Y52" s="18">
        <f t="shared" si="68"/>
        <v>-4.5549242690614964E-4</v>
      </c>
      <c r="Z52" s="32" t="str">
        <f t="shared" si="54"/>
        <v>0.999999990110949+0.000206980142813659i</v>
      </c>
      <c r="AA52" s="18">
        <f t="shared" si="69"/>
        <v>1.0000000115313388</v>
      </c>
      <c r="AB52" s="18">
        <f t="shared" si="70"/>
        <v>2.0698014190476599E-4</v>
      </c>
      <c r="AC52" s="68" t="str">
        <f t="shared" si="71"/>
        <v>36.3655568410462-2.46449533926658i</v>
      </c>
      <c r="AD52" s="66">
        <f t="shared" si="72"/>
        <v>31.233705360244194</v>
      </c>
      <c r="AE52" s="63">
        <f t="shared" si="73"/>
        <v>-3.8770092598373287</v>
      </c>
      <c r="AF52" s="51" t="str">
        <f t="shared" si="74"/>
        <v>42.1703962805665</v>
      </c>
      <c r="AG52" s="51" t="str">
        <f t="shared" si="55"/>
        <v>1+0.0121289220804805i</v>
      </c>
      <c r="AH52" s="51">
        <f t="shared" si="75"/>
        <v>1.0000735526704196</v>
      </c>
      <c r="AI52" s="51">
        <f t="shared" si="76"/>
        <v>1.2128327368028083E-2</v>
      </c>
      <c r="AJ52" s="51" t="str">
        <f t="shared" si="56"/>
        <v>1+0.0000274922233824224i</v>
      </c>
      <c r="AK52" s="51">
        <f t="shared" si="77"/>
        <v>1.000000000377911</v>
      </c>
      <c r="AL52" s="51">
        <f t="shared" si="78"/>
        <v>2.7492223375495988E-5</v>
      </c>
      <c r="AM52" s="51" t="str">
        <f t="shared" si="57"/>
        <v>1-0.000071289435473992i</v>
      </c>
      <c r="AN52" s="51">
        <f t="shared" si="79"/>
        <v>1.0000000025410918</v>
      </c>
      <c r="AO52" s="51">
        <f t="shared" si="80"/>
        <v>-7.1289435353223335E-5</v>
      </c>
      <c r="AP52" s="60" t="str">
        <f t="shared" si="81"/>
        <v>42.1641711588774-0.513252892363953i</v>
      </c>
      <c r="AQ52" s="51">
        <f t="shared" si="82"/>
        <v>32.499514821558648</v>
      </c>
      <c r="AR52" s="63">
        <f t="shared" si="83"/>
        <v>-0.69741136614178312</v>
      </c>
      <c r="AS52" s="32" t="str">
        <f t="shared" si="58"/>
        <v>-0.000133283554228113</v>
      </c>
      <c r="AT52" s="32" t="str">
        <f t="shared" si="59"/>
        <v>8.39887424333003E-06i</v>
      </c>
      <c r="AU52" s="32">
        <f t="shared" si="84"/>
        <v>8.3988742433300303E-6</v>
      </c>
      <c r="AV52" s="32">
        <f t="shared" si="85"/>
        <v>1.5707963267948966</v>
      </c>
      <c r="AW52" s="32" t="str">
        <f t="shared" si="60"/>
        <v>1+0.00146848091360807i</v>
      </c>
      <c r="AX52" s="32">
        <f t="shared" si="86"/>
        <v>1.0000010782175155</v>
      </c>
      <c r="AY52" s="32">
        <f t="shared" si="87"/>
        <v>1.4684798580476383E-3</v>
      </c>
      <c r="AZ52" s="32" t="str">
        <f t="shared" si="61"/>
        <v>1+0.0218839472735251i</v>
      </c>
      <c r="BA52" s="32">
        <f t="shared" si="88"/>
        <v>1.000239424911991</v>
      </c>
      <c r="BB52" s="32">
        <f t="shared" si="89"/>
        <v>2.1880454817413617E-2</v>
      </c>
      <c r="BC52" s="60" t="str">
        <f t="shared" si="90"/>
        <v>-0.323976758204932+15.8696923137457i</v>
      </c>
      <c r="BD52" s="51">
        <f t="shared" si="91"/>
        <v>24.01317974022529</v>
      </c>
      <c r="BE52" s="63">
        <f t="shared" si="92"/>
        <v>91.169520016698385</v>
      </c>
      <c r="BF52" s="60" t="str">
        <f t="shared" si="93"/>
        <v>27.3291875271416+577.90863709606i</v>
      </c>
      <c r="BG52" s="66">
        <f t="shared" si="94"/>
        <v>55.246885100469491</v>
      </c>
      <c r="BH52" s="63">
        <f t="shared" si="95"/>
        <v>87.292510756861063</v>
      </c>
      <c r="BI52" s="60" t="str">
        <f t="shared" si="101"/>
        <v>-5.51504600349502+669.298704963702i</v>
      </c>
      <c r="BJ52" s="66">
        <f t="shared" si="97"/>
        <v>56.512694561783938</v>
      </c>
      <c r="BK52" s="63">
        <f t="shared" si="102"/>
        <v>90.472108650556606</v>
      </c>
      <c r="BL52" s="51">
        <f t="shared" si="99"/>
        <v>55.246885100469491</v>
      </c>
      <c r="BM52" s="63">
        <f t="shared" si="100"/>
        <v>87.292510756861063</v>
      </c>
    </row>
    <row r="53" spans="1:65" x14ac:dyDescent="0.35">
      <c r="A53" t="s">
        <v>187</v>
      </c>
      <c r="B53" s="3">
        <f>RFBB</f>
        <v>10710</v>
      </c>
      <c r="C53" s="2" t="s">
        <v>36</v>
      </c>
      <c r="E53" t="s">
        <v>190</v>
      </c>
      <c r="N53" s="11">
        <v>35</v>
      </c>
      <c r="O53" s="52">
        <f t="shared" si="62"/>
        <v>22.387211385683404</v>
      </c>
      <c r="P53" s="50" t="str">
        <f t="shared" si="50"/>
        <v>36.531007751938</v>
      </c>
      <c r="Q53" s="18" t="str">
        <f t="shared" si="51"/>
        <v>1+0.0686958825719127i</v>
      </c>
      <c r="R53" s="18">
        <f t="shared" si="63"/>
        <v>1.002356784923579</v>
      </c>
      <c r="S53" s="18">
        <f t="shared" si="64"/>
        <v>6.8588126048429413E-2</v>
      </c>
      <c r="T53" s="18" t="str">
        <f t="shared" si="52"/>
        <v>1+0.00002813259952945i</v>
      </c>
      <c r="U53" s="18">
        <f t="shared" si="65"/>
        <v>1.0000000003957215</v>
      </c>
      <c r="V53" s="18">
        <f t="shared" si="66"/>
        <v>2.8132599522028218E-5</v>
      </c>
      <c r="W53" s="32" t="str">
        <f t="shared" si="53"/>
        <v>1-0.000466102240724616i</v>
      </c>
      <c r="X53" s="18">
        <f t="shared" si="67"/>
        <v>1.0000001086256434</v>
      </c>
      <c r="Y53" s="18">
        <f t="shared" si="68"/>
        <v>-4.6610220697084799E-4</v>
      </c>
      <c r="Z53" s="32" t="str">
        <f t="shared" si="54"/>
        <v>0.999999989644892+0.000211801329682488i</v>
      </c>
      <c r="AA53" s="18">
        <f t="shared" si="69"/>
        <v>1.0000000120747934</v>
      </c>
      <c r="AB53" s="18">
        <f t="shared" si="70"/>
        <v>2.1180132870859166E-4</v>
      </c>
      <c r="AC53" s="68" t="str">
        <f t="shared" si="71"/>
        <v>36.3577960041977-2.52136767261458i</v>
      </c>
      <c r="AD53" s="66">
        <f t="shared" si="72"/>
        <v>31.23278721138346</v>
      </c>
      <c r="AE53" s="63">
        <f t="shared" si="73"/>
        <v>-3.9670392795783869</v>
      </c>
      <c r="AF53" s="51" t="str">
        <f t="shared" si="74"/>
        <v>42.1703962805665</v>
      </c>
      <c r="AG53" s="51" t="str">
        <f t="shared" si="55"/>
        <v>1+0.012411440968875i</v>
      </c>
      <c r="AH53" s="51">
        <f t="shared" si="75"/>
        <v>1.0000770189675012</v>
      </c>
      <c r="AI53" s="51">
        <f t="shared" si="76"/>
        <v>1.2410803725651695E-2</v>
      </c>
      <c r="AJ53" s="51" t="str">
        <f t="shared" si="56"/>
        <v>1+0.00002813259952945i</v>
      </c>
      <c r="AK53" s="51">
        <f t="shared" si="77"/>
        <v>1.0000000003957215</v>
      </c>
      <c r="AL53" s="51">
        <f t="shared" si="78"/>
        <v>2.8132599522028218E-5</v>
      </c>
      <c r="AM53" s="51" t="str">
        <f t="shared" si="57"/>
        <v>1-0.0000729499797441872i</v>
      </c>
      <c r="AN53" s="51">
        <f t="shared" si="79"/>
        <v>1.0000000026608498</v>
      </c>
      <c r="AO53" s="51">
        <f t="shared" si="80"/>
        <v>-7.2949979614781243E-5</v>
      </c>
      <c r="AP53" s="60" t="str">
        <f t="shared" si="81"/>
        <v>42.1638778231173-0.52520444730439i</v>
      </c>
      <c r="AQ53" s="51">
        <f t="shared" si="82"/>
        <v>32.499484717146167</v>
      </c>
      <c r="AR53" s="63">
        <f t="shared" si="83"/>
        <v>-0.71365452057322798</v>
      </c>
      <c r="AS53" s="32" t="str">
        <f t="shared" si="58"/>
        <v>-0.000133283554228113</v>
      </c>
      <c r="AT53" s="32" t="str">
        <f t="shared" si="59"/>
        <v>8.59450915624695E-06i</v>
      </c>
      <c r="AU53" s="32">
        <f t="shared" si="84"/>
        <v>8.5945091562469501E-6</v>
      </c>
      <c r="AV53" s="32">
        <f t="shared" si="85"/>
        <v>1.5707963267948966</v>
      </c>
      <c r="AW53" s="32" t="str">
        <f t="shared" si="60"/>
        <v>1+0.00150268622819318i</v>
      </c>
      <c r="AX53" s="32">
        <f t="shared" si="86"/>
        <v>1.000001129032313</v>
      </c>
      <c r="AY53" s="32">
        <f t="shared" si="87"/>
        <v>1.5026850971398688E-3</v>
      </c>
      <c r="AZ53" s="32" t="str">
        <f t="shared" si="61"/>
        <v>1+0.0223936898884398i</v>
      </c>
      <c r="BA53" s="32">
        <f t="shared" si="88"/>
        <v>1.0002507072463482</v>
      </c>
      <c r="BB53" s="32">
        <f t="shared" si="89"/>
        <v>2.2389947704950515E-2</v>
      </c>
      <c r="BC53" s="60" t="str">
        <f t="shared" si="90"/>
        <v>-0.323976725279344+15.5084759252621i</v>
      </c>
      <c r="BD53" s="51">
        <f t="shared" si="91"/>
        <v>23.813277271955243</v>
      </c>
      <c r="BE53" s="63">
        <f t="shared" si="92"/>
        <v>91.196751993008959</v>
      </c>
      <c r="BF53" s="60" t="str">
        <f t="shared" si="93"/>
        <v>27.323490161663+564.67086846849i</v>
      </c>
      <c r="BG53" s="66">
        <f t="shared" si="94"/>
        <v>55.046064483338711</v>
      </c>
      <c r="BH53" s="63">
        <f t="shared" si="95"/>
        <v>87.229712713430573</v>
      </c>
      <c r="BI53" s="60" t="str">
        <f t="shared" si="101"/>
        <v>-5.51499453535118+654.067638152447i</v>
      </c>
      <c r="BJ53" s="66">
        <f t="shared" si="97"/>
        <v>56.312761989101404</v>
      </c>
      <c r="BK53" s="63">
        <f t="shared" si="102"/>
        <v>90.483097472435745</v>
      </c>
      <c r="BL53" s="51">
        <f t="shared" si="99"/>
        <v>55.046064483338711</v>
      </c>
      <c r="BM53" s="63">
        <f t="shared" si="100"/>
        <v>87.229712713430573</v>
      </c>
    </row>
    <row r="54" spans="1:65" x14ac:dyDescent="0.35">
      <c r="A54" t="s">
        <v>176</v>
      </c>
      <c r="B54" s="3">
        <f>RCOMP</f>
        <v>2793</v>
      </c>
      <c r="C54" s="2" t="s">
        <v>36</v>
      </c>
      <c r="E54" s="32" t="s">
        <v>183</v>
      </c>
      <c r="N54" s="11">
        <v>36</v>
      </c>
      <c r="O54" s="52">
        <f t="shared" si="62"/>
        <v>22.908676527677727</v>
      </c>
      <c r="P54" s="50" t="str">
        <f t="shared" si="50"/>
        <v>36.531007751938</v>
      </c>
      <c r="Q54" s="18" t="str">
        <f t="shared" si="51"/>
        <v>1+0.0702960152343798i</v>
      </c>
      <c r="R54" s="18">
        <f t="shared" si="63"/>
        <v>1.0024677200577743</v>
      </c>
      <c r="S54" s="18">
        <f t="shared" si="64"/>
        <v>7.0180567384569542E-2</v>
      </c>
      <c r="T54" s="18" t="str">
        <f t="shared" si="52"/>
        <v>1+0.000028787891953127i</v>
      </c>
      <c r="U54" s="18">
        <f t="shared" si="65"/>
        <v>1.0000000004143712</v>
      </c>
      <c r="V54" s="18">
        <f t="shared" si="66"/>
        <v>2.8787891945174414E-5</v>
      </c>
      <c r="W54" s="32" t="str">
        <f t="shared" si="53"/>
        <v>1-0.000476959156619856i</v>
      </c>
      <c r="X54" s="18">
        <f t="shared" si="67"/>
        <v>1.0000001137450121</v>
      </c>
      <c r="Y54" s="18">
        <f t="shared" si="68"/>
        <v>-4.7695912045204222E-4</v>
      </c>
      <c r="Z54" s="32" t="str">
        <f t="shared" si="54"/>
        <v>0.999999989156871+0.000216734816419835i</v>
      </c>
      <c r="AA54" s="18">
        <f t="shared" si="69"/>
        <v>1.0000000126438613</v>
      </c>
      <c r="AB54" s="18">
        <f t="shared" si="70"/>
        <v>2.1673481537628621E-4</v>
      </c>
      <c r="AC54" s="68" t="str">
        <f t="shared" si="71"/>
        <v>36.3496729264539-2.57952685032217i</v>
      </c>
      <c r="AD54" s="66">
        <f t="shared" si="72"/>
        <v>31.231825999516719</v>
      </c>
      <c r="AE54" s="63">
        <f t="shared" si="73"/>
        <v>-4.0591466250565631</v>
      </c>
      <c r="AF54" s="51" t="str">
        <f t="shared" si="74"/>
        <v>42.1703962805665</v>
      </c>
      <c r="AG54" s="51" t="str">
        <f t="shared" si="55"/>
        <v>1+0.0127005405675561i</v>
      </c>
      <c r="AH54" s="51">
        <f t="shared" si="75"/>
        <v>1.0000806486132547</v>
      </c>
      <c r="AI54" s="51">
        <f t="shared" si="76"/>
        <v>1.2699857752114104E-2</v>
      </c>
      <c r="AJ54" s="51" t="str">
        <f t="shared" si="56"/>
        <v>1+0.000028787891953127i</v>
      </c>
      <c r="AK54" s="51">
        <f t="shared" si="77"/>
        <v>1.0000000004143712</v>
      </c>
      <c r="AL54" s="51">
        <f t="shared" si="78"/>
        <v>2.8787891945174414E-5</v>
      </c>
      <c r="AM54" s="51" t="str">
        <f t="shared" si="57"/>
        <v>1-0.0000746492030592497i</v>
      </c>
      <c r="AN54" s="51">
        <f t="shared" si="79"/>
        <v>1.0000000027862517</v>
      </c>
      <c r="AO54" s="51">
        <f t="shared" si="80"/>
        <v>-7.4649202920588708E-5</v>
      </c>
      <c r="AP54" s="60" t="str">
        <f t="shared" si="81"/>
        <v>42.1635706672276-0.537434129395434i</v>
      </c>
      <c r="AQ54" s="51">
        <f t="shared" si="82"/>
        <v>32.49945319418012</v>
      </c>
      <c r="AR54" s="63">
        <f t="shared" si="83"/>
        <v>-0.73027590917446705</v>
      </c>
      <c r="AS54" s="32" t="str">
        <f t="shared" si="58"/>
        <v>-0.000133283554228113</v>
      </c>
      <c r="AT54" s="32" t="str">
        <f t="shared" si="59"/>
        <v>8.79470099168027E-06i</v>
      </c>
      <c r="AU54" s="32">
        <f t="shared" si="84"/>
        <v>8.7947009916802697E-6</v>
      </c>
      <c r="AV54" s="32">
        <f t="shared" si="85"/>
        <v>1.5707963267948966</v>
      </c>
      <c r="AW54" s="32" t="str">
        <f t="shared" si="60"/>
        <v>1+0.00153768828690688i</v>
      </c>
      <c r="AX54" s="32">
        <f t="shared" si="86"/>
        <v>1.000001182241935</v>
      </c>
      <c r="AY54" s="32">
        <f t="shared" si="87"/>
        <v>1.5376870749614991E-3</v>
      </c>
      <c r="AZ54" s="32" t="str">
        <f t="shared" si="61"/>
        <v>1+0.0229153059341488i</v>
      </c>
      <c r="BA54" s="32">
        <f t="shared" si="88"/>
        <v>1.000262521164347</v>
      </c>
      <c r="BB54" s="32">
        <f t="shared" si="89"/>
        <v>2.2911296169132352E-2</v>
      </c>
      <c r="BC54" s="60" t="str">
        <f t="shared" si="90"/>
        <v>-0.323976690802027+15.1554823359884i</v>
      </c>
      <c r="BD54" s="51">
        <f t="shared" si="91"/>
        <v>23.613379397845264</v>
      </c>
      <c r="BE54" s="63">
        <f t="shared" si="92"/>
        <v>91.224617594058415</v>
      </c>
      <c r="BF54" s="60" t="str">
        <f t="shared" si="93"/>
        <v>27.3175268688169+551.73253252863i</v>
      </c>
      <c r="BG54" s="66">
        <f t="shared" si="94"/>
        <v>54.84520539736198</v>
      </c>
      <c r="BH54" s="63">
        <f t="shared" si="95"/>
        <v>87.165470969001859</v>
      </c>
      <c r="BI54" s="60" t="str">
        <f t="shared" si="101"/>
        <v>-5.51494064235601+639.183366600132i</v>
      </c>
      <c r="BJ54" s="66">
        <f t="shared" si="97"/>
        <v>56.112832592025377</v>
      </c>
      <c r="BK54" s="63">
        <f t="shared" si="102"/>
        <v>90.494341684883949</v>
      </c>
      <c r="BL54" s="51">
        <f t="shared" si="99"/>
        <v>54.84520539736198</v>
      </c>
      <c r="BM54" s="63">
        <f t="shared" si="100"/>
        <v>87.165470969001859</v>
      </c>
    </row>
    <row r="55" spans="1:65" x14ac:dyDescent="0.35">
      <c r="A55" t="s">
        <v>181</v>
      </c>
      <c r="B55" s="3">
        <f>CCOMP</f>
        <v>5.7000000000000001E-8</v>
      </c>
      <c r="C55" s="2" t="s">
        <v>158</v>
      </c>
      <c r="E55" s="32" t="s">
        <v>184</v>
      </c>
      <c r="N55" s="11">
        <v>37</v>
      </c>
      <c r="O55" s="52">
        <f t="shared" si="62"/>
        <v>23.442288153199236</v>
      </c>
      <c r="P55" s="50" t="str">
        <f t="shared" si="50"/>
        <v>36.531007751938</v>
      </c>
      <c r="Q55" s="18" t="str">
        <f t="shared" si="51"/>
        <v>1+0.0719334197746021i</v>
      </c>
      <c r="R55" s="18">
        <f t="shared" si="63"/>
        <v>1.0025838702475065</v>
      </c>
      <c r="S55" s="18">
        <f t="shared" si="64"/>
        <v>7.1809732386994091E-2</v>
      </c>
      <c r="T55" s="18" t="str">
        <f t="shared" si="52"/>
        <v>1+0.0000294584480981704i</v>
      </c>
      <c r="U55" s="18">
        <f t="shared" si="65"/>
        <v>1.0000000004339</v>
      </c>
      <c r="V55" s="18">
        <f t="shared" si="66"/>
        <v>2.9458448089649053E-5</v>
      </c>
      <c r="W55" s="32" t="str">
        <f t="shared" si="53"/>
        <v>1-0.000488068962573238i</v>
      </c>
      <c r="X55" s="18">
        <f t="shared" si="67"/>
        <v>1.0000001191056491</v>
      </c>
      <c r="Y55" s="18">
        <f t="shared" si="68"/>
        <v>-4.8806892381872755E-4</v>
      </c>
      <c r="Z55" s="32" t="str">
        <f t="shared" si="54"/>
        <v>0.99999998864585+0.000221783218825673i</v>
      </c>
      <c r="AA55" s="18">
        <f t="shared" si="69"/>
        <v>1.000000013239748</v>
      </c>
      <c r="AB55" s="18">
        <f t="shared" si="70"/>
        <v>2.2178321770749033E-4</v>
      </c>
      <c r="AC55" s="68" t="str">
        <f t="shared" si="71"/>
        <v>36.3411708725911-2.63900016749233i</v>
      </c>
      <c r="AD55" s="66">
        <f t="shared" si="72"/>
        <v>31.230819715115061</v>
      </c>
      <c r="AE55" s="63">
        <f t="shared" si="73"/>
        <v>-4.1533782807799025</v>
      </c>
      <c r="AF55" s="51" t="str">
        <f t="shared" si="74"/>
        <v>42.1703962805665</v>
      </c>
      <c r="AG55" s="51" t="str">
        <f t="shared" si="55"/>
        <v>1+0.0129963741609576i</v>
      </c>
      <c r="AH55" s="51">
        <f t="shared" si="75"/>
        <v>1.0000844493048233</v>
      </c>
      <c r="AI55" s="51">
        <f t="shared" si="76"/>
        <v>1.2995642514366327E-2</v>
      </c>
      <c r="AJ55" s="51" t="str">
        <f t="shared" si="56"/>
        <v>1+0.0000294584480981704i</v>
      </c>
      <c r="AK55" s="51">
        <f t="shared" si="77"/>
        <v>1.0000000004339</v>
      </c>
      <c r="AL55" s="51">
        <f t="shared" si="78"/>
        <v>2.9458448089649053E-5</v>
      </c>
      <c r="AM55" s="51" t="str">
        <f t="shared" si="57"/>
        <v>1-0.0000763880063698733i</v>
      </c>
      <c r="AN55" s="51">
        <f t="shared" si="79"/>
        <v>1.0000000029175637</v>
      </c>
      <c r="AO55" s="51">
        <f t="shared" si="80"/>
        <v>-7.6388006221295385E-5</v>
      </c>
      <c r="AP55" s="60" t="str">
        <f t="shared" si="81"/>
        <v>42.1632490403061-0.549948398439044i</v>
      </c>
      <c r="AQ55" s="51">
        <f t="shared" si="82"/>
        <v>32.499420185827724</v>
      </c>
      <c r="AR55" s="63">
        <f t="shared" si="83"/>
        <v>-0.74728433374932879</v>
      </c>
      <c r="AS55" s="32" t="str">
        <f t="shared" si="58"/>
        <v>-0.000133283554228113</v>
      </c>
      <c r="AT55" s="32" t="str">
        <f t="shared" si="59"/>
        <v>8.99955589399103E-06i</v>
      </c>
      <c r="AU55" s="32">
        <f t="shared" si="84"/>
        <v>8.9995558939910304E-6</v>
      </c>
      <c r="AV55" s="32">
        <f t="shared" si="85"/>
        <v>1.5707963267948966</v>
      </c>
      <c r="AW55" s="32" t="str">
        <f t="shared" si="60"/>
        <v>1+0.00157350564830401i</v>
      </c>
      <c r="AX55" s="32">
        <f t="shared" si="86"/>
        <v>1.0000012379592464</v>
      </c>
      <c r="AY55" s="32">
        <f t="shared" si="87"/>
        <v>1.5735043496812244E-3</v>
      </c>
      <c r="AZ55" s="32" t="str">
        <f t="shared" si="61"/>
        <v>1+0.0234490719783841i</v>
      </c>
      <c r="BA55" s="32">
        <f t="shared" si="88"/>
        <v>1.0002748917055988</v>
      </c>
      <c r="BB55" s="32">
        <f t="shared" si="89"/>
        <v>2.3444775501528417E-2</v>
      </c>
      <c r="BC55" s="60" t="str">
        <f t="shared" si="90"/>
        <v>-0.323976654699854+14.8105243840508i</v>
      </c>
      <c r="BD55" s="51">
        <f t="shared" si="91"/>
        <v>23.41348633418302</v>
      </c>
      <c r="BE55" s="63">
        <f t="shared" si="92"/>
        <v>91.25313152958708</v>
      </c>
      <c r="BF55" s="60" t="str">
        <f t="shared" si="93"/>
        <v>27.3112853629815+539.086771799484i</v>
      </c>
      <c r="BG55" s="66">
        <f t="shared" si="94"/>
        <v>54.644306049298081</v>
      </c>
      <c r="BH55" s="63">
        <f t="shared" si="95"/>
        <v>87.099753248807161</v>
      </c>
      <c r="BI55" s="60" t="str">
        <f t="shared" si="101"/>
        <v>-5.51488421030405+624.637998464644i</v>
      </c>
      <c r="BJ55" s="66">
        <f t="shared" si="97"/>
        <v>55.912906520010743</v>
      </c>
      <c r="BK55" s="63">
        <f t="shared" si="102"/>
        <v>90.505847195837745</v>
      </c>
      <c r="BL55" s="51">
        <f t="shared" si="99"/>
        <v>54.644306049298081</v>
      </c>
      <c r="BM55" s="63">
        <f t="shared" si="100"/>
        <v>87.099753248807161</v>
      </c>
    </row>
    <row r="56" spans="1:65" x14ac:dyDescent="0.35">
      <c r="A56" t="s">
        <v>182</v>
      </c>
      <c r="B56" s="3">
        <f>CHF</f>
        <v>4.1000000000000003E-9</v>
      </c>
      <c r="C56" s="2" t="s">
        <v>158</v>
      </c>
      <c r="E56" s="32" t="s">
        <v>185</v>
      </c>
      <c r="N56" s="11">
        <v>38</v>
      </c>
      <c r="O56" s="52">
        <f t="shared" si="62"/>
        <v>23.988329190194907</v>
      </c>
      <c r="P56" s="50" t="str">
        <f t="shared" si="50"/>
        <v>36.531007751938</v>
      </c>
      <c r="Q56" s="18" t="str">
        <f t="shared" si="51"/>
        <v>1+0.0736089643661399i</v>
      </c>
      <c r="R56" s="18">
        <f t="shared" si="63"/>
        <v>1.0027054800064952</v>
      </c>
      <c r="S56" s="18">
        <f t="shared" si="64"/>
        <v>7.3476450248378039E-2</v>
      </c>
      <c r="T56" s="18" t="str">
        <f t="shared" si="52"/>
        <v>1+0.000030144623502324i</v>
      </c>
      <c r="U56" s="18">
        <f t="shared" si="65"/>
        <v>1.000000000454349</v>
      </c>
      <c r="V56" s="18">
        <f t="shared" si="66"/>
        <v>3.0144623493193213E-5</v>
      </c>
      <c r="W56" s="32" t="str">
        <f t="shared" si="53"/>
        <v>1-0.000499437549150931i</v>
      </c>
      <c r="X56" s="18">
        <f t="shared" si="67"/>
        <v>1.000000124718925</v>
      </c>
      <c r="Y56" s="18">
        <f t="shared" si="68"/>
        <v>-4.9943750762472517E-4</v>
      </c>
      <c r="Z56" s="32" t="str">
        <f t="shared" si="54"/>
        <v>0.999999988110745+0.00022694921362978i</v>
      </c>
      <c r="AA56" s="18">
        <f t="shared" si="69"/>
        <v>1.0000000138637177</v>
      </c>
      <c r="AB56" s="18">
        <f t="shared" si="70"/>
        <v>2.2694921243162581E-4</v>
      </c>
      <c r="AC56" s="68" t="str">
        <f t="shared" si="71"/>
        <v>36.3322723507832-2.69981536701265i</v>
      </c>
      <c r="AD56" s="66">
        <f t="shared" si="72"/>
        <v>31.229766255855065</v>
      </c>
      <c r="AE56" s="63">
        <f t="shared" si="73"/>
        <v>-4.2497822264874303</v>
      </c>
      <c r="AF56" s="51" t="str">
        <f t="shared" si="74"/>
        <v>42.1703962805665</v>
      </c>
      <c r="AG56" s="51" t="str">
        <f t="shared" si="55"/>
        <v>1+0.0132990986039665i</v>
      </c>
      <c r="AH56" s="51">
        <f t="shared" si="75"/>
        <v>1.000088429101986</v>
      </c>
      <c r="AI56" s="51">
        <f t="shared" si="76"/>
        <v>1.3298314634263186E-2</v>
      </c>
      <c r="AJ56" s="51" t="str">
        <f t="shared" si="56"/>
        <v>1+0.000030144623502324i</v>
      </c>
      <c r="AK56" s="51">
        <f t="shared" si="77"/>
        <v>1.000000000454349</v>
      </c>
      <c r="AL56" s="51">
        <f t="shared" si="78"/>
        <v>3.0144623493193213E-5</v>
      </c>
      <c r="AM56" s="51" t="str">
        <f t="shared" si="57"/>
        <v>1-0.0000781673116125888i</v>
      </c>
      <c r="AN56" s="51">
        <f t="shared" si="79"/>
        <v>1.0000000030550642</v>
      </c>
      <c r="AO56" s="51">
        <f t="shared" si="80"/>
        <v>-7.8167311453384688E-5</v>
      </c>
      <c r="AP56" s="60" t="str">
        <f t="shared" si="81"/>
        <v>42.1629122608148-0.562753863375032i</v>
      </c>
      <c r="AQ56" s="51">
        <f t="shared" si="82"/>
        <v>32.499385622108477</v>
      </c>
      <c r="AR56" s="63">
        <f t="shared" si="83"/>
        <v>-0.76468880052133215</v>
      </c>
      <c r="AS56" s="32" t="str">
        <f t="shared" si="58"/>
        <v>-0.000133283554228113</v>
      </c>
      <c r="AT56" s="32" t="str">
        <f t="shared" si="59"/>
        <v>9.20918247995997E-06i</v>
      </c>
      <c r="AU56" s="32">
        <f t="shared" si="84"/>
        <v>9.2091824799599699E-6</v>
      </c>
      <c r="AV56" s="32">
        <f t="shared" si="85"/>
        <v>1.5707963267948966</v>
      </c>
      <c r="AW56" s="32" t="str">
        <f t="shared" si="60"/>
        <v>1+0.00161015730322367i</v>
      </c>
      <c r="AX56" s="32">
        <f t="shared" si="86"/>
        <v>1.0000012963024305</v>
      </c>
      <c r="AY56" s="32">
        <f t="shared" si="87"/>
        <v>1.6101559117243825E-3</v>
      </c>
      <c r="AZ56" s="32" t="str">
        <f t="shared" si="61"/>
        <v>1+0.0239952710309674i</v>
      </c>
      <c r="BA56" s="32">
        <f t="shared" si="88"/>
        <v>1.0002878450885273</v>
      </c>
      <c r="BB56" s="32">
        <f t="shared" si="89"/>
        <v>2.399066734461933E-2</v>
      </c>
      <c r="BC56" s="60" t="str">
        <f t="shared" si="90"/>
        <v>-0.323976616896245+14.4734191681767i</v>
      </c>
      <c r="BD56" s="51">
        <f t="shared" si="91"/>
        <v>23.21359830742745</v>
      </c>
      <c r="BE56" s="63">
        <f t="shared" si="92"/>
        <v>91.282308848449162</v>
      </c>
      <c r="BF56" s="60" t="str">
        <f t="shared" si="93"/>
        <v>27.3047528030992+526.726884114091i</v>
      </c>
      <c r="BG56" s="66">
        <f t="shared" si="94"/>
        <v>54.443364563282515</v>
      </c>
      <c r="BH56" s="63">
        <f t="shared" si="95"/>
        <v>87.032526621961736</v>
      </c>
      <c r="BI56" s="60" t="str">
        <f t="shared" si="101"/>
        <v>-5.51482511961431+610.423821594631i</v>
      </c>
      <c r="BJ56" s="66">
        <f t="shared" si="97"/>
        <v>55.712983929535937</v>
      </c>
      <c r="BK56" s="63">
        <f t="shared" si="102"/>
        <v>90.517620047927821</v>
      </c>
      <c r="BL56" s="51">
        <f t="shared" si="99"/>
        <v>54.443364563282515</v>
      </c>
      <c r="BM56" s="63">
        <f t="shared" si="100"/>
        <v>87.032526621961736</v>
      </c>
    </row>
    <row r="57" spans="1:65" x14ac:dyDescent="0.35">
      <c r="N57" s="11">
        <v>39</v>
      </c>
      <c r="O57" s="52">
        <f t="shared" si="62"/>
        <v>24.547089156850316</v>
      </c>
      <c r="P57" s="50" t="str">
        <f t="shared" si="50"/>
        <v>36.531007751938</v>
      </c>
      <c r="Q57" s="18" t="str">
        <f t="shared" si="51"/>
        <v>1+0.0753235374049145i</v>
      </c>
      <c r="R57" s="18">
        <f t="shared" si="63"/>
        <v>1.0028328052508002</v>
      </c>
      <c r="S57" s="18">
        <f t="shared" si="64"/>
        <v>7.5181567623378562E-2</v>
      </c>
      <c r="T57" s="18" t="str">
        <f t="shared" si="52"/>
        <v>1+0.0000308467819848698i</v>
      </c>
      <c r="U57" s="18">
        <f t="shared" si="65"/>
        <v>1.0000000004757619</v>
      </c>
      <c r="V57" s="18">
        <f t="shared" si="66"/>
        <v>3.0846781975085978E-5</v>
      </c>
      <c r="W57" s="32" t="str">
        <f t="shared" si="53"/>
        <v>1-0.000511070944128021i</v>
      </c>
      <c r="X57" s="18">
        <f t="shared" si="67"/>
        <v>1.0000001305967465</v>
      </c>
      <c r="Y57" s="18">
        <f t="shared" si="68"/>
        <v>-5.1107089963189E-4</v>
      </c>
      <c r="Z57" s="32" t="str">
        <f t="shared" si="54"/>
        <v>0.999999987550422+0.000232235539910981i</v>
      </c>
      <c r="AA57" s="18">
        <f t="shared" si="69"/>
        <v>1.0000000145170949</v>
      </c>
      <c r="AB57" s="18">
        <f t="shared" si="70"/>
        <v>2.3223553862713558E-4</v>
      </c>
      <c r="AC57" s="68" t="str">
        <f t="shared" si="71"/>
        <v>36.3229590799851-2.76200063697679i</v>
      </c>
      <c r="AD57" s="66">
        <f t="shared" si="72"/>
        <v>31.228663422427552</v>
      </c>
      <c r="AE57" s="63">
        <f t="shared" si="73"/>
        <v>-4.348407453375394</v>
      </c>
      <c r="AF57" s="51" t="str">
        <f t="shared" si="74"/>
        <v>42.1703962805665</v>
      </c>
      <c r="AG57" s="51" t="str">
        <f t="shared" si="55"/>
        <v>1+0.0136088744050897i</v>
      </c>
      <c r="AH57" s="51">
        <f t="shared" si="75"/>
        <v>1.000092596444236</v>
      </c>
      <c r="AI57" s="51">
        <f t="shared" si="76"/>
        <v>1.3608034370618491E-2</v>
      </c>
      <c r="AJ57" s="51" t="str">
        <f t="shared" si="56"/>
        <v>1+0.0000308467819848698i</v>
      </c>
      <c r="AK57" s="51">
        <f t="shared" si="77"/>
        <v>1.0000000004757619</v>
      </c>
      <c r="AL57" s="51">
        <f t="shared" si="78"/>
        <v>3.0846781975085978E-5</v>
      </c>
      <c r="AM57" s="51" t="str">
        <f t="shared" si="57"/>
        <v>1-0.0000799880621985879i</v>
      </c>
      <c r="AN57" s="51">
        <f t="shared" si="79"/>
        <v>1.000000003199045</v>
      </c>
      <c r="AO57" s="51">
        <f t="shared" si="80"/>
        <v>-7.9988062027997614E-5</v>
      </c>
      <c r="AP57" s="60" t="str">
        <f t="shared" si="81"/>
        <v>42.1625596151409-0.575857285659906i</v>
      </c>
      <c r="AQ57" s="51">
        <f t="shared" si="82"/>
        <v>32.499349429746218</v>
      </c>
      <c r="AR57" s="63">
        <f t="shared" si="83"/>
        <v>-0.78249852485230476</v>
      </c>
      <c r="AS57" s="32" t="str">
        <f t="shared" si="58"/>
        <v>-0.000133283554228113</v>
      </c>
      <c r="AT57" s="32" t="str">
        <f t="shared" si="59"/>
        <v>9.42369189637774E-06i</v>
      </c>
      <c r="AU57" s="32">
        <f t="shared" si="84"/>
        <v>9.4236918963777406E-6</v>
      </c>
      <c r="AV57" s="32">
        <f t="shared" si="85"/>
        <v>1.5707963267948966</v>
      </c>
      <c r="AW57" s="32" t="str">
        <f t="shared" si="60"/>
        <v>1+0.00164766268485846i</v>
      </c>
      <c r="AX57" s="32">
        <f t="shared" si="86"/>
        <v>1.0000013573952404</v>
      </c>
      <c r="AY57" s="32">
        <f t="shared" si="87"/>
        <v>1.6476611938402194E-3</v>
      </c>
      <c r="AZ57" s="32" t="str">
        <f t="shared" si="61"/>
        <v>1+0.0245541926938663i</v>
      </c>
      <c r="BA57" s="32">
        <f t="shared" si="88"/>
        <v>1.0003014087658018</v>
      </c>
      <c r="BB57" s="32">
        <f t="shared" si="89"/>
        <v>2.4549259835343434E-2</v>
      </c>
      <c r="BC57" s="60" t="str">
        <f t="shared" si="90"/>
        <v>-0.323976577311014+14.1439879507181i</v>
      </c>
      <c r="BD57" s="51">
        <f t="shared" si="91"/>
        <v>23.013715554686065</v>
      </c>
      <c r="BE57" s="63">
        <f t="shared" si="92"/>
        <v>91.312164946260665</v>
      </c>
      <c r="BF57" s="60" t="str">
        <f t="shared" si="93"/>
        <v>27.2979157687338+514.646319074634i</v>
      </c>
      <c r="BG57" s="66">
        <f t="shared" si="94"/>
        <v>54.242378977113617</v>
      </c>
      <c r="BH57" s="63">
        <f t="shared" si="95"/>
        <v>86.963757492885279</v>
      </c>
      <c r="BI57" s="60" t="str">
        <f t="shared" si="101"/>
        <v>-5.51476324507799+596.533299440414i</v>
      </c>
      <c r="BJ57" s="66">
        <f t="shared" si="97"/>
        <v>55.513064984432283</v>
      </c>
      <c r="BK57" s="63">
        <f t="shared" si="102"/>
        <v>90.529666421408365</v>
      </c>
      <c r="BL57" s="51">
        <f t="shared" si="99"/>
        <v>54.242378977113617</v>
      </c>
      <c r="BM57" s="63">
        <f t="shared" si="100"/>
        <v>86.963757492885279</v>
      </c>
    </row>
    <row r="58" spans="1:65" x14ac:dyDescent="0.35">
      <c r="A58" t="s">
        <v>225</v>
      </c>
      <c r="B58" s="1">
        <f>-(RFBB*gm_ea)/(RFBB+RFBT)</f>
        <v>-1.3328355422811275E-4</v>
      </c>
      <c r="C58" t="s">
        <v>147</v>
      </c>
      <c r="N58" s="11">
        <v>40</v>
      </c>
      <c r="O58" s="52">
        <f t="shared" si="62"/>
        <v>25.118864315095799</v>
      </c>
      <c r="P58" s="50" t="str">
        <f t="shared" si="50"/>
        <v>36.531007751938</v>
      </c>
      <c r="Q58" s="18" t="str">
        <f t="shared" si="51"/>
        <v>1+0.0770780479802466i</v>
      </c>
      <c r="R58" s="18">
        <f t="shared" si="63"/>
        <v>1.0029661138246124</v>
      </c>
      <c r="S58" s="18">
        <f t="shared" si="64"/>
        <v>7.6925948905579855E-2</v>
      </c>
      <c r="T58" s="18" t="str">
        <f t="shared" si="52"/>
        <v>1+0.0000315652958395296i</v>
      </c>
      <c r="U58" s="18">
        <f t="shared" si="65"/>
        <v>1.0000000004981839</v>
      </c>
      <c r="V58" s="18">
        <f t="shared" si="66"/>
        <v>3.1565295829046047E-5</v>
      </c>
      <c r="W58" s="32" t="str">
        <f t="shared" si="53"/>
        <v>1-0.000522975315684515i</v>
      </c>
      <c r="X58" s="18">
        <f t="shared" si="67"/>
        <v>1.0000001367515809</v>
      </c>
      <c r="Y58" s="18">
        <f t="shared" si="68"/>
        <v>-5.2297526800605199E-4</v>
      </c>
      <c r="Z58" s="32" t="str">
        <f t="shared" si="54"/>
        <v>0.999999986963691+0.000237645000549445i</v>
      </c>
      <c r="AA58" s="18">
        <f t="shared" si="69"/>
        <v>1.000000015201264</v>
      </c>
      <c r="AB58" s="18">
        <f t="shared" si="70"/>
        <v>2.3764499917377995E-4</v>
      </c>
      <c r="AC58" s="68" t="str">
        <f t="shared" si="71"/>
        <v>36.3132119560667-2.82558460716777i</v>
      </c>
      <c r="AD58" s="66">
        <f t="shared" si="72"/>
        <v>31.227508914166574</v>
      </c>
      <c r="AE58" s="63">
        <f t="shared" si="73"/>
        <v>-4.4493039802201775</v>
      </c>
      <c r="AF58" s="51" t="str">
        <f t="shared" si="74"/>
        <v>42.1703962805665</v>
      </c>
      <c r="AG58" s="51" t="str">
        <f t="shared" si="55"/>
        <v>1+0.0139258658115572i</v>
      </c>
      <c r="AH58" s="51">
        <f t="shared" si="75"/>
        <v>1.0000969601686636</v>
      </c>
      <c r="AI58" s="51">
        <f t="shared" si="76"/>
        <v>1.3924965703117345E-2</v>
      </c>
      <c r="AJ58" s="51" t="str">
        <f t="shared" si="56"/>
        <v>1+0.0000315652958395296i</v>
      </c>
      <c r="AK58" s="51">
        <f t="shared" si="77"/>
        <v>1.0000000004981839</v>
      </c>
      <c r="AL58" s="51">
        <f t="shared" si="78"/>
        <v>3.1565295829046047E-5</v>
      </c>
      <c r="AM58" s="51" t="str">
        <f t="shared" si="57"/>
        <v>1-0.0000818512235139324i</v>
      </c>
      <c r="AN58" s="51">
        <f t="shared" si="79"/>
        <v>1.0000000033498113</v>
      </c>
      <c r="AO58" s="51">
        <f t="shared" si="80"/>
        <v>-8.1851223331141638E-5</v>
      </c>
      <c r="AP58" s="60" t="str">
        <f t="shared" si="81"/>
        <v>42.1621903560881-0.589265582717579i</v>
      </c>
      <c r="AQ58" s="51">
        <f t="shared" si="82"/>
        <v>32.499311532013742</v>
      </c>
      <c r="AR58" s="63">
        <f t="shared" si="83"/>
        <v>-0.80072293606781508</v>
      </c>
      <c r="AS58" s="32" t="str">
        <f t="shared" si="58"/>
        <v>-0.000133283554228113</v>
      </c>
      <c r="AT58" s="32" t="str">
        <f t="shared" si="59"/>
        <v>9.64319787897626E-06i</v>
      </c>
      <c r="AU58" s="32">
        <f t="shared" si="84"/>
        <v>9.6431978789762601E-6</v>
      </c>
      <c r="AV58" s="32">
        <f t="shared" si="85"/>
        <v>1.5707963267948966</v>
      </c>
      <c r="AW58" s="32" t="str">
        <f t="shared" si="60"/>
        <v>1+0.00168604167905816i</v>
      </c>
      <c r="AX58" s="32">
        <f t="shared" si="86"/>
        <v>1.0000014213672617</v>
      </c>
      <c r="AY58" s="32">
        <f t="shared" si="87"/>
        <v>1.6860400814034534E-3</v>
      </c>
      <c r="AZ58" s="32" t="str">
        <f t="shared" si="61"/>
        <v>1+0.0251261333147447i</v>
      </c>
      <c r="BA58" s="32">
        <f t="shared" si="88"/>
        <v>1.0003156114823712</v>
      </c>
      <c r="BB58" s="32">
        <f t="shared" si="89"/>
        <v>2.512084775167318E-2</v>
      </c>
      <c r="BC58" s="60" t="str">
        <f t="shared" si="90"/>
        <v>-0.323976535860202+13.8220560628827i</v>
      </c>
      <c r="BD58" s="51">
        <f t="shared" si="91"/>
        <v>22.813838324214544</v>
      </c>
      <c r="BE58" s="63">
        <f t="shared" si="92"/>
        <v>91.342715573207258</v>
      </c>
      <c r="BF58" s="60" t="str">
        <f t="shared" si="93"/>
        <v>27.2907602352076+502.838674592906i</v>
      </c>
      <c r="BG58" s="66">
        <f t="shared" si="94"/>
        <v>54.041347238381114</v>
      </c>
      <c r="BH58" s="63">
        <f t="shared" si="95"/>
        <v>86.893411592987079</v>
      </c>
      <c r="BI58" s="60" t="str">
        <f t="shared" si="101"/>
        <v>-5.51469845559422+582.959067057972i</v>
      </c>
      <c r="BJ58" s="66">
        <f t="shared" si="97"/>
        <v>55.313149856228279</v>
      </c>
      <c r="BK58" s="63">
        <f t="shared" si="102"/>
        <v>90.541992637139444</v>
      </c>
      <c r="BL58" s="51">
        <f t="shared" si="99"/>
        <v>54.041347238381114</v>
      </c>
      <c r="BM58" s="63">
        <f t="shared" si="100"/>
        <v>86.893411592987079</v>
      </c>
    </row>
    <row r="59" spans="1:65" x14ac:dyDescent="0.35">
      <c r="A59" t="s">
        <v>224</v>
      </c>
      <c r="B59" s="1">
        <f>1/(RCOMP*CCOMP)</f>
        <v>6281.3675793493758</v>
      </c>
      <c r="E59" t="s">
        <v>238</v>
      </c>
      <c r="N59" s="11">
        <v>41</v>
      </c>
      <c r="O59" s="52">
        <f t="shared" si="62"/>
        <v>25.703957827688647</v>
      </c>
      <c r="P59" s="50" t="str">
        <f t="shared" si="50"/>
        <v>36.531007751938</v>
      </c>
      <c r="Q59" s="18" t="str">
        <f t="shared" si="51"/>
        <v>1+0.0788734263568659i</v>
      </c>
      <c r="R59" s="18">
        <f t="shared" si="63"/>
        <v>1.0031056860497163</v>
      </c>
      <c r="S59" s="18">
        <f t="shared" si="64"/>
        <v>7.8710476501928903E-2</v>
      </c>
      <c r="T59" s="18" t="str">
        <f t="shared" si="52"/>
        <v>1+0.0000323005460318594i</v>
      </c>
      <c r="U59" s="18">
        <f t="shared" si="65"/>
        <v>1.0000000005216625</v>
      </c>
      <c r="V59" s="18">
        <f t="shared" si="66"/>
        <v>3.2300546020626078E-5</v>
      </c>
      <c r="W59" s="32" t="str">
        <f t="shared" si="53"/>
        <v>1-0.000535156975675777i</v>
      </c>
      <c r="X59" s="18">
        <f t="shared" si="67"/>
        <v>1.000000143196484</v>
      </c>
      <c r="Y59" s="18">
        <f t="shared" si="68"/>
        <v>-5.3515692458738393E-4</v>
      </c>
      <c r="Z59" s="32" t="str">
        <f t="shared" si="54"/>
        <v>0.999999986349309+0.000243180463712803i</v>
      </c>
      <c r="AA59" s="18">
        <f t="shared" si="69"/>
        <v>1.0000000159176778</v>
      </c>
      <c r="AB59" s="18">
        <f t="shared" si="70"/>
        <v>2.4318046223875128E-4</v>
      </c>
      <c r="AC59" s="68" t="str">
        <f t="shared" si="71"/>
        <v>36.3030110166606-2.89059634452469i</v>
      </c>
      <c r="AD59" s="66">
        <f t="shared" si="72"/>
        <v>31.226300324490794</v>
      </c>
      <c r="AE59" s="63">
        <f t="shared" si="73"/>
        <v>-4.5525228693635889</v>
      </c>
      <c r="AF59" s="51" t="str">
        <f t="shared" si="74"/>
        <v>42.1703962805665</v>
      </c>
      <c r="AG59" s="51" t="str">
        <f t="shared" si="55"/>
        <v>1+0.0142502408964086i</v>
      </c>
      <c r="AH59" s="51">
        <f t="shared" si="75"/>
        <v>1.0001015295286801</v>
      </c>
      <c r="AI59" s="51">
        <f t="shared" si="76"/>
        <v>1.4249276418126615E-2</v>
      </c>
      <c r="AJ59" s="51" t="str">
        <f t="shared" si="56"/>
        <v>1+0.0000323005460318594i</v>
      </c>
      <c r="AK59" s="51">
        <f t="shared" si="77"/>
        <v>1.0000000005216625</v>
      </c>
      <c r="AL59" s="51">
        <f t="shared" si="78"/>
        <v>3.2300546020626078E-5</v>
      </c>
      <c r="AM59" s="51" t="str">
        <f t="shared" si="57"/>
        <v>1-0.0000837577834314125i</v>
      </c>
      <c r="AN59" s="51">
        <f t="shared" si="79"/>
        <v>1.000000003507683</v>
      </c>
      <c r="AO59" s="51">
        <f t="shared" si="80"/>
        <v>-8.3757783235548648E-5</v>
      </c>
      <c r="AP59" s="60" t="str">
        <f t="shared" si="81"/>
        <v>42.1618037012997-0.602985831463255i</v>
      </c>
      <c r="AQ59" s="51">
        <f t="shared" si="82"/>
        <v>32.499271848570629</v>
      </c>
      <c r="AR59" s="63">
        <f t="shared" si="83"/>
        <v>-0.81937168239176483</v>
      </c>
      <c r="AS59" s="32" t="str">
        <f t="shared" si="58"/>
        <v>-0.000133283554228113</v>
      </c>
      <c r="AT59" s="32" t="str">
        <f t="shared" si="59"/>
        <v>9.86781681273305E-06i</v>
      </c>
      <c r="AU59" s="32">
        <f t="shared" si="84"/>
        <v>9.8678168127330505E-6</v>
      </c>
      <c r="AV59" s="32">
        <f t="shared" si="85"/>
        <v>1.5707963267948966</v>
      </c>
      <c r="AW59" s="32" t="str">
        <f t="shared" si="60"/>
        <v>1+0.00172531463487349i</v>
      </c>
      <c r="AX59" s="32">
        <f t="shared" si="86"/>
        <v>1.000001488354187</v>
      </c>
      <c r="AY59" s="32">
        <f t="shared" si="87"/>
        <v>1.7253129229557664E-3</v>
      </c>
      <c r="AZ59" s="32" t="str">
        <f t="shared" si="61"/>
        <v>1+0.0257113961440902i</v>
      </c>
      <c r="BA59" s="32">
        <f t="shared" si="88"/>
        <v>1.0003304833362214</v>
      </c>
      <c r="BB59" s="32">
        <f t="shared" si="89"/>
        <v>2.5705732662271229E-2</v>
      </c>
      <c r="BC59" s="60" t="str">
        <f t="shared" si="90"/>
        <v>-0.323976492455884+13.5074528121218i</v>
      </c>
      <c r="BD59" s="51">
        <f t="shared" si="91"/>
        <v>22.613966875939354</v>
      </c>
      <c r="BE59" s="63">
        <f t="shared" si="92"/>
        <v>91.373976842014983</v>
      </c>
      <c r="BF59" s="60" t="str">
        <f t="shared" si="93"/>
        <v>27.283271547794+491.297693510286i</v>
      </c>
      <c r="BG59" s="66">
        <f t="shared" si="94"/>
        <v>53.840267200430148</v>
      </c>
      <c r="BH59" s="63">
        <f t="shared" si="95"/>
        <v>86.821453972651398</v>
      </c>
      <c r="BI59" s="60" t="str">
        <f t="shared" si="101"/>
        <v>-5.51463061389264+569.693927203926i</v>
      </c>
      <c r="BJ59" s="66">
        <f t="shared" si="97"/>
        <v>55.113238724509984</v>
      </c>
      <c r="BK59" s="63">
        <f t="shared" si="102"/>
        <v>90.554605159623222</v>
      </c>
      <c r="BL59" s="51">
        <f t="shared" si="99"/>
        <v>53.840267200430148</v>
      </c>
      <c r="BM59" s="63">
        <f t="shared" si="100"/>
        <v>86.821453972651398</v>
      </c>
    </row>
    <row r="60" spans="1:65" x14ac:dyDescent="0.35">
      <c r="A60" t="s">
        <v>229</v>
      </c>
      <c r="B60" s="1">
        <f>(CCOMP+CHF)</f>
        <v>6.1099999999999998E-8</v>
      </c>
      <c r="E60" t="s">
        <v>239</v>
      </c>
      <c r="N60" s="11">
        <v>42</v>
      </c>
      <c r="O60" s="52">
        <f t="shared" si="62"/>
        <v>26.302679918953825</v>
      </c>
      <c r="P60" s="50" t="str">
        <f t="shared" si="50"/>
        <v>36.531007751938</v>
      </c>
      <c r="Q60" s="18" t="str">
        <f t="shared" si="51"/>
        <v>1+0.0807106244681529i</v>
      </c>
      <c r="R60" s="18">
        <f t="shared" si="63"/>
        <v>1.0032518152996481</v>
      </c>
      <c r="S60" s="18">
        <f t="shared" si="64"/>
        <v>8.0536051104006592E-2</v>
      </c>
      <c r="T60" s="18" t="str">
        <f t="shared" si="52"/>
        <v>1+0.0000330529224012436i</v>
      </c>
      <c r="U60" s="18">
        <f t="shared" si="65"/>
        <v>1.0000000005462477</v>
      </c>
      <c r="V60" s="18">
        <f t="shared" si="66"/>
        <v>3.3052922389206872E-5</v>
      </c>
      <c r="W60" s="32" t="str">
        <f t="shared" si="53"/>
        <v>1-0.000547622382979184i</v>
      </c>
      <c r="X60" s="18">
        <f t="shared" si="67"/>
        <v>1.0000001499451259</v>
      </c>
      <c r="Y60" s="18">
        <f t="shared" si="68"/>
        <v>-5.476223282369849E-4</v>
      </c>
      <c r="Z60" s="32" t="str">
        <f t="shared" si="54"/>
        <v>0.999999985705972+0.000248844864376895i</v>
      </c>
      <c r="AA60" s="18">
        <f t="shared" si="69"/>
        <v>1.0000000166678553</v>
      </c>
      <c r="AB60" s="18">
        <f t="shared" si="70"/>
        <v>2.4884486279742006E-4</v>
      </c>
      <c r="AC60" s="68" t="str">
        <f t="shared" si="71"/>
        <v>36.2923354046941-2.95706534750956i</v>
      </c>
      <c r="AD60" s="66">
        <f t="shared" si="72"/>
        <v>31.225035136150851</v>
      </c>
      <c r="AE60" s="63">
        <f t="shared" si="73"/>
        <v>-4.6581162425229383</v>
      </c>
      <c r="AF60" s="51" t="str">
        <f t="shared" si="74"/>
        <v>42.1703962805665</v>
      </c>
      <c r="AG60" s="51" t="str">
        <f t="shared" si="55"/>
        <v>1+0.0145821716476075i</v>
      </c>
      <c r="AH60" s="51">
        <f t="shared" si="75"/>
        <v>1.0001063142136242</v>
      </c>
      <c r="AI60" s="51">
        <f t="shared" si="76"/>
        <v>1.4581138196442169E-2</v>
      </c>
      <c r="AJ60" s="51" t="str">
        <f t="shared" si="56"/>
        <v>1+0.0000330529224012436i</v>
      </c>
      <c r="AK60" s="51">
        <f t="shared" si="77"/>
        <v>1.0000000005462477</v>
      </c>
      <c r="AL60" s="51">
        <f t="shared" si="78"/>
        <v>3.3052922389206872E-5</v>
      </c>
      <c r="AM60" s="51" t="str">
        <f t="shared" si="57"/>
        <v>1-0.0000857087528343334i</v>
      </c>
      <c r="AN60" s="51">
        <f t="shared" si="79"/>
        <v>1.000000003672995</v>
      </c>
      <c r="AO60" s="51">
        <f t="shared" si="80"/>
        <v>-8.5708752624461519E-5</v>
      </c>
      <c r="AP60" s="60" t="str">
        <f t="shared" si="81"/>
        <v>42.1613988316063-0.617025271901567i</v>
      </c>
      <c r="AQ60" s="51">
        <f t="shared" si="82"/>
        <v>32.49923029529316</v>
      </c>
      <c r="AR60" s="63">
        <f t="shared" si="83"/>
        <v>-0.83845463599237069</v>
      </c>
      <c r="AS60" s="32" t="str">
        <f t="shared" si="58"/>
        <v>-0.000133283554228113</v>
      </c>
      <c r="AT60" s="32" t="str">
        <f t="shared" si="59"/>
        <v>0.0000100976677935799i</v>
      </c>
      <c r="AU60" s="32">
        <f t="shared" si="84"/>
        <v>1.0097667793579899E-5</v>
      </c>
      <c r="AV60" s="32">
        <f t="shared" si="85"/>
        <v>1.5707963267948966</v>
      </c>
      <c r="AW60" s="32" t="str">
        <f t="shared" si="60"/>
        <v>1+0.00176550237534546i</v>
      </c>
      <c r="AX60" s="32">
        <f t="shared" si="86"/>
        <v>1.0000015584981043</v>
      </c>
      <c r="AY60" s="32">
        <f t="shared" si="87"/>
        <v>1.7655005409927245E-3</v>
      </c>
      <c r="AZ60" s="32" t="str">
        <f t="shared" si="61"/>
        <v>1+0.0263102914960019i</v>
      </c>
      <c r="BA60" s="32">
        <f t="shared" si="88"/>
        <v>1.0003460558419794</v>
      </c>
      <c r="BB60" s="32">
        <f t="shared" si="89"/>
        <v>2.6304223079274415E-2</v>
      </c>
      <c r="BC60" s="60" t="str">
        <f t="shared" si="90"/>
        <v>-0.323976447005997+13.2000113916271i</v>
      </c>
      <c r="BD60" s="51">
        <f t="shared" si="91"/>
        <v>22.414101482005137</v>
      </c>
      <c r="BE60" s="63">
        <f t="shared" si="92"/>
        <v>91.405965236086089</v>
      </c>
      <c r="BF60" s="60" t="str">
        <f t="shared" si="93"/>
        <v>27.2754343949492+480.017260295564i</v>
      </c>
      <c r="BG60" s="66">
        <f t="shared" si="94"/>
        <v>53.63913661815598</v>
      </c>
      <c r="BH60" s="63">
        <f t="shared" si="95"/>
        <v>86.747848993563153</v>
      </c>
      <c r="BI60" s="60" t="str">
        <f t="shared" si="101"/>
        <v>-5.51455957624411+556.73084651944i</v>
      </c>
      <c r="BJ60" s="66">
        <f t="shared" si="97"/>
        <v>54.913331777298296</v>
      </c>
      <c r="BK60" s="63">
        <f t="shared" si="102"/>
        <v>90.567510600093712</v>
      </c>
      <c r="BL60" s="51">
        <f t="shared" si="99"/>
        <v>53.63913661815598</v>
      </c>
      <c r="BM60" s="63">
        <f t="shared" si="100"/>
        <v>86.747848993563153</v>
      </c>
    </row>
    <row r="61" spans="1:65" x14ac:dyDescent="0.35">
      <c r="A61" s="32" t="s">
        <v>230</v>
      </c>
      <c r="B61" s="1">
        <f>(CCOMP+CHF)/(RCOMP*CHF*CCOMP)</f>
        <v>93607.697341035804</v>
      </c>
      <c r="E61" s="32" t="s">
        <v>240</v>
      </c>
      <c r="N61" s="11">
        <v>43</v>
      </c>
      <c r="O61" s="52">
        <f t="shared" si="62"/>
        <v>26.915348039269158</v>
      </c>
      <c r="P61" s="50" t="str">
        <f t="shared" si="50"/>
        <v>36.531007751938</v>
      </c>
      <c r="Q61" s="18" t="str">
        <f t="shared" si="51"/>
        <v>1+0.0825906164208646i</v>
      </c>
      <c r="R61" s="18">
        <f t="shared" si="63"/>
        <v>1.0034048085995892</v>
      </c>
      <c r="S61" s="18">
        <f t="shared" si="64"/>
        <v>8.2403591955410208E-2</v>
      </c>
      <c r="T61" s="18" t="str">
        <f t="shared" si="52"/>
        <v>1+0.0000338228238675922i</v>
      </c>
      <c r="U61" s="18">
        <f t="shared" si="65"/>
        <v>1.0000000005719916</v>
      </c>
      <c r="V61" s="18">
        <f t="shared" si="66"/>
        <v>3.3822823854694618E-5</v>
      </c>
      <c r="W61" s="32" t="str">
        <f t="shared" si="53"/>
        <v>1-0.000560378146918688i</v>
      </c>
      <c r="X61" s="18">
        <f t="shared" si="67"/>
        <v>1.0000001570118213</v>
      </c>
      <c r="Y61" s="18">
        <f t="shared" si="68"/>
        <v>-5.6037808826136539E-4</v>
      </c>
      <c r="Z61" s="32" t="str">
        <f t="shared" si="54"/>
        <v>0.999999985032315+0.000254641205881932i</v>
      </c>
      <c r="AA61" s="18">
        <f t="shared" si="69"/>
        <v>1.0000000174533867</v>
      </c>
      <c r="AB61" s="18">
        <f t="shared" si="70"/>
        <v>2.5464120418949415E-4</v>
      </c>
      <c r="AC61" s="68" t="str">
        <f t="shared" si="71"/>
        <v>36.2811633305756-3.02502153928478i</v>
      </c>
      <c r="AD61" s="66">
        <f t="shared" si="72"/>
        <v>31.223710716275562</v>
      </c>
      <c r="AE61" s="63">
        <f t="shared" si="73"/>
        <v>-4.7661372963842705</v>
      </c>
      <c r="AF61" s="51" t="str">
        <f t="shared" si="74"/>
        <v>42.1703962805665</v>
      </c>
      <c r="AG61" s="51" t="str">
        <f t="shared" si="55"/>
        <v>1+0.0149218340592319i</v>
      </c>
      <c r="AH61" s="51">
        <f t="shared" si="75"/>
        <v>1.0001113243692881</v>
      </c>
      <c r="AI61" s="51">
        <f t="shared" si="76"/>
        <v>1.4920726703014404E-2</v>
      </c>
      <c r="AJ61" s="51" t="str">
        <f t="shared" si="56"/>
        <v>1+0.0000338228238675922i</v>
      </c>
      <c r="AK61" s="51">
        <f t="shared" si="77"/>
        <v>1.0000000005719916</v>
      </c>
      <c r="AL61" s="51">
        <f t="shared" si="78"/>
        <v>3.3822823854694618E-5</v>
      </c>
      <c r="AM61" s="51" t="str">
        <f t="shared" si="57"/>
        <v>1-0.0000877051661524967i</v>
      </c>
      <c r="AN61" s="51">
        <f t="shared" si="79"/>
        <v>1.0000000038460981</v>
      </c>
      <c r="AO61" s="51">
        <f t="shared" si="80"/>
        <v>-8.7705165927614911E-5</v>
      </c>
      <c r="AP61" s="60" t="str">
        <f t="shared" si="81"/>
        <v>42.1609748892961-0.631391310800199i</v>
      </c>
      <c r="AQ61" s="51">
        <f t="shared" si="82"/>
        <v>32.499186784096203</v>
      </c>
      <c r="AR61" s="63">
        <f t="shared" si="83"/>
        <v>-0.8579818981419316</v>
      </c>
      <c r="AS61" s="32" t="str">
        <f t="shared" si="58"/>
        <v>-0.000133283554228113</v>
      </c>
      <c r="AT61" s="32" t="str">
        <f t="shared" si="59"/>
        <v>0.0000103328726915494i</v>
      </c>
      <c r="AU61" s="32">
        <f t="shared" si="84"/>
        <v>1.03328726915494E-5</v>
      </c>
      <c r="AV61" s="32">
        <f t="shared" si="85"/>
        <v>1.5707963267948966</v>
      </c>
      <c r="AW61" s="32" t="str">
        <f t="shared" si="60"/>
        <v>1+0.00180662620854604i</v>
      </c>
      <c r="AX61" s="32">
        <f t="shared" si="86"/>
        <v>1.0000016319477971</v>
      </c>
      <c r="AY61" s="32">
        <f t="shared" si="87"/>
        <v>1.8066242430018445E-3</v>
      </c>
      <c r="AZ61" s="32" t="str">
        <f t="shared" si="61"/>
        <v>1+0.0269231369127227i</v>
      </c>
      <c r="BA61" s="32">
        <f t="shared" si="88"/>
        <v>1.0003623619975019</v>
      </c>
      <c r="BB61" s="32">
        <f t="shared" si="89"/>
        <v>2.6916634614251599E-2</v>
      </c>
      <c r="BC61" s="60" t="str">
        <f t="shared" si="90"/>
        <v>-0.323976399414134+12.8995687918875i</v>
      </c>
      <c r="BD61" s="51">
        <f t="shared" si="91"/>
        <v>22.214242427347472</v>
      </c>
      <c r="BE61" s="63">
        <f t="shared" si="92"/>
        <v>91.438697617802333</v>
      </c>
      <c r="BF61" s="60" t="str">
        <f t="shared" si="93"/>
        <v>27.2672327805494+468.991397818914i</v>
      </c>
      <c r="BG61" s="66">
        <f t="shared" si="94"/>
        <v>53.437953143623034</v>
      </c>
      <c r="BH61" s="63">
        <f t="shared" si="95"/>
        <v>86.672560321418061</v>
      </c>
      <c r="BI61" s="60" t="str">
        <f t="shared" si="101"/>
        <v>-5.51448519215668+544.062951801011i</v>
      </c>
      <c r="BJ61" s="66">
        <f t="shared" si="97"/>
        <v>54.713429211443668</v>
      </c>
      <c r="BK61" s="63">
        <f t="shared" si="102"/>
        <v>90.580715719660404</v>
      </c>
      <c r="BL61" s="51">
        <f t="shared" si="99"/>
        <v>53.437953143623034</v>
      </c>
      <c r="BM61" s="63">
        <f t="shared" si="100"/>
        <v>86.672560321418061</v>
      </c>
    </row>
    <row r="62" spans="1:65" x14ac:dyDescent="0.35">
      <c r="N62" s="11">
        <v>44</v>
      </c>
      <c r="O62" s="52">
        <f t="shared" si="62"/>
        <v>27.542287033381665</v>
      </c>
      <c r="P62" s="50" t="str">
        <f t="shared" si="50"/>
        <v>36.531007751938</v>
      </c>
      <c r="Q62" s="18" t="str">
        <f t="shared" si="51"/>
        <v>1+0.0845143990116187i</v>
      </c>
      <c r="R62" s="18">
        <f t="shared" si="63"/>
        <v>1.0035649872530901</v>
      </c>
      <c r="S62" s="18">
        <f t="shared" si="64"/>
        <v>8.4314037114482529E-2</v>
      </c>
      <c r="T62" s="18" t="str">
        <f t="shared" si="52"/>
        <v>1+0.0000346106586428534i</v>
      </c>
      <c r="U62" s="18">
        <f t="shared" si="65"/>
        <v>1.0000000005989489</v>
      </c>
      <c r="V62" s="18">
        <f t="shared" si="66"/>
        <v>3.4610658629033395E-5</v>
      </c>
      <c r="W62" s="32" t="str">
        <f t="shared" si="53"/>
        <v>1-0.000573431030769169i</v>
      </c>
      <c r="X62" s="18">
        <f t="shared" si="67"/>
        <v>1.0000001644115601</v>
      </c>
      <c r="Y62" s="18">
        <f t="shared" si="68"/>
        <v>-5.7343096791671606E-4</v>
      </c>
      <c r="Z62" s="32" t="str">
        <f t="shared" si="54"/>
        <v>0.99999998432691+0.000260572561524902i</v>
      </c>
      <c r="AA62" s="18">
        <f t="shared" si="69"/>
        <v>1.0000000182759397</v>
      </c>
      <c r="AB62" s="18">
        <f t="shared" si="70"/>
        <v>2.6057255971142211E-4</v>
      </c>
      <c r="AC62" s="68" t="str">
        <f t="shared" si="71"/>
        <v>36.2694720330025-3.09449525960698i</v>
      </c>
      <c r="AD62" s="66">
        <f t="shared" si="72"/>
        <v>31.222324311208787</v>
      </c>
      <c r="AE62" s="63">
        <f t="shared" si="73"/>
        <v>-4.8766403179357303</v>
      </c>
      <c r="AF62" s="51" t="str">
        <f t="shared" si="74"/>
        <v>42.1703962805665</v>
      </c>
      <c r="AG62" s="51" t="str">
        <f t="shared" si="55"/>
        <v>1+0.0152694082247883i</v>
      </c>
      <c r="AH62" s="51">
        <f t="shared" si="75"/>
        <v>1.0001165706194128</v>
      </c>
      <c r="AI62" s="51">
        <f t="shared" si="76"/>
        <v>1.5268221678692843E-2</v>
      </c>
      <c r="AJ62" s="51" t="str">
        <f t="shared" si="56"/>
        <v>1+0.0000346106586428534i</v>
      </c>
      <c r="AK62" s="51">
        <f t="shared" si="77"/>
        <v>1.0000000005989489</v>
      </c>
      <c r="AL62" s="51">
        <f t="shared" si="78"/>
        <v>3.4610658629033395E-5</v>
      </c>
      <c r="AM62" s="51" t="str">
        <f t="shared" si="57"/>
        <v>1-0.0000897480819106693i</v>
      </c>
      <c r="AN62" s="51">
        <f t="shared" si="79"/>
        <v>1.0000000040273591</v>
      </c>
      <c r="AO62" s="51">
        <f t="shared" si="80"/>
        <v>-8.974808166970413E-5</v>
      </c>
      <c r="AP62" s="60" t="str">
        <f t="shared" si="81"/>
        <v>42.1605309763054-0.646091525440132i</v>
      </c>
      <c r="AQ62" s="51">
        <f t="shared" si="82"/>
        <v>32.499141222746971</v>
      </c>
      <c r="AR62" s="63">
        <f t="shared" si="83"/>
        <v>-0.87796380449270561</v>
      </c>
      <c r="AS62" s="32" t="str">
        <f t="shared" si="58"/>
        <v>-0.000133283554228113</v>
      </c>
      <c r="AT62" s="32" t="str">
        <f t="shared" si="59"/>
        <v>0.0000105735562153917i</v>
      </c>
      <c r="AU62" s="32">
        <f t="shared" si="84"/>
        <v>1.0573556215391699E-5</v>
      </c>
      <c r="AV62" s="32">
        <f t="shared" si="85"/>
        <v>1.5707963267948966</v>
      </c>
      <c r="AW62" s="32" t="str">
        <f t="shared" si="60"/>
        <v>1+0.00184870793887592i</v>
      </c>
      <c r="AX62" s="32">
        <f t="shared" si="86"/>
        <v>1.0000017088590616</v>
      </c>
      <c r="AY62" s="32">
        <f t="shared" si="87"/>
        <v>1.8487058327575636E-3</v>
      </c>
      <c r="AZ62" s="32" t="str">
        <f t="shared" si="61"/>
        <v>1+0.0275502573330045i</v>
      </c>
      <c r="BA62" s="32">
        <f t="shared" si="88"/>
        <v>1.0003794363535841</v>
      </c>
      <c r="BB62" s="32">
        <f t="shared" si="89"/>
        <v>2.7543290137383429E-2</v>
      </c>
      <c r="BC62" s="60" t="str">
        <f t="shared" si="90"/>
        <v>-0.323976349579352+12.6059657142591i</v>
      </c>
      <c r="BD62" s="51">
        <f t="shared" si="91"/>
        <v>22.014390010292168</v>
      </c>
      <c r="BE62" s="63">
        <f t="shared" si="92"/>
        <v>91.472191236998157</v>
      </c>
      <c r="BF62" s="60" t="str">
        <f t="shared" si="93"/>
        <v>27.2586499951204+458.214264200307i</v>
      </c>
      <c r="BG62" s="66">
        <f t="shared" si="94"/>
        <v>53.236714321500962</v>
      </c>
      <c r="BH62" s="63">
        <f t="shared" si="95"/>
        <v>86.595550919062418</v>
      </c>
      <c r="BI62" s="60" t="str">
        <f t="shared" si="101"/>
        <v>-5.51440730405895+531.683526356171i</v>
      </c>
      <c r="BJ62" s="66">
        <f t="shared" si="97"/>
        <v>54.513531233039146</v>
      </c>
      <c r="BK62" s="63">
        <f t="shared" si="102"/>
        <v>90.594227432505434</v>
      </c>
      <c r="BL62" s="51">
        <f t="shared" si="99"/>
        <v>53.236714321500962</v>
      </c>
      <c r="BM62" s="63">
        <f t="shared" si="100"/>
        <v>86.595550919062418</v>
      </c>
    </row>
    <row r="63" spans="1:65" x14ac:dyDescent="0.35">
      <c r="N63" s="11">
        <v>45</v>
      </c>
      <c r="O63" s="52">
        <f t="shared" si="62"/>
        <v>28.183829312644548</v>
      </c>
      <c r="P63" s="50" t="str">
        <f t="shared" si="50"/>
        <v>36.531007751938</v>
      </c>
      <c r="Q63" s="18" t="str">
        <f t="shared" si="51"/>
        <v>1+0.0864829922554089i</v>
      </c>
      <c r="R63" s="18">
        <f t="shared" si="63"/>
        <v>1.0037326874967503</v>
      </c>
      <c r="S63" s="18">
        <f t="shared" si="64"/>
        <v>8.6268343711553772E-2</v>
      </c>
      <c r="T63" s="18" t="str">
        <f t="shared" si="52"/>
        <v>1+0.0000354168444474532i</v>
      </c>
      <c r="U63" s="18">
        <f t="shared" si="65"/>
        <v>1.0000000006271763</v>
      </c>
      <c r="V63" s="18">
        <f t="shared" si="66"/>
        <v>3.5416844432644795E-5</v>
      </c>
      <c r="W63" s="32" t="str">
        <f t="shared" si="53"/>
        <v>1-0.00058678795534242i</v>
      </c>
      <c r="X63" s="18">
        <f t="shared" si="67"/>
        <v>1.0000001721600373</v>
      </c>
      <c r="Y63" s="18">
        <f t="shared" si="68"/>
        <v>-5.8678788799480395E-4</v>
      </c>
      <c r="Z63" s="32" t="str">
        <f t="shared" si="54"/>
        <v>0.99999998358826+0.000266642076189078i</v>
      </c>
      <c r="AA63" s="18">
        <f t="shared" si="69"/>
        <v>1.0000000191372582</v>
      </c>
      <c r="AB63" s="18">
        <f t="shared" si="70"/>
        <v>2.6664207424589929E-4</v>
      </c>
      <c r="AC63" s="68" t="str">
        <f t="shared" si="71"/>
        <v>36.2572377383678-3.16551725533645i</v>
      </c>
      <c r="AD63" s="66">
        <f t="shared" si="72"/>
        <v>31.220873041130663</v>
      </c>
      <c r="AE63" s="63">
        <f t="shared" si="73"/>
        <v>-4.9896806994927259</v>
      </c>
      <c r="AF63" s="51" t="str">
        <f t="shared" si="74"/>
        <v>42.1703962805665</v>
      </c>
      <c r="AG63" s="51" t="str">
        <f t="shared" si="55"/>
        <v>1+0.0156250784327i</v>
      </c>
      <c r="AH63" s="51">
        <f t="shared" si="75"/>
        <v>1.0001220640881932</v>
      </c>
      <c r="AI63" s="51">
        <f t="shared" si="76"/>
        <v>1.5623807034032801E-2</v>
      </c>
      <c r="AJ63" s="51" t="str">
        <f t="shared" si="56"/>
        <v>1+0.0000354168444474532i</v>
      </c>
      <c r="AK63" s="51">
        <f t="shared" si="77"/>
        <v>1.0000000006271763</v>
      </c>
      <c r="AL63" s="51">
        <f t="shared" si="78"/>
        <v>3.5416844432644795E-5</v>
      </c>
      <c r="AM63" s="51" t="str">
        <f t="shared" si="57"/>
        <v>1-0.000091838583289827i</v>
      </c>
      <c r="AN63" s="51">
        <f t="shared" si="79"/>
        <v>1.0000000042171626</v>
      </c>
      <c r="AO63" s="51">
        <f t="shared" si="80"/>
        <v>-9.1838583031628168E-5</v>
      </c>
      <c r="AP63" s="60" t="str">
        <f t="shared" si="81"/>
        <v>42.160066152323-0.661133667443689i</v>
      </c>
      <c r="AQ63" s="51">
        <f t="shared" si="82"/>
        <v>32.499093514669831</v>
      </c>
      <c r="AR63" s="63">
        <f t="shared" si="83"/>
        <v>-0.8984109304714003</v>
      </c>
      <c r="AS63" s="32" t="str">
        <f t="shared" si="58"/>
        <v>-0.000133283554228113</v>
      </c>
      <c r="AT63" s="32" t="str">
        <f t="shared" si="59"/>
        <v>0.0000108198459786969i</v>
      </c>
      <c r="AU63" s="32">
        <f t="shared" si="84"/>
        <v>1.08198459786969E-5</v>
      </c>
      <c r="AV63" s="32">
        <f t="shared" si="85"/>
        <v>1.5707963267948966</v>
      </c>
      <c r="AW63" s="32" t="str">
        <f t="shared" si="60"/>
        <v>1+0.00189176987862552i</v>
      </c>
      <c r="AX63" s="32">
        <f t="shared" si="86"/>
        <v>1.0000017893950359</v>
      </c>
      <c r="AY63" s="32">
        <f t="shared" si="87"/>
        <v>1.8917676218792603E-3</v>
      </c>
      <c r="AZ63" s="32" t="str">
        <f t="shared" si="61"/>
        <v>1+0.028191985264395i</v>
      </c>
      <c r="BA63" s="32">
        <f t="shared" si="88"/>
        <v>1.0003973150869347</v>
      </c>
      <c r="BB63" s="32">
        <f t="shared" si="89"/>
        <v>2.8184519939909166E-2</v>
      </c>
      <c r="BC63" s="60" t="str">
        <f t="shared" si="90"/>
        <v>-0.323976297395948+12.3190464865036i</v>
      </c>
      <c r="BD63" s="51">
        <f t="shared" si="91"/>
        <v>21.814544543183136</v>
      </c>
      <c r="BE63" s="63">
        <f t="shared" si="92"/>
        <v>91.50646373960592</v>
      </c>
      <c r="BF63" s="60" t="str">
        <f t="shared" si="93"/>
        <v>27.249668586038+447.680149730892i</v>
      </c>
      <c r="BG63" s="66">
        <f t="shared" si="94"/>
        <v>53.035417584313791</v>
      </c>
      <c r="BH63" s="63">
        <f t="shared" si="95"/>
        <v>86.516783040113197</v>
      </c>
      <c r="BI63" s="60" t="str">
        <f t="shared" si="101"/>
        <v>-5.51432574696642+519.586006442196i</v>
      </c>
      <c r="BJ63" s="66">
        <f t="shared" si="97"/>
        <v>54.313638057852963</v>
      </c>
      <c r="BK63" s="63">
        <f t="shared" si="102"/>
        <v>90.60805280913452</v>
      </c>
      <c r="BL63" s="51">
        <f t="shared" si="99"/>
        <v>53.035417584313791</v>
      </c>
      <c r="BM63" s="63">
        <f t="shared" si="100"/>
        <v>86.516783040113197</v>
      </c>
    </row>
    <row r="64" spans="1:65" x14ac:dyDescent="0.35">
      <c r="N64" s="11">
        <v>46</v>
      </c>
      <c r="O64" s="52">
        <f t="shared" si="62"/>
        <v>28.840315031266066</v>
      </c>
      <c r="P64" s="50" t="str">
        <f t="shared" si="50"/>
        <v>36.531007751938</v>
      </c>
      <c r="Q64" s="18" t="str">
        <f t="shared" si="51"/>
        <v>1+0.0884974399264306i</v>
      </c>
      <c r="R64" s="18">
        <f t="shared" si="63"/>
        <v>1.0039082611840249</v>
      </c>
      <c r="S64" s="18">
        <f t="shared" si="64"/>
        <v>8.8267488199797572E-2</v>
      </c>
      <c r="T64" s="18" t="str">
        <f t="shared" si="52"/>
        <v>1+0.0000362418087317764i</v>
      </c>
      <c r="U64" s="18">
        <f t="shared" si="65"/>
        <v>1.0000000006567342</v>
      </c>
      <c r="V64" s="18">
        <f t="shared" si="66"/>
        <v>3.6241808715908904E-5</v>
      </c>
      <c r="W64" s="32" t="str">
        <f t="shared" si="53"/>
        <v>1-0.000600456002656651i</v>
      </c>
      <c r="X64" s="18">
        <f t="shared" si="67"/>
        <v>1.0000001802736893</v>
      </c>
      <c r="Y64" s="18">
        <f t="shared" si="68"/>
        <v>-6.0045593049238091E-4</v>
      </c>
      <c r="Z64" s="32" t="str">
        <f t="shared" si="54"/>
        <v>0.999999982814798+0.000272852968011474i</v>
      </c>
      <c r="AA64" s="18">
        <f t="shared" si="69"/>
        <v>1.000000020039169</v>
      </c>
      <c r="AB64" s="18">
        <f t="shared" si="70"/>
        <v>2.7285296592932066E-4</v>
      </c>
      <c r="AC64" s="68" t="str">
        <f t="shared" si="71"/>
        <v>36.2444356187343-3.23811866945506i</v>
      </c>
      <c r="AD64" s="66">
        <f t="shared" si="72"/>
        <v>31.219353894454059</v>
      </c>
      <c r="AE64" s="63">
        <f t="shared" si="73"/>
        <v>-5.1053149533640472</v>
      </c>
      <c r="AF64" s="51" t="str">
        <f t="shared" si="74"/>
        <v>42.1703962805665</v>
      </c>
      <c r="AG64" s="51" t="str">
        <f t="shared" si="55"/>
        <v>1+0.015989033264019i</v>
      </c>
      <c r="AH64" s="51">
        <f t="shared" si="75"/>
        <v>1.0001278164238399</v>
      </c>
      <c r="AI64" s="51">
        <f t="shared" si="76"/>
        <v>1.598767094520552E-2</v>
      </c>
      <c r="AJ64" s="51" t="str">
        <f t="shared" si="56"/>
        <v>1+0.0000362418087317764i</v>
      </c>
      <c r="AK64" s="51">
        <f t="shared" si="77"/>
        <v>1.0000000006567342</v>
      </c>
      <c r="AL64" s="51">
        <f t="shared" si="78"/>
        <v>3.6241808715908904E-5</v>
      </c>
      <c r="AM64" s="51" t="str">
        <f t="shared" si="57"/>
        <v>1-0.0000939777787014723i</v>
      </c>
      <c r="AN64" s="51">
        <f t="shared" si="79"/>
        <v>1.0000000044159114</v>
      </c>
      <c r="AO64" s="51">
        <f t="shared" si="80"/>
        <v>-9.3977778424807264E-5</v>
      </c>
      <c r="AP64" s="60" t="str">
        <f t="shared" si="81"/>
        <v>42.1595794328072-0.67652566668147i</v>
      </c>
      <c r="AQ64" s="51">
        <f t="shared" si="82"/>
        <v>32.499043558742059</v>
      </c>
      <c r="AR64" s="63">
        <f t="shared" si="83"/>
        <v>-0.91933409679462208</v>
      </c>
      <c r="AS64" s="32" t="str">
        <f t="shared" si="58"/>
        <v>-0.000133283554228113</v>
      </c>
      <c r="AT64" s="32" t="str">
        <f t="shared" si="59"/>
        <v>0.0000110718725675577i</v>
      </c>
      <c r="AU64" s="32">
        <f t="shared" si="84"/>
        <v>1.1071872567557701E-5</v>
      </c>
      <c r="AV64" s="32">
        <f t="shared" si="85"/>
        <v>1.5707963267948966</v>
      </c>
      <c r="AW64" s="32" t="str">
        <f t="shared" si="60"/>
        <v>1+0.00193583485980531i</v>
      </c>
      <c r="AX64" s="32">
        <f t="shared" si="86"/>
        <v>1.0000018737265468</v>
      </c>
      <c r="AY64" s="32">
        <f t="shared" si="87"/>
        <v>1.9358324416583704E-3</v>
      </c>
      <c r="AZ64" s="32" t="str">
        <f t="shared" si="61"/>
        <v>1+0.0288486609595377i</v>
      </c>
      <c r="BA64" s="32">
        <f t="shared" si="88"/>
        <v>1.0004160360765706</v>
      </c>
      <c r="BB64" s="32">
        <f t="shared" si="89"/>
        <v>2.8840661899885649E-2</v>
      </c>
      <c r="BC64" s="60" t="str">
        <f t="shared" si="90"/>
        <v>-0.32397624275323+12.0386589802476i</v>
      </c>
      <c r="BD64" s="51">
        <f t="shared" si="91"/>
        <v>21.614706353038109</v>
      </c>
      <c r="BE64" s="63">
        <f t="shared" si="92"/>
        <v>91.541533176475667</v>
      </c>
      <c r="BF64" s="60" t="str">
        <f t="shared" si="93"/>
        <v>27.2402703266737+437.383473865601i</v>
      </c>
      <c r="BG64" s="66">
        <f t="shared" si="94"/>
        <v>52.834060247492175</v>
      </c>
      <c r="BH64" s="63">
        <f t="shared" si="95"/>
        <v>86.436218223111624</v>
      </c>
      <c r="BI64" s="60" t="str">
        <f t="shared" si="101"/>
        <v>-5.51424034813435+507.763977785844i</v>
      </c>
      <c r="BJ64" s="66">
        <f t="shared" si="97"/>
        <v>54.113749911780161</v>
      </c>
      <c r="BK64" s="63">
        <f t="shared" si="102"/>
        <v>90.622199079681039</v>
      </c>
      <c r="BL64" s="51">
        <f t="shared" si="99"/>
        <v>52.834060247492175</v>
      </c>
      <c r="BM64" s="63">
        <f t="shared" si="100"/>
        <v>86.436218223111624</v>
      </c>
    </row>
    <row r="65" spans="1:65" x14ac:dyDescent="0.35">
      <c r="A65" s="70" t="s">
        <v>474</v>
      </c>
      <c r="N65" s="11">
        <v>47</v>
      </c>
      <c r="O65" s="52">
        <f t="shared" si="62"/>
        <v>29.512092266663863</v>
      </c>
      <c r="P65" s="50" t="str">
        <f t="shared" si="50"/>
        <v>36.531007751938</v>
      </c>
      <c r="Q65" s="18" t="str">
        <f t="shared" si="51"/>
        <v>1+0.0905588101115034i</v>
      </c>
      <c r="R65" s="18">
        <f t="shared" si="63"/>
        <v>1.0040920764993673</v>
      </c>
      <c r="S65" s="18">
        <f t="shared" si="64"/>
        <v>9.0312466598734889E-2</v>
      </c>
      <c r="T65" s="18" t="str">
        <f t="shared" si="52"/>
        <v>1+0.0000370859889028062i</v>
      </c>
      <c r="U65" s="18">
        <f t="shared" si="65"/>
        <v>1.0000000006876852</v>
      </c>
      <c r="V65" s="18">
        <f t="shared" si="66"/>
        <v>3.7085988885803879E-5</v>
      </c>
      <c r="W65" s="32" t="str">
        <f t="shared" si="53"/>
        <v>1-0.000614442419691464i</v>
      </c>
      <c r="X65" s="18">
        <f t="shared" si="67"/>
        <v>1.0000001887697256</v>
      </c>
      <c r="Y65" s="18">
        <f t="shared" si="68"/>
        <v>-6.1444234236605617E-4</v>
      </c>
      <c r="Z65" s="32" t="str">
        <f t="shared" si="54"/>
        <v>0.999999982004884+0.000279208530089146i</v>
      </c>
      <c r="AA65" s="18">
        <f t="shared" si="69"/>
        <v>1.0000000209835855</v>
      </c>
      <c r="AB65" s="18">
        <f t="shared" si="70"/>
        <v>2.7920852785807862E-4</v>
      </c>
      <c r="AC65" s="68" t="str">
        <f t="shared" si="71"/>
        <v>36.2310397483584-3.31233102847946i</v>
      </c>
      <c r="AD65" s="66">
        <f t="shared" si="72"/>
        <v>31.217763721989932</v>
      </c>
      <c r="AE65" s="63">
        <f t="shared" si="73"/>
        <v>-5.2236007261035295</v>
      </c>
      <c r="AF65" s="51" t="str">
        <f t="shared" si="74"/>
        <v>42.1703962805665</v>
      </c>
      <c r="AG65" s="51" t="str">
        <f t="shared" si="55"/>
        <v>1+0.0163614656924145i</v>
      </c>
      <c r="AH65" s="51">
        <f t="shared" si="75"/>
        <v>1.0001338398232529</v>
      </c>
      <c r="AI65" s="51">
        <f t="shared" si="76"/>
        <v>1.6360005952056219E-2</v>
      </c>
      <c r="AJ65" s="51" t="str">
        <f t="shared" si="56"/>
        <v>1+0.0000370859889028062i</v>
      </c>
      <c r="AK65" s="51">
        <f t="shared" si="77"/>
        <v>1.0000000006876852</v>
      </c>
      <c r="AL65" s="51">
        <f t="shared" si="78"/>
        <v>3.7085988885803879E-5</v>
      </c>
      <c r="AM65" s="51" t="str">
        <f t="shared" si="57"/>
        <v>1-0.0000961668023753281i</v>
      </c>
      <c r="AN65" s="51">
        <f t="shared" si="79"/>
        <v>1.0000000046240269</v>
      </c>
      <c r="AO65" s="51">
        <f t="shared" si="80"/>
        <v>-9.6166802078876177E-5</v>
      </c>
      <c r="AP65" s="60" t="str">
        <f t="shared" si="81"/>
        <v>42.1590697869087-0.69227563525933i</v>
      </c>
      <c r="AQ65" s="51">
        <f t="shared" si="82"/>
        <v>32.498991249079843</v>
      </c>
      <c r="AR65" s="63">
        <f t="shared" si="83"/>
        <v>-0.94074437510789155</v>
      </c>
      <c r="AS65" s="32" t="str">
        <f t="shared" si="58"/>
        <v>-0.000133283554228113</v>
      </c>
      <c r="AT65" s="32" t="str">
        <f t="shared" si="59"/>
        <v>0.0000113297696098073i</v>
      </c>
      <c r="AU65" s="32">
        <f t="shared" si="84"/>
        <v>1.1329769609807299E-5</v>
      </c>
      <c r="AV65" s="32">
        <f t="shared" si="85"/>
        <v>1.5707963267948966</v>
      </c>
      <c r="AW65" s="32" t="str">
        <f t="shared" si="60"/>
        <v>1+0.00198092624625157i</v>
      </c>
      <c r="AX65" s="32">
        <f t="shared" si="86"/>
        <v>1.0000019620324718</v>
      </c>
      <c r="AY65" s="32">
        <f t="shared" si="87"/>
        <v>1.9809236551607159E-3</v>
      </c>
      <c r="AZ65" s="32" t="str">
        <f t="shared" si="61"/>
        <v>1+0.0295206325965782i</v>
      </c>
      <c r="BA65" s="32">
        <f t="shared" si="88"/>
        <v>1.000435638983789</v>
      </c>
      <c r="BB65" s="32">
        <f t="shared" si="89"/>
        <v>2.9512061651301779E-2</v>
      </c>
      <c r="BC65" s="60" t="str">
        <f t="shared" si="90"/>
        <v>-0.3239761855353+11.7646545303235i</v>
      </c>
      <c r="BD65" s="51">
        <f t="shared" si="91"/>
        <v>21.414875782236788</v>
      </c>
      <c r="BE65" s="63">
        <f t="shared" si="92"/>
        <v>91.57741801237114</v>
      </c>
      <c r="BF65" s="60" t="str">
        <f t="shared" si="93"/>
        <v>27.230436184481+427.318782285692i</v>
      </c>
      <c r="BG65" s="66">
        <f t="shared" si="94"/>
        <v>52.632639504226717</v>
      </c>
      <c r="BH65" s="63">
        <f t="shared" si="95"/>
        <v>86.353817286267613</v>
      </c>
      <c r="BI65" s="60" t="str">
        <f t="shared" si="101"/>
        <v>-5.51415092669294+496.21117218243i</v>
      </c>
      <c r="BJ65" s="66">
        <f t="shared" si="97"/>
        <v>53.913867031316627</v>
      </c>
      <c r="BK65" s="63">
        <f t="shared" si="102"/>
        <v>90.636673637263243</v>
      </c>
      <c r="BL65" s="51">
        <f t="shared" si="99"/>
        <v>52.632639504226717</v>
      </c>
      <c r="BM65" s="63">
        <f t="shared" si="100"/>
        <v>86.353817286267613</v>
      </c>
    </row>
    <row r="66" spans="1:65" x14ac:dyDescent="0.35">
      <c r="A66" t="s">
        <v>502</v>
      </c>
      <c r="B66">
        <f>SQRT((2*IOUT*Lm*Fsw*(VOUT-VIN_var)/(VIN_var^2)))</f>
        <v>0.45638144535973307</v>
      </c>
      <c r="E66" t="s">
        <v>503</v>
      </c>
      <c r="N66" s="11">
        <v>48</v>
      </c>
      <c r="O66" s="52">
        <f t="shared" si="62"/>
        <v>30.199517204020164</v>
      </c>
      <c r="P66" s="50" t="str">
        <f t="shared" si="50"/>
        <v>36.531007751938</v>
      </c>
      <c r="Q66" s="18" t="str">
        <f t="shared" si="51"/>
        <v>1+0.0926681957763849i</v>
      </c>
      <c r="R66" s="18">
        <f t="shared" si="63"/>
        <v>1.0042845187039628</v>
      </c>
      <c r="S66" s="18">
        <f t="shared" si="64"/>
        <v>9.2404294729347219E-2</v>
      </c>
      <c r="T66" s="18" t="str">
        <f t="shared" si="52"/>
        <v>1+0.0000379498325560434i</v>
      </c>
      <c r="U66" s="18">
        <f t="shared" si="65"/>
        <v>1.0000000007200949</v>
      </c>
      <c r="V66" s="18">
        <f t="shared" si="66"/>
        <v>3.7949832537825076E-5</v>
      </c>
      <c r="W66" s="32" t="str">
        <f t="shared" si="53"/>
        <v>1-0.000628754622230305i</v>
      </c>
      <c r="X66" s="18">
        <f t="shared" si="67"/>
        <v>1.0000001976661681</v>
      </c>
      <c r="Y66" s="18">
        <f t="shared" si="68"/>
        <v>-6.2875453937463863E-4</v>
      </c>
      <c r="Z66" s="32" t="str">
        <f t="shared" si="54"/>
        <v>0.999999981156801+0.000285712132225234i</v>
      </c>
      <c r="AA66" s="18">
        <f t="shared" si="69"/>
        <v>1.0000000219725123</v>
      </c>
      <c r="AB66" s="18">
        <f t="shared" si="70"/>
        <v>2.8571212983460203E-4</v>
      </c>
      <c r="AC66" s="68" t="str">
        <f t="shared" si="71"/>
        <v>36.2170230587379-3.38818622814882i</v>
      </c>
      <c r="AD66" s="66">
        <f t="shared" si="72"/>
        <v>31.216099230872278</v>
      </c>
      <c r="AE66" s="63">
        <f t="shared" si="73"/>
        <v>-5.3445968122879774</v>
      </c>
      <c r="AF66" s="51" t="str">
        <f t="shared" si="74"/>
        <v>42.1703962805665</v>
      </c>
      <c r="AG66" s="51" t="str">
        <f t="shared" si="55"/>
        <v>1+0.0167425731864898i</v>
      </c>
      <c r="AH66" s="51">
        <f t="shared" si="75"/>
        <v>1.0001401470578535</v>
      </c>
      <c r="AI66" s="51">
        <f t="shared" si="76"/>
        <v>1.6741009058352633E-2</v>
      </c>
      <c r="AJ66" s="51" t="str">
        <f t="shared" si="56"/>
        <v>1+0.0000379498325560434i</v>
      </c>
      <c r="AK66" s="51">
        <f t="shared" si="77"/>
        <v>1.0000000007200949</v>
      </c>
      <c r="AL66" s="51">
        <f t="shared" si="78"/>
        <v>3.7949832537825076E-5</v>
      </c>
      <c r="AM66" s="51" t="str">
        <f t="shared" si="57"/>
        <v>1-0.0000984068149607214i</v>
      </c>
      <c r="AN66" s="51">
        <f t="shared" si="79"/>
        <v>1.0000000048419506</v>
      </c>
      <c r="AO66" s="51">
        <f t="shared" si="80"/>
        <v>-9.8406814643067447E-5</v>
      </c>
      <c r="AP66" s="60" t="str">
        <f t="shared" si="81"/>
        <v>42.158536135298-0.708391871586435i</v>
      </c>
      <c r="AQ66" s="51">
        <f t="shared" si="82"/>
        <v>32.498936474814563</v>
      </c>
      <c r="AR66" s="63">
        <f t="shared" si="83"/>
        <v>-0.96265309375061581</v>
      </c>
      <c r="AS66" s="32" t="str">
        <f t="shared" si="58"/>
        <v>-0.000133283554228113</v>
      </c>
      <c r="AT66" s="32" t="str">
        <f t="shared" si="59"/>
        <v>0.0000115936738458712i</v>
      </c>
      <c r="AU66" s="32">
        <f t="shared" si="84"/>
        <v>1.1593673845871199E-5</v>
      </c>
      <c r="AV66" s="32">
        <f t="shared" si="85"/>
        <v>1.5707963267948966</v>
      </c>
      <c r="AW66" s="32" t="str">
        <f t="shared" si="60"/>
        <v>1+0.00202706794601425i</v>
      </c>
      <c r="AX66" s="32">
        <f t="shared" si="86"/>
        <v>1.0000020545001185</v>
      </c>
      <c r="AY66" s="32">
        <f t="shared" si="87"/>
        <v>2.0270651696106864E-3</v>
      </c>
      <c r="AZ66" s="32" t="str">
        <f t="shared" si="61"/>
        <v>1+0.0302082564637733i</v>
      </c>
      <c r="BA66" s="32">
        <f t="shared" si="88"/>
        <v>1.0004561653358837</v>
      </c>
      <c r="BB66" s="32">
        <f t="shared" si="89"/>
        <v>3.0199072756591609E-2</v>
      </c>
      <c r="BC66" s="60" t="str">
        <f t="shared" si="90"/>
        <v>-0.323976125620797+11.4968878559444i</v>
      </c>
      <c r="BD66" s="51">
        <f t="shared" si="91"/>
        <v>21.215053189239352</v>
      </c>
      <c r="BE66" s="63">
        <f t="shared" si="92"/>
        <v>91.614137135144546</v>
      </c>
      <c r="BF66" s="60" t="str">
        <f t="shared" si="93"/>
        <v>27.2201462879933+417.480744029539i</v>
      </c>
      <c r="BG66" s="66">
        <f t="shared" si="94"/>
        <v>52.43115242011163</v>
      </c>
      <c r="BH66" s="63">
        <f t="shared" si="95"/>
        <v>86.269540322856557</v>
      </c>
      <c r="BI66" s="60" t="str">
        <f t="shared" si="101"/>
        <v>-5.5140572932664+484.921464172279i</v>
      </c>
      <c r="BJ66" s="66">
        <f t="shared" si="97"/>
        <v>53.713989664053926</v>
      </c>
      <c r="BK66" s="63">
        <f t="shared" si="102"/>
        <v>90.651484041393928</v>
      </c>
      <c r="BL66" s="51">
        <f t="shared" si="99"/>
        <v>52.43115242011163</v>
      </c>
      <c r="BM66" s="63">
        <f t="shared" si="100"/>
        <v>86.269540322856557</v>
      </c>
    </row>
    <row r="67" spans="1:65" x14ac:dyDescent="0.35">
      <c r="A67" s="32" t="s">
        <v>476</v>
      </c>
      <c r="B67" s="32">
        <f>(Fsw*Gcomp)/((R_cs*Acs*(VIN_var/Lm))+((R_sl+Rsl_int)*Isl))</f>
        <v>5.4529728150100105</v>
      </c>
      <c r="C67" s="32" t="s">
        <v>147</v>
      </c>
      <c r="E67" t="s">
        <v>501</v>
      </c>
      <c r="N67" s="11">
        <v>49</v>
      </c>
      <c r="O67" s="52">
        <f t="shared" si="62"/>
        <v>30.902954325135919</v>
      </c>
      <c r="P67" s="50" t="str">
        <f t="shared" si="50"/>
        <v>36.531007751938</v>
      </c>
      <c r="Q67" s="18" t="str">
        <f t="shared" si="51"/>
        <v>1+0.0948267153452756i</v>
      </c>
      <c r="R67" s="18">
        <f t="shared" si="63"/>
        <v>1.0044859909143451</v>
      </c>
      <c r="S67" s="18">
        <f t="shared" si="64"/>
        <v>9.4544008439682081E-2</v>
      </c>
      <c r="T67" s="18" t="str">
        <f t="shared" si="52"/>
        <v>1+0.0000388337977128272i</v>
      </c>
      <c r="U67" s="18">
        <f t="shared" si="65"/>
        <v>1.0000000007540319</v>
      </c>
      <c r="V67" s="18">
        <f t="shared" si="66"/>
        <v>3.8833797693305919E-5</v>
      </c>
      <c r="W67" s="32" t="str">
        <f t="shared" si="53"/>
        <v>1-0.000643400198792404i</v>
      </c>
      <c r="X67" s="18">
        <f t="shared" si="67"/>
        <v>1.0000002069818865</v>
      </c>
      <c r="Y67" s="18">
        <f t="shared" si="68"/>
        <v>-6.4340011001095892E-4</v>
      </c>
      <c r="Z67" s="32" t="str">
        <f t="shared" si="54"/>
        <v>0.999999980268748+0.000292367222715673i</v>
      </c>
      <c r="AA67" s="18">
        <f t="shared" si="69"/>
        <v>1.0000000230080444</v>
      </c>
      <c r="AB67" s="18">
        <f t="shared" si="70"/>
        <v>2.9236722015406482E-4</v>
      </c>
      <c r="AC67" s="68" t="str">
        <f t="shared" si="71"/>
        <v>36.202357292171-3.46571651725983i</v>
      </c>
      <c r="AD67" s="66">
        <f t="shared" si="72"/>
        <v>31.214356978235859</v>
      </c>
      <c r="AE67" s="63">
        <f t="shared" si="73"/>
        <v>-5.4683631677574116</v>
      </c>
      <c r="AF67" s="51" t="str">
        <f t="shared" si="74"/>
        <v>42.1703962805665</v>
      </c>
      <c r="AG67" s="51" t="str">
        <f t="shared" si="55"/>
        <v>1+0.0171325578144826i</v>
      </c>
      <c r="AH67" s="51">
        <f t="shared" si="75"/>
        <v>1.0001467515006319</v>
      </c>
      <c r="AI67" s="51">
        <f t="shared" si="76"/>
        <v>1.7130881834269258E-2</v>
      </c>
      <c r="AJ67" s="51" t="str">
        <f t="shared" si="56"/>
        <v>1+0.0000388337977128272i</v>
      </c>
      <c r="AK67" s="51">
        <f t="shared" si="77"/>
        <v>1.0000000007540319</v>
      </c>
      <c r="AL67" s="51">
        <f t="shared" si="78"/>
        <v>3.8833797693305919E-5</v>
      </c>
      <c r="AM67" s="51" t="str">
        <f t="shared" si="57"/>
        <v>1-0.000100699004141975i</v>
      </c>
      <c r="AN67" s="51">
        <f t="shared" si="79"/>
        <v>1.0000000050701447</v>
      </c>
      <c r="AO67" s="51">
        <f t="shared" si="80"/>
        <v>-1.0069900380160266E-4</v>
      </c>
      <c r="AP67" s="60" t="str">
        <f t="shared" si="81"/>
        <v>42.1579773478897-0.724882864525464i</v>
      </c>
      <c r="AQ67" s="51">
        <f t="shared" si="82"/>
        <v>32.498879119858174</v>
      </c>
      <c r="AR67" s="63">
        <f t="shared" si="83"/>
        <v>-0.98507184364967071</v>
      </c>
      <c r="AS67" s="32" t="str">
        <f t="shared" si="58"/>
        <v>-0.000133283554228113</v>
      </c>
      <c r="AT67" s="32" t="str">
        <f t="shared" si="59"/>
        <v>0.0000118637252012687i</v>
      </c>
      <c r="AU67" s="32">
        <f t="shared" si="84"/>
        <v>1.1863725201268701E-5</v>
      </c>
      <c r="AV67" s="32">
        <f t="shared" si="85"/>
        <v>1.5707963267948966</v>
      </c>
      <c r="AW67" s="32" t="str">
        <f t="shared" si="60"/>
        <v>1+0.00207428442403332i</v>
      </c>
      <c r="AX67" s="32">
        <f t="shared" si="86"/>
        <v>1.0000021513256219</v>
      </c>
      <c r="AY67" s="32">
        <f t="shared" si="87"/>
        <v>2.0742814490636481E-3</v>
      </c>
      <c r="AZ67" s="32" t="str">
        <f t="shared" si="61"/>
        <v>1+0.030911897148399i</v>
      </c>
      <c r="BA67" s="32">
        <f t="shared" si="88"/>
        <v>1.0004776586137809</v>
      </c>
      <c r="BB67" s="32">
        <f t="shared" si="89"/>
        <v>3.0902056882585075E-2</v>
      </c>
      <c r="BC67" s="60" t="str">
        <f t="shared" si="90"/>
        <v>-0.323976062882631+11.2352169836743i</v>
      </c>
      <c r="BD67" s="51">
        <f t="shared" si="91"/>
        <v>21.015238949338965</v>
      </c>
      <c r="BE67" s="63">
        <f t="shared" si="92"/>
        <v>91.651709865091689</v>
      </c>
      <c r="BF67" s="60" t="str">
        <f t="shared" si="93"/>
        <v>27.2093798927303+407.864148690374i</v>
      </c>
      <c r="BG67" s="66">
        <f t="shared" si="94"/>
        <v>52.229595927574827</v>
      </c>
      <c r="BH67" s="63">
        <f t="shared" si="95"/>
        <v>86.183346697334287</v>
      </c>
      <c r="BI67" s="60" t="str">
        <f t="shared" si="101"/>
        <v>-5.51395924957347+473.888867792867i</v>
      </c>
      <c r="BJ67" s="66">
        <f t="shared" si="97"/>
        <v>53.514118069197146</v>
      </c>
      <c r="BK67" s="63">
        <f t="shared" si="102"/>
        <v>90.666638021442026</v>
      </c>
      <c r="BL67" s="51">
        <f t="shared" si="99"/>
        <v>52.229595927574827</v>
      </c>
      <c r="BM67" s="63">
        <f t="shared" si="100"/>
        <v>86.183346697334287</v>
      </c>
    </row>
    <row r="68" spans="1:65" x14ac:dyDescent="0.35">
      <c r="A68" s="32" t="s">
        <v>475</v>
      </c>
      <c r="B68" s="32">
        <f>(B67*2*VOUT/DC_VIN_var_DCM)*(((VOUT/VIN_var)-1)/((2*VOUT/VIN_var)-1))</f>
        <v>42.17039628056655</v>
      </c>
      <c r="C68" s="32" t="s">
        <v>147</v>
      </c>
      <c r="N68" s="11">
        <v>50</v>
      </c>
      <c r="O68" s="52">
        <f t="shared" si="62"/>
        <v>31.622776601683803</v>
      </c>
      <c r="P68" s="50" t="str">
        <f t="shared" si="50"/>
        <v>36.531007751938</v>
      </c>
      <c r="Q68" s="18" t="str">
        <f t="shared" si="51"/>
        <v>1+0.0970355132938223i</v>
      </c>
      <c r="R68" s="18">
        <f t="shared" si="63"/>
        <v>1.0046969149152374</v>
      </c>
      <c r="S68" s="18">
        <f t="shared" si="64"/>
        <v>9.6732663819752332E-2</v>
      </c>
      <c r="T68" s="18" t="str">
        <f t="shared" si="52"/>
        <v>1+0.0000397383530631844i</v>
      </c>
      <c r="U68" s="18">
        <f t="shared" si="65"/>
        <v>1.0000000007895682</v>
      </c>
      <c r="V68" s="18">
        <f t="shared" si="66"/>
        <v>3.9738353042266968E-5</v>
      </c>
      <c r="W68" s="32" t="str">
        <f t="shared" si="53"/>
        <v>1-0.00065838691465631i</v>
      </c>
      <c r="X68" s="18">
        <f t="shared" si="67"/>
        <v>1.0000002167366413</v>
      </c>
      <c r="Y68" s="18">
        <f t="shared" si="68"/>
        <v>-6.5838681952527876E-4</v>
      </c>
      <c r="Z68" s="32" t="str">
        <f t="shared" si="54"/>
        <v>0.999999979338843+0.000299177330177535i</v>
      </c>
      <c r="AA68" s="18">
        <f t="shared" si="69"/>
        <v>1.0000000240923803</v>
      </c>
      <c r="AB68" s="18">
        <f t="shared" si="70"/>
        <v>2.9917732743272229E-4</v>
      </c>
      <c r="AC68" s="68" t="str">
        <f t="shared" si="71"/>
        <v>36.1870129538089-3.54495447951366i</v>
      </c>
      <c r="AD68" s="66">
        <f t="shared" si="72"/>
        <v>31.212533364637505</v>
      </c>
      <c r="AE68" s="63">
        <f t="shared" si="73"/>
        <v>-5.5949609222492604</v>
      </c>
      <c r="AF68" s="51" t="str">
        <f t="shared" si="74"/>
        <v>42.1703962805665</v>
      </c>
      <c r="AG68" s="51" t="str">
        <f t="shared" si="55"/>
        <v>1+0.0175316263514049i</v>
      </c>
      <c r="AH68" s="51">
        <f t="shared" si="75"/>
        <v>1.0001536671544655</v>
      </c>
      <c r="AI68" s="51">
        <f t="shared" si="76"/>
        <v>1.7529830521152909E-2</v>
      </c>
      <c r="AJ68" s="51" t="str">
        <f t="shared" si="56"/>
        <v>1+0.0000397383530631844i</v>
      </c>
      <c r="AK68" s="51">
        <f t="shared" si="77"/>
        <v>1.0000000007895682</v>
      </c>
      <c r="AL68" s="51">
        <f t="shared" si="78"/>
        <v>3.9738353042266968E-5</v>
      </c>
      <c r="AM68" s="51" t="str">
        <f t="shared" si="57"/>
        <v>1-0.000103044585268134i</v>
      </c>
      <c r="AN68" s="51">
        <f t="shared" si="79"/>
        <v>1.0000000053090932</v>
      </c>
      <c r="AO68" s="51">
        <f t="shared" si="80"/>
        <v>-1.0304458490341846E-4</v>
      </c>
      <c r="AP68" s="60" t="str">
        <f t="shared" si="81"/>
        <v>42.1573922414614-0.741757297626029i</v>
      </c>
      <c r="AQ68" s="51">
        <f t="shared" si="82"/>
        <v>32.498819062657859</v>
      </c>
      <c r="AR68" s="63">
        <f t="shared" si="83"/>
        <v>-1.0080124843441982</v>
      </c>
      <c r="AS68" s="32" t="str">
        <f t="shared" si="58"/>
        <v>-0.000133283554228113</v>
      </c>
      <c r="AT68" s="32" t="str">
        <f t="shared" si="59"/>
        <v>0.0000121400668608028i</v>
      </c>
      <c r="AU68" s="32">
        <f t="shared" si="84"/>
        <v>1.2140066860802801E-5</v>
      </c>
      <c r="AV68" s="32">
        <f t="shared" si="85"/>
        <v>1.5707963267948966</v>
      </c>
      <c r="AW68" s="32" t="str">
        <f t="shared" si="60"/>
        <v>1+0.00212260071511042i</v>
      </c>
      <c r="AX68" s="32">
        <f t="shared" si="86"/>
        <v>1.0000022527143606</v>
      </c>
      <c r="AY68" s="32">
        <f t="shared" si="87"/>
        <v>2.1225975273733719E-3</v>
      </c>
      <c r="AZ68" s="32" t="str">
        <f t="shared" si="61"/>
        <v>1+0.0316319277300601i</v>
      </c>
      <c r="BA68" s="32">
        <f t="shared" si="88"/>
        <v>1.0005001643437745</v>
      </c>
      <c r="BB68" s="32">
        <f t="shared" si="89"/>
        <v>3.1621383979937953E-2</v>
      </c>
      <c r="BC68" s="60" t="str">
        <f t="shared" si="90"/>
        <v>-0.323975997187734+10.9795031721524i</v>
      </c>
      <c r="BD68" s="51">
        <f t="shared" si="91"/>
        <v>20.815433455449664</v>
      </c>
      <c r="BE68" s="63">
        <f t="shared" si="92"/>
        <v>91.690155964489634</v>
      </c>
      <c r="BF68" s="60" t="str">
        <f t="shared" si="93"/>
        <v>27.1981153460004+398.46390367955i</v>
      </c>
      <c r="BG68" s="66">
        <f t="shared" si="94"/>
        <v>52.027966820087158</v>
      </c>
      <c r="BH68" s="63">
        <f t="shared" si="95"/>
        <v>86.095195042240377</v>
      </c>
      <c r="BI68" s="60" t="str">
        <f t="shared" si="101"/>
        <v>-5.51385658800972+463.107533404968i</v>
      </c>
      <c r="BJ68" s="66">
        <f t="shared" si="97"/>
        <v>53.314252518107523</v>
      </c>
      <c r="BK68" s="63">
        <f t="shared" si="102"/>
        <v>90.682143480145442</v>
      </c>
      <c r="BL68" s="51">
        <f t="shared" si="99"/>
        <v>52.027966820087158</v>
      </c>
      <c r="BM68" s="63">
        <f t="shared" si="100"/>
        <v>86.095195042240377</v>
      </c>
    </row>
    <row r="69" spans="1:65" x14ac:dyDescent="0.35">
      <c r="A69" s="32" t="s">
        <v>505</v>
      </c>
      <c r="B69" s="32">
        <f>(IOUT_VAR*((2*VOUT)-VIN_var))/(Cout*VOUT*(VOUT-VIN_var))</f>
        <v>11333.333333333334</v>
      </c>
      <c r="C69" s="32" t="s">
        <v>392</v>
      </c>
      <c r="N69" s="11">
        <v>51</v>
      </c>
      <c r="O69" s="52">
        <f t="shared" si="62"/>
        <v>32.359365692962832</v>
      </c>
      <c r="P69" s="50" t="str">
        <f t="shared" si="50"/>
        <v>36.531007751938</v>
      </c>
      <c r="Q69" s="18" t="str">
        <f t="shared" si="51"/>
        <v>1+0.0992957607559342i</v>
      </c>
      <c r="R69" s="18">
        <f t="shared" si="63"/>
        <v>1.0049177320079987</v>
      </c>
      <c r="S69" s="18">
        <f t="shared" si="64"/>
        <v>9.8971337404443513E-2</v>
      </c>
      <c r="T69" s="18" t="str">
        <f t="shared" si="52"/>
        <v>1+0.000040663978214335i</v>
      </c>
      <c r="U69" s="18">
        <f t="shared" si="65"/>
        <v>1.0000000008267795</v>
      </c>
      <c r="V69" s="18">
        <f t="shared" si="66"/>
        <v>4.0663978191921568E-5</v>
      </c>
      <c r="W69" s="32" t="str">
        <f t="shared" si="53"/>
        <v>1-0.000673722715977148i</v>
      </c>
      <c r="X69" s="18">
        <f t="shared" si="67"/>
        <v>1.0000002269511232</v>
      </c>
      <c r="Y69" s="18">
        <f t="shared" si="68"/>
        <v>-6.737226140424127E-4</v>
      </c>
      <c r="Z69" s="32" t="str">
        <f t="shared" si="54"/>
        <v>0.999999978365113+0.000306146065419936i</v>
      </c>
      <c r="AA69" s="18">
        <f t="shared" si="69"/>
        <v>1.0000000252278196</v>
      </c>
      <c r="AB69" s="18">
        <f t="shared" si="70"/>
        <v>3.061460624788161E-4</v>
      </c>
      <c r="AC69" s="68" t="str">
        <f t="shared" si="71"/>
        <v>36.1709592621947-3.62593301323217i</v>
      </c>
      <c r="AD69" s="66">
        <f t="shared" si="72"/>
        <v>31.210624627213473</v>
      </c>
      <c r="AE69" s="63">
        <f t="shared" si="73"/>
        <v>-5.7244523913529894</v>
      </c>
      <c r="AF69" s="51" t="str">
        <f t="shared" si="74"/>
        <v>42.1703962805665</v>
      </c>
      <c r="AG69" s="51" t="str">
        <f t="shared" si="55"/>
        <v>1+0.0179399903886773i</v>
      </c>
      <c r="AH69" s="51">
        <f t="shared" si="75"/>
        <v>1.0001609086817709</v>
      </c>
      <c r="AI69" s="51">
        <f t="shared" si="76"/>
        <v>1.793806613861312E-2</v>
      </c>
      <c r="AJ69" s="51" t="str">
        <f t="shared" si="56"/>
        <v>1+0.000040663978214335i</v>
      </c>
      <c r="AK69" s="51">
        <f t="shared" si="77"/>
        <v>1.0000000008267795</v>
      </c>
      <c r="AL69" s="51">
        <f t="shared" si="78"/>
        <v>4.0663978191921568E-5</v>
      </c>
      <c r="AM69" s="51" t="str">
        <f t="shared" si="57"/>
        <v>1-0.000105444801997358i</v>
      </c>
      <c r="AN69" s="51">
        <f t="shared" si="79"/>
        <v>1.000000005559303</v>
      </c>
      <c r="AO69" s="51">
        <f t="shared" si="80"/>
        <v>-1.0544480160655826E-4</v>
      </c>
      <c r="AP69" s="60" t="str">
        <f t="shared" si="81"/>
        <v>42.1567795771614-0.759024053442174i</v>
      </c>
      <c r="AQ69" s="51">
        <f t="shared" si="82"/>
        <v>32.498756175939086</v>
      </c>
      <c r="AR69" s="63">
        <f t="shared" si="83"/>
        <v>-1.0314871501441054</v>
      </c>
      <c r="AS69" s="32" t="str">
        <f t="shared" si="58"/>
        <v>-0.000133283554228113</v>
      </c>
      <c r="AT69" s="32" t="str">
        <f t="shared" si="59"/>
        <v>0.0000124228453444794i</v>
      </c>
      <c r="AU69" s="32">
        <f t="shared" si="84"/>
        <v>1.24228453444794E-5</v>
      </c>
      <c r="AV69" s="32">
        <f t="shared" si="85"/>
        <v>1.5707963267948966</v>
      </c>
      <c r="AW69" s="32" t="str">
        <f t="shared" si="60"/>
        <v>1+0.0021720424371826i</v>
      </c>
      <c r="AX69" s="32">
        <f t="shared" si="86"/>
        <v>1.0000023588813922</v>
      </c>
      <c r="AY69" s="32">
        <f t="shared" si="87"/>
        <v>2.1720390214612479E-3</v>
      </c>
      <c r="AZ69" s="32" t="str">
        <f t="shared" si="61"/>
        <v>1+0.0323687299785017i</v>
      </c>
      <c r="BA69" s="32">
        <f t="shared" si="88"/>
        <v>1.0005237301935528</v>
      </c>
      <c r="BB69" s="32">
        <f t="shared" si="89"/>
        <v>3.2357432466075871E-2</v>
      </c>
      <c r="BC69" s="60" t="str">
        <f t="shared" si="90"/>
        <v>-0.323975928396758+10.72961083853i</v>
      </c>
      <c r="BD69" s="51">
        <f t="shared" si="91"/>
        <v>20.615637118929946</v>
      </c>
      <c r="BE69" s="63">
        <f t="shared" si="92"/>
        <v>91.729495647318288</v>
      </c>
      <c r="BF69" s="60" t="str">
        <f t="shared" si="93"/>
        <v>27.1863300505888+389.275031553938i</v>
      </c>
      <c r="BG69" s="66">
        <f t="shared" si="94"/>
        <v>51.826261746143423</v>
      </c>
      <c r="BH69" s="63">
        <f t="shared" si="95"/>
        <v>86.005043255965305</v>
      </c>
      <c r="BI69" s="60" t="str">
        <f t="shared" si="101"/>
        <v>-5.51374909121023+452.571744591021i</v>
      </c>
      <c r="BJ69" s="66">
        <f t="shared" si="97"/>
        <v>53.114393294869046</v>
      </c>
      <c r="BK69" s="63">
        <f t="shared" si="102"/>
        <v>90.698008497174172</v>
      </c>
      <c r="BL69" s="51">
        <f t="shared" si="99"/>
        <v>51.826261746143423</v>
      </c>
      <c r="BM69" s="63">
        <f t="shared" si="100"/>
        <v>86.005043255965305</v>
      </c>
    </row>
    <row r="70" spans="1:65" x14ac:dyDescent="0.35">
      <c r="A70" s="32"/>
      <c r="B70" s="32">
        <f>B69/(2*PI())</f>
        <v>1803.7560217081473</v>
      </c>
      <c r="C70" s="32" t="s">
        <v>67</v>
      </c>
      <c r="N70" s="11">
        <v>52</v>
      </c>
      <c r="O70" s="52">
        <f t="shared" si="62"/>
        <v>33.113112148259127</v>
      </c>
      <c r="P70" s="50" t="str">
        <f t="shared" si="50"/>
        <v>36.531007751938</v>
      </c>
      <c r="Q70" s="18" t="str">
        <f t="shared" si="51"/>
        <v>1+0.101608656144734i</v>
      </c>
      <c r="R70" s="18">
        <f t="shared" si="63"/>
        <v>1.0051489038961037</v>
      </c>
      <c r="S70" s="18">
        <f t="shared" si="64"/>
        <v>0.10126112636305275</v>
      </c>
      <c r="T70" s="18" t="str">
        <f t="shared" si="52"/>
        <v>1+0.0000416111639449864i</v>
      </c>
      <c r="U70" s="18">
        <f t="shared" si="65"/>
        <v>1.0000000008657444</v>
      </c>
      <c r="V70" s="18">
        <f t="shared" si="66"/>
        <v>4.1611163920969977E-5</v>
      </c>
      <c r="W70" s="32" t="str">
        <f t="shared" si="53"/>
        <v>1-0.000689415733999775i</v>
      </c>
      <c r="X70" s="18">
        <f t="shared" si="67"/>
        <v>1.000000237646999</v>
      </c>
      <c r="Y70" s="18">
        <f t="shared" si="68"/>
        <v>-6.8941562477473973E-4</v>
      </c>
      <c r="Z70" s="32" t="str">
        <f t="shared" si="54"/>
        <v>0.999999977345492+0.000313277123358547i</v>
      </c>
      <c r="AA70" s="18">
        <f t="shared" si="69"/>
        <v>1.0000000264167699</v>
      </c>
      <c r="AB70" s="18">
        <f t="shared" si="70"/>
        <v>3.1327712020708034E-4</v>
      </c>
      <c r="AC70" s="68" t="str">
        <f t="shared" si="71"/>
        <v>36.1541640982845-3.70868530879243i</v>
      </c>
      <c r="AD70" s="66">
        <f t="shared" si="72"/>
        <v>31.208626832564633</v>
      </c>
      <c r="AE70" s="63">
        <f t="shared" si="73"/>
        <v>-5.8569010877063583</v>
      </c>
      <c r="AF70" s="51" t="str">
        <f t="shared" si="74"/>
        <v>42.1703962805665</v>
      </c>
      <c r="AG70" s="51" t="str">
        <f t="shared" si="55"/>
        <v>1+0.0183578664463176i</v>
      </c>
      <c r="AH70" s="51">
        <f t="shared" si="75"/>
        <v>1.0001684914355484</v>
      </c>
      <c r="AI70" s="51">
        <f t="shared" si="76"/>
        <v>1.8355804593985205E-2</v>
      </c>
      <c r="AJ70" s="51" t="str">
        <f t="shared" si="56"/>
        <v>1+0.0000416111639449864i</v>
      </c>
      <c r="AK70" s="51">
        <f t="shared" si="77"/>
        <v>1.0000000008657444</v>
      </c>
      <c r="AL70" s="51">
        <f t="shared" si="78"/>
        <v>4.1611163920969977E-5</v>
      </c>
      <c r="AM70" s="51" t="str">
        <f t="shared" si="57"/>
        <v>1-0.000107900926956328i</v>
      </c>
      <c r="AN70" s="51">
        <f t="shared" si="79"/>
        <v>1.000000005821305</v>
      </c>
      <c r="AO70" s="51">
        <f t="shared" si="80"/>
        <v>-1.0790092653757853E-4</v>
      </c>
      <c r="AP70" s="60" t="str">
        <f t="shared" si="81"/>
        <v>42.1561380578999-0.776692217934985i</v>
      </c>
      <c r="AQ70" s="51">
        <f t="shared" si="82"/>
        <v>32.49869032643663</v>
      </c>
      <c r="AR70" s="63">
        <f t="shared" si="83"/>
        <v>-1.055508256425054</v>
      </c>
      <c r="AS70" s="32" t="str">
        <f t="shared" si="58"/>
        <v>-0.000133283554228113</v>
      </c>
      <c r="AT70" s="32" t="str">
        <f t="shared" si="59"/>
        <v>0.0000127122105851933i</v>
      </c>
      <c r="AU70" s="32">
        <f t="shared" si="84"/>
        <v>1.27122105851933E-5</v>
      </c>
      <c r="AV70" s="32">
        <f t="shared" si="85"/>
        <v>1.5707963267948966</v>
      </c>
      <c r="AW70" s="32" t="str">
        <f t="shared" si="60"/>
        <v>1+0.00222263580490538i</v>
      </c>
      <c r="AX70" s="32">
        <f t="shared" si="86"/>
        <v>1.0000024700519099</v>
      </c>
      <c r="AY70" s="32">
        <f t="shared" si="87"/>
        <v>2.2226321448944979E-3</v>
      </c>
      <c r="AZ70" s="32" t="str">
        <f t="shared" si="61"/>
        <v>1+0.0331226945560289i</v>
      </c>
      <c r="BA70" s="32">
        <f t="shared" si="88"/>
        <v>1.0005484060727157</v>
      </c>
      <c r="BB70" s="32">
        <f t="shared" si="89"/>
        <v>3.311058941168863E-2</v>
      </c>
      <c r="BC70" s="60" t="str">
        <f t="shared" si="90"/>
        <v>-0.323975856363798+10.4854074865835i</v>
      </c>
      <c r="BD70" s="51">
        <f t="shared" si="91"/>
        <v>20.415850370445689</v>
      </c>
      <c r="BE70" s="63">
        <f t="shared" si="92"/>
        <v>91.769749589167731</v>
      </c>
      <c r="BF70" s="60" t="str">
        <f t="shared" si="93"/>
        <v>27.1740004273354+380.29266740622i</v>
      </c>
      <c r="BG70" s="66">
        <f t="shared" si="94"/>
        <v>51.624477203010308</v>
      </c>
      <c r="BH70" s="63">
        <f t="shared" si="95"/>
        <v>85.912848501461369</v>
      </c>
      <c r="BI70" s="60" t="str">
        <f t="shared" si="101"/>
        <v>-5.51363653159198+442.275915124188i</v>
      </c>
      <c r="BJ70" s="66">
        <f t="shared" si="97"/>
        <v>52.914540696882327</v>
      </c>
      <c r="BK70" s="63">
        <f t="shared" si="102"/>
        <v>90.714241332742674</v>
      </c>
      <c r="BL70" s="51">
        <f t="shared" si="99"/>
        <v>51.624477203010308</v>
      </c>
      <c r="BM70" s="63">
        <f t="shared" si="100"/>
        <v>85.912848501461369</v>
      </c>
    </row>
    <row r="71" spans="1:65" x14ac:dyDescent="0.35">
      <c r="A71" s="32" t="s">
        <v>478</v>
      </c>
      <c r="B71" s="32">
        <f>1/(Cout*Resr)</f>
        <v>5000000</v>
      </c>
      <c r="C71" s="32" t="s">
        <v>392</v>
      </c>
      <c r="N71" s="11">
        <v>53</v>
      </c>
      <c r="O71" s="52">
        <f t="shared" si="62"/>
        <v>33.884415613920268</v>
      </c>
      <c r="P71" s="50" t="str">
        <f t="shared" si="50"/>
        <v>36.531007751938</v>
      </c>
      <c r="Q71" s="18" t="str">
        <f t="shared" si="51"/>
        <v>1+0.103975425787971i</v>
      </c>
      <c r="R71" s="18">
        <f t="shared" si="63"/>
        <v>1.0053909136091244</v>
      </c>
      <c r="S71" s="18">
        <f t="shared" si="64"/>
        <v>0.10360314867398299</v>
      </c>
      <c r="T71" s="18" t="str">
        <f t="shared" si="52"/>
        <v>1+0.00004258041246555i</v>
      </c>
      <c r="U71" s="18">
        <f t="shared" si="65"/>
        <v>1.0000000009065457</v>
      </c>
      <c r="V71" s="18">
        <f t="shared" si="66"/>
        <v>4.2580412439815938E-5</v>
      </c>
      <c r="W71" s="32" t="str">
        <f t="shared" si="53"/>
        <v>1-0.00070547428937006i</v>
      </c>
      <c r="X71" s="18">
        <f t="shared" si="67"/>
        <v>1.0000002488469555</v>
      </c>
      <c r="Y71" s="18">
        <f t="shared" si="68"/>
        <v>-7.0547417233332772E-4</v>
      </c>
      <c r="Z71" s="32" t="str">
        <f t="shared" si="54"/>
        <v>0.999999976277818+0.000320574284974674i</v>
      </c>
      <c r="AA71" s="18">
        <f t="shared" si="69"/>
        <v>1.0000000276617542</v>
      </c>
      <c r="AB71" s="18">
        <f t="shared" si="70"/>
        <v>3.2057428159781658E-4</v>
      </c>
      <c r="AC71" s="68" t="str">
        <f t="shared" si="71"/>
        <v>36.1365939529498-3.7932448236201i</v>
      </c>
      <c r="AD71" s="66">
        <f t="shared" si="72"/>
        <v>31.206535869360831</v>
      </c>
      <c r="AE71" s="63">
        <f t="shared" si="73"/>
        <v>-5.9923717313490945</v>
      </c>
      <c r="AF71" s="51" t="str">
        <f t="shared" si="74"/>
        <v>42.1703962805665</v>
      </c>
      <c r="AG71" s="51" t="str">
        <f t="shared" si="55"/>
        <v>1+0.0187854760877427i</v>
      </c>
      <c r="AH71" s="51">
        <f t="shared" si="75"/>
        <v>1.000176431491886</v>
      </c>
      <c r="AI71" s="51">
        <f t="shared" si="76"/>
        <v>1.8783266794212002E-2</v>
      </c>
      <c r="AJ71" s="51" t="str">
        <f t="shared" si="56"/>
        <v>1+0.00004258041246555i</v>
      </c>
      <c r="AK71" s="51">
        <f t="shared" si="77"/>
        <v>1.0000000009065457</v>
      </c>
      <c r="AL71" s="51">
        <f t="shared" si="78"/>
        <v>4.2580412439815938E-5</v>
      </c>
      <c r="AM71" s="51" t="str">
        <f t="shared" si="57"/>
        <v>1-0.000110414262415008i</v>
      </c>
      <c r="AN71" s="51">
        <f t="shared" si="79"/>
        <v>1.0000000060956546</v>
      </c>
      <c r="AO71" s="51">
        <f t="shared" si="80"/>
        <v>-1.1041426196630985E-4</v>
      </c>
      <c r="AP71" s="60" t="str">
        <f t="shared" si="81"/>
        <v>42.1554663256182-0.794771084961149i</v>
      </c>
      <c r="AQ71" s="51">
        <f t="shared" si="82"/>
        <v>32.498621374612938</v>
      </c>
      <c r="AR71" s="63">
        <f t="shared" si="83"/>
        <v>-1.0800885060625658</v>
      </c>
      <c r="AS71" s="32" t="str">
        <f t="shared" si="58"/>
        <v>-0.000133283554228113</v>
      </c>
      <c r="AT71" s="32" t="str">
        <f t="shared" si="59"/>
        <v>0.0000130083160082255i</v>
      </c>
      <c r="AU71" s="32">
        <f t="shared" si="84"/>
        <v>1.3008316008225501E-5</v>
      </c>
      <c r="AV71" s="32">
        <f t="shared" si="85"/>
        <v>1.5707963267948966</v>
      </c>
      <c r="AW71" s="32" t="str">
        <f t="shared" si="60"/>
        <v>1+0.00227440764355196i</v>
      </c>
      <c r="AX71" s="32">
        <f t="shared" si="86"/>
        <v>1.0000025864617197</v>
      </c>
      <c r="AY71" s="32">
        <f t="shared" si="87"/>
        <v>2.2744037217801907E-3</v>
      </c>
      <c r="AZ71" s="32" t="str">
        <f t="shared" si="61"/>
        <v>1+0.0338942212246401i</v>
      </c>
      <c r="BA71" s="32">
        <f t="shared" si="88"/>
        <v>1.0005742442379899</v>
      </c>
      <c r="BB71" s="32">
        <f t="shared" si="89"/>
        <v>3.3881250730805279E-2</v>
      </c>
      <c r="BC71" s="60" t="str">
        <f t="shared" si="90"/>
        <v>-0.323975780936063+10.2467636364619i</v>
      </c>
      <c r="BD71" s="51">
        <f t="shared" si="91"/>
        <v>20.216073660871373</v>
      </c>
      <c r="BE71" s="63">
        <f t="shared" si="92"/>
        <v>91.810938937332836</v>
      </c>
      <c r="BF71" s="60" t="str">
        <f t="shared" si="93"/>
        <v>27.1611018765914+371.512056316689i</v>
      </c>
      <c r="BG71" s="66">
        <f t="shared" si="94"/>
        <v>51.422609530232208</v>
      </c>
      <c r="BH71" s="63">
        <f t="shared" si="95"/>
        <v>85.818567205983754</v>
      </c>
      <c r="BI71" s="60" t="str">
        <f t="shared" si="101"/>
        <v>-5.51351867087479+432.214586006354i</v>
      </c>
      <c r="BJ71" s="66">
        <f t="shared" si="97"/>
        <v>52.714695035484304</v>
      </c>
      <c r="BK71" s="63">
        <f t="shared" si="102"/>
        <v>90.730850431270269</v>
      </c>
      <c r="BL71" s="51">
        <f t="shared" si="99"/>
        <v>51.422609530232208</v>
      </c>
      <c r="BM71" s="63">
        <f t="shared" si="100"/>
        <v>85.818567205983754</v>
      </c>
    </row>
    <row r="72" spans="1:65" x14ac:dyDescent="0.35">
      <c r="A72" s="32"/>
      <c r="B72" s="32">
        <f>B71/(2*PI())</f>
        <v>795774.71545947669</v>
      </c>
      <c r="C72" s="32" t="s">
        <v>67</v>
      </c>
      <c r="N72" s="11">
        <v>54</v>
      </c>
      <c r="O72" s="52">
        <f t="shared" si="62"/>
        <v>34.67368504525318</v>
      </c>
      <c r="P72" s="50" t="str">
        <f t="shared" si="50"/>
        <v>36.531007751938</v>
      </c>
      <c r="Q72" s="18" t="str">
        <f t="shared" si="51"/>
        <v>1+0.106397324578238i</v>
      </c>
      <c r="R72" s="18">
        <f t="shared" si="63"/>
        <v>1.0056442664667298</v>
      </c>
      <c r="S72" s="18">
        <f t="shared" si="64"/>
        <v>0.10599854328302115</v>
      </c>
      <c r="T72" s="18" t="str">
        <f t="shared" si="52"/>
        <v>1+0.0000435722376844214i</v>
      </c>
      <c r="U72" s="18">
        <f t="shared" si="65"/>
        <v>1.00000000094927</v>
      </c>
      <c r="V72" s="18">
        <f t="shared" si="66"/>
        <v>4.3572237656846861E-5</v>
      </c>
      <c r="W72" s="32" t="str">
        <f t="shared" si="53"/>
        <v>1-0.000721906896546627i</v>
      </c>
      <c r="X72" s="18">
        <f t="shared" si="67"/>
        <v>1.0000002605747498</v>
      </c>
      <c r="Y72" s="18">
        <f t="shared" si="68"/>
        <v>-7.2190677113951067E-4</v>
      </c>
      <c r="Z72" s="32" t="str">
        <f t="shared" si="54"/>
        <v>0.999999975159826+0.000328041419319997i</v>
      </c>
      <c r="AA72" s="18">
        <f t="shared" si="69"/>
        <v>1.0000000289654121</v>
      </c>
      <c r="AB72" s="18">
        <f t="shared" si="70"/>
        <v>3.280414157016291E-4</v>
      </c>
      <c r="AC72" s="68" t="str">
        <f t="shared" si="71"/>
        <v>36.1182138729698-3.87964525457366i</v>
      </c>
      <c r="AD72" s="66">
        <f t="shared" si="72"/>
        <v>31.20434744065658</v>
      </c>
      <c r="AE72" s="63">
        <f t="shared" si="73"/>
        <v>-6.1309302591436206</v>
      </c>
      <c r="AF72" s="51" t="str">
        <f t="shared" si="74"/>
        <v>42.1703962805665</v>
      </c>
      <c r="AG72" s="51" t="str">
        <f t="shared" si="55"/>
        <v>1+0.0192230460372448i</v>
      </c>
      <c r="AH72" s="51">
        <f t="shared" si="75"/>
        <v>1.0001847456839912</v>
      </c>
      <c r="AI72" s="51">
        <f t="shared" si="76"/>
        <v>1.9220678760191429E-2</v>
      </c>
      <c r="AJ72" s="51" t="str">
        <f t="shared" si="56"/>
        <v>1+0.0000435722376844214i</v>
      </c>
      <c r="AK72" s="51">
        <f t="shared" si="77"/>
        <v>1.00000000094927</v>
      </c>
      <c r="AL72" s="51">
        <f t="shared" si="78"/>
        <v>4.3572237656846861E-5</v>
      </c>
      <c r="AM72" s="51" t="str">
        <f t="shared" si="57"/>
        <v>1-0.000112986140977126i</v>
      </c>
      <c r="AN72" s="51">
        <f t="shared" si="79"/>
        <v>1.000000006382934</v>
      </c>
      <c r="AO72" s="51">
        <f t="shared" si="80"/>
        <v>-1.1298614049633728E-4</v>
      </c>
      <c r="AP72" s="60" t="str">
        <f t="shared" si="81"/>
        <v>42.1547629584312-0.813270160848299i</v>
      </c>
      <c r="AQ72" s="51">
        <f t="shared" si="82"/>
        <v>32.498549174363326</v>
      </c>
      <c r="AR72" s="63">
        <f t="shared" si="83"/>
        <v>-1.1052408960079465</v>
      </c>
      <c r="AS72" s="32" t="str">
        <f t="shared" si="58"/>
        <v>-0.000133283554228113</v>
      </c>
      <c r="AT72" s="32" t="str">
        <f t="shared" si="59"/>
        <v>0.0000133113186125908i</v>
      </c>
      <c r="AU72" s="32">
        <f t="shared" si="84"/>
        <v>1.3311318612590801E-5</v>
      </c>
      <c r="AV72" s="32">
        <f t="shared" si="85"/>
        <v>1.5707963267948966</v>
      </c>
      <c r="AW72" s="32" t="str">
        <f t="shared" si="60"/>
        <v>1+0.0023273854032365i</v>
      </c>
      <c r="AX72" s="32">
        <f t="shared" si="86"/>
        <v>1.0000027083577401</v>
      </c>
      <c r="AY72" s="32">
        <f t="shared" si="87"/>
        <v>2.3273812009829533E-3</v>
      </c>
      <c r="AZ72" s="32" t="str">
        <f t="shared" si="61"/>
        <v>1+0.0346837190579878i</v>
      </c>
      <c r="BA72" s="32">
        <f t="shared" si="88"/>
        <v>1.0006012994033606</v>
      </c>
      <c r="BB72" s="32">
        <f t="shared" si="89"/>
        <v>3.4669821374483385E-2</v>
      </c>
      <c r="BC72" s="60" t="str">
        <f t="shared" si="90"/>
        <v>-0.323975701953561+10.0135527560362i</v>
      </c>
      <c r="BD72" s="51">
        <f t="shared" si="91"/>
        <v>20.016307462235204</v>
      </c>
      <c r="BE72" s="63">
        <f t="shared" si="92"/>
        <v>91.853085321095918</v>
      </c>
      <c r="BF72" s="60" t="str">
        <f t="shared" si="93"/>
        <v>27.1476087385746+362.928550865463i</v>
      </c>
      <c r="BG72" s="66">
        <f t="shared" si="94"/>
        <v>51.220654902891781</v>
      </c>
      <c r="BH72" s="63">
        <f t="shared" si="95"/>
        <v>85.722155061952307</v>
      </c>
      <c r="BI72" s="60" t="str">
        <f t="shared" si="101"/>
        <v>-5.51339525957923+422.38242257369i</v>
      </c>
      <c r="BJ72" s="66">
        <f t="shared" si="97"/>
        <v>52.51485663659853</v>
      </c>
      <c r="BK72" s="63">
        <f t="shared" si="102"/>
        <v>90.747844425087976</v>
      </c>
      <c r="BL72" s="51">
        <f t="shared" si="99"/>
        <v>51.220654902891781</v>
      </c>
      <c r="BM72" s="63">
        <f t="shared" si="100"/>
        <v>85.722155061952307</v>
      </c>
    </row>
    <row r="73" spans="1:65" x14ac:dyDescent="0.35">
      <c r="A73" s="32" t="s">
        <v>479</v>
      </c>
      <c r="B73" s="32">
        <f>2*Fsw/(DC_VIN_var_DCM)</f>
        <v>1928211.6066448726</v>
      </c>
      <c r="C73" s="32" t="s">
        <v>392</v>
      </c>
      <c r="N73" s="11">
        <v>55</v>
      </c>
      <c r="O73" s="52">
        <f t="shared" si="62"/>
        <v>35.481338923357555</v>
      </c>
      <c r="P73" s="50" t="str">
        <f t="shared" si="50"/>
        <v>36.531007751938</v>
      </c>
      <c r="Q73" s="18" t="str">
        <f t="shared" si="51"/>
        <v>1+0.108875636638332i</v>
      </c>
      <c r="R73" s="18">
        <f t="shared" si="63"/>
        <v>1.0059094910842634</v>
      </c>
      <c r="S73" s="18">
        <f t="shared" si="64"/>
        <v>0.10844847024351201</v>
      </c>
      <c r="T73" s="18" t="str">
        <f t="shared" si="52"/>
        <v>1+0.0000445871654804598i</v>
      </c>
      <c r="U73" s="18">
        <f t="shared" si="65"/>
        <v>1.0000000009940075</v>
      </c>
      <c r="V73" s="18">
        <f t="shared" si="66"/>
        <v>4.4587165450913141E-5</v>
      </c>
      <c r="W73" s="32" t="str">
        <f t="shared" si="53"/>
        <v>1-0.000738722268315311i</v>
      </c>
      <c r="X73" s="18">
        <f t="shared" si="67"/>
        <v>1.0000002728552575</v>
      </c>
      <c r="Y73" s="18">
        <f t="shared" si="68"/>
        <v>-7.3872213393916676E-4</v>
      </c>
      <c r="Z73" s="32" t="str">
        <f t="shared" si="54"/>
        <v>0.999999973989144+0.000335682485567985i</v>
      </c>
      <c r="AA73" s="18">
        <f t="shared" si="69"/>
        <v>1.0000000303305094</v>
      </c>
      <c r="AB73" s="18">
        <f t="shared" si="70"/>
        <v>3.3568248169083415E-4</v>
      </c>
      <c r="AC73" s="68" t="str">
        <f t="shared" si="71"/>
        <v>36.0989874055263-3.96792050754307i</v>
      </c>
      <c r="AD73" s="66">
        <f t="shared" si="72"/>
        <v>31.202057055909602</v>
      </c>
      <c r="AE73" s="63">
        <f t="shared" si="73"/>
        <v>-6.2726438331674972</v>
      </c>
      <c r="AF73" s="51" t="str">
        <f t="shared" si="74"/>
        <v>42.1703962805665</v>
      </c>
      <c r="AG73" s="51" t="str">
        <f t="shared" si="55"/>
        <v>1+0.0196708083002029i</v>
      </c>
      <c r="AH73" s="51">
        <f t="shared" si="75"/>
        <v>1.0001934516378237</v>
      </c>
      <c r="AI73" s="51">
        <f t="shared" si="76"/>
        <v>1.9668271743635984E-2</v>
      </c>
      <c r="AJ73" s="51" t="str">
        <f t="shared" si="56"/>
        <v>1+0.0000445871654804598i</v>
      </c>
      <c r="AK73" s="51">
        <f t="shared" si="77"/>
        <v>1.0000000009940075</v>
      </c>
      <c r="AL73" s="51">
        <f t="shared" si="78"/>
        <v>4.4587165450913141E-5</v>
      </c>
      <c r="AM73" s="51" t="str">
        <f t="shared" si="57"/>
        <v>1-0.000115617926286738i</v>
      </c>
      <c r="AN73" s="51">
        <f t="shared" si="79"/>
        <v>1.0000000066837524</v>
      </c>
      <c r="AO73" s="51">
        <f t="shared" si="80"/>
        <v>-1.156179257715636E-4</v>
      </c>
      <c r="AP73" s="60" t="str">
        <f t="shared" si="81"/>
        <v>42.154026467636-0.832199169057857i</v>
      </c>
      <c r="AQ73" s="51">
        <f t="shared" si="82"/>
        <v>32.49847357270734</v>
      </c>
      <c r="AR73" s="63">
        <f t="shared" si="83"/>
        <v>-1.1309787240087319</v>
      </c>
      <c r="AS73" s="32" t="str">
        <f t="shared" si="58"/>
        <v>-0.000133283554228113</v>
      </c>
      <c r="AT73" s="32" t="str">
        <f t="shared" si="59"/>
        <v>0.0000136213790542805i</v>
      </c>
      <c r="AU73" s="32">
        <f t="shared" si="84"/>
        <v>1.3621379054280499E-5</v>
      </c>
      <c r="AV73" s="32">
        <f t="shared" si="85"/>
        <v>1.5707963267948966</v>
      </c>
      <c r="AW73" s="32" t="str">
        <f t="shared" si="60"/>
        <v>1+0.00238159717346843i</v>
      </c>
      <c r="AX73" s="32">
        <f t="shared" si="86"/>
        <v>1.0000028359985269</v>
      </c>
      <c r="AY73" s="32">
        <f t="shared" si="87"/>
        <v>2.3815926706733186E-3</v>
      </c>
      <c r="AZ73" s="32" t="str">
        <f t="shared" si="61"/>
        <v>1+0.0354916066582734i</v>
      </c>
      <c r="BA73" s="32">
        <f t="shared" si="88"/>
        <v>1.0006296288553451</v>
      </c>
      <c r="BB73" s="32">
        <f t="shared" si="89"/>
        <v>3.5476715528133355E-2</v>
      </c>
      <c r="BC73" s="60" t="str">
        <f t="shared" si="90"/>
        <v>-0.323975619248775+9.78565119380943i</v>
      </c>
      <c r="BD73" s="51">
        <f t="shared" si="91"/>
        <v>19.816552268705994</v>
      </c>
      <c r="BE73" s="63">
        <f t="shared" si="92"/>
        <v>91.896210862199396</v>
      </c>
      <c r="BF73" s="60" t="str">
        <f t="shared" si="93"/>
        <v>27.1334942526207+354.537608703761i</v>
      </c>
      <c r="BG73" s="66">
        <f t="shared" si="94"/>
        <v>51.018609324615589</v>
      </c>
      <c r="BH73" s="63">
        <f t="shared" si="95"/>
        <v>85.623567029031889</v>
      </c>
      <c r="BI73" s="60" t="str">
        <f t="shared" si="101"/>
        <v>-5.51326603650339+412.77421166803i</v>
      </c>
      <c r="BJ73" s="66">
        <f t="shared" si="97"/>
        <v>52.315025841413323</v>
      </c>
      <c r="BK73" s="63">
        <f t="shared" si="102"/>
        <v>90.765232138190669</v>
      </c>
      <c r="BL73" s="51">
        <f t="shared" si="99"/>
        <v>51.018609324615589</v>
      </c>
      <c r="BM73" s="63">
        <f t="shared" si="100"/>
        <v>85.623567029031889</v>
      </c>
    </row>
    <row r="74" spans="1:65" x14ac:dyDescent="0.35">
      <c r="A74" s="32"/>
      <c r="B74" s="32">
        <f>B73/(2*PI())</f>
        <v>306884.40852469677</v>
      </c>
      <c r="C74" s="32" t="s">
        <v>67</v>
      </c>
      <c r="N74" s="11">
        <v>56</v>
      </c>
      <c r="O74" s="52">
        <f t="shared" si="62"/>
        <v>36.307805477010156</v>
      </c>
      <c r="P74" s="50" t="str">
        <f t="shared" si="50"/>
        <v>36.531007751938</v>
      </c>
      <c r="Q74" s="18" t="str">
        <f t="shared" si="51"/>
        <v>1+0.111411676002111i</v>
      </c>
      <c r="R74" s="18">
        <f t="shared" si="63"/>
        <v>1.0061871404215019</v>
      </c>
      <c r="S74" s="18">
        <f t="shared" si="64"/>
        <v>0.11095411083662982</v>
      </c>
      <c r="T74" s="18" t="str">
        <f t="shared" si="52"/>
        <v>1+0.000045625733981817i</v>
      </c>
      <c r="U74" s="18">
        <f t="shared" si="65"/>
        <v>1.0000000010408538</v>
      </c>
      <c r="V74" s="18">
        <f t="shared" si="66"/>
        <v>4.5625733950157185E-5</v>
      </c>
      <c r="W74" s="32" t="str">
        <f t="shared" si="53"/>
        <v>1-0.000755929320408803i</v>
      </c>
      <c r="X74" s="18">
        <f t="shared" si="67"/>
        <v>1.000000285714528</v>
      </c>
      <c r="Y74" s="18">
        <f t="shared" si="68"/>
        <v>-7.5592917642217257E-4</v>
      </c>
      <c r="Z74" s="32" t="str">
        <f t="shared" si="54"/>
        <v>0.999999972763291+0.000343501535113106i</v>
      </c>
      <c r="AA74" s="18">
        <f t="shared" si="69"/>
        <v>1.0000000317599431</v>
      </c>
      <c r="AB74" s="18">
        <f t="shared" si="70"/>
        <v>3.4350153095866372E-4</v>
      </c>
      <c r="AC74" s="68" t="str">
        <f t="shared" si="71"/>
        <v>36.078876541226-4.05810466407602i</v>
      </c>
      <c r="AD74" s="66">
        <f t="shared" si="72"/>
        <v>31.1996600226948</v>
      </c>
      <c r="AE74" s="63">
        <f t="shared" si="73"/>
        <v>-6.4175808479731398</v>
      </c>
      <c r="AF74" s="51" t="str">
        <f t="shared" si="74"/>
        <v>42.1703962805665</v>
      </c>
      <c r="AG74" s="51" t="str">
        <f t="shared" si="55"/>
        <v>1+0.0201290002860958i</v>
      </c>
      <c r="AH74" s="51">
        <f t="shared" si="75"/>
        <v>1.0002025678094002</v>
      </c>
      <c r="AI74" s="51">
        <f t="shared" si="76"/>
        <v>2.0126282346494464E-2</v>
      </c>
      <c r="AJ74" s="51" t="str">
        <f t="shared" si="56"/>
        <v>1+0.000045625733981817i</v>
      </c>
      <c r="AK74" s="51">
        <f t="shared" si="77"/>
        <v>1.0000000010408538</v>
      </c>
      <c r="AL74" s="51">
        <f t="shared" si="78"/>
        <v>4.5625733950157185E-5</v>
      </c>
      <c r="AM74" s="51" t="str">
        <f t="shared" si="57"/>
        <v>1-0.000118311013751252i</v>
      </c>
      <c r="AN74" s="51">
        <f t="shared" si="79"/>
        <v>1.000000006998748</v>
      </c>
      <c r="AO74" s="51">
        <f t="shared" si="80"/>
        <v>-1.1831101319923268E-4</v>
      </c>
      <c r="AP74" s="60" t="str">
        <f t="shared" si="81"/>
        <v>42.153255294582-0.851568054936151i</v>
      </c>
      <c r="AQ74" s="51">
        <f t="shared" si="82"/>
        <v>32.498394409465732</v>
      </c>
      <c r="AR74" s="63">
        <f t="shared" si="83"/>
        <v>-1.1573155954764891</v>
      </c>
      <c r="AS74" s="32" t="str">
        <f t="shared" si="58"/>
        <v>-0.000133283554228113</v>
      </c>
      <c r="AT74" s="32" t="str">
        <f t="shared" si="59"/>
        <v>0.0000139386617314451i</v>
      </c>
      <c r="AU74" s="32">
        <f t="shared" si="84"/>
        <v>1.3938661731445101E-5</v>
      </c>
      <c r="AV74" s="32">
        <f t="shared" si="85"/>
        <v>1.5707963267948966</v>
      </c>
      <c r="AW74" s="32" t="str">
        <f t="shared" si="60"/>
        <v>1+0.0024370716980459i</v>
      </c>
      <c r="AX74" s="32">
        <f t="shared" si="86"/>
        <v>1.0000029696548214</v>
      </c>
      <c r="AY74" s="32">
        <f t="shared" si="87"/>
        <v>2.4370668732147842E-3</v>
      </c>
      <c r="AZ74" s="32" t="str">
        <f t="shared" si="61"/>
        <v>1+0.0363183123781962i</v>
      </c>
      <c r="BA74" s="32">
        <f t="shared" si="88"/>
        <v>1.0006592925736513</v>
      </c>
      <c r="BB74" s="32">
        <f t="shared" si="89"/>
        <v>3.6302356812505703E-2</v>
      </c>
      <c r="BC74" s="60" t="str">
        <f t="shared" si="90"/>
        <v>-0.323975532646277+9.56293811335544i</v>
      </c>
      <c r="BD74" s="51">
        <f t="shared" si="91"/>
        <v>19.61680859762691</v>
      </c>
      <c r="BE74" s="63">
        <f t="shared" si="92"/>
        <v>91.94033818550821</v>
      </c>
      <c r="BF74" s="60" t="str">
        <f t="shared" si="93"/>
        <v>27.1187305153551+346.334790183214i</v>
      </c>
      <c r="BG74" s="66">
        <f t="shared" si="94"/>
        <v>50.816468620321714</v>
      </c>
      <c r="BH74" s="63">
        <f t="shared" si="95"/>
        <v>85.522757337535083</v>
      </c>
      <c r="BI74" s="60" t="str">
        <f t="shared" si="101"/>
        <v>-5.51313072817182+403.384858872743i</v>
      </c>
      <c r="BJ74" s="66">
        <f t="shared" si="97"/>
        <v>52.115203007092646</v>
      </c>
      <c r="BK74" s="63">
        <f t="shared" si="102"/>
        <v>90.78302259003172</v>
      </c>
      <c r="BL74" s="51">
        <f t="shared" si="99"/>
        <v>50.816468620321714</v>
      </c>
      <c r="BM74" s="63">
        <f t="shared" si="100"/>
        <v>85.522757337535083</v>
      </c>
    </row>
    <row r="75" spans="1:65" x14ac:dyDescent="0.35">
      <c r="N75" s="11">
        <v>57</v>
      </c>
      <c r="O75" s="52">
        <f t="shared" si="62"/>
        <v>37.15352290971726</v>
      </c>
      <c r="P75" s="50" t="str">
        <f t="shared" si="50"/>
        <v>36.531007751938</v>
      </c>
      <c r="Q75" s="18" t="str">
        <f t="shared" si="51"/>
        <v>1+0.114006787311214i</v>
      </c>
      <c r="R75" s="18">
        <f t="shared" si="63"/>
        <v>1.0064777928762385</v>
      </c>
      <c r="S75" s="18">
        <f t="shared" si="64"/>
        <v>0.11351666766983769</v>
      </c>
      <c r="T75" s="18" t="str">
        <f t="shared" si="52"/>
        <v>1+0.0000466884938512592i</v>
      </c>
      <c r="U75" s="18">
        <f t="shared" si="65"/>
        <v>1.0000000010899077</v>
      </c>
      <c r="V75" s="18">
        <f t="shared" si="66"/>
        <v>4.6688493817335097E-5</v>
      </c>
      <c r="W75" s="32" t="str">
        <f t="shared" si="53"/>
        <v>1-0.000773537176233881i</v>
      </c>
      <c r="X75" s="18">
        <f t="shared" si="67"/>
        <v>1.0000002991798367</v>
      </c>
      <c r="Y75" s="18">
        <f t="shared" si="68"/>
        <v>-7.7353702194942928E-4</v>
      </c>
      <c r="Z75" s="32" t="str">
        <f t="shared" si="54"/>
        <v>0.999999971479664+0.000351502713718923i</v>
      </c>
      <c r="AA75" s="18">
        <f t="shared" si="69"/>
        <v>1.0000000332567429</v>
      </c>
      <c r="AB75" s="18">
        <f t="shared" si="70"/>
        <v>3.5150270926735807E-4</v>
      </c>
      <c r="AC75" s="68" t="str">
        <f t="shared" si="71"/>
        <v>36.057841655677-4.15023194483677i</v>
      </c>
      <c r="AD75" s="66">
        <f t="shared" si="72"/>
        <v>31.197151438104854</v>
      </c>
      <c r="AE75" s="63">
        <f t="shared" si="73"/>
        <v>-6.5658109366065487</v>
      </c>
      <c r="AF75" s="51" t="str">
        <f t="shared" si="74"/>
        <v>42.1703962805665</v>
      </c>
      <c r="AG75" s="51" t="str">
        <f t="shared" si="55"/>
        <v>1+0.0205978649343791i</v>
      </c>
      <c r="AH75" s="51">
        <f t="shared" si="75"/>
        <v>1.000212113523854</v>
      </c>
      <c r="AI75" s="51">
        <f t="shared" si="76"/>
        <v>2.0594952642981324E-2</v>
      </c>
      <c r="AJ75" s="51" t="str">
        <f t="shared" si="56"/>
        <v>1+0.0000466884938512592i</v>
      </c>
      <c r="AK75" s="51">
        <f t="shared" si="77"/>
        <v>1.0000000010899077</v>
      </c>
      <c r="AL75" s="51">
        <f t="shared" si="78"/>
        <v>4.6688493817335097E-5</v>
      </c>
      <c r="AM75" s="51" t="str">
        <f t="shared" si="57"/>
        <v>1-0.000121066831281288i</v>
      </c>
      <c r="AN75" s="51">
        <f t="shared" si="79"/>
        <v>1.0000000073285888</v>
      </c>
      <c r="AO75" s="51">
        <f t="shared" si="80"/>
        <v>-1.2106683068978865E-4</v>
      </c>
      <c r="AP75" s="60" t="str">
        <f t="shared" si="81"/>
        <v>42.1524478073946-0.871386990554292i</v>
      </c>
      <c r="AQ75" s="51">
        <f t="shared" si="82"/>
        <v>32.498311516922179</v>
      </c>
      <c r="AR75" s="63">
        <f t="shared" si="83"/>
        <v>-1.1842654305046234</v>
      </c>
      <c r="AS75" s="32" t="str">
        <f t="shared" si="58"/>
        <v>-0.000133283554228113</v>
      </c>
      <c r="AT75" s="32" t="str">
        <f t="shared" si="59"/>
        <v>0.0000142633348715597i</v>
      </c>
      <c r="AU75" s="32">
        <f t="shared" si="84"/>
        <v>1.42633348715597E-5</v>
      </c>
      <c r="AV75" s="32">
        <f t="shared" si="85"/>
        <v>1.5707963267948966</v>
      </c>
      <c r="AW75" s="32" t="str">
        <f t="shared" si="60"/>
        <v>1+0.00249383839029613i</v>
      </c>
      <c r="AX75" s="32">
        <f t="shared" si="86"/>
        <v>1.0000031096101236</v>
      </c>
      <c r="AY75" s="32">
        <f t="shared" si="87"/>
        <v>2.4938332203973132E-3</v>
      </c>
      <c r="AZ75" s="32" t="str">
        <f t="shared" si="61"/>
        <v>1+0.0371642745480716i</v>
      </c>
      <c r="BA75" s="32">
        <f t="shared" si="88"/>
        <v>1.0006903533574631</v>
      </c>
      <c r="BB75" s="32">
        <f t="shared" si="89"/>
        <v>3.7147178488358086E-2</v>
      </c>
      <c r="BC75" s="60" t="str">
        <f t="shared" si="90"/>
        <v>-0.323975441962379+9.34529542924973i</v>
      </c>
      <c r="BD75" s="51">
        <f t="shared" si="91"/>
        <v>19.417076990596502</v>
      </c>
      <c r="BE75" s="63">
        <f t="shared" si="92"/>
        <v>91.985490429863788</v>
      </c>
      <c r="BF75" s="60" t="str">
        <f t="shared" si="93"/>
        <v>27.1032884378019+338.315756041984i</v>
      </c>
      <c r="BG75" s="66">
        <f t="shared" si="94"/>
        <v>50.614228428701367</v>
      </c>
      <c r="BH75" s="63">
        <f t="shared" si="95"/>
        <v>85.419679493257249</v>
      </c>
      <c r="BI75" s="60" t="str">
        <f t="shared" si="101"/>
        <v>-5.51298904826208+394.209385811518i</v>
      </c>
      <c r="BJ75" s="66">
        <f t="shared" si="97"/>
        <v>51.915388507518685</v>
      </c>
      <c r="BK75" s="63">
        <f t="shared" si="102"/>
        <v>90.801224999359164</v>
      </c>
      <c r="BL75" s="51">
        <f t="shared" si="99"/>
        <v>50.614228428701367</v>
      </c>
      <c r="BM75" s="63">
        <f t="shared" si="100"/>
        <v>85.419679493257249</v>
      </c>
    </row>
    <row r="76" spans="1:65" x14ac:dyDescent="0.35">
      <c r="N76" s="11">
        <v>58</v>
      </c>
      <c r="O76" s="52">
        <f t="shared" si="62"/>
        <v>38.018939632056139</v>
      </c>
      <c r="P76" s="50" t="str">
        <f t="shared" si="50"/>
        <v>36.531007751938</v>
      </c>
      <c r="Q76" s="18" t="str">
        <f t="shared" si="51"/>
        <v>1+0.116662346528008i</v>
      </c>
      <c r="R76" s="18">
        <f t="shared" si="63"/>
        <v>1.0067820534243848</v>
      </c>
      <c r="S76" s="18">
        <f t="shared" si="64"/>
        <v>0.11613736475148802</v>
      </c>
      <c r="T76" s="18" t="str">
        <f t="shared" si="52"/>
        <v>1+0.0000477760085781366i</v>
      </c>
      <c r="U76" s="18">
        <f t="shared" si="65"/>
        <v>1.0000000011412735</v>
      </c>
      <c r="V76" s="18">
        <f t="shared" si="66"/>
        <v>4.7776008541786268E-5</v>
      </c>
      <c r="W76" s="32" t="str">
        <f t="shared" si="53"/>
        <v>1-0.000791555171708773i</v>
      </c>
      <c r="X76" s="18">
        <f t="shared" si="67"/>
        <v>1.0000003132797457</v>
      </c>
      <c r="Y76" s="18">
        <f t="shared" si="68"/>
        <v>-7.9155500639000722E-4</v>
      </c>
      <c r="Z76" s="32" t="str">
        <f t="shared" si="54"/>
        <v>0.999999970135542+0.000359690263716241i</v>
      </c>
      <c r="AA76" s="18">
        <f t="shared" si="69"/>
        <v>1.0000000348240847</v>
      </c>
      <c r="AB76" s="18">
        <f t="shared" si="70"/>
        <v>3.5969025894630322E-4</v>
      </c>
      <c r="AC76" s="68" t="str">
        <f t="shared" si="71"/>
        <v>36.0358414496617-4.24433666969283i</v>
      </c>
      <c r="AD76" s="66">
        <f t="shared" si="72"/>
        <v>31.194526179830202</v>
      </c>
      <c r="AE76" s="63">
        <f t="shared" si="73"/>
        <v>-6.717404975268412</v>
      </c>
      <c r="AF76" s="51" t="str">
        <f t="shared" si="74"/>
        <v>42.1703962805665</v>
      </c>
      <c r="AG76" s="51" t="str">
        <f t="shared" si="55"/>
        <v>1+0.0210776508432956i</v>
      </c>
      <c r="AH76" s="51">
        <f t="shared" si="75"/>
        <v>1.0002221090163284</v>
      </c>
      <c r="AI76" s="51">
        <f t="shared" si="76"/>
        <v>2.1074530304264882E-2</v>
      </c>
      <c r="AJ76" s="51" t="str">
        <f t="shared" si="56"/>
        <v>1+0.0000477760085781366i</v>
      </c>
      <c r="AK76" s="51">
        <f t="shared" si="77"/>
        <v>1.0000000011412735</v>
      </c>
      <c r="AL76" s="51">
        <f t="shared" si="78"/>
        <v>4.7776008541786268E-5</v>
      </c>
      <c r="AM76" s="51" t="str">
        <f t="shared" si="57"/>
        <v>1-0.000123886840047778i</v>
      </c>
      <c r="AN76" s="51">
        <f t="shared" si="79"/>
        <v>1.0000000076739746</v>
      </c>
      <c r="AO76" s="51">
        <f t="shared" si="80"/>
        <v>-1.2388683941397504E-4</v>
      </c>
      <c r="AP76" s="60" t="str">
        <f t="shared" si="81"/>
        <v>42.1516022975467-0.891666379637464i</v>
      </c>
      <c r="AQ76" s="51">
        <f t="shared" si="82"/>
        <v>32.498224719469263</v>
      </c>
      <c r="AR76" s="63">
        <f t="shared" si="83"/>
        <v>-1.2118424710391424</v>
      </c>
      <c r="AS76" s="32" t="str">
        <f t="shared" si="58"/>
        <v>-0.000133283554228113</v>
      </c>
      <c r="AT76" s="32" t="str">
        <f t="shared" si="59"/>
        <v>0.0000145955706206207i</v>
      </c>
      <c r="AU76" s="32">
        <f t="shared" si="84"/>
        <v>1.4595570620620699E-5</v>
      </c>
      <c r="AV76" s="32">
        <f t="shared" si="85"/>
        <v>1.5707963267948966</v>
      </c>
      <c r="AW76" s="32" t="str">
        <f t="shared" si="60"/>
        <v>1+0.00255192734867074i</v>
      </c>
      <c r="AX76" s="32">
        <f t="shared" si="86"/>
        <v>1.0000032561612953</v>
      </c>
      <c r="AY76" s="32">
        <f t="shared" si="87"/>
        <v>2.5519218090253263E-3</v>
      </c>
      <c r="AZ76" s="32" t="str">
        <f t="shared" si="61"/>
        <v>1+0.0380299417082396i</v>
      </c>
      <c r="BA76" s="32">
        <f t="shared" si="88"/>
        <v>1.0007228769576182</v>
      </c>
      <c r="BB76" s="32">
        <f t="shared" si="89"/>
        <v>3.8011623664817674E-2</v>
      </c>
      <c r="BC76" s="60" t="str">
        <f t="shared" si="90"/>
        <v>-0.323975347004735+9.13260774445894i</v>
      </c>
      <c r="BD76" s="51">
        <f t="shared" si="91"/>
        <v>19.217358014599611</v>
      </c>
      <c r="BE76" s="63">
        <f t="shared" si="92"/>
        <v>92.031691259129104</v>
      </c>
      <c r="BF76" s="60" t="str">
        <f t="shared" si="93"/>
        <v>27.087137701466+330.476265146644i</v>
      </c>
      <c r="BG76" s="66">
        <f t="shared" si="94"/>
        <v>50.411884194429824</v>
      </c>
      <c r="BH76" s="63">
        <f t="shared" si="95"/>
        <v>85.31428628386071</v>
      </c>
      <c r="BI76" s="60" t="str">
        <f t="shared" si="101"/>
        <v>-5.51284069700251+385.242927508684i</v>
      </c>
      <c r="BJ76" s="66">
        <f t="shared" si="97"/>
        <v>51.715582734068875</v>
      </c>
      <c r="BK76" s="63">
        <f t="shared" si="102"/>
        <v>90.819848788089971</v>
      </c>
      <c r="BL76" s="51">
        <f t="shared" si="99"/>
        <v>50.411884194429824</v>
      </c>
      <c r="BM76" s="63">
        <f t="shared" si="100"/>
        <v>85.31428628386071</v>
      </c>
    </row>
    <row r="77" spans="1:65" x14ac:dyDescent="0.35">
      <c r="N77" s="11">
        <v>59</v>
      </c>
      <c r="O77" s="52">
        <f t="shared" si="62"/>
        <v>38.904514499428053</v>
      </c>
      <c r="P77" s="50" t="str">
        <f t="shared" si="50"/>
        <v>36.531007751938</v>
      </c>
      <c r="Q77" s="18" t="str">
        <f t="shared" si="51"/>
        <v>1+0.119379761665139i</v>
      </c>
      <c r="R77" s="18">
        <f t="shared" si="63"/>
        <v>1.0071005548083196</v>
      </c>
      <c r="S77" s="18">
        <f t="shared" si="64"/>
        <v>0.11881744753939066</v>
      </c>
      <c r="T77" s="18" t="str">
        <f t="shared" si="52"/>
        <v>1+0.0000488888547771524i</v>
      </c>
      <c r="U77" s="18">
        <f t="shared" si="65"/>
        <v>1.0000000011950601</v>
      </c>
      <c r="V77" s="18">
        <f t="shared" si="66"/>
        <v>4.8888854738202318E-5</v>
      </c>
      <c r="W77" s="32" t="str">
        <f t="shared" si="53"/>
        <v>1-0.000809992860213177i</v>
      </c>
      <c r="X77" s="18">
        <f t="shared" si="67"/>
        <v>1.0000003280441629</v>
      </c>
      <c r="Y77" s="18">
        <f t="shared" si="68"/>
        <v>-8.0999268307093114E-4</v>
      </c>
      <c r="Z77" s="32" t="str">
        <f t="shared" si="54"/>
        <v>0.999999968728073+0.000368068526252446i</v>
      </c>
      <c r="AA77" s="18">
        <f t="shared" si="69"/>
        <v>1.0000000364652928</v>
      </c>
      <c r="AB77" s="18">
        <f t="shared" si="70"/>
        <v>3.6806852114136578E-4</v>
      </c>
      <c r="AC77" s="68" t="str">
        <f t="shared" si="71"/>
        <v>36.0128328879594-4.34045321421406i</v>
      </c>
      <c r="AD77" s="66">
        <f t="shared" si="72"/>
        <v>31.191778896911273</v>
      </c>
      <c r="AE77" s="63">
        <f t="shared" si="73"/>
        <v>-6.8724350864918931</v>
      </c>
      <c r="AF77" s="51" t="str">
        <f t="shared" si="74"/>
        <v>42.1703962805665</v>
      </c>
      <c r="AG77" s="51" t="str">
        <f t="shared" si="55"/>
        <v>1+0.0215686124016849i</v>
      </c>
      <c r="AH77" s="51">
        <f t="shared" si="75"/>
        <v>1.0002325754747914</v>
      </c>
      <c r="AI77" s="51">
        <f t="shared" si="76"/>
        <v>2.1565268725860464E-2</v>
      </c>
      <c r="AJ77" s="51" t="str">
        <f t="shared" si="56"/>
        <v>1+0.0000488888547771524i</v>
      </c>
      <c r="AK77" s="51">
        <f t="shared" si="77"/>
        <v>1.0000000011950601</v>
      </c>
      <c r="AL77" s="51">
        <f t="shared" si="78"/>
        <v>4.8888854738202318E-5</v>
      </c>
      <c r="AM77" s="51" t="str">
        <f t="shared" si="57"/>
        <v>1-0.000126772535256698i</v>
      </c>
      <c r="AN77" s="51">
        <f t="shared" si="79"/>
        <v>1.0000000080356377</v>
      </c>
      <c r="AO77" s="51">
        <f t="shared" si="80"/>
        <v>-1.2677253457756587E-4</v>
      </c>
      <c r="AP77" s="60" t="str">
        <f t="shared" si="81"/>
        <v>42.1507169762709-0.912416862583918i</v>
      </c>
      <c r="AQ77" s="51">
        <f t="shared" si="82"/>
        <v>32.498133833237816</v>
      </c>
      <c r="AR77" s="63">
        <f t="shared" si="83"/>
        <v>-1.2400612882050142</v>
      </c>
      <c r="AS77" s="32" t="str">
        <f t="shared" si="58"/>
        <v>-0.000133283554228113</v>
      </c>
      <c r="AT77" s="32" t="str">
        <f t="shared" si="59"/>
        <v>0.00001493554513442i</v>
      </c>
      <c r="AU77" s="32">
        <f t="shared" si="84"/>
        <v>1.493554513442E-5</v>
      </c>
      <c r="AV77" s="32">
        <f t="shared" si="85"/>
        <v>1.5707963267948966</v>
      </c>
      <c r="AW77" s="32" t="str">
        <f t="shared" si="60"/>
        <v>1+0.00261136937270438i</v>
      </c>
      <c r="AX77" s="32">
        <f t="shared" si="86"/>
        <v>1.0000034096191877</v>
      </c>
      <c r="AY77" s="32">
        <f t="shared" si="87"/>
        <v>2.6113634368684678E-3</v>
      </c>
      <c r="AZ77" s="32" t="str">
        <f t="shared" si="61"/>
        <v>1+0.0389157728468872i</v>
      </c>
      <c r="BA77" s="32">
        <f t="shared" si="88"/>
        <v>1.0007569322149463</v>
      </c>
      <c r="BB77" s="32">
        <f t="shared" si="89"/>
        <v>3.8896145511449765E-2</v>
      </c>
      <c r="BC77" s="60" t="str">
        <f t="shared" si="90"/>
        <v>-0.323975247571934+8.92476228915572i</v>
      </c>
      <c r="BD77" s="51">
        <f t="shared" si="91"/>
        <v>19.017652263190399</v>
      </c>
      <c r="BE77" s="63">
        <f t="shared" si="92"/>
        <v>92.078964873425448</v>
      </c>
      <c r="BF77" s="60" t="str">
        <f t="shared" si="93"/>
        <v>27.070246713419+322.812172288776i</v>
      </c>
      <c r="BG77" s="66">
        <f t="shared" si="94"/>
        <v>50.209431160101666</v>
      </c>
      <c r="BH77" s="63">
        <f t="shared" si="95"/>
        <v>85.206529786933558</v>
      </c>
      <c r="BI77" s="60" t="str">
        <f t="shared" si="101"/>
        <v>-5.51268536054316+376.480729809643i</v>
      </c>
      <c r="BJ77" s="66">
        <f t="shared" si="97"/>
        <v>51.515786096428222</v>
      </c>
      <c r="BK77" s="63">
        <f t="shared" si="102"/>
        <v>90.838903585220436</v>
      </c>
      <c r="BL77" s="51">
        <f t="shared" si="99"/>
        <v>50.209431160101666</v>
      </c>
      <c r="BM77" s="63">
        <f t="shared" si="100"/>
        <v>85.206529786933558</v>
      </c>
    </row>
    <row r="78" spans="1:65" x14ac:dyDescent="0.35">
      <c r="N78" s="11">
        <v>60</v>
      </c>
      <c r="O78" s="52">
        <f t="shared" si="62"/>
        <v>39.810717055349755</v>
      </c>
      <c r="P78" s="50" t="str">
        <f t="shared" si="50"/>
        <v>36.531007751938</v>
      </c>
      <c r="Q78" s="18" t="str">
        <f t="shared" si="51"/>
        <v>1+0.122160473532084i</v>
      </c>
      <c r="R78" s="18">
        <f t="shared" si="63"/>
        <v>1.0074339587752554</v>
      </c>
      <c r="S78" s="18">
        <f t="shared" si="64"/>
        <v>0.12155818296104938</v>
      </c>
      <c r="T78" s="18" t="str">
        <f t="shared" si="52"/>
        <v>1+0.0000500276224940914i</v>
      </c>
      <c r="U78" s="18">
        <f t="shared" si="65"/>
        <v>1.0000000012513814</v>
      </c>
      <c r="V78" s="18">
        <f t="shared" si="66"/>
        <v>5.0027622452355644E-5</v>
      </c>
      <c r="W78" s="32" t="str">
        <f t="shared" si="53"/>
        <v>1-0.000828860017653586i</v>
      </c>
      <c r="X78" s="18">
        <f t="shared" si="67"/>
        <v>1.0000003435044054</v>
      </c>
      <c r="Y78" s="18">
        <f t="shared" si="68"/>
        <v>-8.2885982784225323E-4</v>
      </c>
      <c r="Z78" s="32" t="str">
        <f t="shared" si="54"/>
        <v>0.999999967254273+0.000376641943593232i</v>
      </c>
      <c r="AA78" s="18">
        <f t="shared" si="69"/>
        <v>1.0000000381838496</v>
      </c>
      <c r="AB78" s="18">
        <f t="shared" si="70"/>
        <v>3.7664193811661069E-4</v>
      </c>
      <c r="AC78" s="68" t="str">
        <f t="shared" si="71"/>
        <v>35.9887711368771-4.43861596236019i</v>
      </c>
      <c r="AD78" s="66">
        <f t="shared" si="72"/>
        <v>31.188904000155034</v>
      </c>
      <c r="AE78" s="63">
        <f t="shared" si="73"/>
        <v>-7.030974640706634</v>
      </c>
      <c r="AF78" s="51" t="str">
        <f t="shared" si="74"/>
        <v>42.1703962805665</v>
      </c>
      <c r="AG78" s="51" t="str">
        <f t="shared" si="55"/>
        <v>1+0.0220710099238639i</v>
      </c>
      <c r="AH78" s="51">
        <f t="shared" si="75"/>
        <v>1.0002435350848609</v>
      </c>
      <c r="AI78" s="51">
        <f t="shared" si="76"/>
        <v>2.2067427157779363E-2</v>
      </c>
      <c r="AJ78" s="51" t="str">
        <f t="shared" si="56"/>
        <v>1+0.0000500276224940914i</v>
      </c>
      <c r="AK78" s="51">
        <f t="shared" si="77"/>
        <v>1.0000000012513814</v>
      </c>
      <c r="AL78" s="51">
        <f t="shared" si="78"/>
        <v>5.0027622452355644E-5</v>
      </c>
      <c r="AM78" s="51" t="str">
        <f t="shared" si="57"/>
        <v>1-0.000129725446941844i</v>
      </c>
      <c r="AN78" s="51">
        <f t="shared" si="79"/>
        <v>1.0000000084143457</v>
      </c>
      <c r="AO78" s="51">
        <f t="shared" si="80"/>
        <v>-1.2972544621414083E-4</v>
      </c>
      <c r="AP78" s="60" t="str">
        <f t="shared" si="81"/>
        <v>42.1497899708044-0.933649321574064i</v>
      </c>
      <c r="AQ78" s="51">
        <f t="shared" si="82"/>
        <v>32.498038665708904</v>
      </c>
      <c r="AR78" s="63">
        <f t="shared" si="83"/>
        <v>-1.2689367897910593</v>
      </c>
      <c r="AS78" s="32" t="str">
        <f t="shared" si="58"/>
        <v>-0.000133283554228113</v>
      </c>
      <c r="AT78" s="32" t="str">
        <f t="shared" si="59"/>
        <v>0.0000152834386719449i</v>
      </c>
      <c r="AU78" s="32">
        <f t="shared" si="84"/>
        <v>1.5283438671944899E-5</v>
      </c>
      <c r="AV78" s="32">
        <f t="shared" si="85"/>
        <v>1.5707963267948966</v>
      </c>
      <c r="AW78" s="32" t="str">
        <f t="shared" si="60"/>
        <v>1+0.00267219597934497i</v>
      </c>
      <c r="AX78" s="32">
        <f t="shared" si="86"/>
        <v>1.0000035703093024</v>
      </c>
      <c r="AY78" s="32">
        <f t="shared" si="87"/>
        <v>2.6721896189834241E-3</v>
      </c>
      <c r="AZ78" s="32" t="str">
        <f t="shared" si="61"/>
        <v>1+0.0398222376434092i</v>
      </c>
      <c r="BA78" s="32">
        <f t="shared" si="88"/>
        <v>1.0007925912050548</v>
      </c>
      <c r="BB78" s="32">
        <f t="shared" si="89"/>
        <v>3.9801207474036461E-2</v>
      </c>
      <c r="BC78" s="60" t="str">
        <f t="shared" si="90"/>
        <v>-0.323975143453074+8.72164886092694i</v>
      </c>
      <c r="BD78" s="51">
        <f t="shared" si="91"/>
        <v>18.81796035773019</v>
      </c>
      <c r="BE78" s="63">
        <f t="shared" si="92"/>
        <v>92.127336020560406</v>
      </c>
      <c r="BF78" s="60" t="str">
        <f t="shared" si="93"/>
        <v>27.0525825604413+315.319426035243i</v>
      </c>
      <c r="BG78" s="66">
        <f t="shared" si="94"/>
        <v>50.00686435788522</v>
      </c>
      <c r="BH78" s="63">
        <f t="shared" si="95"/>
        <v>85.096361379853775</v>
      </c>
      <c r="BI78" s="60" t="str">
        <f t="shared" si="101"/>
        <v>-5.51252271029665+367.918146860068i</v>
      </c>
      <c r="BJ78" s="66">
        <f t="shared" si="97"/>
        <v>51.315999023439105</v>
      </c>
      <c r="BK78" s="63">
        <f t="shared" si="102"/>
        <v>90.858399230769351</v>
      </c>
      <c r="BL78" s="51">
        <f t="shared" si="99"/>
        <v>50.00686435788522</v>
      </c>
      <c r="BM78" s="63">
        <f t="shared" si="100"/>
        <v>85.096361379853775</v>
      </c>
    </row>
    <row r="79" spans="1:65" x14ac:dyDescent="0.35">
      <c r="N79" s="11">
        <v>61</v>
      </c>
      <c r="O79" s="52">
        <f t="shared" si="62"/>
        <v>40.738027780411279</v>
      </c>
      <c r="P79" s="50" t="str">
        <f t="shared" si="50"/>
        <v>36.531007751938</v>
      </c>
      <c r="Q79" s="18" t="str">
        <f t="shared" si="51"/>
        <v>1+0.12500595649908i</v>
      </c>
      <c r="R79" s="18">
        <f t="shared" si="63"/>
        <v>1.0077829573674333</v>
      </c>
      <c r="S79" s="18">
        <f t="shared" si="64"/>
        <v>0.12436085940309441</v>
      </c>
      <c r="T79" s="18" t="str">
        <f t="shared" si="52"/>
        <v>1+0.0000511929155186708i</v>
      </c>
      <c r="U79" s="18">
        <f t="shared" si="65"/>
        <v>1.0000000013103572</v>
      </c>
      <c r="V79" s="18">
        <f t="shared" si="66"/>
        <v>5.1192915473950127E-5</v>
      </c>
      <c r="W79" s="32" t="str">
        <f t="shared" si="53"/>
        <v>1-0.000848166647646617i</v>
      </c>
      <c r="X79" s="18">
        <f t="shared" si="67"/>
        <v>1.0000003596932665</v>
      </c>
      <c r="Y79" s="18">
        <f t="shared" si="68"/>
        <v>-8.4816644426011364E-4</v>
      </c>
      <c r="Z79" s="32" t="str">
        <f t="shared" si="54"/>
        <v>0.999999965711014+0.000385415061477958i</v>
      </c>
      <c r="AA79" s="18">
        <f t="shared" si="69"/>
        <v>1.0000000399833986</v>
      </c>
      <c r="AB79" s="18">
        <f t="shared" si="70"/>
        <v>3.8541505560965263E-4</v>
      </c>
      <c r="AC79" s="68" t="str">
        <f t="shared" si="71"/>
        <v>35.9636095005679-4.53885925512187i</v>
      </c>
      <c r="AD79" s="66">
        <f t="shared" si="72"/>
        <v>31.185895652209442</v>
      </c>
      <c r="AE79" s="63">
        <f t="shared" si="73"/>
        <v>-7.1930982560474419</v>
      </c>
      <c r="AF79" s="51" t="str">
        <f t="shared" si="74"/>
        <v>42.1703962805665</v>
      </c>
      <c r="AG79" s="51" t="str">
        <f t="shared" si="55"/>
        <v>1+0.0225851097876489i</v>
      </c>
      <c r="AH79" s="51">
        <f t="shared" si="75"/>
        <v>1.0002550110767354</v>
      </c>
      <c r="AI79" s="51">
        <f t="shared" si="76"/>
        <v>2.2581270837481786E-2</v>
      </c>
      <c r="AJ79" s="51" t="str">
        <f t="shared" si="56"/>
        <v>1+0.0000511929155186708i</v>
      </c>
      <c r="AK79" s="51">
        <f t="shared" si="77"/>
        <v>1.0000000013103572</v>
      </c>
      <c r="AL79" s="51">
        <f t="shared" si="78"/>
        <v>5.1192915473950127E-5</v>
      </c>
      <c r="AM79" s="51" t="str">
        <f t="shared" si="57"/>
        <v>1-0.000132747140776078i</v>
      </c>
      <c r="AN79" s="51">
        <f t="shared" si="79"/>
        <v>1.0000000088109016</v>
      </c>
      <c r="AO79" s="51">
        <f t="shared" si="80"/>
        <v>-1.3274713999633002E-4</v>
      </c>
      <c r="AP79" s="60" t="str">
        <f t="shared" si="81"/>
        <v>42.1488193204609-0.955374885769847i</v>
      </c>
      <c r="AQ79" s="51">
        <f t="shared" si="82"/>
        <v>32.497939015307836</v>
      </c>
      <c r="AR79" s="63">
        <f t="shared" si="83"/>
        <v>-1.2984842278961481</v>
      </c>
      <c r="AS79" s="32" t="str">
        <f t="shared" si="58"/>
        <v>-0.000133283554228113</v>
      </c>
      <c r="AT79" s="32" t="str">
        <f t="shared" si="59"/>
        <v>0.0000156394356909539i</v>
      </c>
      <c r="AU79" s="32">
        <f t="shared" si="84"/>
        <v>1.56394356909539E-5</v>
      </c>
      <c r="AV79" s="32">
        <f t="shared" si="85"/>
        <v>1.5707963267948966</v>
      </c>
      <c r="AW79" s="32" t="str">
        <f t="shared" si="60"/>
        <v>1+0.00273443941966452i</v>
      </c>
      <c r="AX79" s="32">
        <f t="shared" si="86"/>
        <v>1.0000037385724814</v>
      </c>
      <c r="AY79" s="32">
        <f t="shared" si="87"/>
        <v>2.7344326044157112E-3</v>
      </c>
      <c r="AZ79" s="32" t="str">
        <f t="shared" si="61"/>
        <v>1+0.0407498167174395i</v>
      </c>
      <c r="BA79" s="32">
        <f t="shared" si="88"/>
        <v>1.0008299293898564</v>
      </c>
      <c r="BB79" s="32">
        <f t="shared" si="89"/>
        <v>4.0727283494068456E-2</v>
      </c>
      <c r="BC79" s="60" t="str">
        <f t="shared" si="90"/>
        <v>-0.323975034427315+8.52315976634264i</v>
      </c>
      <c r="BD79" s="51">
        <f t="shared" si="91"/>
        <v>18.618282948681731</v>
      </c>
      <c r="BE79" s="63">
        <f t="shared" si="92"/>
        <v>92.176830007646942</v>
      </c>
      <c r="BF79" s="60" t="str">
        <f t="shared" si="93"/>
        <v>27.0341109622697+307.994066631137i</v>
      </c>
      <c r="BG79" s="66">
        <f t="shared" si="94"/>
        <v>49.804178600891177</v>
      </c>
      <c r="BH79" s="63">
        <f t="shared" si="95"/>
        <v>84.983731751599493</v>
      </c>
      <c r="BI79" s="60" t="str">
        <f t="shared" si="101"/>
        <v>-5.51235240224925+359.550638642506i</v>
      </c>
      <c r="BJ79" s="66">
        <f t="shared" si="97"/>
        <v>51.116221963989574</v>
      </c>
      <c r="BK79" s="63">
        <f t="shared" si="102"/>
        <v>90.878345779750802</v>
      </c>
      <c r="BL79" s="51">
        <f t="shared" si="99"/>
        <v>49.804178600891177</v>
      </c>
      <c r="BM79" s="63">
        <f t="shared" si="100"/>
        <v>84.983731751599493</v>
      </c>
    </row>
    <row r="80" spans="1:65" x14ac:dyDescent="0.35">
      <c r="N80" s="11">
        <v>62</v>
      </c>
      <c r="O80" s="52">
        <f t="shared" si="62"/>
        <v>41.686938347033561</v>
      </c>
      <c r="P80" s="50" t="str">
        <f t="shared" si="50"/>
        <v>36.531007751938</v>
      </c>
      <c r="Q80" s="18" t="str">
        <f t="shared" si="51"/>
        <v>1+0.127917719278861i</v>
      </c>
      <c r="R80" s="18">
        <f t="shared" si="63"/>
        <v>1.0081482742659957</v>
      </c>
      <c r="S80" s="18">
        <f t="shared" si="64"/>
        <v>0.12722678666733461</v>
      </c>
      <c r="T80" s="18" t="str">
        <f t="shared" si="52"/>
        <v>1+0.0000523853517046766i</v>
      </c>
      <c r="U80" s="18">
        <f t="shared" si="65"/>
        <v>1.0000000013721124</v>
      </c>
      <c r="V80" s="18">
        <f t="shared" si="66"/>
        <v>5.2385351656757534E-5</v>
      </c>
      <c r="W80" s="32" t="str">
        <f t="shared" si="53"/>
        <v>1-0.000867922986823045i</v>
      </c>
      <c r="X80" s="18">
        <f t="shared" si="67"/>
        <v>1.0000003766450847</v>
      </c>
      <c r="Y80" s="18">
        <f t="shared" si="68"/>
        <v>-8.6792276889048451E-4</v>
      </c>
      <c r="Z80" s="32" t="str">
        <f t="shared" si="54"/>
        <v>0.999999964095024+0.000394392531529851i</v>
      </c>
      <c r="AA80" s="18">
        <f t="shared" si="69"/>
        <v>1.0000000418677581</v>
      </c>
      <c r="AB80" s="18">
        <f t="shared" si="70"/>
        <v>3.9439252524184852E-4</v>
      </c>
      <c r="AC80" s="68" t="str">
        <f t="shared" si="71"/>
        <v>35.9372993562277-4.6412173348717i</v>
      </c>
      <c r="AD80" s="66">
        <f t="shared" si="72"/>
        <v>31.182747757289846</v>
      </c>
      <c r="AE80" s="63">
        <f t="shared" si="73"/>
        <v>-7.3588817962599018</v>
      </c>
      <c r="AF80" s="51" t="str">
        <f t="shared" si="74"/>
        <v>42.1703962805665</v>
      </c>
      <c r="AG80" s="51" t="str">
        <f t="shared" si="55"/>
        <v>1+0.0231111845755927i</v>
      </c>
      <c r="AH80" s="51">
        <f t="shared" si="75"/>
        <v>1.0002670277743275</v>
      </c>
      <c r="AI80" s="51">
        <f t="shared" si="76"/>
        <v>2.3107071125683144E-2</v>
      </c>
      <c r="AJ80" s="51" t="str">
        <f t="shared" si="56"/>
        <v>1+0.0000523853517046766i</v>
      </c>
      <c r="AK80" s="51">
        <f t="shared" si="77"/>
        <v>1.0000000013721124</v>
      </c>
      <c r="AL80" s="51">
        <f t="shared" si="78"/>
        <v>5.2385351656757534E-5</v>
      </c>
      <c r="AM80" s="51" t="str">
        <f t="shared" si="57"/>
        <v>1-0.000135839218901468i</v>
      </c>
      <c r="AN80" s="51">
        <f t="shared" si="79"/>
        <v>1.0000000092261467</v>
      </c>
      <c r="AO80" s="51">
        <f t="shared" si="80"/>
        <v>-1.3583921806595297E-4</v>
      </c>
      <c r="AP80" s="60" t="str">
        <f t="shared" si="81"/>
        <v>42.1478029725185-0.977604936604424i</v>
      </c>
      <c r="AQ80" s="51">
        <f t="shared" si="82"/>
        <v>32.497834670978889</v>
      </c>
      <c r="AR80" s="63">
        <f t="shared" si="83"/>
        <v>-1.3287192067395479</v>
      </c>
      <c r="AS80" s="32" t="str">
        <f t="shared" si="58"/>
        <v>-0.000133283554228113</v>
      </c>
      <c r="AT80" s="32" t="str">
        <f t="shared" si="59"/>
        <v>0.0000160037249457787i</v>
      </c>
      <c r="AU80" s="32">
        <f t="shared" si="84"/>
        <v>1.6003724945778699E-5</v>
      </c>
      <c r="AV80" s="32">
        <f t="shared" si="85"/>
        <v>1.5707963267948966</v>
      </c>
      <c r="AW80" s="32" t="str">
        <f t="shared" si="60"/>
        <v>1+0.00279813269595896i</v>
      </c>
      <c r="AX80" s="32">
        <f t="shared" si="86"/>
        <v>1.0000039147656294</v>
      </c>
      <c r="AY80" s="32">
        <f t="shared" si="87"/>
        <v>2.7981253932898354E-3</v>
      </c>
      <c r="AZ80" s="32" t="str">
        <f t="shared" si="61"/>
        <v>1+0.0416990018836811i</v>
      </c>
      <c r="BA80" s="32">
        <f t="shared" si="88"/>
        <v>1.0008690257761479</v>
      </c>
      <c r="BB80" s="32">
        <f t="shared" si="89"/>
        <v>4.1674858231939858E-2</v>
      </c>
      <c r="BC80" s="60" t="str">
        <f t="shared" si="90"/>
        <v>-0.32397492026341+8.32918976385568i</v>
      </c>
      <c r="BD80" s="51">
        <f t="shared" si="91"/>
        <v>18.418620716963318</v>
      </c>
      <c r="BE80" s="63">
        <f t="shared" si="92"/>
        <v>92.227472712912288</v>
      </c>
      <c r="BF80" s="60" t="str">
        <f t="shared" si="93"/>
        <v>27.0147962240267+300.832223954499i</v>
      </c>
      <c r="BG80" s="66">
        <f t="shared" si="94"/>
        <v>49.601368474253164</v>
      </c>
      <c r="BH80" s="63">
        <f t="shared" si="95"/>
        <v>84.868590916652408</v>
      </c>
      <c r="BI80" s="60" t="str">
        <f t="shared" si="101"/>
        <v>-5.51217407623925+351.373768569093i</v>
      </c>
      <c r="BJ80" s="66">
        <f t="shared" si="97"/>
        <v>50.916455387942214</v>
      </c>
      <c r="BK80" s="63">
        <f t="shared" si="102"/>
        <v>90.898753506172753</v>
      </c>
      <c r="BL80" s="51">
        <f t="shared" si="99"/>
        <v>49.601368474253164</v>
      </c>
      <c r="BM80" s="63">
        <f t="shared" si="100"/>
        <v>84.868590916652408</v>
      </c>
    </row>
    <row r="81" spans="14:65" x14ac:dyDescent="0.35">
      <c r="N81" s="11">
        <v>63</v>
      </c>
      <c r="O81" s="52">
        <f t="shared" si="62"/>
        <v>42.657951880159267</v>
      </c>
      <c r="P81" s="50" t="str">
        <f t="shared" si="50"/>
        <v>36.531007751938</v>
      </c>
      <c r="Q81" s="18" t="str">
        <f t="shared" si="51"/>
        <v>1+0.130897305726595i</v>
      </c>
      <c r="R81" s="18">
        <f t="shared" si="63"/>
        <v>1.0085306661904148</v>
      </c>
      <c r="S81" s="18">
        <f t="shared" si="64"/>
        <v>0.13015729589064917</v>
      </c>
      <c r="T81" s="18" t="str">
        <f t="shared" si="52"/>
        <v>1+0.0000536055632975582i</v>
      </c>
      <c r="U81" s="18">
        <f t="shared" si="65"/>
        <v>1.0000000014367783</v>
      </c>
      <c r="V81" s="18">
        <f t="shared" si="66"/>
        <v>5.3605563246211999E-5</v>
      </c>
      <c r="W81" s="32" t="str">
        <f t="shared" si="53"/>
        <v>1-0.000888139510255403i</v>
      </c>
      <c r="X81" s="18">
        <f t="shared" si="67"/>
        <v>1.0000003943958171</v>
      </c>
      <c r="Y81" s="18">
        <f t="shared" si="68"/>
        <v>-8.8813927673646223E-4</v>
      </c>
      <c r="Z81" s="32" t="str">
        <f t="shared" si="54"/>
        <v>0.999999962402875+0.000403579113722363i</v>
      </c>
      <c r="AA81" s="18">
        <f t="shared" si="69"/>
        <v>1.0000000438409253</v>
      </c>
      <c r="AB81" s="18">
        <f t="shared" si="70"/>
        <v>4.0357910698464677E-4</v>
      </c>
      <c r="AC81" s="68" t="str">
        <f t="shared" si="71"/>
        <v>35.909790088274-4.74572428517005i</v>
      </c>
      <c r="AD81" s="66">
        <f t="shared" si="72"/>
        <v>31.179453950550617</v>
      </c>
      <c r="AE81" s="63">
        <f t="shared" si="73"/>
        <v>-7.5284023665439168</v>
      </c>
      <c r="AF81" s="51" t="str">
        <f t="shared" si="74"/>
        <v>42.1703962805665</v>
      </c>
      <c r="AG81" s="51" t="str">
        <f t="shared" si="55"/>
        <v>1+0.023649513219511i</v>
      </c>
      <c r="AH81" s="51">
        <f t="shared" si="75"/>
        <v>1.0002796106467031</v>
      </c>
      <c r="AI81" s="51">
        <f t="shared" si="76"/>
        <v>2.3645105645062274E-2</v>
      </c>
      <c r="AJ81" s="51" t="str">
        <f t="shared" si="56"/>
        <v>1+0.0000536055632975582i</v>
      </c>
      <c r="AK81" s="51">
        <f t="shared" si="77"/>
        <v>1.0000000014367783</v>
      </c>
      <c r="AL81" s="51">
        <f t="shared" si="78"/>
        <v>5.3605563246211999E-5</v>
      </c>
      <c r="AM81" s="51" t="str">
        <f t="shared" si="57"/>
        <v>1-0.000139003320778763i</v>
      </c>
      <c r="AN81" s="51">
        <f t="shared" si="79"/>
        <v>1.0000000096609616</v>
      </c>
      <c r="AO81" s="51">
        <f t="shared" si="80"/>
        <v>-1.3900331988349251E-4</v>
      </c>
      <c r="AP81" s="60" t="str">
        <f t="shared" si="81"/>
        <v>42.146738777918-1.0003511131621i</v>
      </c>
      <c r="AQ81" s="51">
        <f t="shared" si="82"/>
        <v>32.497725411740369</v>
      </c>
      <c r="AR81" s="63">
        <f t="shared" si="83"/>
        <v>-1.3596576906382236</v>
      </c>
      <c r="AS81" s="32" t="str">
        <f t="shared" si="58"/>
        <v>-0.000133283554228113</v>
      </c>
      <c r="AT81" s="32" t="str">
        <f t="shared" si="59"/>
        <v>0.000016376499587404i</v>
      </c>
      <c r="AU81" s="32">
        <f t="shared" si="84"/>
        <v>1.6376499587403998E-5</v>
      </c>
      <c r="AV81" s="32">
        <f t="shared" si="85"/>
        <v>1.5707963267948966</v>
      </c>
      <c r="AW81" s="32" t="str">
        <f t="shared" si="60"/>
        <v>1+0.00286330957924646i</v>
      </c>
      <c r="AX81" s="32">
        <f t="shared" si="86"/>
        <v>1.0000040992624712</v>
      </c>
      <c r="AY81" s="32">
        <f t="shared" si="87"/>
        <v>2.8633017542972453E-3</v>
      </c>
      <c r="AZ81" s="32" t="str">
        <f t="shared" si="61"/>
        <v>1+0.0426702964126728i</v>
      </c>
      <c r="BA81" s="32">
        <f t="shared" si="88"/>
        <v>1.0009099630815679</v>
      </c>
      <c r="BB81" s="32">
        <f t="shared" si="89"/>
        <v>4.2644427293836384E-2</v>
      </c>
      <c r="BC81" s="60" t="str">
        <f t="shared" si="90"/>
        <v>-0.323974800719213+8.13963600800131i</v>
      </c>
      <c r="BD81" s="51">
        <f t="shared" si="91"/>
        <v>18.218974375364954</v>
      </c>
      <c r="BE81" s="63">
        <f t="shared" si="92"/>
        <v>92.279290597695692</v>
      </c>
      <c r="BF81" s="60" t="str">
        <f t="shared" si="93"/>
        <v>26.9946011878991+293.83011552184i</v>
      </c>
      <c r="BG81" s="66">
        <f t="shared" si="94"/>
        <v>49.398428325915575</v>
      </c>
      <c r="BH81" s="63">
        <f t="shared" si="95"/>
        <v>84.750888231151762</v>
      </c>
      <c r="BI81" s="60" t="str">
        <f t="shared" si="101"/>
        <v>-5.51198735520229+343.383201129102i</v>
      </c>
      <c r="BJ81" s="66">
        <f t="shared" si="97"/>
        <v>50.716699787105313</v>
      </c>
      <c r="BK81" s="63">
        <f t="shared" si="102"/>
        <v>90.919632907057462</v>
      </c>
      <c r="BL81" s="51">
        <f t="shared" si="99"/>
        <v>49.398428325915575</v>
      </c>
      <c r="BM81" s="63">
        <f t="shared" si="100"/>
        <v>84.750888231151762</v>
      </c>
    </row>
    <row r="82" spans="14:65" x14ac:dyDescent="0.35">
      <c r="N82" s="11">
        <v>64</v>
      </c>
      <c r="O82" s="52">
        <f t="shared" si="62"/>
        <v>43.651583224016633</v>
      </c>
      <c r="P82" s="50" t="str">
        <f t="shared" si="50"/>
        <v>36.531007751938</v>
      </c>
      <c r="Q82" s="18" t="str">
        <f t="shared" si="51"/>
        <v>1+0.133946295658456i</v>
      </c>
      <c r="R82" s="18">
        <f t="shared" si="63"/>
        <v>1.0089309243553903</v>
      </c>
      <c r="S82" s="18">
        <f t="shared" si="64"/>
        <v>0.13315373942581013</v>
      </c>
      <c r="T82" s="18" t="str">
        <f t="shared" si="52"/>
        <v>1+0.0000548541972696536i</v>
      </c>
      <c r="U82" s="18">
        <f t="shared" si="65"/>
        <v>1.0000000015044914</v>
      </c>
      <c r="V82" s="18">
        <f t="shared" si="66"/>
        <v>5.4854197214635153E-5</v>
      </c>
      <c r="W82" s="32" t="str">
        <f t="shared" si="53"/>
        <v>1-0.000908826937012013i</v>
      </c>
      <c r="X82" s="18">
        <f t="shared" si="67"/>
        <v>1.0000004129831155</v>
      </c>
      <c r="Y82" s="18">
        <f t="shared" si="68"/>
        <v>-9.0882668679196537E-4</v>
      </c>
      <c r="Z82" s="32" t="str">
        <f t="shared" si="54"/>
        <v>0.999999960630977+0.000412979678902971i</v>
      </c>
      <c r="AA82" s="18">
        <f t="shared" si="69"/>
        <v>1.0000000459070841</v>
      </c>
      <c r="AB82" s="18">
        <f t="shared" si="70"/>
        <v>4.1297967168337808E-4</v>
      </c>
      <c r="AC82" s="68" t="str">
        <f t="shared" si="71"/>
        <v>35.8810290216348-4.8524139657629i</v>
      </c>
      <c r="AD82" s="66">
        <f t="shared" si="72"/>
        <v>31.176007587097917</v>
      </c>
      <c r="AE82" s="63">
        <f t="shared" si="73"/>
        <v>-7.701738307168851</v>
      </c>
      <c r="AF82" s="51" t="str">
        <f t="shared" si="74"/>
        <v>42.1703962805665</v>
      </c>
      <c r="AG82" s="51" t="str">
        <f t="shared" si="55"/>
        <v>1+0.0242003811483767i</v>
      </c>
      <c r="AH82" s="51">
        <f t="shared" si="75"/>
        <v>1.0002927863619364</v>
      </c>
      <c r="AI82" s="51">
        <f t="shared" si="76"/>
        <v>2.4195658421922523E-2</v>
      </c>
      <c r="AJ82" s="51" t="str">
        <f t="shared" si="56"/>
        <v>1+0.0000548541972696536i</v>
      </c>
      <c r="AK82" s="51">
        <f t="shared" si="77"/>
        <v>1.0000000015044914</v>
      </c>
      <c r="AL82" s="51">
        <f t="shared" si="78"/>
        <v>5.4854197214635153E-5</v>
      </c>
      <c r="AM82" s="51" t="str">
        <f t="shared" si="57"/>
        <v>1-0.000142241124056662i</v>
      </c>
      <c r="AN82" s="51">
        <f t="shared" si="79"/>
        <v>1.0000000101162687</v>
      </c>
      <c r="AO82" s="51">
        <f t="shared" si="80"/>
        <v>-1.4224112309736239E-4</v>
      </c>
      <c r="AP82" s="60" t="str">
        <f t="shared" si="81"/>
        <v>42.1456244867618-1.02362531764834i</v>
      </c>
      <c r="AQ82" s="51">
        <f t="shared" si="82"/>
        <v>32.497611006218847</v>
      </c>
      <c r="AR82" s="63">
        <f t="shared" si="83"/>
        <v>-1.3913160121540256</v>
      </c>
      <c r="AS82" s="32" t="str">
        <f t="shared" si="58"/>
        <v>-0.000133283554228113</v>
      </c>
      <c r="AT82" s="32" t="str">
        <f t="shared" si="59"/>
        <v>0.0000167579572658792i</v>
      </c>
      <c r="AU82" s="32">
        <f t="shared" si="84"/>
        <v>1.67579572658792E-5</v>
      </c>
      <c r="AV82" s="32">
        <f t="shared" si="85"/>
        <v>1.5707963267948966</v>
      </c>
      <c r="AW82" s="32" t="str">
        <f t="shared" si="60"/>
        <v>1+0.00293000462717325i</v>
      </c>
      <c r="AX82" s="32">
        <f t="shared" si="86"/>
        <v>1.0000042924543451</v>
      </c>
      <c r="AY82" s="32">
        <f t="shared" si="87"/>
        <v>2.9299962425910478E-3</v>
      </c>
      <c r="AZ82" s="32" t="str">
        <f t="shared" si="61"/>
        <v>1+0.0436642152976306i</v>
      </c>
      <c r="BA82" s="32">
        <f t="shared" si="88"/>
        <v>1.0009528279082676</v>
      </c>
      <c r="BB82" s="32">
        <f t="shared" si="89"/>
        <v>4.3636497462296718E-2</v>
      </c>
      <c r="BC82" s="60" t="str">
        <f t="shared" si="90"/>
        <v>-0.323974675541163+7.9543979948669i</v>
      </c>
      <c r="BD82" s="51">
        <f t="shared" si="91"/>
        <v>18.019344670029117</v>
      </c>
      <c r="BE82" s="63">
        <f t="shared" si="92"/>
        <v>92.332310718633266</v>
      </c>
      <c r="BF82" s="60" t="str">
        <f t="shared" si="93"/>
        <v>26.9734871841614+286.984044543602i</v>
      </c>
      <c r="BG82" s="66">
        <f t="shared" si="94"/>
        <v>49.195352257127027</v>
      </c>
      <c r="BH82" s="63">
        <f t="shared" si="95"/>
        <v>84.630572411464414</v>
      </c>
      <c r="BI82" s="60" t="str">
        <f t="shared" si="101"/>
        <v>-5.5117918443814+335.574699590072i</v>
      </c>
      <c r="BJ82" s="66">
        <f t="shared" si="97"/>
        <v>50.516955676247967</v>
      </c>
      <c r="BK82" s="63">
        <f t="shared" si="102"/>
        <v>90.940994706479245</v>
      </c>
      <c r="BL82" s="51">
        <f t="shared" si="99"/>
        <v>49.195352257127027</v>
      </c>
      <c r="BM82" s="63">
        <f t="shared" si="100"/>
        <v>84.630572411464414</v>
      </c>
    </row>
    <row r="83" spans="14:65" x14ac:dyDescent="0.35">
      <c r="N83" s="11">
        <v>65</v>
      </c>
      <c r="O83" s="52">
        <f t="shared" si="62"/>
        <v>44.668359215096324</v>
      </c>
      <c r="P83" s="50" t="str">
        <f t="shared" ref="P83:P146" si="103">COMPLEX(Adc,0)</f>
        <v>36.531007751938</v>
      </c>
      <c r="Q83" s="18" t="str">
        <f t="shared" ref="Q83:Q146" si="104">IMSUM(COMPLEX(1,0),IMDIV(COMPLEX(0,2*PI()*O83),COMPLEX(wp_lf,0)))</f>
        <v>1+0.137066305689264i</v>
      </c>
      <c r="R83" s="18">
        <f t="shared" si="63"/>
        <v>1.0093498759871637</v>
      </c>
      <c r="S83" s="18">
        <f t="shared" si="64"/>
        <v>0.13621749068014793</v>
      </c>
      <c r="T83" s="18" t="str">
        <f t="shared" ref="T83:T146" si="105">IMSUM(COMPLEX(1,0),IMDIV(COMPLEX(0,2*PI()*O83),COMPLEX(wz_esr,0)))</f>
        <v>1+0.0000561319156632226i</v>
      </c>
      <c r="U83" s="18">
        <f t="shared" si="65"/>
        <v>1.0000000015753958</v>
      </c>
      <c r="V83" s="18">
        <f t="shared" si="66"/>
        <v>5.6131915604269271E-5</v>
      </c>
      <c r="W83" s="32" t="str">
        <f t="shared" ref="W83:W146" si="106">IMSUB(COMPLEX(1,0),IMDIV(COMPLEX(0,2*PI()*O83),COMPLEX(wz_rhp,0)))</f>
        <v>1-0.000929996235840375i</v>
      </c>
      <c r="X83" s="18">
        <f t="shared" si="67"/>
        <v>1.0000004324464058</v>
      </c>
      <c r="Y83" s="18">
        <f t="shared" si="68"/>
        <v>-9.2999596772476976E-4</v>
      </c>
      <c r="Z83" s="32" t="str">
        <f t="shared" ref="Z83:Z146" si="107">IMSUM(COMPLEX(1,0),IMDIV(COMPLEX(0,2*PI()*O83),COMPLEX(Q*(wsl/2),0)),IMDIV(IMPOWER(COMPLEX(0,2*PI()*O83),2),IMPOWER(COMPLEX(wsl/2,0),2)))</f>
        <v>0.999999958775572+0.000422599211375766i</v>
      </c>
      <c r="AA83" s="18">
        <f t="shared" si="69"/>
        <v>1.0000000480706186</v>
      </c>
      <c r="AB83" s="18">
        <f t="shared" si="70"/>
        <v>4.2259920363983287E-4</v>
      </c>
      <c r="AC83" s="68" t="str">
        <f t="shared" si="71"/>
        <v>35.8509613542857-4.96131994249832i</v>
      </c>
      <c r="AD83" s="66">
        <f t="shared" si="72"/>
        <v>31.172401730638043</v>
      </c>
      <c r="AE83" s="63">
        <f t="shared" si="73"/>
        <v>-7.8789691846839762</v>
      </c>
      <c r="AF83" s="51" t="str">
        <f t="shared" si="74"/>
        <v>42.1703962805665</v>
      </c>
      <c r="AG83" s="51" t="str">
        <f t="shared" ref="AG83:AG146" si="108">IMSUM(COMPLEX(1,0),IMDIV(COMPLEX(0,2*PI()*O83),COMPLEX(wp_lf_DCM,0)))</f>
        <v>1+0.0247640804396571i</v>
      </c>
      <c r="AH83" s="51">
        <f t="shared" si="75"/>
        <v>1.0003065828434909</v>
      </c>
      <c r="AI83" s="51">
        <f t="shared" si="76"/>
        <v>2.4759020030851297E-2</v>
      </c>
      <c r="AJ83" s="51" t="str">
        <f t="shared" ref="AJ83:AJ146" si="109">IMSUM(COMPLEX(1,0),IMDIV(COMPLEX(0,2*PI()*O83),COMPLEX(wz1_dcm,0)))</f>
        <v>1+0.0000561319156632226i</v>
      </c>
      <c r="AK83" s="51">
        <f t="shared" si="77"/>
        <v>1.0000000015753958</v>
      </c>
      <c r="AL83" s="51">
        <f t="shared" si="78"/>
        <v>5.6131915604269271E-5</v>
      </c>
      <c r="AM83" s="51" t="str">
        <f t="shared" ref="AM83:AM146" si="110">IMSUB(COMPLEX(1,0),IMDIV(COMPLEX(0,2*PI()*O83),COMPLEX(wz2_dcm,0)))</f>
        <v>1-0.000145554345461319i</v>
      </c>
      <c r="AN83" s="51">
        <f t="shared" si="79"/>
        <v>1.0000000105930338</v>
      </c>
      <c r="AO83" s="51">
        <f t="shared" si="80"/>
        <v>-1.4555434443341096E-4</v>
      </c>
      <c r="AP83" s="60" t="str">
        <f t="shared" si="81"/>
        <v>42.1444577436036-1.04743972094929i</v>
      </c>
      <c r="AQ83" s="51">
        <f t="shared" si="82"/>
        <v>32.497491212161513</v>
      </c>
      <c r="AR83" s="63">
        <f t="shared" si="83"/>
        <v>-1.4237108804133689</v>
      </c>
      <c r="AS83" s="32" t="str">
        <f t="shared" ref="AS83:AS146" si="111">COMPLEX(Adc_ea,0)</f>
        <v>-0.000133283554228113</v>
      </c>
      <c r="AT83" s="32" t="str">
        <f t="shared" ref="AT83:AT146" si="112">COMPLEX(0,2*PI()*O83*wp0_ea)</f>
        <v>0.0000171483002351145i</v>
      </c>
      <c r="AU83" s="32">
        <f t="shared" si="84"/>
        <v>1.7148300235114499E-5</v>
      </c>
      <c r="AV83" s="32">
        <f t="shared" si="85"/>
        <v>1.5707963267948966</v>
      </c>
      <c r="AW83" s="32" t="str">
        <f t="shared" ref="AW83:AW146" si="113">IMSUM(COMPLEX(1,0),IMDIV(COMPLEX(0,2*PI()*O83),COMPLEX(wp1_ea,0)))</f>
        <v>1+0.00299825320233657i</v>
      </c>
      <c r="AX83" s="32">
        <f t="shared" si="86"/>
        <v>1.0000044947510311</v>
      </c>
      <c r="AY83" s="32">
        <f t="shared" si="87"/>
        <v>2.9982442180970553E-3</v>
      </c>
      <c r="AZ83" s="32" t="str">
        <f t="shared" ref="AZ83:AZ146" si="114">IMSUM(COMPLEX(1,0),IMDIV(COMPLEX(0,2*PI()*O83),COMPLEX(wz_ea,0)))</f>
        <v>1+0.0446812855275035i</v>
      </c>
      <c r="BA83" s="32">
        <f t="shared" si="88"/>
        <v>1.0009977109246506</v>
      </c>
      <c r="BB83" s="32">
        <f t="shared" si="89"/>
        <v>4.4651586930417604E-2</v>
      </c>
      <c r="BC83" s="60" t="str">
        <f t="shared" si="90"/>
        <v>-0.32397454446376+7.77337750880372i</v>
      </c>
      <c r="BD83" s="51">
        <f t="shared" si="91"/>
        <v>17.819732381999863</v>
      </c>
      <c r="BE83" s="63">
        <f t="shared" si="92"/>
        <v>92.386560740027974</v>
      </c>
      <c r="BF83" s="60" t="str">
        <f t="shared" si="93"/>
        <v>26.9514139816532+280.290398028706i</v>
      </c>
      <c r="BG83" s="66">
        <f t="shared" si="94"/>
        <v>48.992134112637913</v>
      </c>
      <c r="BH83" s="63">
        <f t="shared" si="95"/>
        <v>84.507591555344021</v>
      </c>
      <c r="BI83" s="60" t="str">
        <f t="shared" si="101"/>
        <v>-5.5115871305013+327.944123751305i</v>
      </c>
      <c r="BJ83" s="66">
        <f t="shared" si="97"/>
        <v>50.317223594161376</v>
      </c>
      <c r="BK83" s="63">
        <f t="shared" si="102"/>
        <v>90.962849859614607</v>
      </c>
      <c r="BL83" s="51">
        <f t="shared" si="99"/>
        <v>48.992134112637913</v>
      </c>
      <c r="BM83" s="63">
        <f t="shared" si="100"/>
        <v>84.507591555344021</v>
      </c>
    </row>
    <row r="84" spans="14:65" x14ac:dyDescent="0.35">
      <c r="N84" s="11">
        <v>66</v>
      </c>
      <c r="O84" s="52">
        <f t="shared" ref="O84:O118" si="115">10^(1+(N84/100))</f>
        <v>45.70881896148753</v>
      </c>
      <c r="P84" s="50" t="str">
        <f t="shared" si="103"/>
        <v>36.531007751938</v>
      </c>
      <c r="Q84" s="18" t="str">
        <f t="shared" si="104"/>
        <v>1+0.140258990089636i</v>
      </c>
      <c r="R84" s="18">
        <f t="shared" ref="R84:R147" si="116">IMABS(Q84)</f>
        <v>1.0097883859012069</v>
      </c>
      <c r="S84" s="18">
        <f t="shared" ref="S84:S147" si="117">IMARGUMENT(Q84)</f>
        <v>0.13934994390879812</v>
      </c>
      <c r="T84" s="18" t="str">
        <f t="shared" si="105"/>
        <v>1+0.00005743939594147i</v>
      </c>
      <c r="U84" s="18">
        <f t="shared" ref="U84:U147" si="118">IMABS(T84)</f>
        <v>1.000000001649642</v>
      </c>
      <c r="V84" s="18">
        <f t="shared" ref="V84:V147" si="119">IMARGUMENT(T84)</f>
        <v>5.7439395878300373E-5</v>
      </c>
      <c r="W84" s="32" t="str">
        <f t="shared" si="106"/>
        <v>1-0.000951658630982936i</v>
      </c>
      <c r="X84" s="18">
        <f t="shared" ref="X84:X147" si="120">IMABS(W84)</f>
        <v>1.0000004528269724</v>
      </c>
      <c r="Y84" s="18">
        <f t="shared" ref="Y84:Y147" si="121">IMARGUMENT(W84)</f>
        <v>-9.5165834369189599E-4</v>
      </c>
      <c r="Z84" s="32" t="str">
        <f t="shared" si="107"/>
        <v>0.999999956832725+0.000432442811544195i</v>
      </c>
      <c r="AA84" s="18">
        <f t="shared" ref="AA84:AA147" si="122">IMABS(Z84)</f>
        <v>1.0000000503361173</v>
      </c>
      <c r="AB84" s="18">
        <f t="shared" ref="AB84:AB147" si="123">IMARGUMENT(Z84)</f>
        <v>4.3244280325499312E-4</v>
      </c>
      <c r="AC84" s="68" t="str">
        <f t="shared" ref="AC84:AC147" si="124">(IMDIV(IMPRODUCT(P84,T84,W84),IMPRODUCT(Q84,Z84)))</f>
        <v>35.8195300892035-5.07247541187944i</v>
      </c>
      <c r="AD84" s="66">
        <f t="shared" ref="AD84:AD147" si="125">20*LOG(IMABS(AC84))</f>
        <v>31.168629141758718</v>
      </c>
      <c r="AE84" s="63">
        <f t="shared" ref="AE84:AE147" si="126">(180/PI())*IMARGUMENT(AC84)</f>
        <v>-8.0601757805365679</v>
      </c>
      <c r="AF84" s="51" t="str">
        <f t="shared" ref="AF84:AF147" si="127">COMPLEX($B$68,0)</f>
        <v>42.1703962805665</v>
      </c>
      <c r="AG84" s="51" t="str">
        <f t="shared" si="108"/>
        <v>1+0.025340909974178i</v>
      </c>
      <c r="AH84" s="51">
        <f t="shared" ref="AH84:AH147" si="128">IMABS(AG84)</f>
        <v>1.0003210293292446</v>
      </c>
      <c r="AI84" s="51">
        <f t="shared" ref="AI84:AI147" si="129">IMARGUMENT(AG84)</f>
        <v>2.5335487742430256E-2</v>
      </c>
      <c r="AJ84" s="51" t="str">
        <f t="shared" si="109"/>
        <v>1+0.00005743939594147i</v>
      </c>
      <c r="AK84" s="51">
        <f t="shared" ref="AK84:AK147" si="130">IMABS(AJ84)</f>
        <v>1.000000001649642</v>
      </c>
      <c r="AL84" s="51">
        <f t="shared" ref="AL84:AL147" si="131">IMARGUMENT(AJ84)</f>
        <v>5.7439395878300373E-5</v>
      </c>
      <c r="AM84" s="51" t="str">
        <f t="shared" si="110"/>
        <v>1-0.00014894474170658i</v>
      </c>
      <c r="AN84" s="51">
        <f t="shared" ref="AN84:AN147" si="132">IMABS(AM84)</f>
        <v>1.000000011092268</v>
      </c>
      <c r="AO84" s="51">
        <f t="shared" ref="AO84:AO147" si="133">IMARGUMENT(AM84)</f>
        <v>-1.4894474060515669E-4</v>
      </c>
      <c r="AP84" s="60" t="str">
        <f t="shared" ref="AP84:AP147" si="134">(IMDIV(IMPRODUCT(AF84,AJ84,AM84),IMPRODUCT(AG84)))</f>
        <v>42.143236082522-1.07180676828042i</v>
      </c>
      <c r="AQ84" s="51">
        <f t="shared" ref="AQ84:AQ147" si="135">20*LOG(IMABS(AP84))</f>
        <v>32.497365775926006</v>
      </c>
      <c r="AR84" s="63">
        <f t="shared" ref="AR84:AR147" si="136">(180/PI())*IMARGUMENT(AP84)</f>
        <v>-1.4568593896024156</v>
      </c>
      <c r="AS84" s="32" t="str">
        <f t="shared" si="111"/>
        <v>-0.000133283554228113</v>
      </c>
      <c r="AT84" s="32" t="str">
        <f t="shared" si="112"/>
        <v>0.0000175477354601191i</v>
      </c>
      <c r="AU84" s="32">
        <f t="shared" ref="AU84:AU147" si="137">IMABS(AT84)</f>
        <v>1.7547735460119099E-5</v>
      </c>
      <c r="AV84" s="32">
        <f t="shared" ref="AV84:AV147" si="138">IMARGUMENT(AT84)</f>
        <v>1.5707963267948966</v>
      </c>
      <c r="AW84" s="32" t="str">
        <f t="shared" si="113"/>
        <v>1+0.00306809149103434i</v>
      </c>
      <c r="AX84" s="32">
        <f t="shared" ref="AX84:AX147" si="139">IMABS(AW84)</f>
        <v>1.0000047065816227</v>
      </c>
      <c r="AY84" s="32">
        <f t="shared" ref="AY84:AY147" si="140">IMARGUMENT(AW84)</f>
        <v>3.0680818642507043E-3</v>
      </c>
      <c r="AZ84" s="32" t="str">
        <f t="shared" si="114"/>
        <v>1+0.0457220463663898i</v>
      </c>
      <c r="BA84" s="32">
        <f t="shared" ref="BA84:BA147" si="141">IMABS(AZ84)</f>
        <v>1.001044707055549</v>
      </c>
      <c r="BB84" s="32">
        <f t="shared" ref="BB84:BB147" si="142">IMARGUMENT(AZ84)</f>
        <v>4.5690225539667818E-2</v>
      </c>
      <c r="BC84" s="60" t="str">
        <f t="shared" ref="BC84:BC147" si="143">IMPRODUCT(AS84,IMDIV(AZ84,IMPRODUCT(AT84,AW84)))</f>
        <v>-0.323974407208981+7.59647857035144i</v>
      </c>
      <c r="BD84" s="51">
        <f t="shared" ref="BD84:BD147" si="144">20*LOG(IMABS(BC84))</f>
        <v>17.620138328842128</v>
      </c>
      <c r="BE84" s="63">
        <f t="shared" ref="BE84:BE147" si="145">(180/PI())*IMARGUMENT(BC84)</f>
        <v>92.442068946401605</v>
      </c>
      <c r="BF84" s="60" t="str">
        <f t="shared" ref="BF84:BF147" si="146">IMPRODUCT(AC84,BC84)</f>
        <v>26.9283397378228+273.745644937339i</v>
      </c>
      <c r="BG84" s="66">
        <f t="shared" ref="BG84:BG147" si="147">20*LOG(IMABS(BF84))</f>
        <v>48.788767470600845</v>
      </c>
      <c r="BH84" s="63">
        <f t="shared" ref="BH84:BH147" si="148">(180/PI())*IMARGUMENT(BF84)</f>
        <v>84.381893165865065</v>
      </c>
      <c r="BI84" s="60" t="str">
        <f t="shared" si="101"/>
        <v>-5.51137278090336+320.487427748536i</v>
      </c>
      <c r="BJ84" s="66">
        <f t="shared" ref="BJ84:BJ147" si="149">20*LOG(IMABS(BI84))</f>
        <v>50.117504104768138</v>
      </c>
      <c r="BK84" s="63">
        <f t="shared" si="102"/>
        <v>90.985209556799205</v>
      </c>
      <c r="BL84" s="51">
        <f t="shared" ref="BL84:BL147" si="150">IF($B$31=0,BJ84,BG84)</f>
        <v>48.788767470600845</v>
      </c>
      <c r="BM84" s="63">
        <f t="shared" ref="BM84:BM147" si="151">IF($B$31=0,BK84,BH84)</f>
        <v>84.381893165865065</v>
      </c>
    </row>
    <row r="85" spans="14:65" x14ac:dyDescent="0.35">
      <c r="N85" s="11">
        <v>67</v>
      </c>
      <c r="O85" s="52">
        <f t="shared" si="115"/>
        <v>46.773514128719818</v>
      </c>
      <c r="P85" s="50" t="str">
        <f t="shared" si="103"/>
        <v>36.531007751938</v>
      </c>
      <c r="Q85" s="18" t="str">
        <f t="shared" si="104"/>
        <v>1+0.1435260416631i</v>
      </c>
      <c r="R85" s="18">
        <f t="shared" si="116"/>
        <v>1.0102473581432807</v>
      </c>
      <c r="S85" s="18">
        <f t="shared" si="117"/>
        <v>0.14255251395908827</v>
      </c>
      <c r="T85" s="18" t="str">
        <f t="shared" si="105"/>
        <v>1+0.0000587773313477458i</v>
      </c>
      <c r="U85" s="18">
        <f t="shared" si="118"/>
        <v>1.0000000017273873</v>
      </c>
      <c r="V85" s="18">
        <f t="shared" si="119"/>
        <v>5.877733128005832E-5</v>
      </c>
      <c r="W85" s="32" t="str">
        <f t="shared" si="106"/>
        <v>1-0.000973825608128334i</v>
      </c>
      <c r="X85" s="18">
        <f t="shared" si="120"/>
        <v>1.0000004741680451</v>
      </c>
      <c r="Y85" s="18">
        <f t="shared" si="121"/>
        <v>-9.7382530029044626E-4</v>
      </c>
      <c r="Z85" s="32" t="str">
        <f t="shared" si="107"/>
        <v>0.999999954798314+0.000442515698615361i</v>
      </c>
      <c r="AA85" s="18">
        <f t="shared" si="122"/>
        <v>1.0000000527083854</v>
      </c>
      <c r="AB85" s="18">
        <f t="shared" si="123"/>
        <v>4.4251568973332117E-4</v>
      </c>
      <c r="AC85" s="68" t="str">
        <f t="shared" si="124"/>
        <v>35.7866759659186-5.18591311996359i</v>
      </c>
      <c r="AD85" s="66">
        <f t="shared" si="125"/>
        <v>31.164682265839826</v>
      </c>
      <c r="AE85" s="63">
        <f t="shared" si="126"/>
        <v>-8.2454400769018594</v>
      </c>
      <c r="AF85" s="51" t="str">
        <f t="shared" si="127"/>
        <v>42.1703962805665</v>
      </c>
      <c r="AG85" s="51" t="str">
        <f t="shared" si="108"/>
        <v>1+0.0259311755945938i</v>
      </c>
      <c r="AH85" s="51">
        <f t="shared" si="128"/>
        <v>1.0003361564332851</v>
      </c>
      <c r="AI85" s="51">
        <f t="shared" si="129"/>
        <v>2.5925365674041533E-2</v>
      </c>
      <c r="AJ85" s="51" t="str">
        <f t="shared" si="109"/>
        <v>1+0.0000587773313477458i</v>
      </c>
      <c r="AK85" s="51">
        <f t="shared" si="130"/>
        <v>1.0000000017273873</v>
      </c>
      <c r="AL85" s="51">
        <f t="shared" si="131"/>
        <v>5.877733128005832E-5</v>
      </c>
      <c r="AM85" s="51" t="str">
        <f t="shared" si="110"/>
        <v>1-0.00015241411042541i</v>
      </c>
      <c r="AN85" s="51">
        <f t="shared" si="132"/>
        <v>1.0000000116150305</v>
      </c>
      <c r="AO85" s="51">
        <f t="shared" si="133"/>
        <v>-1.5241410924521365E-4</v>
      </c>
      <c r="AP85" s="60" t="str">
        <f t="shared" si="134"/>
        <v>42.1419569219641-1.0967391849234i</v>
      </c>
      <c r="AQ85" s="51">
        <f t="shared" si="135"/>
        <v>32.497234431946133</v>
      </c>
      <c r="AR85" s="63">
        <f t="shared" si="136"/>
        <v>-1.4907790276405242</v>
      </c>
      <c r="AS85" s="32" t="str">
        <f t="shared" si="111"/>
        <v>-0.000133283554228113</v>
      </c>
      <c r="AT85" s="32" t="str">
        <f t="shared" si="112"/>
        <v>0.0000179564747267363i</v>
      </c>
      <c r="AU85" s="32">
        <f t="shared" si="137"/>
        <v>1.79564747267363E-5</v>
      </c>
      <c r="AV85" s="32">
        <f t="shared" si="138"/>
        <v>1.5707963267948966</v>
      </c>
      <c r="AW85" s="32" t="str">
        <f t="shared" si="113"/>
        <v>1+0.00313955652245165i</v>
      </c>
      <c r="AX85" s="32">
        <f t="shared" si="139"/>
        <v>1.0000049283954342</v>
      </c>
      <c r="AY85" s="32">
        <f t="shared" si="140"/>
        <v>3.1395462071698824E-3</v>
      </c>
      <c r="AZ85" s="32" t="str">
        <f t="shared" si="114"/>
        <v>1+0.0467870496394624i</v>
      </c>
      <c r="BA85" s="32">
        <f t="shared" si="141"/>
        <v>1.001093915681224</v>
      </c>
      <c r="BB85" s="32">
        <f t="shared" si="142"/>
        <v>4.6752955021266071E-2</v>
      </c>
      <c r="BC85" s="60" t="str">
        <f t="shared" si="143"/>
        <v>-0.323974263485709+7.42360738534879i</v>
      </c>
      <c r="BD85" s="51">
        <f t="shared" si="144"/>
        <v>17.420563366335497</v>
      </c>
      <c r="BE85" s="63">
        <f t="shared" si="145"/>
        <v>92.498864255226366</v>
      </c>
      <c r="BF85" s="60" t="str">
        <f t="shared" si="146"/>
        <v>26.9042209484787+267.346334381218i</v>
      </c>
      <c r="BG85" s="66">
        <f t="shared" si="147"/>
        <v>48.585245632175315</v>
      </c>
      <c r="BH85" s="63">
        <f t="shared" si="148"/>
        <v>84.253424178324508</v>
      </c>
      <c r="BI85" s="60" t="str">
        <f t="shared" si="101"/>
        <v>-5.51114834264103+313.200657908615i</v>
      </c>
      <c r="BJ85" s="66">
        <f t="shared" si="149"/>
        <v>49.91779779828164</v>
      </c>
      <c r="BK85" s="63">
        <f t="shared" si="102"/>
        <v>91.008085227585838</v>
      </c>
      <c r="BL85" s="51">
        <f t="shared" si="150"/>
        <v>48.585245632175315</v>
      </c>
      <c r="BM85" s="63">
        <f t="shared" si="151"/>
        <v>84.253424178324508</v>
      </c>
    </row>
    <row r="86" spans="14:65" x14ac:dyDescent="0.35">
      <c r="N86" s="11">
        <v>68</v>
      </c>
      <c r="O86" s="52">
        <f t="shared" si="115"/>
        <v>47.863009232263877</v>
      </c>
      <c r="P86" s="50" t="str">
        <f t="shared" si="103"/>
        <v>36.531007751938</v>
      </c>
      <c r="Q86" s="18" t="str">
        <f t="shared" si="104"/>
        <v>1+0.146869192643646i</v>
      </c>
      <c r="R86" s="18">
        <f t="shared" si="116"/>
        <v>1.0107277376958625</v>
      </c>
      <c r="S86" s="18">
        <f t="shared" si="117"/>
        <v>0.14582663596245038</v>
      </c>
      <c r="T86" s="18" t="str">
        <f t="shared" si="105"/>
        <v>1+0.0000601464312731122i</v>
      </c>
      <c r="U86" s="18">
        <f t="shared" si="118"/>
        <v>1.0000000018087964</v>
      </c>
      <c r="V86" s="18">
        <f t="shared" si="119"/>
        <v>6.014643120058376E-5</v>
      </c>
      <c r="W86" s="32" t="str">
        <f t="shared" si="106"/>
        <v>1-0.000996508920501268i</v>
      </c>
      <c r="X86" s="18">
        <f t="shared" si="120"/>
        <v>1.000000496514891</v>
      </c>
      <c r="Y86" s="18">
        <f t="shared" si="121"/>
        <v>-9.9650859064703726E-4</v>
      </c>
      <c r="Z86" s="32" t="str">
        <f t="shared" si="107"/>
        <v>0.999999952668024+0.000452823213367321i</v>
      </c>
      <c r="AA86" s="18">
        <f t="shared" si="122"/>
        <v>1.0000000551924548</v>
      </c>
      <c r="AB86" s="18">
        <f t="shared" si="123"/>
        <v>4.5282320385004393E-4</v>
      </c>
      <c r="AC86" s="68" t="str">
        <f t="shared" si="124"/>
        <v>35.7523373918797-5.30166527530957i</v>
      </c>
      <c r="AD86" s="66">
        <f t="shared" si="125"/>
        <v>31.160553220592739</v>
      </c>
      <c r="AE86" s="63">
        <f t="shared" si="126"/>
        <v>-8.4348452395173048</v>
      </c>
      <c r="AF86" s="51" t="str">
        <f t="shared" si="127"/>
        <v>42.1703962805665</v>
      </c>
      <c r="AG86" s="51" t="str">
        <f t="shared" si="108"/>
        <v>1+0.0265351902675496i</v>
      </c>
      <c r="AH86" s="51">
        <f t="shared" si="128"/>
        <v>1.0003519962106013</v>
      </c>
      <c r="AI86" s="51">
        <f t="shared" si="129"/>
        <v>2.6528964943819618E-2</v>
      </c>
      <c r="AJ86" s="51" t="str">
        <f t="shared" si="109"/>
        <v>1+0.0000601464312731122i</v>
      </c>
      <c r="AK86" s="51">
        <f t="shared" si="130"/>
        <v>1.0000000018087964</v>
      </c>
      <c r="AL86" s="51">
        <f t="shared" si="131"/>
        <v>6.014643120058376E-5</v>
      </c>
      <c r="AM86" s="51" t="str">
        <f t="shared" si="110"/>
        <v>1-0.000155964291123027i</v>
      </c>
      <c r="AN86" s="51">
        <f t="shared" si="132"/>
        <v>1.00000001216243</v>
      </c>
      <c r="AO86" s="51">
        <f t="shared" si="133"/>
        <v>-1.5596428985842383E-4</v>
      </c>
      <c r="AP86" s="60" t="str">
        <f t="shared" si="134"/>
        <v>42.1406175593526-1.12224998205009i</v>
      </c>
      <c r="AQ86" s="51">
        <f t="shared" si="135"/>
        <v>32.497096902172821</v>
      </c>
      <c r="AR86" s="63">
        <f t="shared" si="136"/>
        <v>-1.5254876850344552</v>
      </c>
      <c r="AS86" s="32" t="str">
        <f t="shared" si="111"/>
        <v>-0.000133283554228113</v>
      </c>
      <c r="AT86" s="32" t="str">
        <f t="shared" si="112"/>
        <v>0.0000183747347539358i</v>
      </c>
      <c r="AU86" s="32">
        <f t="shared" si="137"/>
        <v>1.8374734753935798E-5</v>
      </c>
      <c r="AV86" s="32">
        <f t="shared" si="138"/>
        <v>1.5707963267948966</v>
      </c>
      <c r="AW86" s="32" t="str">
        <f t="shared" si="113"/>
        <v>1+0.00321268618829411i</v>
      </c>
      <c r="AX86" s="32">
        <f t="shared" si="139"/>
        <v>1.0000051606629561</v>
      </c>
      <c r="AY86" s="32">
        <f t="shared" si="140"/>
        <v>3.2126751352736381E-3</v>
      </c>
      <c r="AZ86" s="32" t="str">
        <f t="shared" si="114"/>
        <v>1+0.0478768600255536i</v>
      </c>
      <c r="BA86" s="32">
        <f t="shared" si="141"/>
        <v>1.0011454408455878</v>
      </c>
      <c r="BB86" s="32">
        <f t="shared" si="142"/>
        <v>4.7840329241066293E-2</v>
      </c>
      <c r="BC86" s="60" t="str">
        <f t="shared" si="143"/>
        <v>-0.323974112989104+7.2546722952023i</v>
      </c>
      <c r="BD86" s="51">
        <f t="shared" si="144"/>
        <v>17.221008390244442</v>
      </c>
      <c r="BE86" s="63">
        <f t="shared" si="145"/>
        <v>92.556976229831591</v>
      </c>
      <c r="BF86" s="60" t="str">
        <f t="shared" si="146"/>
        <v>26.879012397403+261.089093870528i</v>
      </c>
      <c r="BG86" s="66">
        <f t="shared" si="147"/>
        <v>48.381561610837167</v>
      </c>
      <c r="BH86" s="63">
        <f t="shared" si="148"/>
        <v>84.12213099031429</v>
      </c>
      <c r="BI86" s="60" t="str">
        <f t="shared" si="101"/>
        <v>-5.51091334153425+306.079950653038i</v>
      </c>
      <c r="BJ86" s="66">
        <f t="shared" si="149"/>
        <v>49.718105292417277</v>
      </c>
      <c r="BK86" s="63">
        <f t="shared" si="102"/>
        <v>91.031488544797142</v>
      </c>
      <c r="BL86" s="51">
        <f t="shared" si="150"/>
        <v>48.381561610837167</v>
      </c>
      <c r="BM86" s="63">
        <f t="shared" si="151"/>
        <v>84.12213099031429</v>
      </c>
    </row>
    <row r="87" spans="14:65" x14ac:dyDescent="0.35">
      <c r="N87" s="11">
        <v>69</v>
      </c>
      <c r="O87" s="52">
        <f t="shared" si="115"/>
        <v>48.977881936844632</v>
      </c>
      <c r="P87" s="50" t="str">
        <f t="shared" si="103"/>
        <v>36.531007751938</v>
      </c>
      <c r="Q87" s="18" t="str">
        <f t="shared" si="104"/>
        <v>1+0.150290215614175i</v>
      </c>
      <c r="R87" s="18">
        <f t="shared" si="116"/>
        <v>1.0112305122519569</v>
      </c>
      <c r="S87" s="18">
        <f t="shared" si="117"/>
        <v>0.14917376497003323</v>
      </c>
      <c r="T87" s="18" t="str">
        <f t="shared" si="105"/>
        <v>1+0.0000615474216324718i</v>
      </c>
      <c r="U87" s="18">
        <f t="shared" si="118"/>
        <v>1.0000000018940425</v>
      </c>
      <c r="V87" s="18">
        <f t="shared" si="119"/>
        <v>6.1547421554756176E-5</v>
      </c>
      <c r="W87" s="32" t="str">
        <f t="shared" si="106"/>
        <v>1-0.00101972059509421i</v>
      </c>
      <c r="X87" s="18">
        <f t="shared" si="120"/>
        <v>1.0000005199149109</v>
      </c>
      <c r="Y87" s="18">
        <f t="shared" si="121"/>
        <v>-1.0197202416490439E-3</v>
      </c>
      <c r="Z87" s="32" t="str">
        <f t="shared" si="107"/>
        <v>0.999999950437336+0.000463370820980833i</v>
      </c>
      <c r="AA87" s="18">
        <f t="shared" si="122"/>
        <v>1.0000000577935946</v>
      </c>
      <c r="AB87" s="18">
        <f t="shared" si="123"/>
        <v>4.6337081078288728E-4</v>
      </c>
      <c r="AC87" s="68" t="str">
        <f t="shared" si="124"/>
        <v>35.7164503738649-5.41976345566687i</v>
      </c>
      <c r="AD87" s="66">
        <f t="shared" si="125"/>
        <v>31.156233783227005</v>
      </c>
      <c r="AE87" s="63">
        <f t="shared" si="126"/>
        <v>-8.6284755973023266</v>
      </c>
      <c r="AF87" s="51" t="str">
        <f t="shared" si="127"/>
        <v>42.1703962805665</v>
      </c>
      <c r="AG87" s="51" t="str">
        <f t="shared" si="108"/>
        <v>1+0.02715327424962i</v>
      </c>
      <c r="AH87" s="51">
        <f t="shared" si="128"/>
        <v>1.0003685822248094</v>
      </c>
      <c r="AI87" s="51">
        <f t="shared" si="129"/>
        <v>2.714660382779472E-2</v>
      </c>
      <c r="AJ87" s="51" t="str">
        <f t="shared" si="109"/>
        <v>1+0.0000615474216324718i</v>
      </c>
      <c r="AK87" s="51">
        <f t="shared" si="130"/>
        <v>1.0000000018940425</v>
      </c>
      <c r="AL87" s="51">
        <f t="shared" si="131"/>
        <v>6.1547421554756176E-5</v>
      </c>
      <c r="AM87" s="51" t="str">
        <f t="shared" si="110"/>
        <v>1-0.00015959716615223i</v>
      </c>
      <c r="AN87" s="51">
        <f t="shared" si="132"/>
        <v>1.0000000127356277</v>
      </c>
      <c r="AO87" s="51">
        <f t="shared" si="133"/>
        <v>-1.5959716479718329E-4</v>
      </c>
      <c r="AP87" s="60" t="str">
        <f t="shared" si="134"/>
        <v>42.1392151654445-1.14835246263267i</v>
      </c>
      <c r="AQ87" s="51">
        <f t="shared" si="135"/>
        <v>32.496952895489173</v>
      </c>
      <c r="AR87" s="63">
        <f t="shared" si="136"/>
        <v>-1.5610036639164591</v>
      </c>
      <c r="AS87" s="32" t="str">
        <f t="shared" si="111"/>
        <v>-0.000133283554228113</v>
      </c>
      <c r="AT87" s="32" t="str">
        <f t="shared" si="112"/>
        <v>0.0000188027373087201i</v>
      </c>
      <c r="AU87" s="32">
        <f t="shared" si="137"/>
        <v>1.8802737308720101E-5</v>
      </c>
      <c r="AV87" s="32">
        <f t="shared" si="138"/>
        <v>1.5707963267948966</v>
      </c>
      <c r="AW87" s="32" t="str">
        <f t="shared" si="113"/>
        <v>1+0.00328751926287853i</v>
      </c>
      <c r="AX87" s="32">
        <f t="shared" si="139"/>
        <v>1.0000054038768509</v>
      </c>
      <c r="AY87" s="32">
        <f t="shared" si="140"/>
        <v>3.2875074193571695E-3</v>
      </c>
      <c r="AZ87" s="32" t="str">
        <f t="shared" si="114"/>
        <v>1+0.0489920553565557i</v>
      </c>
      <c r="BA87" s="32">
        <f t="shared" si="141"/>
        <v>1.0011993914740758</v>
      </c>
      <c r="BB87" s="32">
        <f t="shared" si="142"/>
        <v>4.8952914447885271E-2</v>
      </c>
      <c r="BC87" s="60" t="str">
        <f t="shared" si="143"/>
        <v>-0.323973955399965+7.08958372828813i</v>
      </c>
      <c r="BD87" s="51">
        <f t="shared" si="144"/>
        <v>17.021474338170005</v>
      </c>
      <c r="BE87" s="63">
        <f t="shared" si="145"/>
        <v>92.616435092481709</v>
      </c>
      <c r="BF87" s="60" t="str">
        <f t="shared" si="146"/>
        <v>26.8526671059989+254.970627606828i</v>
      </c>
      <c r="BG87" s="66">
        <f t="shared" si="147"/>
        <v>48.177708121397025</v>
      </c>
      <c r="BH87" s="63">
        <f t="shared" si="148"/>
        <v>83.987959495179396</v>
      </c>
      <c r="BI87" s="60" t="str">
        <f t="shared" si="101"/>
        <v>-5.51066728117906+299.12153044928i</v>
      </c>
      <c r="BJ87" s="66">
        <f t="shared" si="149"/>
        <v>49.518427233659175</v>
      </c>
      <c r="BK87" s="63">
        <f t="shared" si="102"/>
        <v>91.055431428565257</v>
      </c>
      <c r="BL87" s="51">
        <f t="shared" si="150"/>
        <v>48.177708121397025</v>
      </c>
      <c r="BM87" s="63">
        <f t="shared" si="151"/>
        <v>83.987959495179396</v>
      </c>
    </row>
    <row r="88" spans="14:65" x14ac:dyDescent="0.35">
      <c r="N88" s="11">
        <v>70</v>
      </c>
      <c r="O88" s="52">
        <f t="shared" si="115"/>
        <v>50.118723362727238</v>
      </c>
      <c r="P88" s="50" t="str">
        <f t="shared" si="103"/>
        <v>36.531007751938</v>
      </c>
      <c r="Q88" s="18" t="str">
        <f t="shared" si="104"/>
        <v>1+0.153790924446349i</v>
      </c>
      <c r="R88" s="18">
        <f t="shared" si="116"/>
        <v>1.0117567140583068</v>
      </c>
      <c r="S88" s="18">
        <f t="shared" si="117"/>
        <v>0.1525953755280261</v>
      </c>
      <c r="T88" s="18" t="str">
        <f t="shared" si="105"/>
        <v>1+0.0000629810452494572i</v>
      </c>
      <c r="U88" s="18">
        <f t="shared" si="118"/>
        <v>1.000000001983306</v>
      </c>
      <c r="V88" s="18">
        <f t="shared" si="119"/>
        <v>6.2981045166183414E-5</v>
      </c>
      <c r="W88" s="32" t="str">
        <f t="shared" si="106"/>
        <v>1-0.00104347293904426i</v>
      </c>
      <c r="X88" s="18">
        <f t="shared" si="120"/>
        <v>1.0000005444177391</v>
      </c>
      <c r="Y88" s="18">
        <f t="shared" si="121"/>
        <v>-1.0434725603209521E-3</v>
      </c>
      <c r="Z88" s="32" t="str">
        <f t="shared" si="107"/>
        <v>0.99999994810152+0.000474164113937066i</v>
      </c>
      <c r="AA88" s="18">
        <f t="shared" si="122"/>
        <v>1.0000000605173232</v>
      </c>
      <c r="AB88" s="18">
        <f t="shared" si="123"/>
        <v>4.741641030097701E-4</v>
      </c>
      <c r="AC88" s="68" t="str">
        <f t="shared" si="124"/>
        <v>35.6789484497079-5.54023850809673i</v>
      </c>
      <c r="AD88" s="66">
        <f t="shared" si="125"/>
        <v>31.151715377246305</v>
      </c>
      <c r="AE88" s="63">
        <f t="shared" si="126"/>
        <v>-8.8264166185356103</v>
      </c>
      <c r="AF88" s="51" t="str">
        <f t="shared" si="127"/>
        <v>42.1703962805665</v>
      </c>
      <c r="AG88" s="51" t="str">
        <f t="shared" si="108"/>
        <v>1+0.0277857552571136i</v>
      </c>
      <c r="AH88" s="51">
        <f t="shared" si="128"/>
        <v>1.0003859496190499</v>
      </c>
      <c r="AI88" s="51">
        <f t="shared" si="129"/>
        <v>2.7778607920275106E-2</v>
      </c>
      <c r="AJ88" s="51" t="str">
        <f t="shared" si="109"/>
        <v>1+0.0000629810452494572i</v>
      </c>
      <c r="AK88" s="51">
        <f t="shared" si="130"/>
        <v>1.000000001983306</v>
      </c>
      <c r="AL88" s="51">
        <f t="shared" si="131"/>
        <v>6.2981045166183414E-5</v>
      </c>
      <c r="AM88" s="51" t="str">
        <f t="shared" si="110"/>
        <v>1-0.000163314661711444i</v>
      </c>
      <c r="AN88" s="51">
        <f t="shared" si="132"/>
        <v>1.0000000133358393</v>
      </c>
      <c r="AO88" s="51">
        <f t="shared" si="133"/>
        <v>-1.6331466025948531E-4</v>
      </c>
      <c r="AP88" s="60" t="str">
        <f t="shared" si="134"/>
        <v>42.1377467784277-1.17506022743808i</v>
      </c>
      <c r="AQ88" s="51">
        <f t="shared" si="135"/>
        <v>32.496802107097771</v>
      </c>
      <c r="AR88" s="63">
        <f t="shared" si="136"/>
        <v>-1.5973456872685763</v>
      </c>
      <c r="AS88" s="32" t="str">
        <f t="shared" si="111"/>
        <v>-0.000133283554228113</v>
      </c>
      <c r="AT88" s="32" t="str">
        <f t="shared" si="112"/>
        <v>0.0000192407093237092i</v>
      </c>
      <c r="AU88" s="32">
        <f t="shared" si="137"/>
        <v>1.9240709323709201E-5</v>
      </c>
      <c r="AV88" s="32">
        <f t="shared" si="138"/>
        <v>1.5707963267948966</v>
      </c>
      <c r="AW88" s="32" t="str">
        <f t="shared" si="113"/>
        <v>1+0.00336409542369159i</v>
      </c>
      <c r="AX88" s="32">
        <f t="shared" si="139"/>
        <v>1.0000056585530002</v>
      </c>
      <c r="AY88" s="32">
        <f t="shared" si="140"/>
        <v>3.3640827331336887E-3</v>
      </c>
      <c r="AZ88" s="32" t="str">
        <f t="shared" si="114"/>
        <v>1+0.0501332269237941i</v>
      </c>
      <c r="BA88" s="32">
        <f t="shared" si="141"/>
        <v>1.0012558816015977</v>
      </c>
      <c r="BB88" s="32">
        <f t="shared" si="142"/>
        <v>5.009128952519281E-2</v>
      </c>
      <c r="BC88" s="60" t="str">
        <f t="shared" si="143"/>
        <v>-0.323973790384038+6.92825415245957i</v>
      </c>
      <c r="BD88" s="51">
        <f t="shared" si="144"/>
        <v>16.821962191484555</v>
      </c>
      <c r="BE88" s="63">
        <f t="shared" si="145"/>
        <v>92.677271737620018</v>
      </c>
      <c r="BF88" s="60" t="str">
        <f t="shared" si="146"/>
        <v>26.825136283169+248.987714821179i</v>
      </c>
      <c r="BG88" s="66">
        <f t="shared" si="147"/>
        <v>47.973677568730849</v>
      </c>
      <c r="BH88" s="63">
        <f t="shared" si="148"/>
        <v>83.8508551190844</v>
      </c>
      <c r="BI88" s="60" t="str">
        <f t="shared" si="101"/>
        <v>-5.51040964191204+292.321707808744i</v>
      </c>
      <c r="BJ88" s="66">
        <f t="shared" si="149"/>
        <v>49.318764298582316</v>
      </c>
      <c r="BK88" s="63">
        <f t="shared" si="102"/>
        <v>91.079926050351432</v>
      </c>
      <c r="BL88" s="51">
        <f t="shared" si="150"/>
        <v>47.973677568730849</v>
      </c>
      <c r="BM88" s="63">
        <f t="shared" si="151"/>
        <v>83.8508551190844</v>
      </c>
    </row>
    <row r="89" spans="14:65" x14ac:dyDescent="0.35">
      <c r="N89" s="11">
        <v>71</v>
      </c>
      <c r="O89" s="52">
        <f t="shared" si="115"/>
        <v>51.28613839913649</v>
      </c>
      <c r="P89" s="50" t="str">
        <f t="shared" si="103"/>
        <v>36.531007751938</v>
      </c>
      <c r="Q89" s="18" t="str">
        <f t="shared" si="104"/>
        <v>1+0.157373175262328i</v>
      </c>
      <c r="R89" s="18">
        <f t="shared" si="116"/>
        <v>1.0123074218300228</v>
      </c>
      <c r="S89" s="18">
        <f t="shared" si="117"/>
        <v>0.15609296118848168</v>
      </c>
      <c r="T89" s="18" t="str">
        <f t="shared" si="105"/>
        <v>1+0.0000644480622502866i</v>
      </c>
      <c r="U89" s="18">
        <f t="shared" si="118"/>
        <v>1.0000000020767763</v>
      </c>
      <c r="V89" s="18">
        <f t="shared" si="119"/>
        <v>6.4448062161057121E-5</v>
      </c>
      <c r="W89" s="32" t="str">
        <f t="shared" si="106"/>
        <v>1-0.0010677785461586i</v>
      </c>
      <c r="X89" s="18">
        <f t="shared" si="120"/>
        <v>1.0000005700753494</v>
      </c>
      <c r="Y89" s="18">
        <f t="shared" si="121"/>
        <v>-1.0677781403492768E-3</v>
      </c>
      <c r="Z89" s="32" t="str">
        <f t="shared" si="107"/>
        <v>0.99999994565562+0.000485208814982812i</v>
      </c>
      <c r="AA89" s="18">
        <f t="shared" si="122"/>
        <v>1.0000000633694166</v>
      </c>
      <c r="AB89" s="18">
        <f t="shared" si="123"/>
        <v>4.8520880327400351E-4</v>
      </c>
      <c r="AC89" s="68" t="str">
        <f t="shared" si="124"/>
        <v>35.639762620632-5.66312044220746i</v>
      </c>
      <c r="AD89" s="66">
        <f t="shared" si="125"/>
        <v>31.146989058875192</v>
      </c>
      <c r="AE89" s="63">
        <f t="shared" si="126"/>
        <v>-9.0287548833482525</v>
      </c>
      <c r="AF89" s="51" t="str">
        <f t="shared" si="127"/>
        <v>42.1703962805665</v>
      </c>
      <c r="AG89" s="51" t="str">
        <f t="shared" si="108"/>
        <v>1+0.0284329686398324i</v>
      </c>
      <c r="AH89" s="51">
        <f t="shared" si="128"/>
        <v>1.0004041351902109</v>
      </c>
      <c r="AI89" s="51">
        <f t="shared" si="129"/>
        <v>2.8425310297512961E-2</v>
      </c>
      <c r="AJ89" s="51" t="str">
        <f t="shared" si="109"/>
        <v>1+0.0000644480622502866i</v>
      </c>
      <c r="AK89" s="51">
        <f t="shared" si="130"/>
        <v>1.0000000020767763</v>
      </c>
      <c r="AL89" s="51">
        <f t="shared" si="131"/>
        <v>6.4448062161057121E-5</v>
      </c>
      <c r="AM89" s="51" t="str">
        <f t="shared" si="110"/>
        <v>1-0.000167118748866022i</v>
      </c>
      <c r="AN89" s="51">
        <f t="shared" si="132"/>
        <v>1.0000000139643381</v>
      </c>
      <c r="AO89" s="51">
        <f t="shared" si="133"/>
        <v>-1.671187473102202E-4</v>
      </c>
      <c r="AP89" s="60" t="str">
        <f t="shared" si="134"/>
        <v>42.1362092977486-1.20238718110528i</v>
      </c>
      <c r="AQ89" s="51">
        <f t="shared" si="135"/>
        <v>32.496644217880032</v>
      </c>
      <c r="AR89" s="63">
        <f t="shared" si="136"/>
        <v>-1.6345329083360094</v>
      </c>
      <c r="AS89" s="32" t="str">
        <f t="shared" si="111"/>
        <v>-0.000133283554228113</v>
      </c>
      <c r="AT89" s="32" t="str">
        <f t="shared" si="112"/>
        <v>0.0000196888830174626i</v>
      </c>
      <c r="AU89" s="32">
        <f t="shared" si="137"/>
        <v>1.9688883017462601E-5</v>
      </c>
      <c r="AV89" s="32">
        <f t="shared" si="138"/>
        <v>1.5707963267948966</v>
      </c>
      <c r="AW89" s="32" t="str">
        <f t="shared" si="113"/>
        <v>1+0.00344245527242736i</v>
      </c>
      <c r="AX89" s="32">
        <f t="shared" si="139"/>
        <v>1.0000059252315971</v>
      </c>
      <c r="AY89" s="32">
        <f t="shared" si="140"/>
        <v>3.4424416742539258E-3</v>
      </c>
      <c r="AZ89" s="32" t="str">
        <f t="shared" si="114"/>
        <v>1+0.0513009797915394i</v>
      </c>
      <c r="BA89" s="32">
        <f t="shared" si="141"/>
        <v>1.0013150306110319</v>
      </c>
      <c r="BB89" s="32">
        <f t="shared" si="142"/>
        <v>5.125604624607772E-2</v>
      </c>
      <c r="BC89" s="60" t="str">
        <f t="shared" si="143"/>
        <v>-0.323973617591335+6.77059802863658i</v>
      </c>
      <c r="BD89" s="51">
        <f t="shared" si="144"/>
        <v>16.622472977355031</v>
      </c>
      <c r="BE89" s="63">
        <f t="shared" si="145"/>
        <v>92.73951774527292</v>
      </c>
      <c r="BF89" s="60" t="str">
        <f t="shared" si="146"/>
        <v>26.7963692756388+243.137208156844i</v>
      </c>
      <c r="BG89" s="66">
        <f t="shared" si="147"/>
        <v>47.769462036230223</v>
      </c>
      <c r="BH89" s="63">
        <f t="shared" si="148"/>
        <v>83.710762861924664</v>
      </c>
      <c r="BI89" s="60" t="str">
        <f t="shared" si="101"/>
        <v>-5.51013987972796+285.676877330363i</v>
      </c>
      <c r="BJ89" s="66">
        <f t="shared" si="149"/>
        <v>49.119117195235056</v>
      </c>
      <c r="BK89" s="63">
        <f t="shared" si="102"/>
        <v>91.104984836936922</v>
      </c>
      <c r="BL89" s="51">
        <f t="shared" si="150"/>
        <v>47.769462036230223</v>
      </c>
      <c r="BM89" s="63">
        <f t="shared" si="151"/>
        <v>83.710762861924664</v>
      </c>
    </row>
    <row r="90" spans="14:65" x14ac:dyDescent="0.35">
      <c r="N90" s="11">
        <v>72</v>
      </c>
      <c r="O90" s="52">
        <f t="shared" si="115"/>
        <v>52.480746024977286</v>
      </c>
      <c r="P90" s="50" t="str">
        <f t="shared" si="103"/>
        <v>36.531007751938</v>
      </c>
      <c r="Q90" s="18" t="str">
        <f t="shared" si="104"/>
        <v>1+0.161038867418911i</v>
      </c>
      <c r="R90" s="18">
        <f t="shared" si="116"/>
        <v>1.0128837627386302</v>
      </c>
      <c r="S90" s="18">
        <f t="shared" si="117"/>
        <v>0.15966803395124696</v>
      </c>
      <c r="T90" s="18" t="str">
        <f t="shared" si="105"/>
        <v>1+0.0000659492504667922i</v>
      </c>
      <c r="U90" s="18">
        <f t="shared" si="118"/>
        <v>1.0000000021746518</v>
      </c>
      <c r="V90" s="18">
        <f t="shared" si="119"/>
        <v>6.5949250371181105E-5</v>
      </c>
      <c r="W90" s="32" t="str">
        <f t="shared" si="106"/>
        <v>1-0.00109265030359182i</v>
      </c>
      <c r="X90" s="18">
        <f t="shared" si="120"/>
        <v>1.0000005969421648</v>
      </c>
      <c r="Y90" s="18">
        <f t="shared" si="121"/>
        <v>-1.0926498687593099E-3</v>
      </c>
      <c r="Z90" s="32" t="str">
        <f t="shared" si="107"/>
        <v>0.999999943094448+0.000496510780164762i</v>
      </c>
      <c r="AA90" s="18">
        <f t="shared" si="122"/>
        <v>1.0000000663559248</v>
      </c>
      <c r="AB90" s="18">
        <f t="shared" si="123"/>
        <v>4.9651076761854786E-4</v>
      </c>
      <c r="AC90" s="68" t="str">
        <f t="shared" si="124"/>
        <v>35.5988212845243-5.78843831618577i</v>
      </c>
      <c r="AD90" s="66">
        <f t="shared" si="125"/>
        <v>31.142045503121704</v>
      </c>
      <c r="AE90" s="63">
        <f t="shared" si="126"/>
        <v>-9.235578052282424</v>
      </c>
      <c r="AF90" s="51" t="str">
        <f t="shared" si="127"/>
        <v>42.1703962805665</v>
      </c>
      <c r="AG90" s="51" t="str">
        <f t="shared" si="108"/>
        <v>1+0.029095257558879i</v>
      </c>
      <c r="AH90" s="51">
        <f t="shared" si="128"/>
        <v>1.0004231774666246</v>
      </c>
      <c r="AI90" s="51">
        <f t="shared" si="129"/>
        <v>2.9087051684699019E-2</v>
      </c>
      <c r="AJ90" s="51" t="str">
        <f t="shared" si="109"/>
        <v>1+0.0000659492504667922i</v>
      </c>
      <c r="AK90" s="51">
        <f t="shared" si="130"/>
        <v>1.0000000021746518</v>
      </c>
      <c r="AL90" s="51">
        <f t="shared" si="131"/>
        <v>6.5949250371181105E-5</v>
      </c>
      <c r="AM90" s="51" t="str">
        <f t="shared" si="110"/>
        <v>1-0.000171011444593328i</v>
      </c>
      <c r="AN90" s="51">
        <f t="shared" si="132"/>
        <v>1.000000014622457</v>
      </c>
      <c r="AO90" s="51">
        <f t="shared" si="133"/>
        <v>-1.7101144292625635E-4</v>
      </c>
      <c r="AP90" s="60" t="str">
        <f t="shared" si="134"/>
        <v>42.1345994776536-1.23034753830296i</v>
      </c>
      <c r="AQ90" s="51">
        <f t="shared" si="135"/>
        <v>32.496478893725218</v>
      </c>
      <c r="AR90" s="63">
        <f t="shared" si="136"/>
        <v>-1.6725849202319387</v>
      </c>
      <c r="AS90" s="32" t="str">
        <f t="shared" si="111"/>
        <v>-0.000133283554228113</v>
      </c>
      <c r="AT90" s="32" t="str">
        <f t="shared" si="112"/>
        <v>0.000020147496017605i</v>
      </c>
      <c r="AU90" s="32">
        <f t="shared" si="137"/>
        <v>2.0147496017604999E-5</v>
      </c>
      <c r="AV90" s="32">
        <f t="shared" si="138"/>
        <v>1.5707963267948966</v>
      </c>
      <c r="AW90" s="32" t="str">
        <f t="shared" si="113"/>
        <v>1+0.00352264035651486i</v>
      </c>
      <c r="AX90" s="32">
        <f t="shared" si="139"/>
        <v>1.0000062044782929</v>
      </c>
      <c r="AY90" s="32">
        <f t="shared" si="140"/>
        <v>3.522625785814392E-3</v>
      </c>
      <c r="AZ90" s="32" t="str">
        <f t="shared" si="114"/>
        <v>1+0.0524959331178189i</v>
      </c>
      <c r="BA90" s="32">
        <f t="shared" si="141"/>
        <v>1.0013769634827387</v>
      </c>
      <c r="BB90" s="32">
        <f t="shared" si="142"/>
        <v>5.2447789531379643E-2</v>
      </c>
      <c r="BC90" s="60" t="str">
        <f t="shared" si="143"/>
        <v>-0.323973436655358+6.61653176545178i</v>
      </c>
      <c r="BD90" s="51">
        <f t="shared" si="144"/>
        <v>16.423007770857382</v>
      </c>
      <c r="BE90" s="63">
        <f t="shared" si="145"/>
        <v>92.803205394607346</v>
      </c>
      <c r="BF90" s="60" t="str">
        <f t="shared" si="146"/>
        <v>26.7663135189741+237.416032095858i</v>
      </c>
      <c r="BG90" s="66">
        <f t="shared" si="147"/>
        <v>47.565053273979075</v>
      </c>
      <c r="BH90" s="63">
        <f t="shared" si="148"/>
        <v>83.567627342324926</v>
      </c>
      <c r="BI90" s="60" t="str">
        <f t="shared" si="101"/>
        <v>-5.50985742514555+279.183515788748i</v>
      </c>
      <c r="BJ90" s="66">
        <f t="shared" si="149"/>
        <v>48.919486664582621</v>
      </c>
      <c r="BK90" s="63">
        <f t="shared" si="102"/>
        <v>91.130620474375405</v>
      </c>
      <c r="BL90" s="51">
        <f t="shared" si="150"/>
        <v>47.565053273979075</v>
      </c>
      <c r="BM90" s="63">
        <f t="shared" si="151"/>
        <v>83.567627342324926</v>
      </c>
    </row>
    <row r="91" spans="14:65" x14ac:dyDescent="0.35">
      <c r="N91" s="11">
        <v>73</v>
      </c>
      <c r="O91" s="52">
        <f t="shared" si="115"/>
        <v>53.703179637025293</v>
      </c>
      <c r="P91" s="50" t="str">
        <f t="shared" si="103"/>
        <v>36.531007751938</v>
      </c>
      <c r="Q91" s="18" t="str">
        <f t="shared" si="104"/>
        <v>1+0.164789944514601i</v>
      </c>
      <c r="R91" s="18">
        <f t="shared" si="116"/>
        <v>1.0134869144755274</v>
      </c>
      <c r="S91" s="18">
        <f t="shared" si="117"/>
        <v>0.16332212363240117</v>
      </c>
      <c r="T91" s="18" t="str">
        <f t="shared" si="105"/>
        <v>1+0.0000674854058488366i</v>
      </c>
      <c r="U91" s="18">
        <f t="shared" si="118"/>
        <v>1.00000000227714</v>
      </c>
      <c r="V91" s="18">
        <f t="shared" si="119"/>
        <v>6.7485405746387452E-5</v>
      </c>
      <c r="W91" s="32" t="str">
        <f t="shared" si="106"/>
        <v>1-0.00111810139867895i</v>
      </c>
      <c r="X91" s="18">
        <f t="shared" si="120"/>
        <v>1.0000006250751736</v>
      </c>
      <c r="Y91" s="18">
        <f t="shared" si="121"/>
        <v>-1.1181009327475367E-3</v>
      </c>
      <c r="Z91" s="32" t="str">
        <f t="shared" si="107"/>
        <v>0.999999940412572+0.00050807600193445i</v>
      </c>
      <c r="AA91" s="18">
        <f t="shared" si="122"/>
        <v>1.0000000694831832</v>
      </c>
      <c r="AB91" s="18">
        <f t="shared" si="123"/>
        <v>5.0807598849093936E-4</v>
      </c>
      <c r="AC91" s="68" t="str">
        <f t="shared" si="124"/>
        <v>35.5560501705126-5.91622011530144i</v>
      </c>
      <c r="AD91" s="66">
        <f t="shared" si="125"/>
        <v>31.136874989481203</v>
      </c>
      <c r="AE91" s="63">
        <f t="shared" si="126"/>
        <v>-9.4469748306509356</v>
      </c>
      <c r="AF91" s="51" t="str">
        <f t="shared" si="127"/>
        <v>42.1703962805665</v>
      </c>
      <c r="AG91" s="51" t="str">
        <f t="shared" si="108"/>
        <v>1+0.0297729731686045i</v>
      </c>
      <c r="AH91" s="51">
        <f t="shared" si="128"/>
        <v>1.0004431167894048</v>
      </c>
      <c r="AI91" s="51">
        <f t="shared" si="129"/>
        <v>2.9764180626327755E-2</v>
      </c>
      <c r="AJ91" s="51" t="str">
        <f t="shared" si="109"/>
        <v>1+0.0000674854058488366i</v>
      </c>
      <c r="AK91" s="51">
        <f t="shared" si="130"/>
        <v>1.00000000227714</v>
      </c>
      <c r="AL91" s="51">
        <f t="shared" si="131"/>
        <v>6.7485405746387452E-5</v>
      </c>
      <c r="AM91" s="51" t="str">
        <f t="shared" si="110"/>
        <v>1-0.000174994812852161i</v>
      </c>
      <c r="AN91" s="51">
        <f t="shared" si="132"/>
        <v>1.000000015311592</v>
      </c>
      <c r="AO91" s="51">
        <f t="shared" si="133"/>
        <v>-1.7499481106586154E-4</v>
      </c>
      <c r="AP91" s="60" t="str">
        <f t="shared" si="134"/>
        <v>42.1329139204358-1.25895582996548i</v>
      </c>
      <c r="AQ91" s="51">
        <f t="shared" si="135"/>
        <v>32.496305784828635</v>
      </c>
      <c r="AR91" s="63">
        <f t="shared" si="136"/>
        <v>-1.711521765736403</v>
      </c>
      <c r="AS91" s="32" t="str">
        <f t="shared" si="111"/>
        <v>-0.000133283554228113</v>
      </c>
      <c r="AT91" s="32" t="str">
        <f t="shared" si="112"/>
        <v>0.0000206167914868196i</v>
      </c>
      <c r="AU91" s="32">
        <f t="shared" si="137"/>
        <v>2.06167914868196E-5</v>
      </c>
      <c r="AV91" s="32">
        <f t="shared" si="138"/>
        <v>1.5707963267948966</v>
      </c>
      <c r="AW91" s="32" t="str">
        <f t="shared" si="113"/>
        <v>1+0.00360469319114702i</v>
      </c>
      <c r="AX91" s="32">
        <f t="shared" si="139"/>
        <v>1.0000064968853963</v>
      </c>
      <c r="AY91" s="32">
        <f t="shared" si="140"/>
        <v>3.6046775783656563E-3</v>
      </c>
      <c r="AZ91" s="32" t="str">
        <f t="shared" si="114"/>
        <v>1+0.0537187204827031i</v>
      </c>
      <c r="BA91" s="32">
        <f t="shared" si="141"/>
        <v>1.0014418110555894</v>
      </c>
      <c r="BB91" s="32">
        <f t="shared" si="142"/>
        <v>5.366713771087317E-2</v>
      </c>
      <c r="BC91" s="60" t="str">
        <f t="shared" si="143"/>
        <v>-0.323973247192348+6.46597367492907i</v>
      </c>
      <c r="BD91" s="51">
        <f t="shared" si="144"/>
        <v>16.223567697186358</v>
      </c>
      <c r="BE91" s="63">
        <f t="shared" si="145"/>
        <v>92.868367677634623</v>
      </c>
      <c r="BF91" s="60" t="str">
        <f t="shared" si="146"/>
        <v>26.7349144895499+231.821181428851i</v>
      </c>
      <c r="BG91" s="66">
        <f t="shared" si="147"/>
        <v>47.360442686667568</v>
      </c>
      <c r="BH91" s="63">
        <f t="shared" si="148"/>
        <v>83.421392846983721</v>
      </c>
      <c r="BI91" s="60" t="str">
        <f t="shared" si="101"/>
        <v>-5.50956168202399+272.838180265896i</v>
      </c>
      <c r="BJ91" s="66">
        <f t="shared" si="149"/>
        <v>48.719873482014997</v>
      </c>
      <c r="BK91" s="63">
        <f t="shared" si="102"/>
        <v>91.156845911898216</v>
      </c>
      <c r="BL91" s="51">
        <f t="shared" si="150"/>
        <v>47.360442686667568</v>
      </c>
      <c r="BM91" s="63">
        <f t="shared" si="151"/>
        <v>83.421392846983721</v>
      </c>
    </row>
    <row r="92" spans="14:65" x14ac:dyDescent="0.35">
      <c r="N92" s="11">
        <v>74</v>
      </c>
      <c r="O92" s="52">
        <f t="shared" si="115"/>
        <v>54.95408738576247</v>
      </c>
      <c r="P92" s="50" t="str">
        <f t="shared" si="103"/>
        <v>36.531007751938</v>
      </c>
      <c r="Q92" s="18" t="str">
        <f t="shared" si="104"/>
        <v>1+0.168628395420126i</v>
      </c>
      <c r="R92" s="18">
        <f t="shared" si="116"/>
        <v>1.0141181073928058</v>
      </c>
      <c r="S92" s="18">
        <f t="shared" si="117"/>
        <v>0.16705677715439918</v>
      </c>
      <c r="T92" s="18" t="str">
        <f t="shared" si="105"/>
        <v>1+0.0000690573428863372i</v>
      </c>
      <c r="U92" s="18">
        <f t="shared" si="118"/>
        <v>1.0000000023844582</v>
      </c>
      <c r="V92" s="18">
        <f t="shared" si="119"/>
        <v>6.905734277656096E-5</v>
      </c>
      <c r="W92" s="32" t="str">
        <f t="shared" si="106"/>
        <v>1-0.00114414532592748i</v>
      </c>
      <c r="X92" s="18">
        <f t="shared" si="120"/>
        <v>1.0000006545340492</v>
      </c>
      <c r="Y92" s="18">
        <f t="shared" si="121"/>
        <v>-1.1441448266729932E-3</v>
      </c>
      <c r="Z92" s="32" t="str">
        <f t="shared" si="107"/>
        <v>0.999999937604303+0.000519910612325546i</v>
      </c>
      <c r="AA92" s="18">
        <f t="shared" si="122"/>
        <v>1.0000000727578247</v>
      </c>
      <c r="AB92" s="18">
        <f t="shared" si="123"/>
        <v>5.1991059792056479E-4</v>
      </c>
      <c r="AC92" s="68" t="str">
        <f t="shared" si="124"/>
        <v>35.5113722752482-6.04649262256488i</v>
      </c>
      <c r="AD92" s="66">
        <f t="shared" si="125"/>
        <v>31.131467387290051</v>
      </c>
      <c r="AE92" s="63">
        <f t="shared" si="126"/>
        <v>-9.6630349284241213</v>
      </c>
      <c r="AF92" s="51" t="str">
        <f t="shared" si="127"/>
        <v>42.1703962805665</v>
      </c>
      <c r="AG92" s="51" t="str">
        <f t="shared" si="108"/>
        <v>1+0.0304664748027959i</v>
      </c>
      <c r="AH92" s="51">
        <f t="shared" si="128"/>
        <v>1.0004639953975902</v>
      </c>
      <c r="AI92" s="51">
        <f t="shared" si="129"/>
        <v>3.0457053659977296E-2</v>
      </c>
      <c r="AJ92" s="51" t="str">
        <f t="shared" si="109"/>
        <v>1+0.0000690573428863372i</v>
      </c>
      <c r="AK92" s="51">
        <f t="shared" si="130"/>
        <v>1.0000000023844582</v>
      </c>
      <c r="AL92" s="51">
        <f t="shared" si="131"/>
        <v>6.905734277656096E-5</v>
      </c>
      <c r="AM92" s="51" t="str">
        <f t="shared" si="110"/>
        <v>1-0.000179070965677098i</v>
      </c>
      <c r="AN92" s="51">
        <f t="shared" si="132"/>
        <v>1.0000000160332052</v>
      </c>
      <c r="AO92" s="51">
        <f t="shared" si="133"/>
        <v>-1.7907096376304366E-4</v>
      </c>
      <c r="AP92" s="60" t="str">
        <f t="shared" si="134"/>
        <v>42.1311490693709-1.28822690960417i</v>
      </c>
      <c r="AQ92" s="51">
        <f t="shared" si="135"/>
        <v>32.49612452495694</v>
      </c>
      <c r="AR92" s="63">
        <f t="shared" si="136"/>
        <v>-1.7513639472916487</v>
      </c>
      <c r="AS92" s="32" t="str">
        <f t="shared" si="111"/>
        <v>-0.000133283554228113</v>
      </c>
      <c r="AT92" s="32" t="str">
        <f t="shared" si="112"/>
        <v>0.000021097018251776i</v>
      </c>
      <c r="AU92" s="32">
        <f t="shared" si="137"/>
        <v>2.1097018251776001E-5</v>
      </c>
      <c r="AV92" s="32">
        <f t="shared" si="138"/>
        <v>1.5707963267948966</v>
      </c>
      <c r="AW92" s="32" t="str">
        <f t="shared" si="113"/>
        <v>1+0.0036886572818229i</v>
      </c>
      <c r="AX92" s="32">
        <f t="shared" si="139"/>
        <v>1.0000068030731304</v>
      </c>
      <c r="AY92" s="32">
        <f t="shared" si="140"/>
        <v>3.6886405524324067E-3</v>
      </c>
      <c r="AZ92" s="32" t="str">
        <f t="shared" si="114"/>
        <v>1+0.0549699902242388i</v>
      </c>
      <c r="BA92" s="32">
        <f t="shared" si="141"/>
        <v>1.0015097103000314</v>
      </c>
      <c r="BB92" s="32">
        <f t="shared" si="142"/>
        <v>5.4914722787366713E-2</v>
      </c>
      <c r="BC92" s="60" t="str">
        <f t="shared" si="143"/>
        <v>-0.32397304880046+6.3188439291717i</v>
      </c>
      <c r="BD92" s="51">
        <f t="shared" si="144"/>
        <v>16.024153933965174</v>
      </c>
      <c r="BE92" s="63">
        <f t="shared" si="145"/>
        <v>92.93503831305182</v>
      </c>
      <c r="BF92" s="60" t="str">
        <f t="shared" si="146"/>
        <v>26.7021156577753+226.34971976749i</v>
      </c>
      <c r="BG92" s="66">
        <f t="shared" si="147"/>
        <v>47.155621321255225</v>
      </c>
      <c r="BH92" s="63">
        <f t="shared" si="148"/>
        <v>83.272003384627695</v>
      </c>
      <c r="BI92" s="60" t="str">
        <f t="shared" si="101"/>
        <v>-5.50925202632282+266.637506325473i</v>
      </c>
      <c r="BJ92" s="66">
        <f t="shared" si="149"/>
        <v>48.5202784589221</v>
      </c>
      <c r="BK92" s="63">
        <f t="shared" si="102"/>
        <v>91.183674365760183</v>
      </c>
      <c r="BL92" s="51">
        <f t="shared" si="150"/>
        <v>47.155621321255225</v>
      </c>
      <c r="BM92" s="63">
        <f t="shared" si="151"/>
        <v>83.272003384627695</v>
      </c>
    </row>
    <row r="93" spans="14:65" x14ac:dyDescent="0.35">
      <c r="N93" s="11">
        <v>75</v>
      </c>
      <c r="O93" s="52">
        <f t="shared" si="115"/>
        <v>56.234132519034915</v>
      </c>
      <c r="P93" s="50" t="str">
        <f t="shared" si="103"/>
        <v>36.531007751938</v>
      </c>
      <c r="Q93" s="18" t="str">
        <f t="shared" si="104"/>
        <v>1+0.172556255332962i</v>
      </c>
      <c r="R93" s="18">
        <f t="shared" si="116"/>
        <v>1.0147786267233532</v>
      </c>
      <c r="S93" s="18">
        <f t="shared" si="117"/>
        <v>0.17087355775292068</v>
      </c>
      <c r="T93" s="18" t="str">
        <f t="shared" si="105"/>
        <v>1+0.000070665895041118i</v>
      </c>
      <c r="U93" s="18">
        <f t="shared" si="118"/>
        <v>1.0000000024968343</v>
      </c>
      <c r="V93" s="18">
        <f t="shared" si="119"/>
        <v>7.0665894923490648E-5</v>
      </c>
      <c r="W93" s="32" t="str">
        <f t="shared" si="106"/>
        <v>1-0.00117079589417237i</v>
      </c>
      <c r="X93" s="18">
        <f t="shared" si="120"/>
        <v>1.000000685381278</v>
      </c>
      <c r="Y93" s="18">
        <f t="shared" si="121"/>
        <v>-1.170795359211569E-3</v>
      </c>
      <c r="Z93" s="32" t="str">
        <f t="shared" si="107"/>
        <v>0.999999934663685+0.000532020886205127i</v>
      </c>
      <c r="AA93" s="18">
        <f t="shared" si="122"/>
        <v>1.0000000761867958</v>
      </c>
      <c r="AB93" s="18">
        <f t="shared" si="123"/>
        <v>5.3202087076991127E-4</v>
      </c>
      <c r="AC93" s="68" t="str">
        <f t="shared" si="124"/>
        <v>35.464707801337-6.17928128121798i</v>
      </c>
      <c r="AD93" s="66">
        <f t="shared" si="125"/>
        <v>31.125812140739257</v>
      </c>
      <c r="AE93" s="63">
        <f t="shared" si="126"/>
        <v>-9.8838490153569296</v>
      </c>
      <c r="AF93" s="51" t="str">
        <f t="shared" si="127"/>
        <v>42.1703962805665</v>
      </c>
      <c r="AG93" s="51" t="str">
        <f t="shared" si="108"/>
        <v>1+0.0311761301651992i</v>
      </c>
      <c r="AH93" s="51">
        <f t="shared" si="128"/>
        <v>1.000485857517275</v>
      </c>
      <c r="AI93" s="51">
        <f t="shared" si="129"/>
        <v>3.1166035493541619E-2</v>
      </c>
      <c r="AJ93" s="51" t="str">
        <f t="shared" si="109"/>
        <v>1+0.000070665895041118i</v>
      </c>
      <c r="AK93" s="51">
        <f t="shared" si="130"/>
        <v>1.0000000024968343</v>
      </c>
      <c r="AL93" s="51">
        <f t="shared" si="131"/>
        <v>7.0665894923490648E-5</v>
      </c>
      <c r="AM93" s="51" t="str">
        <f t="shared" si="110"/>
        <v>1-0.000183242064298322i</v>
      </c>
      <c r="AN93" s="51">
        <f t="shared" si="132"/>
        <v>1.000000016788827</v>
      </c>
      <c r="AO93" s="51">
        <f t="shared" si="133"/>
        <v>-1.8324206224737584E-4</v>
      </c>
      <c r="AP93" s="60" t="str">
        <f t="shared" si="134"/>
        <v>42.1293012013295-1.31817595969086i</v>
      </c>
      <c r="AQ93" s="51">
        <f t="shared" si="135"/>
        <v>32.495934730679316</v>
      </c>
      <c r="AR93" s="63">
        <f t="shared" si="136"/>
        <v>-1.7921324371962812</v>
      </c>
      <c r="AS93" s="32" t="str">
        <f t="shared" si="111"/>
        <v>-0.000133283554228113</v>
      </c>
      <c r="AT93" s="32" t="str">
        <f t="shared" si="112"/>
        <v>0.0000215884309350615i</v>
      </c>
      <c r="AU93" s="32">
        <f t="shared" si="137"/>
        <v>2.15884309350615E-5</v>
      </c>
      <c r="AV93" s="32">
        <f t="shared" si="138"/>
        <v>1.5707963267948966</v>
      </c>
      <c r="AW93" s="32" t="str">
        <f t="shared" si="113"/>
        <v>1+0.00377457714741475i</v>
      </c>
      <c r="AX93" s="32">
        <f t="shared" si="139"/>
        <v>1.0000071236909474</v>
      </c>
      <c r="AY93" s="32">
        <f t="shared" si="140"/>
        <v>3.7745592215567684E-3</v>
      </c>
      <c r="AZ93" s="32" t="str">
        <f t="shared" si="114"/>
        <v>1+0.0562504057822051i</v>
      </c>
      <c r="BA93" s="32">
        <f t="shared" si="141"/>
        <v>1.0015808046037338</v>
      </c>
      <c r="BB93" s="32">
        <f t="shared" si="142"/>
        <v>5.6191190703562328E-2</v>
      </c>
      <c r="BC93" s="60" t="str">
        <f t="shared" si="143"/>
        <v>-0.323972841058909+6.17506451803637i</v>
      </c>
      <c r="BD93" s="51">
        <f t="shared" si="144"/>
        <v>15.824767713658785</v>
      </c>
      <c r="BE93" s="63">
        <f t="shared" si="145"/>
        <v>93.003251760211469</v>
      </c>
      <c r="BF93" s="60" t="str">
        <f t="shared" si="146"/>
        <v>26.6678584428923+220.998778098942i</v>
      </c>
      <c r="BG93" s="66">
        <f t="shared" si="147"/>
        <v>46.950579854398036</v>
      </c>
      <c r="BH93" s="63">
        <f t="shared" si="148"/>
        <v>83.11940274485454</v>
      </c>
      <c r="BI93" s="60" t="str">
        <f t="shared" si="101"/>
        <v>-5.50892780480565+260.578206228673i</v>
      </c>
      <c r="BJ93" s="66">
        <f t="shared" si="149"/>
        <v>48.320702444338089</v>
      </c>
      <c r="BK93" s="63">
        <f t="shared" si="102"/>
        <v>91.211119323015183</v>
      </c>
      <c r="BL93" s="51">
        <f t="shared" si="150"/>
        <v>46.950579854398036</v>
      </c>
      <c r="BM93" s="63">
        <f t="shared" si="151"/>
        <v>83.11940274485454</v>
      </c>
    </row>
    <row r="94" spans="14:65" x14ac:dyDescent="0.35">
      <c r="N94" s="11">
        <v>76</v>
      </c>
      <c r="O94" s="52">
        <f t="shared" si="115"/>
        <v>57.543993733715695</v>
      </c>
      <c r="P94" s="50" t="str">
        <f t="shared" si="103"/>
        <v>36.531007751938</v>
      </c>
      <c r="Q94" s="18" t="str">
        <f t="shared" si="104"/>
        <v>1+0.176575606856429i</v>
      </c>
      <c r="R94" s="18">
        <f t="shared" si="116"/>
        <v>1.0154698148821146</v>
      </c>
      <c r="S94" s="18">
        <f t="shared" si="117"/>
        <v>0.17477404409523931</v>
      </c>
      <c r="T94" s="18" t="str">
        <f t="shared" si="105"/>
        <v>1+0.0000723119151888234i</v>
      </c>
      <c r="U94" s="18">
        <f t="shared" si="118"/>
        <v>1.0000000026145064</v>
      </c>
      <c r="V94" s="18">
        <f t="shared" si="119"/>
        <v>7.2311915062783419E-5</v>
      </c>
      <c r="W94" s="32" t="str">
        <f t="shared" si="106"/>
        <v>1-0.00119806723389767i</v>
      </c>
      <c r="X94" s="18">
        <f t="shared" si="120"/>
        <v>1.0000007176822909</v>
      </c>
      <c r="Y94" s="18">
        <f t="shared" si="121"/>
        <v>-1.1980666606768665E-3</v>
      </c>
      <c r="Z94" s="32" t="str">
        <f t="shared" si="107"/>
        <v>0.999999931584479+0.000544413244600703i</v>
      </c>
      <c r="AA94" s="18">
        <f t="shared" si="122"/>
        <v>1.0000000797773685</v>
      </c>
      <c r="AB94" s="18">
        <f t="shared" si="123"/>
        <v>5.4441322806157157E-4</v>
      </c>
      <c r="AC94" s="68" t="str">
        <f t="shared" si="124"/>
        <v>35.4159740984049-6.31461004874523i</v>
      </c>
      <c r="AD94" s="66">
        <f t="shared" si="125"/>
        <v>31.119898253561328</v>
      </c>
      <c r="AE94" s="63">
        <f t="shared" si="126"/>
        <v>-10.109508671060112</v>
      </c>
      <c r="AF94" s="51" t="str">
        <f t="shared" si="127"/>
        <v>42.1703962805665</v>
      </c>
      <c r="AG94" s="51" t="str">
        <f t="shared" si="108"/>
        <v>1+0.031902315524481i</v>
      </c>
      <c r="AH94" s="51">
        <f t="shared" si="128"/>
        <v>1.0005087494549079</v>
      </c>
      <c r="AI94" s="51">
        <f t="shared" si="129"/>
        <v>3.1891499185955213E-2</v>
      </c>
      <c r="AJ94" s="51" t="str">
        <f t="shared" si="109"/>
        <v>1+0.0000723119151888234i</v>
      </c>
      <c r="AK94" s="51">
        <f t="shared" si="130"/>
        <v>1.0000000026145064</v>
      </c>
      <c r="AL94" s="51">
        <f t="shared" si="131"/>
        <v>7.2311915062783419E-5</v>
      </c>
      <c r="AM94" s="51" t="str">
        <f t="shared" si="110"/>
        <v>1-0.000187510320287532i</v>
      </c>
      <c r="AN94" s="51">
        <f t="shared" si="132"/>
        <v>1.0000000175800599</v>
      </c>
      <c r="AO94" s="51">
        <f t="shared" si="133"/>
        <v>-1.8751031808990359E-4</v>
      </c>
      <c r="AP94" s="60" t="str">
        <f t="shared" si="134"/>
        <v>42.1273664190526-1.34881849810994i</v>
      </c>
      <c r="AQ94" s="51">
        <f t="shared" si="135"/>
        <v>32.495736000563177</v>
      </c>
      <c r="AR94" s="63">
        <f t="shared" si="136"/>
        <v>-1.8338486880002312</v>
      </c>
      <c r="AS94" s="32" t="str">
        <f t="shared" si="111"/>
        <v>-0.000133283554228113</v>
      </c>
      <c r="AT94" s="32" t="str">
        <f t="shared" si="112"/>
        <v>0.0000220912900901855i</v>
      </c>
      <c r="AU94" s="32">
        <f t="shared" si="137"/>
        <v>2.2091290090185501E-5</v>
      </c>
      <c r="AV94" s="32">
        <f t="shared" si="138"/>
        <v>1.5707963267948966</v>
      </c>
      <c r="AW94" s="32" t="str">
        <f t="shared" si="113"/>
        <v>1+0.00386249834377259i</v>
      </c>
      <c r="AX94" s="32">
        <f t="shared" si="139"/>
        <v>1.0000074594189063</v>
      </c>
      <c r="AY94" s="32">
        <f t="shared" si="140"/>
        <v>3.8624791358774385E-3</v>
      </c>
      <c r="AZ94" s="32" t="str">
        <f t="shared" si="114"/>
        <v>1+0.0575606460498793i</v>
      </c>
      <c r="BA94" s="32">
        <f t="shared" si="141"/>
        <v>1.0016552440703734</v>
      </c>
      <c r="BB94" s="32">
        <f t="shared" si="142"/>
        <v>5.7497201611510361E-2</v>
      </c>
      <c r="BC94" s="60" t="str">
        <f t="shared" si="143"/>
        <v>-0.323972623527087+6.03455920777121i</v>
      </c>
      <c r="BD94" s="51">
        <f t="shared" si="144"/>
        <v>15.62541032609545</v>
      </c>
      <c r="BE94" s="63">
        <f t="shared" si="145"/>
        <v>93.073043233209219</v>
      </c>
      <c r="BF94" s="60" t="str">
        <f t="shared" si="146"/>
        <v>26.6320821697125+215.765553381758i</v>
      </c>
      <c r="BG94" s="66">
        <f t="shared" si="147"/>
        <v>46.745308579656751</v>
      </c>
      <c r="BH94" s="63">
        <f t="shared" si="148"/>
        <v>82.963534562149107</v>
      </c>
      <c r="BI94" s="60" t="str">
        <f t="shared" si="101"/>
        <v>-5.5085883336859+254.65706719074i</v>
      </c>
      <c r="BJ94" s="66">
        <f t="shared" si="149"/>
        <v>48.121146326658632</v>
      </c>
      <c r="BK94" s="63">
        <f t="shared" si="102"/>
        <v>91.239194545208989</v>
      </c>
      <c r="BL94" s="51">
        <f t="shared" si="150"/>
        <v>46.745308579656751</v>
      </c>
      <c r="BM94" s="63">
        <f t="shared" si="151"/>
        <v>82.963534562149107</v>
      </c>
    </row>
    <row r="95" spans="14:65" x14ac:dyDescent="0.35">
      <c r="N95" s="11">
        <v>77</v>
      </c>
      <c r="O95" s="52">
        <f t="shared" si="115"/>
        <v>58.884365535558949</v>
      </c>
      <c r="P95" s="50" t="str">
        <f t="shared" si="103"/>
        <v>36.531007751938</v>
      </c>
      <c r="Q95" s="18" t="str">
        <f t="shared" si="104"/>
        <v>1+0.180688581103905i</v>
      </c>
      <c r="R95" s="18">
        <f t="shared" si="116"/>
        <v>1.0161930738503104</v>
      </c>
      <c r="S95" s="18">
        <f t="shared" si="117"/>
        <v>0.17875982930469408</v>
      </c>
      <c r="T95" s="18" t="str">
        <f t="shared" si="105"/>
        <v>1+0.0000739962760711232i</v>
      </c>
      <c r="U95" s="18">
        <f t="shared" si="118"/>
        <v>1.0000000027377245</v>
      </c>
      <c r="V95" s="18">
        <f t="shared" si="119"/>
        <v>7.3996275936068917E-5</v>
      </c>
      <c r="W95" s="32" t="str">
        <f t="shared" si="106"/>
        <v>1-0.00122597380472867i</v>
      </c>
      <c r="X95" s="18">
        <f t="shared" si="120"/>
        <v>1.0000007515056026</v>
      </c>
      <c r="Y95" s="18">
        <f t="shared" si="121"/>
        <v>-1.225973190511538E-3</v>
      </c>
      <c r="Z95" s="32" t="str">
        <f t="shared" si="107"/>
        <v>0.999999928360155+0.000557094258104728i</v>
      </c>
      <c r="AA95" s="18">
        <f t="shared" si="122"/>
        <v>1.0000000835371603</v>
      </c>
      <c r="AB95" s="18">
        <f t="shared" si="123"/>
        <v>5.570942403827293E-4</v>
      </c>
      <c r="AC95" s="68" t="str">
        <f t="shared" si="124"/>
        <v>35.3650856073272-6.45250124209718i</v>
      </c>
      <c r="AD95" s="66">
        <f t="shared" si="125"/>
        <v>31.113714273405705</v>
      </c>
      <c r="AE95" s="63">
        <f t="shared" si="126"/>
        <v>-10.340106329704641</v>
      </c>
      <c r="AF95" s="51" t="str">
        <f t="shared" si="127"/>
        <v>42.1703962805665</v>
      </c>
      <c r="AG95" s="51" t="str">
        <f t="shared" si="108"/>
        <v>1+0.0326454159137309i</v>
      </c>
      <c r="AH95" s="51">
        <f t="shared" si="128"/>
        <v>1.0005327196949536</v>
      </c>
      <c r="AI95" s="51">
        <f t="shared" si="129"/>
        <v>3.2633826331445376E-2</v>
      </c>
      <c r="AJ95" s="51" t="str">
        <f t="shared" si="109"/>
        <v>1+0.0000739962760711232i</v>
      </c>
      <c r="AK95" s="51">
        <f t="shared" si="130"/>
        <v>1.0000000027377245</v>
      </c>
      <c r="AL95" s="51">
        <f t="shared" si="131"/>
        <v>7.3996275936068917E-5</v>
      </c>
      <c r="AM95" s="51" t="str">
        <f t="shared" si="110"/>
        <v>1-0.000191877996730552i</v>
      </c>
      <c r="AN95" s="51">
        <f t="shared" si="132"/>
        <v>1.0000000184085827</v>
      </c>
      <c r="AO95" s="51">
        <f t="shared" si="133"/>
        <v>-1.9187799437575073E-4</v>
      </c>
      <c r="AP95" s="60" t="str">
        <f t="shared" si="134"/>
        <v>42.1253406430731-1.38017038467516i</v>
      </c>
      <c r="AQ95" s="51">
        <f t="shared" si="135"/>
        <v>32.495527914332257</v>
      </c>
      <c r="AR95" s="63">
        <f t="shared" si="136"/>
        <v>-1.8765346431030621</v>
      </c>
      <c r="AS95" s="32" t="str">
        <f t="shared" si="111"/>
        <v>-0.000133283554228113</v>
      </c>
      <c r="AT95" s="32" t="str">
        <f t="shared" si="112"/>
        <v>0.0000226058623397281i</v>
      </c>
      <c r="AU95" s="32">
        <f t="shared" si="137"/>
        <v>2.2605862339728099E-5</v>
      </c>
      <c r="AV95" s="32">
        <f t="shared" si="138"/>
        <v>1.5707963267948966</v>
      </c>
      <c r="AW95" s="32" t="str">
        <f t="shared" si="113"/>
        <v>1+0.00395246748787851i</v>
      </c>
      <c r="AX95" s="32">
        <f t="shared" si="139"/>
        <v>1.0000078109691157</v>
      </c>
      <c r="AY95" s="32">
        <f t="shared" si="140"/>
        <v>3.9524469062567243E-3</v>
      </c>
      <c r="AZ95" s="32" t="str">
        <f t="shared" si="114"/>
        <v>1+0.0589014057339944i</v>
      </c>
      <c r="BA95" s="32">
        <f t="shared" si="141"/>
        <v>1.0017331858321559</v>
      </c>
      <c r="BB95" s="32">
        <f t="shared" si="142"/>
        <v>5.8833430144463787E-2</v>
      </c>
      <c r="BC95" s="60" t="str">
        <f t="shared" si="143"/>
        <v>-0.32397239574362+5.89725350059564i</v>
      </c>
      <c r="BD95" s="51">
        <f t="shared" si="144"/>
        <v>15.42608312110119</v>
      </c>
      <c r="BE95" s="63">
        <f t="shared" si="145"/>
        <v>93.144448715077473</v>
      </c>
      <c r="BF95" s="60" t="str">
        <f t="shared" si="146"/>
        <v>26.5947240276713+210.647307182616i</v>
      </c>
      <c r="BG95" s="66">
        <f t="shared" si="147"/>
        <v>46.539797394506913</v>
      </c>
      <c r="BH95" s="63">
        <f t="shared" si="148"/>
        <v>82.804342385372848</v>
      </c>
      <c r="BI95" s="60" t="str">
        <f t="shared" si="101"/>
        <v>-5.50823289720846+248.870949677204i</v>
      </c>
      <c r="BJ95" s="66">
        <f t="shared" si="149"/>
        <v>47.921611035433443</v>
      </c>
      <c r="BK95" s="63">
        <f t="shared" si="102"/>
        <v>91.267914071974403</v>
      </c>
      <c r="BL95" s="51">
        <f t="shared" si="150"/>
        <v>46.539797394506913</v>
      </c>
      <c r="BM95" s="63">
        <f t="shared" si="151"/>
        <v>82.804342385372848</v>
      </c>
    </row>
    <row r="96" spans="14:65" x14ac:dyDescent="0.35">
      <c r="N96" s="11">
        <v>78</v>
      </c>
      <c r="O96" s="52">
        <f t="shared" si="115"/>
        <v>60.255958607435822</v>
      </c>
      <c r="P96" s="50" t="str">
        <f t="shared" si="103"/>
        <v>36.531007751938</v>
      </c>
      <c r="Q96" s="18" t="str">
        <f t="shared" si="104"/>
        <v>1+0.184897358828779i</v>
      </c>
      <c r="R96" s="18">
        <f t="shared" si="116"/>
        <v>1.0169498676443487</v>
      </c>
      <c r="S96" s="18">
        <f t="shared" si="117"/>
        <v>0.18283251988571841</v>
      </c>
      <c r="T96" s="18" t="str">
        <f t="shared" si="105"/>
        <v>1+0.0000757198707584524i</v>
      </c>
      <c r="U96" s="18">
        <f t="shared" si="118"/>
        <v>1.0000000028667493</v>
      </c>
      <c r="V96" s="18">
        <f t="shared" si="119"/>
        <v>7.5719870613739139E-5</v>
      </c>
      <c r="W96" s="32" t="str">
        <f t="shared" si="106"/>
        <v>1-0.00125453040309862i</v>
      </c>
      <c r="X96" s="18">
        <f t="shared" si="120"/>
        <v>1.0000007869229566</v>
      </c>
      <c r="Y96" s="18">
        <f t="shared" si="121"/>
        <v>-1.2545297449531334E-3</v>
      </c>
      <c r="Z96" s="32" t="str">
        <f t="shared" si="107"/>
        <v>0.999999924983873+0.000570070650358413i</v>
      </c>
      <c r="AA96" s="18">
        <f t="shared" si="122"/>
        <v>1.0000000874741453</v>
      </c>
      <c r="AB96" s="18">
        <f t="shared" si="123"/>
        <v>5.7007063136894941E-4</v>
      </c>
      <c r="AC96" s="68" t="str">
        <f t="shared" si="124"/>
        <v>35.311953808201-6.59297537383326i</v>
      </c>
      <c r="AD96" s="66">
        <f t="shared" si="125"/>
        <v>31.107248275921734</v>
      </c>
      <c r="AE96" s="63">
        <f t="shared" si="126"/>
        <v>-10.575735219043175</v>
      </c>
      <c r="AF96" s="51" t="str">
        <f t="shared" si="127"/>
        <v>42.1703962805665</v>
      </c>
      <c r="AG96" s="51" t="str">
        <f t="shared" si="108"/>
        <v>1+0.0334058253346114i</v>
      </c>
      <c r="AH96" s="51">
        <f t="shared" si="128"/>
        <v>1.0005578190021238</v>
      </c>
      <c r="AI96" s="51">
        <f t="shared" si="129"/>
        <v>3.3393407247346948E-2</v>
      </c>
      <c r="AJ96" s="51" t="str">
        <f t="shared" si="109"/>
        <v>1+0.0000757198707584524i</v>
      </c>
      <c r="AK96" s="51">
        <f t="shared" si="130"/>
        <v>1.0000000028667493</v>
      </c>
      <c r="AL96" s="51">
        <f t="shared" si="131"/>
        <v>7.5719870613739139E-5</v>
      </c>
      <c r="AM96" s="51" t="str">
        <f t="shared" si="110"/>
        <v>1-0.000196347409427243i</v>
      </c>
      <c r="AN96" s="51">
        <f t="shared" si="132"/>
        <v>1.0000000192761525</v>
      </c>
      <c r="AO96" s="51">
        <f t="shared" si="133"/>
        <v>-1.9634740690402798E-4</v>
      </c>
      <c r="AP96" s="60" t="str">
        <f t="shared" si="134"/>
        <v>42.1232196032692-1.4122478277063i</v>
      </c>
      <c r="AQ96" s="51">
        <f t="shared" si="135"/>
        <v>32.495310031985788</v>
      </c>
      <c r="AR96" s="63">
        <f t="shared" si="136"/>
        <v>-1.9202127475570483</v>
      </c>
      <c r="AS96" s="32" t="str">
        <f t="shared" si="111"/>
        <v>-0.000133283554228113</v>
      </c>
      <c r="AT96" s="32" t="str">
        <f t="shared" si="112"/>
        <v>0.0000231324205167072i</v>
      </c>
      <c r="AU96" s="32">
        <f t="shared" si="137"/>
        <v>2.3132420516707201E-5</v>
      </c>
      <c r="AV96" s="32">
        <f t="shared" si="138"/>
        <v>1.5707963267948966</v>
      </c>
      <c r="AW96" s="32" t="str">
        <f t="shared" si="113"/>
        <v>1+0.0040445322825636i</v>
      </c>
      <c r="AX96" s="32">
        <f t="shared" si="139"/>
        <v>1.0000081790872437</v>
      </c>
      <c r="AY96" s="32">
        <f t="shared" si="140"/>
        <v>4.0445102289682656E-3</v>
      </c>
      <c r="AZ96" s="32" t="str">
        <f t="shared" si="114"/>
        <v>1+0.0602733957230819i</v>
      </c>
      <c r="BA96" s="32">
        <f t="shared" si="141"/>
        <v>1.0018147943766809</v>
      </c>
      <c r="BB96" s="32">
        <f t="shared" si="142"/>
        <v>6.0200565690923059E-2</v>
      </c>
      <c r="BC96" s="60" t="str">
        <f t="shared" si="143"/>
        <v>-0.323972157225391+5.76307459520056i</v>
      </c>
      <c r="BD96" s="51">
        <f t="shared" si="144"/>
        <v>15.226787511251638</v>
      </c>
      <c r="BE96" s="63">
        <f t="shared" si="145"/>
        <v>93.217504972072575</v>
      </c>
      <c r="BF96" s="60" t="str">
        <f t="shared" si="146"/>
        <v>26.5557190326351+205.641364353334i</v>
      </c>
      <c r="BG96" s="66">
        <f t="shared" si="147"/>
        <v>46.334035787173391</v>
      </c>
      <c r="BH96" s="63">
        <f t="shared" si="148"/>
        <v>82.64176975302945</v>
      </c>
      <c r="BI96" s="60" t="str">
        <f t="shared" si="101"/>
        <v>-5.50786074616865+243.216785738934i</v>
      </c>
      <c r="BJ96" s="66">
        <f t="shared" si="149"/>
        <v>47.722097543237432</v>
      </c>
      <c r="BK96" s="63">
        <f t="shared" si="102"/>
        <v>91.29729222451553</v>
      </c>
      <c r="BL96" s="51">
        <f t="shared" si="150"/>
        <v>46.334035787173391</v>
      </c>
      <c r="BM96" s="63">
        <f t="shared" si="151"/>
        <v>82.64176975302945</v>
      </c>
    </row>
    <row r="97" spans="14:65" x14ac:dyDescent="0.35">
      <c r="N97" s="11">
        <v>79</v>
      </c>
      <c r="O97" s="52">
        <f t="shared" si="115"/>
        <v>61.659500186148257</v>
      </c>
      <c r="P97" s="50" t="str">
        <f t="shared" si="103"/>
        <v>36.531007751938</v>
      </c>
      <c r="Q97" s="18" t="str">
        <f t="shared" si="104"/>
        <v>1+0.18920417158071i</v>
      </c>
      <c r="R97" s="18">
        <f t="shared" si="116"/>
        <v>1.017741724871071</v>
      </c>
      <c r="S97" s="18">
        <f t="shared" si="117"/>
        <v>0.1869937345436371</v>
      </c>
      <c r="T97" s="18" t="str">
        <f t="shared" si="105"/>
        <v>1+0.0000774836131235288i</v>
      </c>
      <c r="U97" s="18">
        <f t="shared" si="118"/>
        <v>1.000000003001855</v>
      </c>
      <c r="V97" s="18">
        <f t="shared" si="119"/>
        <v>7.7483612968465743E-5</v>
      </c>
      <c r="W97" s="32" t="str">
        <f t="shared" si="106"/>
        <v>1-0.00128375217009397i</v>
      </c>
      <c r="X97" s="18">
        <f t="shared" si="120"/>
        <v>1.0000008240094778</v>
      </c>
      <c r="Y97" s="18">
        <f t="shared" si="121"/>
        <v>-1.2837514648784067E-3</v>
      </c>
      <c r="Z97" s="32" t="str">
        <f t="shared" si="107"/>
        <v>0.999999921448472+0.000583349301616697i</v>
      </c>
      <c r="AA97" s="18">
        <f t="shared" si="122"/>
        <v>1.0000000915966749</v>
      </c>
      <c r="AB97" s="18">
        <f t="shared" si="123"/>
        <v>5.8334928126912023E-4</v>
      </c>
      <c r="AC97" s="68" t="str">
        <f t="shared" si="124"/>
        <v>35.2564871726905-6.73605097890161i</v>
      </c>
      <c r="AD97" s="66">
        <f t="shared" si="125"/>
        <v>31.100487848571191</v>
      </c>
      <c r="AE97" s="63">
        <f t="shared" si="126"/>
        <v>-10.816489293415541</v>
      </c>
      <c r="AF97" s="51" t="str">
        <f t="shared" si="127"/>
        <v>42.1703962805665</v>
      </c>
      <c r="AG97" s="51" t="str">
        <f t="shared" si="108"/>
        <v>1+0.0341839469662628i</v>
      </c>
      <c r="AH97" s="51">
        <f t="shared" si="128"/>
        <v>1.0005841005283826</v>
      </c>
      <c r="AI97" s="51">
        <f t="shared" si="129"/>
        <v>3.4170641165510149E-2</v>
      </c>
      <c r="AJ97" s="51" t="str">
        <f t="shared" si="109"/>
        <v>1+0.0000774836131235288i</v>
      </c>
      <c r="AK97" s="51">
        <f t="shared" si="130"/>
        <v>1.000000003001855</v>
      </c>
      <c r="AL97" s="51">
        <f t="shared" si="131"/>
        <v>7.7483612968465743E-5</v>
      </c>
      <c r="AM97" s="51" t="str">
        <f t="shared" si="110"/>
        <v>1-0.000200920928119378i</v>
      </c>
      <c r="AN97" s="51">
        <f t="shared" si="132"/>
        <v>1.0000000201846095</v>
      </c>
      <c r="AO97" s="51">
        <f t="shared" si="133"/>
        <v>-2.009209254157044E-4</v>
      </c>
      <c r="AP97" s="60" t="str">
        <f t="shared" si="134"/>
        <v>42.1209988300336-1.44506739066107i</v>
      </c>
      <c r="AQ97" s="51">
        <f t="shared" si="135"/>
        <v>32.495081892876868</v>
      </c>
      <c r="AR97" s="63">
        <f t="shared" si="136"/>
        <v>-1.9649059590773879</v>
      </c>
      <c r="AS97" s="32" t="str">
        <f t="shared" si="111"/>
        <v>-0.000133283554228113</v>
      </c>
      <c r="AT97" s="32" t="str">
        <f t="shared" si="112"/>
        <v>0.000023671243809238i</v>
      </c>
      <c r="AU97" s="32">
        <f t="shared" si="137"/>
        <v>2.3671243809238001E-5</v>
      </c>
      <c r="AV97" s="32">
        <f t="shared" si="138"/>
        <v>1.5707963267948966</v>
      </c>
      <c r="AW97" s="32" t="str">
        <f t="shared" si="113"/>
        <v>1+0.00413874154180062i</v>
      </c>
      <c r="AX97" s="32">
        <f t="shared" si="139"/>
        <v>1.000008564554099</v>
      </c>
      <c r="AY97" s="32">
        <f t="shared" si="140"/>
        <v>4.1387179109583999E-3</v>
      </c>
      <c r="AZ97" s="32" t="str">
        <f t="shared" si="114"/>
        <v>1+0.0616773434643945i</v>
      </c>
      <c r="BA97" s="32">
        <f t="shared" si="141"/>
        <v>1.0019002418887946</v>
      </c>
      <c r="BB97" s="32">
        <f t="shared" si="142"/>
        <v>6.1599312670635738E-2</v>
      </c>
      <c r="BC97" s="60" t="str">
        <f t="shared" si="143"/>
        <v>-0.323971907466521+5.63195134814823i</v>
      </c>
      <c r="BD97" s="51">
        <f t="shared" si="144"/>
        <v>15.027524974746662</v>
      </c>
      <c r="BE97" s="63">
        <f t="shared" si="145"/>
        <v>93.292249568041044</v>
      </c>
      <c r="BF97" s="60" t="str">
        <f t="shared" si="146"/>
        <v>26.5149999919147+200.745111747632i</v>
      </c>
      <c r="BG97" s="66">
        <f t="shared" si="147"/>
        <v>46.128012823317874</v>
      </c>
      <c r="BH97" s="63">
        <f t="shared" si="148"/>
        <v>82.475760274625515</v>
      </c>
      <c r="BI97" s="60" t="str">
        <f t="shared" si="101"/>
        <v>-5.50747109636243+237.691577385128i</v>
      </c>
      <c r="BJ97" s="66">
        <f t="shared" si="149"/>
        <v>47.522606867623537</v>
      </c>
      <c r="BK97" s="63">
        <f t="shared" si="102"/>
        <v>91.327343608963645</v>
      </c>
      <c r="BL97" s="51">
        <f t="shared" si="150"/>
        <v>46.128012823317874</v>
      </c>
      <c r="BM97" s="63">
        <f t="shared" si="151"/>
        <v>82.475760274625515</v>
      </c>
    </row>
    <row r="98" spans="14:65" x14ac:dyDescent="0.35">
      <c r="N98" s="11">
        <v>80</v>
      </c>
      <c r="O98" s="52">
        <f t="shared" si="115"/>
        <v>63.095734448019364</v>
      </c>
      <c r="P98" s="50" t="str">
        <f t="shared" si="103"/>
        <v>36.531007751938</v>
      </c>
      <c r="Q98" s="18" t="str">
        <f t="shared" si="104"/>
        <v>1+0.193611302888825i</v>
      </c>
      <c r="R98" s="18">
        <f t="shared" si="116"/>
        <v>1.0185702413708679</v>
      </c>
      <c r="S98" s="18">
        <f t="shared" si="117"/>
        <v>0.19124510289332175</v>
      </c>
      <c r="T98" s="18" t="str">
        <f t="shared" si="105"/>
        <v>1+0.0000792884383259i</v>
      </c>
      <c r="U98" s="18">
        <f t="shared" si="118"/>
        <v>1.0000000031433283</v>
      </c>
      <c r="V98" s="18">
        <f t="shared" si="119"/>
        <v>7.9288438159746933E-5</v>
      </c>
      <c r="W98" s="32" t="str">
        <f t="shared" si="106"/>
        <v>1-0.00131365459948237i</v>
      </c>
      <c r="X98" s="18">
        <f t="shared" si="120"/>
        <v>1.0000008628438313</v>
      </c>
      <c r="Y98" s="18">
        <f t="shared" si="121"/>
        <v>-1.3136538438303148E-3</v>
      </c>
      <c r="Z98" s="32" t="str">
        <f t="shared" si="107"/>
        <v>0.999999917746452+0.000596937252396237i</v>
      </c>
      <c r="AA98" s="18">
        <f t="shared" si="122"/>
        <v>1.0000000959134925</v>
      </c>
      <c r="AB98" s="18">
        <f t="shared" si="123"/>
        <v>5.9693723059341607E-4</v>
      </c>
      <c r="AC98" s="68" t="str">
        <f t="shared" si="124"/>
        <v>35.1985911214241-6.88174443179581i</v>
      </c>
      <c r="AD98" s="66">
        <f t="shared" si="125"/>
        <v>31.093420074195592</v>
      </c>
      <c r="AE98" s="63">
        <f t="shared" si="126"/>
        <v>-11.062463160401633</v>
      </c>
      <c r="AF98" s="51" t="str">
        <f t="shared" si="127"/>
        <v>42.1703962805665</v>
      </c>
      <c r="AG98" s="51" t="str">
        <f t="shared" si="108"/>
        <v>1+0.0349801933790736i</v>
      </c>
      <c r="AH98" s="51">
        <f t="shared" si="128"/>
        <v>1.0006116199249524</v>
      </c>
      <c r="AI98" s="51">
        <f t="shared" si="129"/>
        <v>3.4965936427329612E-2</v>
      </c>
      <c r="AJ98" s="51" t="str">
        <f t="shared" si="109"/>
        <v>1+0.0000792884383259i</v>
      </c>
      <c r="AK98" s="51">
        <f t="shared" si="130"/>
        <v>1.0000000031433283</v>
      </c>
      <c r="AL98" s="51">
        <f t="shared" si="131"/>
        <v>7.9288438159746933E-5</v>
      </c>
      <c r="AM98" s="51" t="str">
        <f t="shared" si="110"/>
        <v>1-0.000205600977747104i</v>
      </c>
      <c r="AN98" s="51">
        <f t="shared" si="132"/>
        <v>1.0000000211358808</v>
      </c>
      <c r="AO98" s="51">
        <f t="shared" si="133"/>
        <v>-2.0560097485006554E-4</v>
      </c>
      <c r="AP98" s="60" t="str">
        <f t="shared" si="134"/>
        <v>42.1186736450412-1.47864599881623i</v>
      </c>
      <c r="AQ98" s="51">
        <f t="shared" si="135"/>
        <v>32.494843014748177</v>
      </c>
      <c r="AR98" s="63">
        <f t="shared" si="136"/>
        <v>-2.0106377592606797</v>
      </c>
      <c r="AS98" s="32" t="str">
        <f t="shared" si="111"/>
        <v>-0.000133283554228113</v>
      </c>
      <c r="AT98" s="32" t="str">
        <f t="shared" si="112"/>
        <v>0.0000242226179085625i</v>
      </c>
      <c r="AU98" s="32">
        <f t="shared" si="137"/>
        <v>2.4222617908562499E-5</v>
      </c>
      <c r="AV98" s="32">
        <f t="shared" si="138"/>
        <v>1.5707963267948966</v>
      </c>
      <c r="AW98" s="32" t="str">
        <f t="shared" si="113"/>
        <v>1+0.00423514521658581i</v>
      </c>
      <c r="AX98" s="32">
        <f t="shared" si="139"/>
        <v>1.0000089681872886</v>
      </c>
      <c r="AY98" s="32">
        <f t="shared" si="140"/>
        <v>4.2351198956944369E-3</v>
      </c>
      <c r="AZ98" s="32" t="str">
        <f t="shared" si="114"/>
        <v>1+0.063113993349608i</v>
      </c>
      <c r="BA98" s="32">
        <f t="shared" si="141"/>
        <v>1.0019897086080947</v>
      </c>
      <c r="BB98" s="32">
        <f t="shared" si="142"/>
        <v>6.3030390812291059E-2</v>
      </c>
      <c r="BC98" s="60" t="str">
        <f t="shared" si="143"/>
        <v>-0.323971645937289+5.5038142361509i</v>
      </c>
      <c r="BD98" s="51">
        <f t="shared" si="144"/>
        <v>14.828297058412197</v>
      </c>
      <c r="BE98" s="63">
        <f t="shared" si="145"/>
        <v>93.36872087884926</v>
      </c>
      <c r="BF98" s="60" t="str">
        <f t="shared" si="146"/>
        <v>26.4724974729886+195.955996977037i</v>
      </c>
      <c r="BG98" s="66">
        <f t="shared" si="147"/>
        <v>45.921717132607768</v>
      </c>
      <c r="BH98" s="63">
        <f t="shared" si="148"/>
        <v>82.306257718447611</v>
      </c>
      <c r="BI98" s="60" t="str">
        <f t="shared" si="101"/>
        <v>-5.50706312696718+232.292394993367i</v>
      </c>
      <c r="BJ98" s="66">
        <f t="shared" si="149"/>
        <v>47.323140073160388</v>
      </c>
      <c r="BK98" s="63">
        <f t="shared" si="102"/>
        <v>91.358083119588571</v>
      </c>
      <c r="BL98" s="51">
        <f t="shared" si="150"/>
        <v>45.921717132607768</v>
      </c>
      <c r="BM98" s="63">
        <f t="shared" si="151"/>
        <v>82.306257718447611</v>
      </c>
    </row>
    <row r="99" spans="14:65" x14ac:dyDescent="0.35">
      <c r="N99" s="11">
        <v>81</v>
      </c>
      <c r="O99" s="52">
        <f t="shared" si="115"/>
        <v>64.565422903465588</v>
      </c>
      <c r="P99" s="50" t="str">
        <f t="shared" si="103"/>
        <v>36.531007751938</v>
      </c>
      <c r="Q99" s="18" t="str">
        <f t="shared" si="104"/>
        <v>1+0.198121089472481i</v>
      </c>
      <c r="R99" s="18">
        <f t="shared" si="116"/>
        <v>1.0194370829500774</v>
      </c>
      <c r="S99" s="18">
        <f t="shared" si="117"/>
        <v>0.19558826405061847</v>
      </c>
      <c r="T99" s="18" t="str">
        <f t="shared" si="105"/>
        <v>1+0.0000811353033077782i</v>
      </c>
      <c r="U99" s="18">
        <f t="shared" si="118"/>
        <v>1.0000000032914687</v>
      </c>
      <c r="V99" s="18">
        <f t="shared" si="119"/>
        <v>8.1135303129741999E-5</v>
      </c>
      <c r="W99" s="32" t="str">
        <f t="shared" si="106"/>
        <v>1-0.00134425354592769i</v>
      </c>
      <c r="X99" s="18">
        <f t="shared" si="120"/>
        <v>1.0000009035083897</v>
      </c>
      <c r="Y99" s="18">
        <f t="shared" si="121"/>
        <v>-1.3442527362319645E-3</v>
      </c>
      <c r="Z99" s="32" t="str">
        <f t="shared" si="107"/>
        <v>0.999999913869962+0.000610841707208397i</v>
      </c>
      <c r="AA99" s="18">
        <f t="shared" si="122"/>
        <v>1.0000001004337564</v>
      </c>
      <c r="AB99" s="18">
        <f t="shared" si="123"/>
        <v>6.1084168384625338E-4</v>
      </c>
      <c r="AC99" s="68" t="str">
        <f t="shared" si="124"/>
        <v>35.1381679871823-7.03006975385016i</v>
      </c>
      <c r="AD99" s="66">
        <f t="shared" si="125"/>
        <v>31.086031514368003</v>
      </c>
      <c r="AE99" s="63">
        <f t="shared" si="126"/>
        <v>-11.31375200077194</v>
      </c>
      <c r="AF99" s="51" t="str">
        <f t="shared" si="127"/>
        <v>42.1703962805665</v>
      </c>
      <c r="AG99" s="51" t="str">
        <f t="shared" si="108"/>
        <v>1+0.0357949867534317i</v>
      </c>
      <c r="AH99" s="51">
        <f t="shared" si="128"/>
        <v>1.0006404354595502</v>
      </c>
      <c r="AI99" s="51">
        <f t="shared" si="129"/>
        <v>3.5779710682421882E-2</v>
      </c>
      <c r="AJ99" s="51" t="str">
        <f t="shared" si="109"/>
        <v>1+0.0000811353033077782i</v>
      </c>
      <c r="AK99" s="51">
        <f t="shared" si="130"/>
        <v>1.0000000032914687</v>
      </c>
      <c r="AL99" s="51">
        <f t="shared" si="131"/>
        <v>8.1135303129741999E-5</v>
      </c>
      <c r="AM99" s="51" t="str">
        <f t="shared" si="110"/>
        <v>1-0.000210390039734683i</v>
      </c>
      <c r="AN99" s="51">
        <f t="shared" si="132"/>
        <v>1.000000022131984</v>
      </c>
      <c r="AO99" s="51">
        <f t="shared" si="133"/>
        <v>-2.1039003663045035E-4</v>
      </c>
      <c r="AP99" s="60" t="str">
        <f t="shared" si="134"/>
        <v>42.116239151598-1.51300094599207i</v>
      </c>
      <c r="AQ99" s="51">
        <f t="shared" si="135"/>
        <v>32.494592892723112</v>
      </c>
      <c r="AR99" s="63">
        <f t="shared" si="136"/>
        <v>-2.0574321650135925</v>
      </c>
      <c r="AS99" s="32" t="str">
        <f t="shared" si="111"/>
        <v>-0.000133283554228113</v>
      </c>
      <c r="AT99" s="32" t="str">
        <f t="shared" si="112"/>
        <v>0.0000247868351605263i</v>
      </c>
      <c r="AU99" s="32">
        <f t="shared" si="137"/>
        <v>2.47868351605263E-5</v>
      </c>
      <c r="AV99" s="32">
        <f t="shared" si="138"/>
        <v>1.5707963267948966</v>
      </c>
      <c r="AW99" s="32" t="str">
        <f t="shared" si="113"/>
        <v>1+0.00433379442142361i</v>
      </c>
      <c r="AX99" s="32">
        <f t="shared" si="139"/>
        <v>1.0000093908429495</v>
      </c>
      <c r="AY99" s="32">
        <f t="shared" si="140"/>
        <v>4.3337672896134379E-3</v>
      </c>
      <c r="AZ99" s="32" t="str">
        <f t="shared" si="114"/>
        <v>1+0.0645841071095079i</v>
      </c>
      <c r="BA99" s="32">
        <f t="shared" si="141"/>
        <v>1.0020833832027813</v>
      </c>
      <c r="BB99" s="32">
        <f t="shared" si="142"/>
        <v>6.449453543262397E-2</v>
      </c>
      <c r="BC99" s="60" t="str">
        <f t="shared" si="143"/>
        <v>-0.323971372083018+5.37859531920875i</v>
      </c>
      <c r="BD99" s="51">
        <f t="shared" si="144"/>
        <v>14.629105380835284</v>
      </c>
      <c r="BE99" s="63">
        <f t="shared" si="145"/>
        <v>93.446958106859597</v>
      </c>
      <c r="BF99" s="60" t="str">
        <f t="shared" si="146"/>
        <v>26.4281397764785+191.271527205424i</v>
      </c>
      <c r="BG99" s="66">
        <f t="shared" si="147"/>
        <v>45.715136895203301</v>
      </c>
      <c r="BH99" s="63">
        <f t="shared" si="148"/>
        <v>82.13320610608767</v>
      </c>
      <c r="BI99" s="60" t="str">
        <f t="shared" si="101"/>
        <v>-5.50663597884837+227.016375755897i</v>
      </c>
      <c r="BJ99" s="66">
        <f t="shared" si="149"/>
        <v>47.123698273558389</v>
      </c>
      <c r="BK99" s="63">
        <f t="shared" si="102"/>
        <v>91.389525941846017</v>
      </c>
      <c r="BL99" s="51">
        <f t="shared" si="150"/>
        <v>45.715136895203301</v>
      </c>
      <c r="BM99" s="63">
        <f t="shared" si="151"/>
        <v>82.13320610608767</v>
      </c>
    </row>
    <row r="100" spans="14:65" x14ac:dyDescent="0.35">
      <c r="N100" s="11">
        <v>82</v>
      </c>
      <c r="O100" s="52">
        <f t="shared" si="115"/>
        <v>66.069344800759623</v>
      </c>
      <c r="P100" s="50" t="str">
        <f t="shared" si="103"/>
        <v>36.531007751938</v>
      </c>
      <c r="Q100" s="18" t="str">
        <f t="shared" si="104"/>
        <v>1+0.202735922480219i</v>
      </c>
      <c r="R100" s="18">
        <f t="shared" si="116"/>
        <v>1.0203439882039318</v>
      </c>
      <c r="S100" s="18">
        <f t="shared" si="117"/>
        <v>0.20002486510030948</v>
      </c>
      <c r="T100" s="18" t="str">
        <f t="shared" si="105"/>
        <v>1+0.000083025187301423i</v>
      </c>
      <c r="U100" s="18">
        <f t="shared" si="118"/>
        <v>1.0000000034465908</v>
      </c>
      <c r="V100" s="18">
        <f t="shared" si="119"/>
        <v>8.3025187110653766E-5</v>
      </c>
      <c r="W100" s="32" t="str">
        <f t="shared" si="106"/>
        <v>1-0.00137556523339636i</v>
      </c>
      <c r="X100" s="18">
        <f t="shared" si="120"/>
        <v>1.0000009460894081</v>
      </c>
      <c r="Y100" s="18">
        <f t="shared" si="121"/>
        <v>-1.375564365791803E-3</v>
      </c>
      <c r="Z100" s="32" t="str">
        <f t="shared" si="107"/>
        <v>0.999999909810778+0.000625070038379165i</v>
      </c>
      <c r="AA100" s="18">
        <f t="shared" si="122"/>
        <v>1.0000001051670531</v>
      </c>
      <c r="AB100" s="18">
        <f t="shared" si="123"/>
        <v>6.2507001334617749E-4</v>
      </c>
      <c r="AC100" s="68" t="str">
        <f t="shared" si="124"/>
        <v>35.0751169846682-7.18103841046436i</v>
      </c>
      <c r="AD100" s="66">
        <f t="shared" si="125"/>
        <v>31.078308192562744</v>
      </c>
      <c r="AE100" s="63">
        <f t="shared" si="126"/>
        <v>-11.570451481380028</v>
      </c>
      <c r="AF100" s="51" t="str">
        <f t="shared" si="127"/>
        <v>42.1703962805665</v>
      </c>
      <c r="AG100" s="51" t="str">
        <f t="shared" si="108"/>
        <v>1+0.0366287591035691i</v>
      </c>
      <c r="AH100" s="51">
        <f t="shared" si="128"/>
        <v>1.0006706081390955</v>
      </c>
      <c r="AI100" s="51">
        <f t="shared" si="129"/>
        <v>3.6612391090969608E-2</v>
      </c>
      <c r="AJ100" s="51" t="str">
        <f t="shared" si="109"/>
        <v>1+0.000083025187301423i</v>
      </c>
      <c r="AK100" s="51">
        <f t="shared" si="130"/>
        <v>1.0000000034465908</v>
      </c>
      <c r="AL100" s="51">
        <f t="shared" si="131"/>
        <v>8.3025187110653766E-5</v>
      </c>
      <c r="AM100" s="51" t="str">
        <f t="shared" si="110"/>
        <v>1-0.000215290653306171i</v>
      </c>
      <c r="AN100" s="51">
        <f t="shared" si="132"/>
        <v>1.0000000231750323</v>
      </c>
      <c r="AO100" s="51">
        <f t="shared" si="133"/>
        <v>-2.1529064997992579E-4</v>
      </c>
      <c r="AP100" s="60" t="str">
        <f t="shared" si="134"/>
        <v>42.1136902245518-1.54814990131309i</v>
      </c>
      <c r="AQ100" s="51">
        <f t="shared" si="135"/>
        <v>32.49433099825</v>
      </c>
      <c r="AR100" s="63">
        <f t="shared" si="136"/>
        <v>-2.1053137401926811</v>
      </c>
      <c r="AS100" s="32" t="str">
        <f t="shared" si="111"/>
        <v>-0.000133283554228113</v>
      </c>
      <c r="AT100" s="32" t="str">
        <f t="shared" si="112"/>
        <v>0.0000253641947205847i</v>
      </c>
      <c r="AU100" s="32">
        <f t="shared" si="137"/>
        <v>2.5364194720584701E-5</v>
      </c>
      <c r="AV100" s="32">
        <f t="shared" si="138"/>
        <v>1.5707963267948966</v>
      </c>
      <c r="AW100" s="32" t="str">
        <f t="shared" si="113"/>
        <v>1+0.00443474146142821i</v>
      </c>
      <c r="AX100" s="32">
        <f t="shared" si="139"/>
        <v>1.0000098334175669</v>
      </c>
      <c r="AY100" s="32">
        <f t="shared" si="140"/>
        <v>4.4347123891852643E-3</v>
      </c>
      <c r="AZ100" s="32" t="str">
        <f t="shared" si="114"/>
        <v>1+0.0660884642178692i</v>
      </c>
      <c r="BA100" s="32">
        <f t="shared" si="141"/>
        <v>1.0021814631605779</v>
      </c>
      <c r="BB100" s="32">
        <f t="shared" si="142"/>
        <v>6.5992497716613807E-2</v>
      </c>
      <c r="BC100" s="60" t="str">
        <f t="shared" si="143"/>
        <v>-0.32397108532289+5.25622820458711i</v>
      </c>
      <c r="BD100" s="51">
        <f t="shared" si="144"/>
        <v>14.429951635637153</v>
      </c>
      <c r="BE100" s="63">
        <f t="shared" si="145"/>
        <v>93.52700129543399</v>
      </c>
      <c r="BF100" s="60" t="str">
        <f t="shared" si="146"/>
        <v>26.3818529139559+186.689267981589i</v>
      </c>
      <c r="BG100" s="66">
        <f t="shared" si="147"/>
        <v>45.508259828199904</v>
      </c>
      <c r="BH100" s="63">
        <f t="shared" si="148"/>
        <v>81.956549814053957</v>
      </c>
      <c r="BI100" s="60" t="str">
        <f t="shared" si="101"/>
        <v>-5.50618875278941+221.860722161305i</v>
      </c>
      <c r="BJ100" s="66">
        <f t="shared" si="149"/>
        <v>46.924282633887174</v>
      </c>
      <c r="BK100" s="63">
        <f t="shared" si="102"/>
        <v>91.421687555241306</v>
      </c>
      <c r="BL100" s="51">
        <f t="shared" si="150"/>
        <v>45.508259828199904</v>
      </c>
      <c r="BM100" s="63">
        <f t="shared" si="151"/>
        <v>81.956549814053957</v>
      </c>
    </row>
    <row r="101" spans="14:65" x14ac:dyDescent="0.35">
      <c r="N101" s="11">
        <v>83</v>
      </c>
      <c r="O101" s="52">
        <f t="shared" si="115"/>
        <v>67.60829753919819</v>
      </c>
      <c r="P101" s="50" t="str">
        <f t="shared" si="103"/>
        <v>36.531007751938</v>
      </c>
      <c r="Q101" s="18" t="str">
        <f t="shared" si="104"/>
        <v>1+0.207458248757582i</v>
      </c>
      <c r="R101" s="18">
        <f t="shared" si="116"/>
        <v>1.0212927714311713</v>
      </c>
      <c r="S101" s="18">
        <f t="shared" si="117"/>
        <v>0.20455655943427942</v>
      </c>
      <c r="T101" s="18" t="str">
        <f t="shared" si="105"/>
        <v>1+0.0000849590923483432i</v>
      </c>
      <c r="U101" s="18">
        <f t="shared" si="118"/>
        <v>1.0000000036090235</v>
      </c>
      <c r="V101" s="18">
        <f t="shared" si="119"/>
        <v>8.4959092143930287E-5</v>
      </c>
      <c r="W101" s="32" t="str">
        <f t="shared" si="106"/>
        <v>1-0.00140760626375953i</v>
      </c>
      <c r="X101" s="18">
        <f t="shared" si="120"/>
        <v>1.000000990677206</v>
      </c>
      <c r="Y101" s="18">
        <f t="shared" si="121"/>
        <v>-1.4076053341045476E-3</v>
      </c>
      <c r="Z101" s="32" t="str">
        <f t="shared" si="107"/>
        <v>0.999999905560291+0.000639629789958062i</v>
      </c>
      <c r="AA101" s="18">
        <f t="shared" si="122"/>
        <v>1.0000001101234233</v>
      </c>
      <c r="AB101" s="18">
        <f t="shared" si="123"/>
        <v>6.3962976313473266E-4</v>
      </c>
      <c r="AC101" s="68" t="str">
        <f t="shared" si="124"/>
        <v>35.0093341877133-7.33465909808224i</v>
      </c>
      <c r="AD101" s="66">
        <f t="shared" si="125"/>
        <v>31.070235577180853</v>
      </c>
      <c r="AE101" s="63">
        <f t="shared" si="126"/>
        <v>-11.832657660632911</v>
      </c>
      <c r="AF101" s="51" t="str">
        <f t="shared" si="127"/>
        <v>42.1703962805665</v>
      </c>
      <c r="AG101" s="51" t="str">
        <f t="shared" si="108"/>
        <v>1+0.0374819525066221i</v>
      </c>
      <c r="AH101" s="51">
        <f t="shared" si="128"/>
        <v>1.0007022018381435</v>
      </c>
      <c r="AI101" s="51">
        <f t="shared" si="129"/>
        <v>3.7464414529753666E-2</v>
      </c>
      <c r="AJ101" s="51" t="str">
        <f t="shared" si="109"/>
        <v>1+0.0000849590923483432i</v>
      </c>
      <c r="AK101" s="51">
        <f t="shared" si="130"/>
        <v>1.0000000036090235</v>
      </c>
      <c r="AL101" s="51">
        <f t="shared" si="131"/>
        <v>8.4959092143930287E-5</v>
      </c>
      <c r="AM101" s="51" t="str">
        <f t="shared" si="110"/>
        <v>1-0.00022030541683175i</v>
      </c>
      <c r="AN101" s="51">
        <f t="shared" si="132"/>
        <v>1.000000024267238</v>
      </c>
      <c r="AO101" s="51">
        <f t="shared" si="133"/>
        <v>-2.2030541326761407E-4</v>
      </c>
      <c r="AP101" s="60" t="str">
        <f t="shared" si="134"/>
        <v>42.111021499749-1.58411091599752i</v>
      </c>
      <c r="AQ101" s="51">
        <f t="shared" si="135"/>
        <v>32.494056777998075</v>
      </c>
      <c r="AR101" s="63">
        <f t="shared" si="136"/>
        <v>-2.1543076074564964</v>
      </c>
      <c r="AS101" s="32" t="str">
        <f t="shared" si="111"/>
        <v>-0.000133283554228113</v>
      </c>
      <c r="AT101" s="32" t="str">
        <f t="shared" si="112"/>
        <v>0.0000259550027124188i</v>
      </c>
      <c r="AU101" s="32">
        <f t="shared" si="137"/>
        <v>2.5955002712418799E-5</v>
      </c>
      <c r="AV101" s="32">
        <f t="shared" si="138"/>
        <v>1.5707963267948966</v>
      </c>
      <c r="AW101" s="32" t="str">
        <f t="shared" si="113"/>
        <v>1+0.0045380398600564i</v>
      </c>
      <c r="AX101" s="32">
        <f t="shared" si="139"/>
        <v>1.0000102968498732</v>
      </c>
      <c r="AY101" s="32">
        <f t="shared" si="140"/>
        <v>4.538008708604162E-3</v>
      </c>
      <c r="AZ101" s="32" t="str">
        <f t="shared" si="114"/>
        <v>1+0.0676278623047429i</v>
      </c>
      <c r="BA101" s="32">
        <f t="shared" si="141"/>
        <v>1.0022841551974715</v>
      </c>
      <c r="BB101" s="32">
        <f t="shared" si="142"/>
        <v>6.7525044998431857E-2</v>
      </c>
      <c r="BC101" s="60" t="str">
        <f t="shared" si="143"/>
        <v>-0.323970785048718+5.13664801161403i</v>
      </c>
      <c r="BD101" s="51">
        <f t="shared" si="144"/>
        <v>14.230837594890115</v>
      </c>
      <c r="BE101" s="63">
        <f t="shared" si="145"/>
        <v>93.608891343444483</v>
      </c>
      <c r="BF101" s="60" t="str">
        <f t="shared" si="146"/>
        <v>26.3335605912045+182.206842109319i</v>
      </c>
      <c r="BG101" s="66">
        <f t="shared" si="147"/>
        <v>45.301073172070971</v>
      </c>
      <c r="BH101" s="63">
        <f t="shared" si="148"/>
        <v>81.776233682811579</v>
      </c>
      <c r="BI101" s="60" t="str">
        <f t="shared" si="101"/>
        <v>-5.50572050764239+216.822700510781i</v>
      </c>
      <c r="BJ101" s="66">
        <f t="shared" si="149"/>
        <v>46.72489437288818</v>
      </c>
      <c r="BK101" s="63">
        <f t="shared" si="102"/>
        <v>91.454583735987995</v>
      </c>
      <c r="BL101" s="51">
        <f t="shared" si="150"/>
        <v>45.301073172070971</v>
      </c>
      <c r="BM101" s="63">
        <f t="shared" si="151"/>
        <v>81.776233682811579</v>
      </c>
    </row>
    <row r="102" spans="14:65" x14ac:dyDescent="0.35">
      <c r="N102" s="11">
        <v>84</v>
      </c>
      <c r="O102" s="52">
        <f t="shared" si="115"/>
        <v>69.183097091893657</v>
      </c>
      <c r="P102" s="50" t="str">
        <f t="shared" si="103"/>
        <v>36.531007751938</v>
      </c>
      <c r="Q102" s="18" t="str">
        <f t="shared" si="104"/>
        <v>1+0.212290572144471i</v>
      </c>
      <c r="R102" s="18">
        <f t="shared" si="116"/>
        <v>1.0222853256412452</v>
      </c>
      <c r="S102" s="18">
        <f t="shared" si="117"/>
        <v>0.20918500495344577</v>
      </c>
      <c r="T102" s="18" t="str">
        <f t="shared" si="105"/>
        <v>1+0.000086938043830593i</v>
      </c>
      <c r="U102" s="18">
        <f t="shared" si="118"/>
        <v>1.0000000037791117</v>
      </c>
      <c r="V102" s="18">
        <f t="shared" si="119"/>
        <v>8.6938043611560611E-5</v>
      </c>
      <c r="W102" s="32" t="str">
        <f t="shared" si="106"/>
        <v>1-0.00144039362559563i</v>
      </c>
      <c r="X102" s="18">
        <f t="shared" si="120"/>
        <v>1.0000010373663604</v>
      </c>
      <c r="Y102" s="18">
        <f t="shared" si="121"/>
        <v>-1.4403926294524251E-3</v>
      </c>
      <c r="Z102" s="32" t="str">
        <f t="shared" si="107"/>
        <v>0.999999901109485+0.000654528681718095i</v>
      </c>
      <c r="AA102" s="18">
        <f t="shared" si="122"/>
        <v>1.0000001153133808</v>
      </c>
      <c r="AB102" s="18">
        <f t="shared" si="123"/>
        <v>6.545286529763796E-4</v>
      </c>
      <c r="AC102" s="68" t="str">
        <f t="shared" si="124"/>
        <v>34.9407125148317-7.49093752079159i</v>
      </c>
      <c r="AD102" s="66">
        <f t="shared" si="125"/>
        <v>31.061798564474415</v>
      </c>
      <c r="AE102" s="63">
        <f t="shared" si="126"/>
        <v>-12.10046688617288</v>
      </c>
      <c r="AF102" s="51" t="str">
        <f t="shared" si="127"/>
        <v>42.1703962805665</v>
      </c>
      <c r="AG102" s="51" t="str">
        <f t="shared" si="108"/>
        <v>1+0.0383550193370264i</v>
      </c>
      <c r="AH102" s="51">
        <f t="shared" si="128"/>
        <v>1.0007352834333081</v>
      </c>
      <c r="AI102" s="51">
        <f t="shared" si="129"/>
        <v>3.8336227801884448E-2</v>
      </c>
      <c r="AJ102" s="51" t="str">
        <f t="shared" si="109"/>
        <v>1+0.000086938043830593i</v>
      </c>
      <c r="AK102" s="51">
        <f t="shared" si="130"/>
        <v>1.0000000037791117</v>
      </c>
      <c r="AL102" s="51">
        <f t="shared" si="131"/>
        <v>8.6938043611560611E-5</v>
      </c>
      <c r="AM102" s="51" t="str">
        <f t="shared" si="110"/>
        <v>1-0.00022543698920542i</v>
      </c>
      <c r="AN102" s="51">
        <f t="shared" si="132"/>
        <v>1.0000000254109178</v>
      </c>
      <c r="AO102" s="51">
        <f t="shared" si="133"/>
        <v>-2.2543698538637954E-4</v>
      </c>
      <c r="AP102" s="60" t="str">
        <f t="shared" si="134"/>
        <v>42.1082273630137-1.62090243016719i</v>
      </c>
      <c r="AQ102" s="51">
        <f t="shared" si="135"/>
        <v>32.493769652702021</v>
      </c>
      <c r="AR102" s="63">
        <f t="shared" si="136"/>
        <v>-2.2044394603307911</v>
      </c>
      <c r="AS102" s="32" t="str">
        <f t="shared" si="111"/>
        <v>-0.000133283554228113</v>
      </c>
      <c r="AT102" s="32" t="str">
        <f t="shared" si="112"/>
        <v>0.0000265595723902462i</v>
      </c>
      <c r="AU102" s="32">
        <f t="shared" si="137"/>
        <v>2.6559572390246201E-5</v>
      </c>
      <c r="AV102" s="32">
        <f t="shared" si="138"/>
        <v>1.5707963267948966</v>
      </c>
      <c r="AW102" s="32" t="str">
        <f t="shared" si="113"/>
        <v>1+0.00464374438748645i</v>
      </c>
      <c r="AX102" s="32">
        <f t="shared" si="139"/>
        <v>1.000010782122841</v>
      </c>
      <c r="AY102" s="32">
        <f t="shared" si="140"/>
        <v>4.6437110081234282E-3</v>
      </c>
      <c r="AZ102" s="32" t="str">
        <f t="shared" si="114"/>
        <v>1+0.0692031175793711i</v>
      </c>
      <c r="BA102" s="32">
        <f t="shared" si="141"/>
        <v>1.0023916756850608</v>
      </c>
      <c r="BB102" s="32">
        <f t="shared" si="142"/>
        <v>6.9092961042763038E-2</v>
      </c>
      <c r="BC102" s="60" t="str">
        <f t="shared" si="143"/>
        <v>-0.323970470623654+5.01979133727979i</v>
      </c>
      <c r="BD102" s="51">
        <f t="shared" si="144"/>
        <v>14.031765112684544</v>
      </c>
      <c r="BE102" s="63">
        <f t="shared" si="145"/>
        <v>93.692670019768229</v>
      </c>
      <c r="BF102" s="60" t="str">
        <f t="shared" si="146"/>
        <v>26.2831841976179+177.821928554359i</v>
      </c>
      <c r="BG102" s="66">
        <f t="shared" si="147"/>
        <v>45.093563677158954</v>
      </c>
      <c r="BH102" s="63">
        <f t="shared" si="148"/>
        <v>81.592203133595362</v>
      </c>
      <c r="BI102" s="60" t="str">
        <f t="shared" si="101"/>
        <v>-5.50523025839435+211.8996394682i</v>
      </c>
      <c r="BJ102" s="66">
        <f t="shared" si="149"/>
        <v>46.525534765386553</v>
      </c>
      <c r="BK102" s="63">
        <f t="shared" si="102"/>
        <v>91.48823055943744</v>
      </c>
      <c r="BL102" s="51">
        <f t="shared" si="150"/>
        <v>45.093563677158954</v>
      </c>
      <c r="BM102" s="63">
        <f t="shared" si="151"/>
        <v>81.592203133595362</v>
      </c>
    </row>
    <row r="103" spans="14:65" x14ac:dyDescent="0.35">
      <c r="N103" s="11">
        <v>85</v>
      </c>
      <c r="O103" s="52">
        <f t="shared" si="115"/>
        <v>70.794578438413865</v>
      </c>
      <c r="P103" s="50" t="str">
        <f t="shared" si="103"/>
        <v>36.531007751938</v>
      </c>
      <c r="Q103" s="18" t="str">
        <f t="shared" si="104"/>
        <v>1+0.217235454802709i</v>
      </c>
      <c r="R103" s="18">
        <f t="shared" si="116"/>
        <v>1.0233236256548266</v>
      </c>
      <c r="S103" s="18">
        <f t="shared" si="117"/>
        <v>0.21391186212692637</v>
      </c>
      <c r="T103" s="18" t="str">
        <f t="shared" si="105"/>
        <v>1+0.000088963091014443i</v>
      </c>
      <c r="U103" s="18">
        <f t="shared" si="118"/>
        <v>1.0000000039572157</v>
      </c>
      <c r="V103" s="18">
        <f t="shared" si="119"/>
        <v>8.8963090779745559E-5</v>
      </c>
      <c r="W103" s="32" t="str">
        <f t="shared" si="106"/>
        <v>1-0.00147394470319787i</v>
      </c>
      <c r="X103" s="18">
        <f t="shared" si="120"/>
        <v>1.0000010862559041</v>
      </c>
      <c r="Y103" s="18">
        <f t="shared" si="121"/>
        <v>-1.4739436358112575E-3</v>
      </c>
      <c r="Z103" s="32" t="str">
        <f t="shared" si="107"/>
        <v>0.999999896448919+0.000669774613248888i</v>
      </c>
      <c r="AA103" s="18">
        <f t="shared" si="122"/>
        <v>1.0000001207479332</v>
      </c>
      <c r="AB103" s="18">
        <f t="shared" si="123"/>
        <v>6.6977458245158505E-4</v>
      </c>
      <c r="AC103" s="68" t="str">
        <f t="shared" si="124"/>
        <v>34.8691417240966-7.64987615645583i</v>
      </c>
      <c r="AD103" s="66">
        <f t="shared" si="125"/>
        <v>31.052981461417186</v>
      </c>
      <c r="AE103" s="63">
        <f t="shared" si="126"/>
        <v>-12.3739756843949</v>
      </c>
      <c r="AF103" s="51" t="str">
        <f t="shared" si="127"/>
        <v>42.1703962805665</v>
      </c>
      <c r="AG103" s="51" t="str">
        <f t="shared" si="108"/>
        <v>1+0.039248422506372i</v>
      </c>
      <c r="AH103" s="51">
        <f t="shared" si="128"/>
        <v>1.0007699229439495</v>
      </c>
      <c r="AI103" s="51">
        <f t="shared" si="129"/>
        <v>3.9228287850241593E-2</v>
      </c>
      <c r="AJ103" s="51" t="str">
        <f t="shared" si="109"/>
        <v>1+0.000088963091014443i</v>
      </c>
      <c r="AK103" s="51">
        <f t="shared" si="130"/>
        <v>1.0000000039572157</v>
      </c>
      <c r="AL103" s="51">
        <f t="shared" si="131"/>
        <v>8.8963090779745559E-5</v>
      </c>
      <c r="AM103" s="51" t="str">
        <f t="shared" si="110"/>
        <v>1-0.000230688091254779i</v>
      </c>
      <c r="AN103" s="51">
        <f t="shared" si="132"/>
        <v>1.0000000266084974</v>
      </c>
      <c r="AO103" s="51">
        <f t="shared" si="133"/>
        <v>-2.3068808716260344E-4</v>
      </c>
      <c r="AP103" s="60" t="str">
        <f t="shared" si="134"/>
        <v>42.1053019386325-1.65854327966881i</v>
      </c>
      <c r="AQ103" s="51">
        <f t="shared" si="135"/>
        <v>32.493469015953671</v>
      </c>
      <c r="AR103" s="63">
        <f t="shared" si="136"/>
        <v>-2.2557355754874115</v>
      </c>
      <c r="AS103" s="32" t="str">
        <f t="shared" si="111"/>
        <v>-0.000133283554228113</v>
      </c>
      <c r="AT103" s="32" t="str">
        <f t="shared" si="112"/>
        <v>0.0000271782243049123i</v>
      </c>
      <c r="AU103" s="32">
        <f t="shared" si="137"/>
        <v>2.71782243049123E-5</v>
      </c>
      <c r="AV103" s="32">
        <f t="shared" si="138"/>
        <v>1.5707963267948966</v>
      </c>
      <c r="AW103" s="32" t="str">
        <f t="shared" si="113"/>
        <v>1+0.00475191108965797i</v>
      </c>
      <c r="AX103" s="32">
        <f t="shared" si="139"/>
        <v>1.000011290265767</v>
      </c>
      <c r="AY103" s="32">
        <f t="shared" si="140"/>
        <v>4.7518753230479044E-3</v>
      </c>
      <c r="AZ103" s="32" t="str">
        <f t="shared" si="114"/>
        <v>1+0.0708150652629517i</v>
      </c>
      <c r="BA103" s="32">
        <f t="shared" si="141"/>
        <v>1.0025042510973188</v>
      </c>
      <c r="BB103" s="32">
        <f t="shared" si="142"/>
        <v>7.0697046326086407E-2</v>
      </c>
      <c r="BC103" s="60" t="str">
        <f t="shared" si="143"/>
        <v>-0.323970141380851+4.90559622261974i</v>
      </c>
      <c r="BD103" s="51">
        <f t="shared" si="144"/>
        <v>13.832736128851337</v>
      </c>
      <c r="BE103" s="63">
        <f t="shared" si="145"/>
        <v>93.778379977742603</v>
      </c>
      <c r="BF103" s="60" t="str">
        <f t="shared" si="146"/>
        <v>26.230642802434+173.532261387674i</v>
      </c>
      <c r="BG103" s="66">
        <f t="shared" si="147"/>
        <v>44.885717590268541</v>
      </c>
      <c r="BH103" s="63">
        <f t="shared" si="148"/>
        <v>81.404404293347739</v>
      </c>
      <c r="BI103" s="60" t="str">
        <f t="shared" si="101"/>
        <v>-5.50471697414752+207.08892864322i</v>
      </c>
      <c r="BJ103" s="66">
        <f t="shared" si="149"/>
        <v>46.326205144805016</v>
      </c>
      <c r="BK103" s="63">
        <f t="shared" si="102"/>
        <v>91.522644402255182</v>
      </c>
      <c r="BL103" s="51">
        <f t="shared" si="150"/>
        <v>44.885717590268541</v>
      </c>
      <c r="BM103" s="63">
        <f t="shared" si="151"/>
        <v>81.404404293347739</v>
      </c>
    </row>
    <row r="104" spans="14:65" x14ac:dyDescent="0.35">
      <c r="N104" s="11">
        <v>86</v>
      </c>
      <c r="O104" s="52">
        <f t="shared" si="115"/>
        <v>72.443596007499011</v>
      </c>
      <c r="P104" s="50" t="str">
        <f t="shared" si="103"/>
        <v>36.531007751938</v>
      </c>
      <c r="Q104" s="18" t="str">
        <f t="shared" si="104"/>
        <v>1+0.222295518574534i</v>
      </c>
      <c r="R104" s="18">
        <f t="shared" si="116"/>
        <v>1.0244097312981368</v>
      </c>
      <c r="S104" s="18">
        <f t="shared" si="117"/>
        <v>0.21873879190191062</v>
      </c>
      <c r="T104" s="18" t="str">
        <f t="shared" si="105"/>
        <v>1+0.0000910353076067142i</v>
      </c>
      <c r="U104" s="18">
        <f t="shared" si="118"/>
        <v>1.0000000041437136</v>
      </c>
      <c r="V104" s="18">
        <f t="shared" si="119"/>
        <v>9.1035307355231379E-5</v>
      </c>
      <c r="W104" s="32" t="str">
        <f t="shared" si="106"/>
        <v>1-0.00150827728579172i</v>
      </c>
      <c r="X104" s="18">
        <f t="shared" si="120"/>
        <v>1.0000011374495386</v>
      </c>
      <c r="Y104" s="18">
        <f t="shared" si="121"/>
        <v>-1.508276142066429E-3</v>
      </c>
      <c r="Z104" s="32" t="str">
        <f t="shared" si="107"/>
        <v>0.999999891568707+0.000685375668145137i</v>
      </c>
      <c r="AA104" s="18">
        <f t="shared" si="122"/>
        <v>1.000000126438608</v>
      </c>
      <c r="AB104" s="18">
        <f t="shared" si="123"/>
        <v>6.8537563514523242E-4</v>
      </c>
      <c r="AC104" s="68" t="str">
        <f t="shared" si="124"/>
        <v>34.7945084183773-7.81147401234692i</v>
      </c>
      <c r="AD104" s="66">
        <f t="shared" si="125"/>
        <v>31.043767968575455</v>
      </c>
      <c r="AE104" s="63">
        <f t="shared" si="126"/>
        <v>-12.653280641427372</v>
      </c>
      <c r="AF104" s="51" t="str">
        <f t="shared" si="127"/>
        <v>42.1703962805665</v>
      </c>
      <c r="AG104" s="51" t="str">
        <f t="shared" si="108"/>
        <v>1+0.0401626357088446i</v>
      </c>
      <c r="AH104" s="51">
        <f t="shared" si="128"/>
        <v>1.0008061936794164</v>
      </c>
      <c r="AI104" s="51">
        <f t="shared" si="129"/>
        <v>4.014106197462522E-2</v>
      </c>
      <c r="AJ104" s="51" t="str">
        <f t="shared" si="109"/>
        <v>1+0.0000910353076067142i</v>
      </c>
      <c r="AK104" s="51">
        <f t="shared" si="130"/>
        <v>1.0000000041437136</v>
      </c>
      <c r="AL104" s="51">
        <f t="shared" si="131"/>
        <v>9.1035307355231379E-5</v>
      </c>
      <c r="AM104" s="51" t="str">
        <f t="shared" si="110"/>
        <v>1-0.000236061507183637i</v>
      </c>
      <c r="AN104" s="51">
        <f t="shared" si="132"/>
        <v>1.0000000278625172</v>
      </c>
      <c r="AO104" s="51">
        <f t="shared" si="133"/>
        <v>-2.3606150279879189E-4</v>
      </c>
      <c r="AP104" s="60" t="str">
        <f t="shared" si="134"/>
        <v>42.1022390773203-1.69705270289632i</v>
      </c>
      <c r="AQ104" s="51">
        <f t="shared" si="135"/>
        <v>32.49315423293767</v>
      </c>
      <c r="AR104" s="63">
        <f t="shared" si="136"/>
        <v>-2.3082228252368546</v>
      </c>
      <c r="AS104" s="32" t="str">
        <f t="shared" si="111"/>
        <v>-0.000133283554228113</v>
      </c>
      <c r="AT104" s="32" t="str">
        <f t="shared" si="112"/>
        <v>0.0000278112864738512i</v>
      </c>
      <c r="AU104" s="32">
        <f t="shared" si="137"/>
        <v>2.7811286473851201E-5</v>
      </c>
      <c r="AV104" s="32">
        <f t="shared" si="138"/>
        <v>1.5707963267948966</v>
      </c>
      <c r="AW104" s="32" t="str">
        <f t="shared" si="113"/>
        <v>1+0.00486259731798819i</v>
      </c>
      <c r="AX104" s="32">
        <f t="shared" si="139"/>
        <v>1.0000118223564545</v>
      </c>
      <c r="AY104" s="32">
        <f t="shared" si="140"/>
        <v>4.8625589933994923E-3</v>
      </c>
      <c r="AZ104" s="32" t="str">
        <f t="shared" si="114"/>
        <v>1+0.0724645600314825i</v>
      </c>
      <c r="BA104" s="32">
        <f t="shared" si="141"/>
        <v>1.0026221184776227</v>
      </c>
      <c r="BB104" s="32">
        <f t="shared" si="142"/>
        <v>7.2338118317465214E-2</v>
      </c>
      <c r="BC104" s="60" t="str">
        <f t="shared" si="143"/>
        <v>-0.323969796622027+4.79400211986265i</v>
      </c>
      <c r="BD104" s="51">
        <f t="shared" si="144"/>
        <v>13.633752672845995</v>
      </c>
      <c r="BE104" s="63">
        <f t="shared" si="145"/>
        <v>93.866064769553574</v>
      </c>
      <c r="BF104" s="60" t="str">
        <f t="shared" si="146"/>
        <v>26.175853158578+169.335628764378i</v>
      </c>
      <c r="BG104" s="66">
        <f t="shared" si="147"/>
        <v>44.677520641421459</v>
      </c>
      <c r="BH104" s="63">
        <f t="shared" si="148"/>
        <v>81.212784128126231</v>
      </c>
      <c r="BI104" s="60" t="str">
        <f t="shared" si="101"/>
        <v>-5.50417957600782+202.388017206652i</v>
      </c>
      <c r="BJ104" s="66">
        <f t="shared" si="149"/>
        <v>46.126906905783677</v>
      </c>
      <c r="BK104" s="63">
        <f t="shared" si="102"/>
        <v>91.557841944316721</v>
      </c>
      <c r="BL104" s="51">
        <f t="shared" si="150"/>
        <v>44.677520641421459</v>
      </c>
      <c r="BM104" s="63">
        <f t="shared" si="151"/>
        <v>81.212784128126231</v>
      </c>
    </row>
    <row r="105" spans="14:65" x14ac:dyDescent="0.35">
      <c r="N105" s="11">
        <v>87</v>
      </c>
      <c r="O105" s="52">
        <f t="shared" si="115"/>
        <v>74.131024130091816</v>
      </c>
      <c r="P105" s="50" t="str">
        <f t="shared" si="103"/>
        <v>36.531007751938</v>
      </c>
      <c r="Q105" s="18" t="str">
        <f t="shared" si="104"/>
        <v>1+0.227473446372738i</v>
      </c>
      <c r="R105" s="18">
        <f t="shared" si="116"/>
        <v>1.025545790691323</v>
      </c>
      <c r="S105" s="18">
        <f t="shared" si="117"/>
        <v>0.2236674534576823</v>
      </c>
      <c r="T105" s="18" t="str">
        <f t="shared" si="105"/>
        <v>1+0.0000931557923240736i</v>
      </c>
      <c r="U105" s="18">
        <f t="shared" si="118"/>
        <v>1.0000000043390007</v>
      </c>
      <c r="V105" s="18">
        <f t="shared" si="119"/>
        <v>9.3155792054604899E-5</v>
      </c>
      <c r="W105" s="32" t="str">
        <f t="shared" si="106"/>
        <v>1-0.0015434095769669i</v>
      </c>
      <c r="X105" s="18">
        <f t="shared" si="120"/>
        <v>1.0000011910558519</v>
      </c>
      <c r="Y105" s="18">
        <f t="shared" si="121"/>
        <v>-1.5434083514432495E-3</v>
      </c>
      <c r="Z105" s="32" t="str">
        <f t="shared" si="107"/>
        <v>0.999999886458497+0.00070134011829266i</v>
      </c>
      <c r="AA105" s="18">
        <f t="shared" si="122"/>
        <v>1.0000001323974754</v>
      </c>
      <c r="AB105" s="18">
        <f t="shared" si="123"/>
        <v>7.0134008293262567E-4</v>
      </c>
      <c r="AC105" s="68" t="str">
        <f t="shared" si="124"/>
        <v>34.7166960620344-7.97572637030848i</v>
      </c>
      <c r="AD105" s="66">
        <f t="shared" si="125"/>
        <v>31.034141163037457</v>
      </c>
      <c r="AE105" s="63">
        <f t="shared" si="126"/>
        <v>-12.938478275200392</v>
      </c>
      <c r="AF105" s="51" t="str">
        <f t="shared" si="127"/>
        <v>42.1703962805665</v>
      </c>
      <c r="AG105" s="51" t="str">
        <f t="shared" si="108"/>
        <v>1+0.0410981436723855i</v>
      </c>
      <c r="AH105" s="51">
        <f t="shared" si="128"/>
        <v>1.0008441723931434</v>
      </c>
      <c r="AI105" s="51">
        <f t="shared" si="129"/>
        <v>4.1075028052618229E-2</v>
      </c>
      <c r="AJ105" s="51" t="str">
        <f t="shared" si="109"/>
        <v>1+0.0000931557923240736i</v>
      </c>
      <c r="AK105" s="51">
        <f t="shared" si="130"/>
        <v>1.0000000043390007</v>
      </c>
      <c r="AL105" s="51">
        <f t="shared" si="131"/>
        <v>9.3155792054604899E-5</v>
      </c>
      <c r="AM105" s="51" t="str">
        <f t="shared" si="110"/>
        <v>1-0.000241560086048249i</v>
      </c>
      <c r="AN105" s="51">
        <f t="shared" si="132"/>
        <v>1.0000000291756372</v>
      </c>
      <c r="AO105" s="51">
        <f t="shared" si="133"/>
        <v>-2.415600813498028E-4</v>
      </c>
      <c r="AP105" s="60" t="str">
        <f t="shared" si="134"/>
        <v>42.0990323436494-1.73645034760379i</v>
      </c>
      <c r="AQ105" s="51">
        <f t="shared" si="135"/>
        <v>32.492824639109514</v>
      </c>
      <c r="AR105" s="63">
        <f t="shared" si="136"/>
        <v>-2.3619286902347345</v>
      </c>
      <c r="AS105" s="32" t="str">
        <f t="shared" si="111"/>
        <v>-0.000133283554228113</v>
      </c>
      <c r="AT105" s="32" t="str">
        <f t="shared" si="112"/>
        <v>0.0000284590945550045i</v>
      </c>
      <c r="AU105" s="32">
        <f t="shared" si="137"/>
        <v>2.8459094555004498E-5</v>
      </c>
      <c r="AV105" s="32">
        <f t="shared" si="138"/>
        <v>1.5707963267948966</v>
      </c>
      <c r="AW105" s="32" t="str">
        <f t="shared" si="113"/>
        <v>1+0.00497586175978051i</v>
      </c>
      <c r="AX105" s="32">
        <f t="shared" si="139"/>
        <v>1.0000123795234999</v>
      </c>
      <c r="AY105" s="32">
        <f t="shared" si="140"/>
        <v>4.9758206942713112E-3</v>
      </c>
      <c r="AZ105" s="32" t="str">
        <f t="shared" si="114"/>
        <v>1+0.0741524764689242i</v>
      </c>
      <c r="BA105" s="32">
        <f t="shared" si="141"/>
        <v>1.0027455259269293</v>
      </c>
      <c r="BB105" s="32">
        <f t="shared" si="142"/>
        <v>7.4017011758361451E-2</v>
      </c>
      <c r="BC105" s="60" t="str">
        <f t="shared" si="143"/>
        <v>-0.323969435616007+4.68494986032757i</v>
      </c>
      <c r="BD105" s="51">
        <f t="shared" si="144"/>
        <v>13.434816867801395</v>
      </c>
      <c r="BE105" s="63">
        <f t="shared" si="145"/>
        <v>93.955768860528693</v>
      </c>
      <c r="BF105" s="60" t="str">
        <f t="shared" si="146"/>
        <v>26.1187297149179+165.229871937679i</v>
      </c>
      <c r="BG105" s="66">
        <f t="shared" si="147"/>
        <v>44.468958030838834</v>
      </c>
      <c r="BH105" s="63">
        <f t="shared" si="148"/>
        <v>81.017290585328283</v>
      </c>
      <c r="BI105" s="60" t="str">
        <f t="shared" si="101"/>
        <v>-5.50361693487998+197.794412537394i</v>
      </c>
      <c r="BJ105" s="66">
        <f t="shared" si="149"/>
        <v>45.927641506910888</v>
      </c>
      <c r="BK105" s="63">
        <f t="shared" si="102"/>
        <v>91.593840170293959</v>
      </c>
      <c r="BL105" s="51">
        <f t="shared" si="150"/>
        <v>44.468958030838834</v>
      </c>
      <c r="BM105" s="63">
        <f t="shared" si="151"/>
        <v>81.017290585328283</v>
      </c>
    </row>
    <row r="106" spans="14:65" x14ac:dyDescent="0.35">
      <c r="N106" s="11">
        <v>88</v>
      </c>
      <c r="O106" s="52">
        <f t="shared" si="115"/>
        <v>75.857757502918361</v>
      </c>
      <c r="P106" s="50" t="str">
        <f t="shared" si="103"/>
        <v>36.531007751938</v>
      </c>
      <c r="Q106" s="18" t="str">
        <f t="shared" si="104"/>
        <v>1+0.232771983603174i</v>
      </c>
      <c r="R106" s="18">
        <f t="shared" si="116"/>
        <v>1.0267340436308501</v>
      </c>
      <c r="S106" s="18">
        <f t="shared" si="117"/>
        <v>0.22869950179726972</v>
      </c>
      <c r="T106" s="18" t="str">
        <f t="shared" si="105"/>
        <v>1+0.0000953256694755858i</v>
      </c>
      <c r="U106" s="18">
        <f t="shared" si="118"/>
        <v>1.0000000045434916</v>
      </c>
      <c r="V106" s="18">
        <f t="shared" si="119"/>
        <v>9.532566918684488E-5</v>
      </c>
      <c r="W106" s="32" t="str">
        <f t="shared" si="106"/>
        <v>1-0.00157936020432923i</v>
      </c>
      <c r="X106" s="18">
        <f t="shared" si="120"/>
        <v>1.0000012471885498</v>
      </c>
      <c r="Y106" s="18">
        <f t="shared" si="121"/>
        <v>-1.579358891157068E-3</v>
      </c>
      <c r="Z106" s="32" t="str">
        <f t="shared" si="107"/>
        <v>0.999999881107451+0.000717676428254234i</v>
      </c>
      <c r="AA106" s="18">
        <f t="shared" si="122"/>
        <v>1.0000001386371764</v>
      </c>
      <c r="AB106" s="18">
        <f t="shared" si="123"/>
        <v>7.1767639036527471E-4</v>
      </c>
      <c r="AC106" s="68" t="str">
        <f t="shared" si="124"/>
        <v>34.6355850102391-8.14262452155075i</v>
      </c>
      <c r="AD106" s="66">
        <f t="shared" si="125"/>
        <v>31.024083481467592</v>
      </c>
      <c r="AE106" s="63">
        <f t="shared" si="126"/>
        <v>-13.229664898228368</v>
      </c>
      <c r="AF106" s="51" t="str">
        <f t="shared" si="127"/>
        <v>42.1703962805665</v>
      </c>
      <c r="AG106" s="51" t="str">
        <f t="shared" si="108"/>
        <v>1+0.0420554424156997i</v>
      </c>
      <c r="AH106" s="51">
        <f t="shared" si="128"/>
        <v>1.0008839394439197</v>
      </c>
      <c r="AI106" s="51">
        <f t="shared" si="129"/>
        <v>4.203067476414777E-2</v>
      </c>
      <c r="AJ106" s="51" t="str">
        <f t="shared" si="109"/>
        <v>1+0.0000953256694755858i</v>
      </c>
      <c r="AK106" s="51">
        <f t="shared" si="130"/>
        <v>1.0000000045434916</v>
      </c>
      <c r="AL106" s="51">
        <f t="shared" si="131"/>
        <v>9.532566918684488E-5</v>
      </c>
      <c r="AM106" s="51" t="str">
        <f t="shared" si="110"/>
        <v>1-0.00024718674326791i</v>
      </c>
      <c r="AN106" s="51">
        <f t="shared" si="132"/>
        <v>1.0000000305506425</v>
      </c>
      <c r="AO106" s="51">
        <f t="shared" si="133"/>
        <v>-2.4718673823343422E-4</v>
      </c>
      <c r="AP106" s="60" t="str">
        <f t="shared" si="134"/>
        <v>42.0956750029143-1.77675627769649i</v>
      </c>
      <c r="AQ106" s="51">
        <f t="shared" si="135"/>
        <v>32.492479538812319</v>
      </c>
      <c r="AR106" s="63">
        <f t="shared" si="136"/>
        <v>-2.4168812724014037</v>
      </c>
      <c r="AS106" s="32" t="str">
        <f t="shared" si="111"/>
        <v>-0.000133283554228113</v>
      </c>
      <c r="AT106" s="32" t="str">
        <f t="shared" si="112"/>
        <v>0.0000291219920247914i</v>
      </c>
      <c r="AU106" s="32">
        <f t="shared" si="137"/>
        <v>2.9121992024791399E-5</v>
      </c>
      <c r="AV106" s="32">
        <f t="shared" si="138"/>
        <v>1.5707963267948966</v>
      </c>
      <c r="AW106" s="32" t="str">
        <f t="shared" si="113"/>
        <v>1+0.00509176446934118i</v>
      </c>
      <c r="AX106" s="32">
        <f t="shared" si="139"/>
        <v>1.0000129629486865</v>
      </c>
      <c r="AY106" s="32">
        <f t="shared" si="140"/>
        <v>5.0917204668861011E-3</v>
      </c>
      <c r="AZ106" s="32" t="str">
        <f t="shared" si="114"/>
        <v>1+0.0758797095309136i</v>
      </c>
      <c r="BA106" s="32">
        <f t="shared" si="141"/>
        <v>1.0028747331140095</v>
      </c>
      <c r="BB106" s="32">
        <f t="shared" si="142"/>
        <v>7.5734578940934438E-2</v>
      </c>
      <c r="BC106" s="60" t="str">
        <f t="shared" si="143"/>
        <v>-0.323969057597162+4.57838162305174i</v>
      </c>
      <c r="BD106" s="51">
        <f t="shared" si="144"/>
        <v>13.235930934755043</v>
      </c>
      <c r="BE106" s="63">
        <f t="shared" si="145"/>
        <v>94.04753764330296</v>
      </c>
      <c r="BF106" s="60" t="str">
        <f t="shared" si="146"/>
        <v>26.0591846377849+161.212884307139i</v>
      </c>
      <c r="BG106" s="66">
        <f t="shared" si="147"/>
        <v>44.260014416222617</v>
      </c>
      <c r="BH106" s="63">
        <f t="shared" si="148"/>
        <v>80.817872745074567</v>
      </c>
      <c r="BI106" s="60" t="str">
        <f t="shared" si="101"/>
        <v>-5.50302786916313+193.305678900166i</v>
      </c>
      <c r="BJ106" s="66">
        <f t="shared" si="149"/>
        <v>45.728410473567337</v>
      </c>
      <c r="BK106" s="63">
        <f t="shared" si="102"/>
        <v>91.630656370901548</v>
      </c>
      <c r="BL106" s="51">
        <f t="shared" si="150"/>
        <v>44.260014416222617</v>
      </c>
      <c r="BM106" s="63">
        <f t="shared" si="151"/>
        <v>80.817872745074567</v>
      </c>
    </row>
    <row r="107" spans="14:65" x14ac:dyDescent="0.35">
      <c r="N107" s="11">
        <v>89</v>
      </c>
      <c r="O107" s="52">
        <f t="shared" si="115"/>
        <v>77.624711662869217</v>
      </c>
      <c r="P107" s="50" t="str">
        <f t="shared" si="103"/>
        <v>36.531007751938</v>
      </c>
      <c r="Q107" s="18" t="str">
        <f t="shared" si="104"/>
        <v>1+0.238193939620419i</v>
      </c>
      <c r="R107" s="18">
        <f t="shared" si="116"/>
        <v>1.027976825065573</v>
      </c>
      <c r="S107" s="18">
        <f t="shared" si="117"/>
        <v>0.23383658517033437</v>
      </c>
      <c r="T107" s="18" t="str">
        <f t="shared" si="105"/>
        <v>1+0.0000975460895588384i</v>
      </c>
      <c r="U107" s="18">
        <f t="shared" si="118"/>
        <v>1.0000000047576196</v>
      </c>
      <c r="V107" s="18">
        <f t="shared" si="119"/>
        <v>9.7546089249446935E-5</v>
      </c>
      <c r="W107" s="32" t="str">
        <f t="shared" si="106"/>
        <v>1-0.00161614822937721i</v>
      </c>
      <c r="X107" s="18">
        <f t="shared" si="120"/>
        <v>1.0000013059666968</v>
      </c>
      <c r="Y107" s="18">
        <f t="shared" si="121"/>
        <v>-1.6161468222879863E-3</v>
      </c>
      <c r="Z107" s="32" t="str">
        <f t="shared" si="107"/>
        <v>0.999999875504218+0.00073439325975764i</v>
      </c>
      <c r="AA107" s="18">
        <f t="shared" si="122"/>
        <v>1.000000145170945</v>
      </c>
      <c r="AB107" s="18">
        <f t="shared" si="123"/>
        <v>7.343932191588888E-4</v>
      </c>
      <c r="AC107" s="68" t="str">
        <f t="shared" si="124"/>
        <v>34.5510525521375-8.3121554912593i</v>
      </c>
      <c r="AD107" s="66">
        <f t="shared" si="125"/>
        <v>31.013576703356399</v>
      </c>
      <c r="AE107" s="63">
        <f t="shared" si="126"/>
        <v>-13.526936470740996</v>
      </c>
      <c r="AF107" s="51" t="str">
        <f t="shared" si="127"/>
        <v>42.1703962805665</v>
      </c>
      <c r="AG107" s="51" t="str">
        <f t="shared" si="108"/>
        <v>1+0.0430350395112524i</v>
      </c>
      <c r="AH107" s="51">
        <f t="shared" si="128"/>
        <v>1.0009255789646576</v>
      </c>
      <c r="AI107" s="51">
        <f t="shared" si="129"/>
        <v>4.3008501819734431E-2</v>
      </c>
      <c r="AJ107" s="51" t="str">
        <f t="shared" si="109"/>
        <v>1+0.0000975460895588384i</v>
      </c>
      <c r="AK107" s="51">
        <f t="shared" si="130"/>
        <v>1.0000000047576196</v>
      </c>
      <c r="AL107" s="51">
        <f t="shared" si="131"/>
        <v>9.7546089249446935E-5</v>
      </c>
      <c r="AM107" s="51" t="str">
        <f t="shared" si="110"/>
        <v>1-0.000252944462170754i</v>
      </c>
      <c r="AN107" s="51">
        <f t="shared" si="132"/>
        <v>1.0000000319904501</v>
      </c>
      <c r="AO107" s="51">
        <f t="shared" si="133"/>
        <v>-2.5294445677621598E-4</v>
      </c>
      <c r="AP107" s="60" t="str">
        <f t="shared" si="134"/>
        <v>42.0921600074131-1.81799097998738i</v>
      </c>
      <c r="AQ107" s="51">
        <f t="shared" si="135"/>
        <v>32.492118203830607</v>
      </c>
      <c r="AR107" s="63">
        <f t="shared" si="136"/>
        <v>-2.4731093080540094</v>
      </c>
      <c r="AS107" s="32" t="str">
        <f t="shared" si="111"/>
        <v>-0.000133283554228113</v>
      </c>
      <c r="AT107" s="32" t="str">
        <f t="shared" si="112"/>
        <v>0.0000298003303602251i</v>
      </c>
      <c r="AU107" s="32">
        <f t="shared" si="137"/>
        <v>2.98003303602251E-5</v>
      </c>
      <c r="AV107" s="32">
        <f t="shared" si="138"/>
        <v>1.5707963267948966</v>
      </c>
      <c r="AW107" s="32" t="str">
        <f t="shared" si="113"/>
        <v>1+0.00521036689982097i</v>
      </c>
      <c r="AX107" s="32">
        <f t="shared" si="139"/>
        <v>1.0000135738694904</v>
      </c>
      <c r="AY107" s="32">
        <f t="shared" si="140"/>
        <v>5.2103197503754395E-3</v>
      </c>
      <c r="AZ107" s="32" t="str">
        <f t="shared" si="114"/>
        <v>1+0.0776471750192831i</v>
      </c>
      <c r="BA107" s="32">
        <f t="shared" si="141"/>
        <v>1.0030100118086933</v>
      </c>
      <c r="BB107" s="32">
        <f t="shared" si="142"/>
        <v>7.749168998425604E-2</v>
      </c>
      <c r="BC107" s="60" t="str">
        <f t="shared" si="143"/>
        <v>-0.323968661763781+4.47424090413302i</v>
      </c>
      <c r="BD107" s="51">
        <f t="shared" si="144"/>
        <v>13.037097197057705</v>
      </c>
      <c r="BE107" s="63">
        <f t="shared" si="145"/>
        <v>94.141417451823884</v>
      </c>
      <c r="BF107" s="60" t="str">
        <f t="shared" si="146"/>
        <v>25.9971278426602+157.282610500499i</v>
      </c>
      <c r="BG107" s="66">
        <f t="shared" si="147"/>
        <v>44.050673900414104</v>
      </c>
      <c r="BH107" s="63">
        <f t="shared" si="148"/>
        <v>80.614480981082906</v>
      </c>
      <c r="BI107" s="60" t="str">
        <f t="shared" si="101"/>
        <v>-5.50241114234415+188.919436153365i</v>
      </c>
      <c r="BJ107" s="66">
        <f t="shared" si="149"/>
        <v>45.529215400888312</v>
      </c>
      <c r="BK107" s="63">
        <f t="shared" si="102"/>
        <v>91.668308143769877</v>
      </c>
      <c r="BL107" s="51">
        <f t="shared" si="150"/>
        <v>44.050673900414104</v>
      </c>
      <c r="BM107" s="63">
        <f t="shared" si="151"/>
        <v>80.614480981082906</v>
      </c>
    </row>
    <row r="108" spans="14:65" x14ac:dyDescent="0.35">
      <c r="N108" s="11">
        <v>90</v>
      </c>
      <c r="O108" s="52">
        <f t="shared" si="115"/>
        <v>79.432823472428197</v>
      </c>
      <c r="P108" s="50" t="str">
        <f t="shared" si="103"/>
        <v>36.531007751938</v>
      </c>
      <c r="Q108" s="18" t="str">
        <f t="shared" si="104"/>
        <v>1+0.24374218921732i</v>
      </c>
      <c r="R108" s="18">
        <f t="shared" si="116"/>
        <v>1.0292765686658041</v>
      </c>
      <c r="S108" s="18">
        <f t="shared" si="117"/>
        <v>0.23908034232097441</v>
      </c>
      <c r="T108" s="18" t="str">
        <f t="shared" si="105"/>
        <v>1+0.0000998182298699502i</v>
      </c>
      <c r="U108" s="18">
        <f t="shared" si="118"/>
        <v>1.0000000049818394</v>
      </c>
      <c r="V108" s="18">
        <f t="shared" si="119"/>
        <v>9.9818229538431257E-5</v>
      </c>
      <c r="W108" s="32" t="str">
        <f t="shared" si="106"/>
        <v>1-0.00165379315760864i</v>
      </c>
      <c r="X108" s="18">
        <f t="shared" si="120"/>
        <v>1.000001367514969</v>
      </c>
      <c r="Y108" s="18">
        <f t="shared" si="121"/>
        <v>-1.6537916498854841E-3</v>
      </c>
      <c r="Z108" s="32" t="str">
        <f t="shared" si="107"/>
        <v>0.999999869636912+0.000751499476288212i</v>
      </c>
      <c r="AA108" s="18">
        <f t="shared" si="122"/>
        <v>1.0000001520126405</v>
      </c>
      <c r="AB108" s="18">
        <f t="shared" si="123"/>
        <v>7.514994327858668E-4</v>
      </c>
      <c r="AC108" s="68" t="str">
        <f t="shared" si="124"/>
        <v>34.4629729691468-8.48430175328859i</v>
      </c>
      <c r="AD108" s="66">
        <f t="shared" si="125"/>
        <v>31.002601934545456</v>
      </c>
      <c r="AE108" s="63">
        <f t="shared" si="126"/>
        <v>-13.830388443801295</v>
      </c>
      <c r="AF108" s="51" t="str">
        <f t="shared" si="127"/>
        <v>42.1703962805665</v>
      </c>
      <c r="AG108" s="51" t="str">
        <f t="shared" si="108"/>
        <v>1+0.0440374543543899i</v>
      </c>
      <c r="AH108" s="51">
        <f t="shared" si="128"/>
        <v>1.0009691790390027</v>
      </c>
      <c r="AI108" s="51">
        <f t="shared" si="129"/>
        <v>4.4009020192403187E-2</v>
      </c>
      <c r="AJ108" s="51" t="str">
        <f t="shared" si="109"/>
        <v>1+0.0000998182298699502i</v>
      </c>
      <c r="AK108" s="51">
        <f t="shared" si="130"/>
        <v>1.0000000049818394</v>
      </c>
      <c r="AL108" s="51">
        <f t="shared" si="131"/>
        <v>9.9818229538431257E-5</v>
      </c>
      <c r="AM108" s="51" t="str">
        <f t="shared" si="110"/>
        <v>1-0.000258836295575557i</v>
      </c>
      <c r="AN108" s="51">
        <f t="shared" si="132"/>
        <v>1.0000000334981134</v>
      </c>
      <c r="AO108" s="51">
        <f t="shared" si="133"/>
        <v>-2.5883628979520544E-4</v>
      </c>
      <c r="AP108" s="60" t="str">
        <f t="shared" si="134"/>
        <v>42.088479982118-1.86017537090475i</v>
      </c>
      <c r="AQ108" s="51">
        <f t="shared" si="135"/>
        <v>32.491739871877535</v>
      </c>
      <c r="AR108" s="63">
        <f t="shared" si="136"/>
        <v>-2.5306421812497919</v>
      </c>
      <c r="AS108" s="32" t="str">
        <f t="shared" si="111"/>
        <v>-0.000133283554228113</v>
      </c>
      <c r="AT108" s="32" t="str">
        <f t="shared" si="112"/>
        <v>0.0000304944692252698i</v>
      </c>
      <c r="AU108" s="32">
        <f t="shared" si="137"/>
        <v>3.0494469225269801E-5</v>
      </c>
      <c r="AV108" s="32">
        <f t="shared" si="138"/>
        <v>1.5707963267948966</v>
      </c>
      <c r="AW108" s="32" t="str">
        <f t="shared" si="113"/>
        <v>1+0.00533173193579839i</v>
      </c>
      <c r="AX108" s="32">
        <f t="shared" si="139"/>
        <v>1.0000142135817047</v>
      </c>
      <c r="AY108" s="32">
        <f t="shared" si="140"/>
        <v>5.3316814142960562E-3</v>
      </c>
      <c r="AZ108" s="32" t="str">
        <f t="shared" si="114"/>
        <v>1+0.0794558100676297i</v>
      </c>
      <c r="BA108" s="32">
        <f t="shared" si="141"/>
        <v>1.003151646439113</v>
      </c>
      <c r="BB108" s="32">
        <f t="shared" si="142"/>
        <v>7.9289233107808305E-2</v>
      </c>
      <c r="BC108" s="60" t="str">
        <f t="shared" si="143"/>
        <v>-0.323968247276385+4.3724724867708i</v>
      </c>
      <c r="BD108" s="51">
        <f t="shared" si="144"/>
        <v>12.838318084970661</v>
      </c>
      <c r="BE108" s="63">
        <f t="shared" si="145"/>
        <v>94.237455575158847</v>
      </c>
      <c r="BF108" s="60" t="str">
        <f t="shared" si="146"/>
        <v>25.9324670369677+153.437045488297i</v>
      </c>
      <c r="BG108" s="66">
        <f t="shared" si="147"/>
        <v>43.840920019516119</v>
      </c>
      <c r="BH108" s="63">
        <f t="shared" si="148"/>
        <v>80.407067131357564</v>
      </c>
      <c r="BI108" s="60" t="str">
        <f t="shared" si="101"/>
        <v>-5.5017654604843+184.633358486353i</v>
      </c>
      <c r="BJ108" s="66">
        <f t="shared" si="149"/>
        <v>45.330057956848187</v>
      </c>
      <c r="BK108" s="63">
        <f t="shared" si="102"/>
        <v>91.706813393909059</v>
      </c>
      <c r="BL108" s="51">
        <f t="shared" si="150"/>
        <v>43.840920019516119</v>
      </c>
      <c r="BM108" s="63">
        <f t="shared" si="151"/>
        <v>80.407067131357564</v>
      </c>
    </row>
    <row r="109" spans="14:65" x14ac:dyDescent="0.35">
      <c r="N109" s="11">
        <v>91</v>
      </c>
      <c r="O109" s="52">
        <f t="shared" si="115"/>
        <v>81.283051616409963</v>
      </c>
      <c r="P109" s="50" t="str">
        <f t="shared" si="103"/>
        <v>36.531007751938</v>
      </c>
      <c r="Q109" s="18" t="str">
        <f t="shared" si="104"/>
        <v>1+0.249419674149253i</v>
      </c>
      <c r="R109" s="18">
        <f t="shared" si="116"/>
        <v>1.0306358104843436</v>
      </c>
      <c r="S109" s="18">
        <f t="shared" si="117"/>
        <v>0.2444323995544018</v>
      </c>
      <c r="T109" s="18" t="str">
        <f t="shared" si="105"/>
        <v>1+0.000102143295127789i</v>
      </c>
      <c r="U109" s="18">
        <f t="shared" si="118"/>
        <v>1.0000000052166262</v>
      </c>
      <c r="V109" s="18">
        <f t="shared" si="119"/>
        <v>1.0214329477256007E-4</v>
      </c>
      <c r="W109" s="32" t="str">
        <f t="shared" si="106"/>
        <v>1-0.00169231494886278i</v>
      </c>
      <c r="X109" s="18">
        <f t="shared" si="120"/>
        <v>1.0000014319639179</v>
      </c>
      <c r="Y109" s="18">
        <f t="shared" si="121"/>
        <v>-1.6923133333084364E-3</v>
      </c>
      <c r="Z109" s="32" t="str">
        <f t="shared" si="107"/>
        <v>0.999999863493089+0.000769004147788384i</v>
      </c>
      <c r="AA109" s="18">
        <f t="shared" si="122"/>
        <v>1.0000001591767753</v>
      </c>
      <c r="AB109" s="18">
        <f t="shared" si="123"/>
        <v>7.6900410117478155E-4</v>
      </c>
      <c r="AC109" s="68" t="str">
        <f t="shared" si="124"/>
        <v>34.3712176097201-8.65904093531269i</v>
      </c>
      <c r="AD109" s="66">
        <f t="shared" si="125"/>
        <v>30.99113959111201</v>
      </c>
      <c r="AE109" s="63">
        <f t="shared" si="126"/>
        <v>-14.140115592064499</v>
      </c>
      <c r="AF109" s="51" t="str">
        <f t="shared" si="127"/>
        <v>42.1703962805665</v>
      </c>
      <c r="AG109" s="51" t="str">
        <f t="shared" si="108"/>
        <v>1+0.0450632184387307i</v>
      </c>
      <c r="AH109" s="51">
        <f t="shared" si="128"/>
        <v>1.0010148318861498</v>
      </c>
      <c r="AI109" s="51">
        <f t="shared" si="129"/>
        <v>4.5032752353228352E-2</v>
      </c>
      <c r="AJ109" s="51" t="str">
        <f t="shared" si="109"/>
        <v>1+0.000102143295127789i</v>
      </c>
      <c r="AK109" s="51">
        <f t="shared" si="130"/>
        <v>1.0000000052166262</v>
      </c>
      <c r="AL109" s="51">
        <f t="shared" si="131"/>
        <v>1.0214329477256007E-4</v>
      </c>
      <c r="AM109" s="51" t="str">
        <f t="shared" si="110"/>
        <v>1-0.000264865367410377i</v>
      </c>
      <c r="AN109" s="51">
        <f t="shared" si="132"/>
        <v>1.0000000350768308</v>
      </c>
      <c r="AO109" s="51">
        <f t="shared" si="133"/>
        <v>-2.6486536121661872E-4</v>
      </c>
      <c r="AP109" s="60" t="str">
        <f t="shared" si="134"/>
        <v>42.0846272097108-1.9033308031355i</v>
      </c>
      <c r="AQ109" s="51">
        <f t="shared" si="135"/>
        <v>32.491343745012998</v>
      </c>
      <c r="AR109" s="63">
        <f t="shared" si="136"/>
        <v>-2.5895099373387036</v>
      </c>
      <c r="AS109" s="32" t="str">
        <f t="shared" si="111"/>
        <v>-0.000133283554228113</v>
      </c>
      <c r="AT109" s="32" t="str">
        <f t="shared" si="112"/>
        <v>0.0000312047766615397i</v>
      </c>
      <c r="AU109" s="32">
        <f t="shared" si="137"/>
        <v>3.1204776661539702E-5</v>
      </c>
      <c r="AV109" s="32">
        <f t="shared" si="138"/>
        <v>1.5707963267948966</v>
      </c>
      <c r="AW109" s="32" t="str">
        <f t="shared" si="113"/>
        <v>1+0.00545592392662199i</v>
      </c>
      <c r="AX109" s="32">
        <f t="shared" si="139"/>
        <v>1.000014883442188</v>
      </c>
      <c r="AY109" s="32">
        <f t="shared" si="140"/>
        <v>5.4558697919004241E-3</v>
      </c>
      <c r="AZ109" s="32" t="str">
        <f t="shared" si="114"/>
        <v>1+0.0813065736381959i</v>
      </c>
      <c r="BA109" s="32">
        <f t="shared" si="141"/>
        <v>1.0032999346739655</v>
      </c>
      <c r="BB109" s="32">
        <f t="shared" si="142"/>
        <v>8.1128114901591483E-2</v>
      </c>
      <c r="BC109" s="60" t="str">
        <f t="shared" si="143"/>
        <v>-0.323967813255936+4.27302241198923i</v>
      </c>
      <c r="BD109" s="51">
        <f t="shared" si="144"/>
        <v>12.639596140458185</v>
      </c>
      <c r="BE109" s="63">
        <f t="shared" si="145"/>
        <v>94.335700271064781</v>
      </c>
      <c r="BF109" s="60" t="str">
        <f t="shared" si="146"/>
        <v>25.8651077749584+149.6742337304i</v>
      </c>
      <c r="BG109" s="66">
        <f t="shared" si="147"/>
        <v>43.630735731570205</v>
      </c>
      <c r="BH109" s="63">
        <f t="shared" si="148"/>
        <v>80.195584679000291</v>
      </c>
      <c r="BI109" s="60" t="str">
        <f t="shared" si="101"/>
        <v>-5.50108946959382+180.445173185501i</v>
      </c>
      <c r="BJ109" s="66">
        <f t="shared" si="149"/>
        <v>45.130939885471207</v>
      </c>
      <c r="BK109" s="63">
        <f t="shared" si="102"/>
        <v>91.746190333726062</v>
      </c>
      <c r="BL109" s="51">
        <f t="shared" si="150"/>
        <v>43.630735731570205</v>
      </c>
      <c r="BM109" s="63">
        <f t="shared" si="151"/>
        <v>80.195584679000291</v>
      </c>
    </row>
    <row r="110" spans="14:65" x14ac:dyDescent="0.35">
      <c r="N110" s="11">
        <v>92</v>
      </c>
      <c r="O110" s="52">
        <f t="shared" si="115"/>
        <v>83.176377110267126</v>
      </c>
      <c r="P110" s="50" t="str">
        <f t="shared" si="103"/>
        <v>36.531007751938</v>
      </c>
      <c r="Q110" s="18" t="str">
        <f t="shared" si="104"/>
        <v>1+0.25522940469388i</v>
      </c>
      <c r="R110" s="18">
        <f t="shared" si="116"/>
        <v>1.0320571927080362</v>
      </c>
      <c r="S110" s="18">
        <f t="shared" si="117"/>
        <v>0.24989436761665684</v>
      </c>
      <c r="T110" s="18" t="str">
        <f t="shared" si="105"/>
        <v>1+0.000104522518112732i</v>
      </c>
      <c r="U110" s="18">
        <f t="shared" si="118"/>
        <v>1.0000000054624782</v>
      </c>
      <c r="V110" s="18">
        <f t="shared" si="119"/>
        <v>1.0452251773209733E-4</v>
      </c>
      <c r="W110" s="32" t="str">
        <f t="shared" si="106"/>
        <v>1-0.00173173402790325i</v>
      </c>
      <c r="X110" s="18">
        <f t="shared" si="120"/>
        <v>1.0000014994502475</v>
      </c>
      <c r="Y110" s="18">
        <f t="shared" si="121"/>
        <v>-1.7317322968057225E-3</v>
      </c>
      <c r="Z110" s="32" t="str">
        <f t="shared" si="107"/>
        <v>0.999999857059717+0.000786916555466686i</v>
      </c>
      <c r="AA110" s="18">
        <f t="shared" si="122"/>
        <v>1.0000001666785459</v>
      </c>
      <c r="AB110" s="18">
        <f t="shared" si="123"/>
        <v>7.8691650551931112E-4</v>
      </c>
      <c r="AC110" s="68" t="str">
        <f t="shared" si="124"/>
        <v>34.2756549819798-8.83634551491711i</v>
      </c>
      <c r="AD110" s="66">
        <f t="shared" si="125"/>
        <v>30.979169383707763</v>
      </c>
      <c r="AE110" s="63">
        <f t="shared" si="126"/>
        <v>-14.456211835843879</v>
      </c>
      <c r="AF110" s="51" t="str">
        <f t="shared" si="127"/>
        <v>42.1703962805665</v>
      </c>
      <c r="AG110" s="51" t="str">
        <f t="shared" si="108"/>
        <v>1+0.04611287563797i</v>
      </c>
      <c r="AH110" s="51">
        <f t="shared" si="128"/>
        <v>1.0010626340542348</v>
      </c>
      <c r="AI110" s="51">
        <f t="shared" si="129"/>
        <v>4.6080232510470373E-2</v>
      </c>
      <c r="AJ110" s="51" t="str">
        <f t="shared" si="109"/>
        <v>1+0.000104522518112732i</v>
      </c>
      <c r="AK110" s="51">
        <f t="shared" si="130"/>
        <v>1.0000000054624782</v>
      </c>
      <c r="AL110" s="51">
        <f t="shared" si="131"/>
        <v>1.0452251773209733E-4</v>
      </c>
      <c r="AM110" s="51" t="str">
        <f t="shared" si="110"/>
        <v>1-0.000271034874368906i</v>
      </c>
      <c r="AN110" s="51">
        <f t="shared" si="132"/>
        <v>1.0000000367299509</v>
      </c>
      <c r="AO110" s="51">
        <f t="shared" si="133"/>
        <v>-2.7103486773217444E-4</v>
      </c>
      <c r="AP110" s="60" t="str">
        <f t="shared" si="134"/>
        <v>42.0805936149588-1.94747907218748i</v>
      </c>
      <c r="AQ110" s="51">
        <f t="shared" si="135"/>
        <v>32.49092898798969</v>
      </c>
      <c r="AR110" s="63">
        <f t="shared" si="136"/>
        <v>-2.6497432967232832</v>
      </c>
      <c r="AS110" s="32" t="str">
        <f t="shared" si="111"/>
        <v>-0.000133283554228113</v>
      </c>
      <c r="AT110" s="32" t="str">
        <f t="shared" si="112"/>
        <v>0.0000319316292834396i</v>
      </c>
      <c r="AU110" s="32">
        <f t="shared" si="137"/>
        <v>3.1931629283439603E-5</v>
      </c>
      <c r="AV110" s="32">
        <f t="shared" si="138"/>
        <v>1.5707963267948966</v>
      </c>
      <c r="AW110" s="32" t="str">
        <f t="shared" si="113"/>
        <v>1+0.00558300872052918i</v>
      </c>
      <c r="AX110" s="32">
        <f t="shared" si="139"/>
        <v>1.0000155848717427</v>
      </c>
      <c r="AY110" s="32">
        <f t="shared" si="140"/>
        <v>5.5829507141787636E-3</v>
      </c>
      <c r="AZ110" s="32" t="str">
        <f t="shared" si="114"/>
        <v>1+0.083200447030325i</v>
      </c>
      <c r="BA110" s="32">
        <f t="shared" si="141"/>
        <v>1.0034551880308586</v>
      </c>
      <c r="BB110" s="32">
        <f t="shared" si="142"/>
        <v>8.3009260592108544E-2</v>
      </c>
      <c r="BC110" s="60" t="str">
        <f t="shared" si="143"/>
        <v>-0.323967358781981+4.17583795002739i</v>
      </c>
      <c r="BD110" s="51">
        <f t="shared" si="144"/>
        <v>12.440934022182685</v>
      </c>
      <c r="BE110" s="63">
        <f t="shared" si="145"/>
        <v>94.436200779277456</v>
      </c>
      <c r="BF110" s="60" t="str">
        <f t="shared" si="146"/>
        <v>25.7949535257107+145.992268353549i</v>
      </c>
      <c r="BG110" s="66">
        <f t="shared" si="147"/>
        <v>43.42010340589043</v>
      </c>
      <c r="BH110" s="63">
        <f t="shared" si="148"/>
        <v>79.979988943433568</v>
      </c>
      <c r="BI110" s="60" t="str">
        <f t="shared" si="101"/>
        <v>-5.50038175289149+176.352659428325i</v>
      </c>
      <c r="BJ110" s="66">
        <f t="shared" si="149"/>
        <v>44.931863010172364</v>
      </c>
      <c r="BK110" s="63">
        <f t="shared" si="102"/>
        <v>91.786457482554184</v>
      </c>
      <c r="BL110" s="51">
        <f t="shared" si="150"/>
        <v>43.42010340589043</v>
      </c>
      <c r="BM110" s="63">
        <f t="shared" si="151"/>
        <v>79.979988943433568</v>
      </c>
    </row>
    <row r="111" spans="14:65" x14ac:dyDescent="0.35">
      <c r="N111" s="11">
        <v>93</v>
      </c>
      <c r="O111" s="52">
        <f t="shared" si="115"/>
        <v>85.113803820237734</v>
      </c>
      <c r="P111" s="50" t="str">
        <f t="shared" si="103"/>
        <v>36.531007751938</v>
      </c>
      <c r="Q111" s="18" t="str">
        <f t="shared" si="104"/>
        <v>1+0.261174461247236i</v>
      </c>
      <c r="R111" s="18">
        <f t="shared" si="116"/>
        <v>1.0335434674979973</v>
      </c>
      <c r="S111" s="18">
        <f t="shared" si="117"/>
        <v>0.2554678383818918</v>
      </c>
      <c r="T111" s="18" t="str">
        <f t="shared" si="105"/>
        <v>1+0.000106957160320297i</v>
      </c>
      <c r="U111" s="18">
        <f t="shared" si="118"/>
        <v>1.000000005719917</v>
      </c>
      <c r="V111" s="18">
        <f t="shared" si="119"/>
        <v>1.0695715991243961E-4</v>
      </c>
      <c r="W111" s="32" t="str">
        <f t="shared" si="106"/>
        <v>1-0.00177207129524752i</v>
      </c>
      <c r="X111" s="18">
        <f t="shared" si="120"/>
        <v>1.000001570117105</v>
      </c>
      <c r="Y111" s="18">
        <f t="shared" si="121"/>
        <v>-1.7720694403432573E-3</v>
      </c>
      <c r="Z111" s="32" t="str">
        <f t="shared" si="107"/>
        <v>0.999999850323149+0.000805246196718771i</v>
      </c>
      <c r="AA111" s="18">
        <f t="shared" si="122"/>
        <v>1.0000001745338636</v>
      </c>
      <c r="AB111" s="18">
        <f t="shared" si="123"/>
        <v>8.0524614319919482E-4</v>
      </c>
      <c r="AC111" s="68" t="str">
        <f t="shared" si="124"/>
        <v>34.176150865656-9.01618250723676i</v>
      </c>
      <c r="AD111" s="66">
        <f t="shared" si="125"/>
        <v>30.966670302451192</v>
      </c>
      <c r="AE111" s="63">
        <f t="shared" si="126"/>
        <v>-14.778770052171208</v>
      </c>
      <c r="AF111" s="51" t="str">
        <f t="shared" si="127"/>
        <v>42.1703962805665</v>
      </c>
      <c r="AG111" s="51" t="str">
        <f t="shared" si="108"/>
        <v>1+0.0471869824942487i</v>
      </c>
      <c r="AH111" s="51">
        <f t="shared" si="128"/>
        <v>1.001112686622696</v>
      </c>
      <c r="AI111" s="51">
        <f t="shared" si="129"/>
        <v>4.715200685225706E-2</v>
      </c>
      <c r="AJ111" s="51" t="str">
        <f t="shared" si="109"/>
        <v>1+0.000106957160320297i</v>
      </c>
      <c r="AK111" s="51">
        <f t="shared" si="130"/>
        <v>1.000000005719917</v>
      </c>
      <c r="AL111" s="51">
        <f t="shared" si="131"/>
        <v>1.0695715991243961E-4</v>
      </c>
      <c r="AM111" s="51" t="str">
        <f t="shared" si="110"/>
        <v>1-0.000277348087605397i</v>
      </c>
      <c r="AN111" s="51">
        <f t="shared" si="132"/>
        <v>1.0000000384609802</v>
      </c>
      <c r="AO111" s="51">
        <f t="shared" si="133"/>
        <v>-2.7734808049401105E-4</v>
      </c>
      <c r="AP111" s="60" t="str">
        <f t="shared" si="134"/>
        <v>42.0763707484001-1.9926424228525i</v>
      </c>
      <c r="AQ111" s="51">
        <f t="shared" si="135"/>
        <v>32.490494726523217</v>
      </c>
      <c r="AR111" s="63">
        <f t="shared" si="136"/>
        <v>-2.7113736688229406</v>
      </c>
      <c r="AS111" s="32" t="str">
        <f t="shared" si="111"/>
        <v>-0.000133283554228113</v>
      </c>
      <c r="AT111" s="32" t="str">
        <f t="shared" si="112"/>
        <v>0.0000326754124778506i</v>
      </c>
      <c r="AU111" s="32">
        <f t="shared" si="137"/>
        <v>3.2675412477850603E-5</v>
      </c>
      <c r="AV111" s="32">
        <f t="shared" si="138"/>
        <v>1.5707963267948966</v>
      </c>
      <c r="AW111" s="32" t="str">
        <f t="shared" si="113"/>
        <v>1+0.00571305369955986i</v>
      </c>
      <c r="AX111" s="32">
        <f t="shared" si="139"/>
        <v>1.0000163193581262</v>
      </c>
      <c r="AY111" s="32">
        <f t="shared" si="140"/>
        <v>5.7129915446903438E-3</v>
      </c>
      <c r="AZ111" s="32" t="str">
        <f t="shared" si="114"/>
        <v>1+0.0851384344007578i</v>
      </c>
      <c r="BA111" s="32">
        <f t="shared" si="141"/>
        <v>1.0036177325118425</v>
      </c>
      <c r="BB111" s="32">
        <f t="shared" si="142"/>
        <v>8.4933614303433505E-2</v>
      </c>
      <c r="BC111" s="60" t="str">
        <f t="shared" si="143"/>
        <v>-0.323966882890695+4.08086757238119i</v>
      </c>
      <c r="BD111" s="51">
        <f t="shared" si="144"/>
        <v>12.24233451070986</v>
      </c>
      <c r="BE111" s="63">
        <f t="shared" si="145"/>
        <v>94.539007334474022</v>
      </c>
      <c r="BF111" s="60" t="str">
        <f t="shared" si="146"/>
        <v>25.7219057553043+142.389290358906i</v>
      </c>
      <c r="BG111" s="66">
        <f t="shared" si="147"/>
        <v>43.209004813161052</v>
      </c>
      <c r="BH111" s="63">
        <f t="shared" si="148"/>
        <v>79.760237282302825</v>
      </c>
      <c r="BI111" s="60" t="str">
        <f t="shared" si="101"/>
        <v>-5.49964082794254+172.353647105082i</v>
      </c>
      <c r="BJ111" s="66">
        <f t="shared" si="149"/>
        <v>44.732829237233091</v>
      </c>
      <c r="BK111" s="63">
        <f t="shared" si="102"/>
        <v>91.827633665651064</v>
      </c>
      <c r="BL111" s="51">
        <f t="shared" si="150"/>
        <v>43.209004813161052</v>
      </c>
      <c r="BM111" s="63">
        <f t="shared" si="151"/>
        <v>79.760237282302825</v>
      </c>
    </row>
    <row r="112" spans="14:65" x14ac:dyDescent="0.35">
      <c r="N112" s="11">
        <v>94</v>
      </c>
      <c r="O112" s="52">
        <f t="shared" si="115"/>
        <v>87.096358995608071</v>
      </c>
      <c r="P112" s="50" t="str">
        <f t="shared" si="103"/>
        <v>36.531007751938</v>
      </c>
      <c r="Q112" s="18" t="str">
        <f t="shared" si="104"/>
        <v>1+0.267257995956997i</v>
      </c>
      <c r="R112" s="18">
        <f t="shared" si="116"/>
        <v>1.035097500916194</v>
      </c>
      <c r="S112" s="18">
        <f t="shared" si="117"/>
        <v>0.26115438134217245</v>
      </c>
      <c r="T112" s="18" t="str">
        <f t="shared" si="105"/>
        <v>1+0.000109448512630009i</v>
      </c>
      <c r="U112" s="18">
        <f t="shared" si="118"/>
        <v>1.0000000059894885</v>
      </c>
      <c r="V112" s="18">
        <f t="shared" si="119"/>
        <v>1.0944851219298193E-4</v>
      </c>
      <c r="W112" s="32" t="str">
        <f t="shared" si="106"/>
        <v>1-0.00181334813824866i</v>
      </c>
      <c r="X112" s="18">
        <f t="shared" si="120"/>
        <v>1.0000016441143837</v>
      </c>
      <c r="Y112" s="18">
        <f t="shared" si="121"/>
        <v>-1.8133461506831096E-3</v>
      </c>
      <c r="Z112" s="32" t="str">
        <f t="shared" si="107"/>
        <v>0.999999843269096+0.000824002790163046i</v>
      </c>
      <c r="AA112" s="18">
        <f t="shared" si="122"/>
        <v>1.0000001827593905</v>
      </c>
      <c r="AB112" s="18">
        <f t="shared" si="123"/>
        <v>8.2400273281578766E-4</v>
      </c>
      <c r="AC112" s="68" t="str">
        <f t="shared" si="124"/>
        <v>34.0725684448178-9.19851314488068i</v>
      </c>
      <c r="AD112" s="66">
        <f t="shared" si="125"/>
        <v>30.953620602483063</v>
      </c>
      <c r="AE112" s="63">
        <f t="shared" si="126"/>
        <v>-15.107881874561924</v>
      </c>
      <c r="AF112" s="51" t="str">
        <f t="shared" si="127"/>
        <v>42.1703962805665</v>
      </c>
      <c r="AG112" s="51" t="str">
        <f t="shared" si="108"/>
        <v>1+0.0482861085132392i</v>
      </c>
      <c r="AH112" s="51">
        <f t="shared" si="128"/>
        <v>1.0011650954140143</v>
      </c>
      <c r="AI112" s="51">
        <f t="shared" si="129"/>
        <v>4.8248633792749442E-2</v>
      </c>
      <c r="AJ112" s="51" t="str">
        <f t="shared" si="109"/>
        <v>1+0.000109448512630009i</v>
      </c>
      <c r="AK112" s="51">
        <f t="shared" si="130"/>
        <v>1.0000000059894885</v>
      </c>
      <c r="AL112" s="51">
        <f t="shared" si="131"/>
        <v>1.0944851219298193E-4</v>
      </c>
      <c r="AM112" s="51" t="str">
        <f t="shared" si="110"/>
        <v>1-0.00028380835446907i</v>
      </c>
      <c r="AN112" s="51">
        <f t="shared" si="132"/>
        <v>1.0000000402735902</v>
      </c>
      <c r="AO112" s="51">
        <f t="shared" si="133"/>
        <v>-2.8380834684908264E-4</v>
      </c>
      <c r="AP112" s="60" t="str">
        <f t="shared" si="134"/>
        <v>42.0719497693155-2.03884355555049i</v>
      </c>
      <c r="AQ112" s="51">
        <f t="shared" si="135"/>
        <v>32.490040045483994</v>
      </c>
      <c r="AR112" s="63">
        <f t="shared" si="136"/>
        <v>-2.7744331662392221</v>
      </c>
      <c r="AS112" s="32" t="str">
        <f t="shared" si="111"/>
        <v>-0.000133283554228113</v>
      </c>
      <c r="AT112" s="32" t="str">
        <f t="shared" si="112"/>
        <v>0.0000334365206084676i</v>
      </c>
      <c r="AU112" s="32">
        <f t="shared" si="137"/>
        <v>3.34365206084676E-5</v>
      </c>
      <c r="AV112" s="32">
        <f t="shared" si="138"/>
        <v>1.5707963267948966</v>
      </c>
      <c r="AW112" s="32" t="str">
        <f t="shared" si="113"/>
        <v>1+0.00584612781528323i</v>
      </c>
      <c r="AX112" s="32">
        <f t="shared" si="139"/>
        <v>1.0000170884592086</v>
      </c>
      <c r="AY112" s="32">
        <f t="shared" si="140"/>
        <v>5.8460612152020953E-3</v>
      </c>
      <c r="AZ112" s="32" t="str">
        <f t="shared" si="114"/>
        <v>1+0.0871215632960499i</v>
      </c>
      <c r="BA112" s="32">
        <f t="shared" si="141"/>
        <v>1.0037879092672652</v>
      </c>
      <c r="BB112" s="32">
        <f t="shared" si="142"/>
        <v>8.6902139312513463E-2</v>
      </c>
      <c r="BC112" s="60" t="str">
        <f t="shared" si="143"/>
        <v>-0.323966384572842+3.98806092448221i</v>
      </c>
      <c r="BD112" s="51">
        <f t="shared" si="144"/>
        <v>12.043800513931446</v>
      </c>
      <c r="BE112" s="63">
        <f t="shared" si="145"/>
        <v>94.644171178858741</v>
      </c>
      <c r="BF112" s="60" t="str">
        <f t="shared" si="146"/>
        <v>25.6458640242563+138.863487858516i</v>
      </c>
      <c r="BG112" s="66">
        <f t="shared" si="147"/>
        <v>42.9974211164145</v>
      </c>
      <c r="BH112" s="63">
        <f t="shared" si="148"/>
        <v>79.536289304296801</v>
      </c>
      <c r="BI112" s="60" t="str">
        <f t="shared" si="101"/>
        <v>-5.49886514367207+168.446015667187i</v>
      </c>
      <c r="BJ112" s="66">
        <f t="shared" si="149"/>
        <v>44.533840559415452</v>
      </c>
      <c r="BK112" s="63">
        <f t="shared" si="102"/>
        <v>91.869738012619521</v>
      </c>
      <c r="BL112" s="51">
        <f t="shared" si="150"/>
        <v>42.9974211164145</v>
      </c>
      <c r="BM112" s="63">
        <f t="shared" si="151"/>
        <v>79.536289304296801</v>
      </c>
    </row>
    <row r="113" spans="14:65" x14ac:dyDescent="0.35">
      <c r="N113" s="11">
        <v>95</v>
      </c>
      <c r="O113" s="52">
        <f t="shared" si="115"/>
        <v>89.125093813374562</v>
      </c>
      <c r="P113" s="50" t="str">
        <f t="shared" si="103"/>
        <v>36.531007751938</v>
      </c>
      <c r="Q113" s="18" t="str">
        <f t="shared" si="104"/>
        <v>1+0.273483234393794i</v>
      </c>
      <c r="R113" s="18">
        <f t="shared" si="116"/>
        <v>1.0367222769355788</v>
      </c>
      <c r="S113" s="18">
        <f t="shared" si="117"/>
        <v>0.26695553989525</v>
      </c>
      <c r="T113" s="18" t="str">
        <f t="shared" si="105"/>
        <v>1+0.000111997895989839i</v>
      </c>
      <c r="U113" s="18">
        <f t="shared" si="118"/>
        <v>1.0000000062717642</v>
      </c>
      <c r="V113" s="18">
        <f t="shared" si="119"/>
        <v>1.1199789552155606E-4</v>
      </c>
      <c r="W113" s="32" t="str">
        <f t="shared" si="106"/>
        <v>1-0.00185558644243521i</v>
      </c>
      <c r="X113" s="18">
        <f t="shared" si="120"/>
        <v>1.0000017215990407</v>
      </c>
      <c r="Y113" s="18">
        <f t="shared" si="121"/>
        <v>-1.8555843127205504E-3</v>
      </c>
      <c r="Z113" s="32" t="str">
        <f t="shared" si="107"/>
        <v>0.999999835882596+0.000843196280793633i</v>
      </c>
      <c r="AA113" s="18">
        <f t="shared" si="122"/>
        <v>1.0000001913725751</v>
      </c>
      <c r="AB113" s="18">
        <f t="shared" si="123"/>
        <v>8.4319621934493896E-4</v>
      </c>
      <c r="AC113" s="68" t="str">
        <f t="shared" si="124"/>
        <v>33.9647684629141-9.38329255102999i</v>
      </c>
      <c r="AD113" s="66">
        <f t="shared" si="125"/>
        <v>30.939997790301636</v>
      </c>
      <c r="AE113" s="63">
        <f t="shared" si="126"/>
        <v>-15.443637481225791</v>
      </c>
      <c r="AF113" s="51" t="str">
        <f t="shared" si="127"/>
        <v>42.1703962805665</v>
      </c>
      <c r="AG113" s="51" t="str">
        <f t="shared" si="108"/>
        <v>1+0.0494108364661058i</v>
      </c>
      <c r="AH113" s="51">
        <f t="shared" si="128"/>
        <v>1.0012199712152572</v>
      </c>
      <c r="AI113" s="51">
        <f t="shared" si="129"/>
        <v>4.93706842217232E-2</v>
      </c>
      <c r="AJ113" s="51" t="str">
        <f t="shared" si="109"/>
        <v>1+0.000111997895989839i</v>
      </c>
      <c r="AK113" s="51">
        <f t="shared" si="130"/>
        <v>1.0000000062717642</v>
      </c>
      <c r="AL113" s="51">
        <f t="shared" si="131"/>
        <v>1.1199789552155606E-4</v>
      </c>
      <c r="AM113" s="51" t="str">
        <f t="shared" si="110"/>
        <v>1-0.000290419100278932i</v>
      </c>
      <c r="AN113" s="51">
        <f t="shared" si="132"/>
        <v>1.000000042171626</v>
      </c>
      <c r="AO113" s="51">
        <f t="shared" si="133"/>
        <v>-2.9041909211396846E-4</v>
      </c>
      <c r="AP113" s="60" t="str">
        <f t="shared" si="134"/>
        <v>42.0673214279545-2.08610563253349i</v>
      </c>
      <c r="AQ113" s="51">
        <f t="shared" si="135"/>
        <v>32.489563987006598</v>
      </c>
      <c r="AR113" s="63">
        <f t="shared" si="136"/>
        <v>-2.8389546191182768</v>
      </c>
      <c r="AS113" s="32" t="str">
        <f t="shared" si="111"/>
        <v>-0.000133283554228113</v>
      </c>
      <c r="AT113" s="32" t="str">
        <f t="shared" si="112"/>
        <v>0.000034215357224896i</v>
      </c>
      <c r="AU113" s="32">
        <f t="shared" si="137"/>
        <v>3.4215357224896003E-5</v>
      </c>
      <c r="AV113" s="32">
        <f t="shared" si="138"/>
        <v>1.5707963267948966</v>
      </c>
      <c r="AW113" s="32" t="str">
        <f t="shared" si="113"/>
        <v>1+0.00598230162535692i</v>
      </c>
      <c r="AX113" s="32">
        <f t="shared" si="139"/>
        <v>1.0000178938062743</v>
      </c>
      <c r="AY113" s="32">
        <f t="shared" si="140"/>
        <v>5.9822302621532182E-3</v>
      </c>
      <c r="AZ113" s="32" t="str">
        <f t="shared" si="114"/>
        <v>1+0.089150885197392i</v>
      </c>
      <c r="BA113" s="32">
        <f t="shared" si="141"/>
        <v>1.0039660752891397</v>
      </c>
      <c r="BB113" s="32">
        <f t="shared" si="142"/>
        <v>8.891581829778554E-2</v>
      </c>
      <c r="BC113" s="60" t="str">
        <f t="shared" si="143"/>
        <v>-0.323965862771634+3.89736879899896i</v>
      </c>
      <c r="BD113" s="51">
        <f t="shared" si="144"/>
        <v>11.845335072713148</v>
      </c>
      <c r="BE113" s="63">
        <f t="shared" si="145"/>
        <v>94.751744574318394</v>
      </c>
      <c r="BF113" s="60" t="str">
        <f t="shared" si="146"/>
        <v>25.5667261013369+135.413095339518i</v>
      </c>
      <c r="BG113" s="66">
        <f t="shared" si="147"/>
        <v>42.785332863014759</v>
      </c>
      <c r="BH113" s="63">
        <f t="shared" si="148"/>
        <v>79.308107093092588</v>
      </c>
      <c r="BI113" s="60" t="str">
        <f t="shared" si="101"/>
        <v>-5.49805307724691+164.627693001847i</v>
      </c>
      <c r="BJ113" s="66">
        <f t="shared" si="149"/>
        <v>44.33489905971976</v>
      </c>
      <c r="BK113" s="63">
        <f t="shared" si="102"/>
        <v>91.912789955200111</v>
      </c>
      <c r="BL113" s="51">
        <f t="shared" si="150"/>
        <v>42.785332863014759</v>
      </c>
      <c r="BM113" s="63">
        <f t="shared" si="151"/>
        <v>79.308107093092588</v>
      </c>
    </row>
    <row r="114" spans="14:65" x14ac:dyDescent="0.35">
      <c r="N114" s="11">
        <v>96</v>
      </c>
      <c r="O114" s="52">
        <f t="shared" si="115"/>
        <v>91.201083935590972</v>
      </c>
      <c r="P114" s="50" t="str">
        <f t="shared" si="103"/>
        <v>36.531007751938</v>
      </c>
      <c r="Q114" s="18" t="str">
        <f t="shared" si="104"/>
        <v>1+0.279853477261444i</v>
      </c>
      <c r="R114" s="18">
        <f t="shared" si="116"/>
        <v>1.0384209015304544</v>
      </c>
      <c r="S114" s="18">
        <f t="shared" si="117"/>
        <v>0.27287282742634433</v>
      </c>
      <c r="T114" s="18" t="str">
        <f t="shared" si="105"/>
        <v>1+0.000114606662116591i</v>
      </c>
      <c r="U114" s="18">
        <f t="shared" si="118"/>
        <v>1.0000000065673433</v>
      </c>
      <c r="V114" s="18">
        <f t="shared" si="119"/>
        <v>1.1460666161481679E-4</v>
      </c>
      <c r="W114" s="32" t="str">
        <f t="shared" si="106"/>
        <v>1-0.00189880860311513i</v>
      </c>
      <c r="X114" s="18">
        <f t="shared" si="120"/>
        <v>1.0000018027354307</v>
      </c>
      <c r="Y114" s="18">
        <f t="shared" si="121"/>
        <v>-1.8988063210849796E-3</v>
      </c>
      <c r="Z114" s="32" t="str">
        <f t="shared" si="107"/>
        <v>0.999999828147981+0.00086283684525332i</v>
      </c>
      <c r="AA114" s="18">
        <f t="shared" si="122"/>
        <v>1.0000002003916864</v>
      </c>
      <c r="AB114" s="18">
        <f t="shared" si="123"/>
        <v>8.6283677940985856E-4</v>
      </c>
      <c r="AC114" s="68" t="str">
        <f t="shared" si="124"/>
        <v>33.8526094016673-9.57046940675318i</v>
      </c>
      <c r="AD114" s="66">
        <f t="shared" si="125"/>
        <v>30.925778611002851</v>
      </c>
      <c r="AE114" s="63">
        <f t="shared" si="126"/>
        <v>-15.786125371496334</v>
      </c>
      <c r="AF114" s="51" t="str">
        <f t="shared" si="127"/>
        <v>42.1703962805665</v>
      </c>
      <c r="AG114" s="51" t="str">
        <f t="shared" si="108"/>
        <v>1+0.0505617626984964i</v>
      </c>
      <c r="AH114" s="51">
        <f t="shared" si="128"/>
        <v>1.0012774300098743</v>
      </c>
      <c r="AI114" s="51">
        <f t="shared" si="129"/>
        <v>5.0518741757479745E-2</v>
      </c>
      <c r="AJ114" s="51" t="str">
        <f t="shared" si="109"/>
        <v>1+0.000114606662116591i</v>
      </c>
      <c r="AK114" s="51">
        <f t="shared" si="130"/>
        <v>1.0000000065673433</v>
      </c>
      <c r="AL114" s="51">
        <f t="shared" si="131"/>
        <v>1.1460666161481679E-4</v>
      </c>
      <c r="AM114" s="51" t="str">
        <f t="shared" si="110"/>
        <v>1-0.000297183830139913i</v>
      </c>
      <c r="AN114" s="51">
        <f t="shared" si="132"/>
        <v>1.0000000441591135</v>
      </c>
      <c r="AO114" s="51">
        <f t="shared" si="133"/>
        <v>-2.9718382139099696E-4</v>
      </c>
      <c r="AP114" s="60" t="str">
        <f t="shared" si="134"/>
        <v>42.0624760469873-2.13445228392629i</v>
      </c>
      <c r="AQ114" s="51">
        <f t="shared" si="135"/>
        <v>32.489065548513366</v>
      </c>
      <c r="AR114" s="63">
        <f t="shared" si="136"/>
        <v>-2.9049715897055681</v>
      </c>
      <c r="AS114" s="32" t="str">
        <f t="shared" si="111"/>
        <v>-0.000133283554228113</v>
      </c>
      <c r="AT114" s="32" t="str">
        <f t="shared" si="112"/>
        <v>0.0000350123352766187i</v>
      </c>
      <c r="AU114" s="32">
        <f t="shared" si="137"/>
        <v>3.50123352766187E-5</v>
      </c>
      <c r="AV114" s="32">
        <f t="shared" si="138"/>
        <v>1.5707963267948966</v>
      </c>
      <c r="AW114" s="32" t="str">
        <f t="shared" si="113"/>
        <v>1+0.0061216473309375i</v>
      </c>
      <c r="AX114" s="32">
        <f t="shared" si="139"/>
        <v>1.0000187371074825</v>
      </c>
      <c r="AY114" s="32">
        <f t="shared" si="140"/>
        <v>6.121570863964431E-3</v>
      </c>
      <c r="AZ114" s="32" t="str">
        <f t="shared" si="114"/>
        <v>1+0.0912274760781173i</v>
      </c>
      <c r="BA114" s="32">
        <f t="shared" si="141"/>
        <v>1.0041526041352398</v>
      </c>
      <c r="BB114" s="32">
        <f t="shared" si="142"/>
        <v>9.0975653580115057E-2</v>
      </c>
      <c r="BC114" s="60" t="str">
        <f t="shared" si="143"/>
        <v>-0.323965316380495+3.80874310974641i</v>
      </c>
      <c r="BD114" s="51">
        <f t="shared" si="144"/>
        <v>11.646941366775591</v>
      </c>
      <c r="BE114" s="63">
        <f t="shared" si="145"/>
        <v>94.861780814089428</v>
      </c>
      <c r="BF114" s="60" t="str">
        <f t="shared" si="146"/>
        <v>25.4843880948935+132.036392954806i</v>
      </c>
      <c r="BG114" s="66">
        <f t="shared" si="147"/>
        <v>42.572719977778476</v>
      </c>
      <c r="BH114" s="63">
        <f t="shared" si="148"/>
        <v>79.075655442593145</v>
      </c>
      <c r="BI114" s="60" t="str">
        <f t="shared" ref="BI114:BI177" si="152">IMPRODUCT(AP114,BC114)</f>
        <v>-5.49720293082249+160.896654332298i</v>
      </c>
      <c r="BJ114" s="66">
        <f t="shared" si="149"/>
        <v>44.136006915288981</v>
      </c>
      <c r="BK114" s="63">
        <f t="shared" ref="BK114:BK177" si="153">(180/PI())*IMARGUMENT(BI114)</f>
        <v>91.956809224383846</v>
      </c>
      <c r="BL114" s="51">
        <f t="shared" si="150"/>
        <v>42.572719977778476</v>
      </c>
      <c r="BM114" s="63">
        <f t="shared" si="151"/>
        <v>79.075655442593145</v>
      </c>
    </row>
    <row r="115" spans="14:65" x14ac:dyDescent="0.35">
      <c r="N115" s="11">
        <v>97</v>
      </c>
      <c r="O115" s="52">
        <f t="shared" si="115"/>
        <v>93.325430079699174</v>
      </c>
      <c r="P115" s="50" t="str">
        <f t="shared" si="103"/>
        <v>36.531007751938</v>
      </c>
      <c r="Q115" s="18" t="str">
        <f t="shared" si="104"/>
        <v>1+0.286372102147037i</v>
      </c>
      <c r="R115" s="18">
        <f t="shared" si="116"/>
        <v>1.0401966068432029</v>
      </c>
      <c r="S115" s="18">
        <f t="shared" si="117"/>
        <v>0.27890772318072804</v>
      </c>
      <c r="T115" s="18" t="str">
        <f t="shared" si="105"/>
        <v>1+0.000117276194212596i</v>
      </c>
      <c r="U115" s="18">
        <f t="shared" si="118"/>
        <v>1.0000000068768529</v>
      </c>
      <c r="V115" s="18">
        <f t="shared" si="119"/>
        <v>1.1727619367493525E-4</v>
      </c>
      <c r="W115" s="32" t="str">
        <f t="shared" si="106"/>
        <v>1-0.00194303753725012i</v>
      </c>
      <c r="X115" s="18">
        <f t="shared" si="120"/>
        <v>1.0000018876956538</v>
      </c>
      <c r="Y115" s="18">
        <f t="shared" si="121"/>
        <v>-1.943035092011008E-3</v>
      </c>
      <c r="Z115" s="32" t="str">
        <f t="shared" si="107"/>
        <v>0.999999820048845+0.000882934897229357i</v>
      </c>
      <c r="AA115" s="18">
        <f t="shared" si="122"/>
        <v>1.0000002098358556</v>
      </c>
      <c r="AB115" s="18">
        <f t="shared" si="123"/>
        <v>8.8293482667681743E-4</v>
      </c>
      <c r="AC115" s="68" t="str">
        <f t="shared" si="124"/>
        <v>33.7359476853753-9.75998561375485i</v>
      </c>
      <c r="AD115" s="66">
        <f t="shared" si="125"/>
        <v>30.910939036559</v>
      </c>
      <c r="AE115" s="63">
        <f t="shared" si="126"/>
        <v>-16.135432130295598</v>
      </c>
      <c r="AF115" s="51" t="str">
        <f t="shared" si="127"/>
        <v>42.1703962805665</v>
      </c>
      <c r="AG115" s="51" t="str">
        <f t="shared" si="108"/>
        <v>1+0.0517394974467339i</v>
      </c>
      <c r="AH115" s="51">
        <f t="shared" si="128"/>
        <v>1.0013375932202089</v>
      </c>
      <c r="AI115" s="51">
        <f t="shared" si="129"/>
        <v>5.1693403002996026E-2</v>
      </c>
      <c r="AJ115" s="51" t="str">
        <f t="shared" si="109"/>
        <v>1+0.000117276194212596i</v>
      </c>
      <c r="AK115" s="51">
        <f t="shared" si="130"/>
        <v>1.0000000068768529</v>
      </c>
      <c r="AL115" s="51">
        <f t="shared" si="131"/>
        <v>1.1727619367493525E-4</v>
      </c>
      <c r="AM115" s="51" t="str">
        <f t="shared" si="110"/>
        <v>1-0.000304106130801327i</v>
      </c>
      <c r="AN115" s="51">
        <f t="shared" si="132"/>
        <v>1.0000000462402683</v>
      </c>
      <c r="AO115" s="51">
        <f t="shared" si="133"/>
        <v>-3.0410612142669461E-4</v>
      </c>
      <c r="AP115" s="60" t="str">
        <f t="shared" si="134"/>
        <v>42.0574035021521-2.18390761357888i</v>
      </c>
      <c r="AQ115" s="51">
        <f t="shared" si="135"/>
        <v>32.488543680648448</v>
      </c>
      <c r="AR115" s="63">
        <f t="shared" si="136"/>
        <v>-2.9725183870874834</v>
      </c>
      <c r="AS115" s="32" t="str">
        <f t="shared" si="111"/>
        <v>-0.000133283554228113</v>
      </c>
      <c r="AT115" s="32" t="str">
        <f t="shared" si="112"/>
        <v>0.0000358278773319482i</v>
      </c>
      <c r="AU115" s="32">
        <f t="shared" si="137"/>
        <v>3.5827877331948201E-5</v>
      </c>
      <c r="AV115" s="32">
        <f t="shared" si="138"/>
        <v>1.5707963267948966</v>
      </c>
      <c r="AW115" s="32" t="str">
        <f t="shared" si="113"/>
        <v>1+0.00626423881496254i</v>
      </c>
      <c r="AX115" s="32">
        <f t="shared" si="139"/>
        <v>1.0000196201514902</v>
      </c>
      <c r="AY115" s="32">
        <f t="shared" si="140"/>
        <v>6.2641568792115064E-3</v>
      </c>
      <c r="AZ115" s="32" t="str">
        <f t="shared" si="114"/>
        <v>1+0.0933524369741977i</v>
      </c>
      <c r="BA115" s="32">
        <f t="shared" si="141"/>
        <v>1.0043478866851971</v>
      </c>
      <c r="BB115" s="32">
        <f t="shared" si="142"/>
        <v>9.3082667354997067E-2</v>
      </c>
      <c r="BC115" s="60" t="str">
        <f t="shared" si="143"/>
        <v>-0.323964744240711+3.72213686618998i</v>
      </c>
      <c r="BD115" s="51">
        <f t="shared" si="144"/>
        <v>11.448622720816253</v>
      </c>
      <c r="BE115" s="63">
        <f t="shared" si="145"/>
        <v>94.974334233874842</v>
      </c>
      <c r="BF115" s="60" t="str">
        <f t="shared" si="146"/>
        <v>25.3987446028302+128.731705838745i</v>
      </c>
      <c r="BG115" s="66">
        <f t="shared" si="147"/>
        <v>42.359561757375246</v>
      </c>
      <c r="BH115" s="63">
        <f t="shared" si="148"/>
        <v>78.83890210357923</v>
      </c>
      <c r="BI115" s="60" t="str">
        <f t="shared" si="152"/>
        <v>-5.49631292814816+157.250921143066i</v>
      </c>
      <c r="BJ115" s="66">
        <f t="shared" si="149"/>
        <v>43.937166401464687</v>
      </c>
      <c r="BK115" s="63">
        <f t="shared" si="153"/>
        <v>92.001815846787366</v>
      </c>
      <c r="BL115" s="51">
        <f t="shared" si="150"/>
        <v>42.359561757375246</v>
      </c>
      <c r="BM115" s="63">
        <f t="shared" si="151"/>
        <v>78.83890210357923</v>
      </c>
    </row>
    <row r="116" spans="14:65" x14ac:dyDescent="0.35">
      <c r="N116" s="11">
        <v>98</v>
      </c>
      <c r="O116" s="52">
        <f t="shared" si="115"/>
        <v>95.499258602143655</v>
      </c>
      <c r="P116" s="50" t="str">
        <f t="shared" si="103"/>
        <v>36.531007751938</v>
      </c>
      <c r="Q116" s="18" t="str">
        <f t="shared" si="104"/>
        <v>1+0.293042565311772i</v>
      </c>
      <c r="R116" s="18">
        <f t="shared" si="116"/>
        <v>1.042052755422922</v>
      </c>
      <c r="S116" s="18">
        <f t="shared" si="117"/>
        <v>0.28506166792465332</v>
      </c>
      <c r="T116" s="18" t="str">
        <f t="shared" si="105"/>
        <v>1+0.000120007907699107i</v>
      </c>
      <c r="U116" s="18">
        <f t="shared" si="118"/>
        <v>1.0000000072009489</v>
      </c>
      <c r="V116" s="18">
        <f t="shared" si="119"/>
        <v>1.2000790712299313E-4</v>
      </c>
      <c r="W116" s="32" t="str">
        <f t="shared" si="106"/>
        <v>1-0.0019882966956065i</v>
      </c>
      <c r="X116" s="18">
        <f t="shared" si="120"/>
        <v>1.0000019766599213</v>
      </c>
      <c r="Y116" s="18">
        <f t="shared" si="121"/>
        <v>-1.9882940754858656E-3</v>
      </c>
      <c r="Z116" s="32" t="str">
        <f t="shared" si="107"/>
        <v>0.999999811568008+0.000903501092974929i</v>
      </c>
      <c r="AA116" s="18">
        <f t="shared" si="122"/>
        <v>1.0000002197251141</v>
      </c>
      <c r="AB116" s="18">
        <f t="shared" si="123"/>
        <v>9.0350101737652168E-4</v>
      </c>
      <c r="AC116" s="68" t="str">
        <f t="shared" si="124"/>
        <v>33.6146379121788-9.95177595395441i</v>
      </c>
      <c r="AD116" s="66">
        <f t="shared" si="125"/>
        <v>30.895454255277969</v>
      </c>
      <c r="AE116" s="63">
        <f t="shared" si="126"/>
        <v>-16.491642180493777</v>
      </c>
      <c r="AF116" s="51" t="str">
        <f t="shared" si="127"/>
        <v>42.1703962805665</v>
      </c>
      <c r="AG116" s="51" t="str">
        <f t="shared" si="108"/>
        <v>1+0.0529446651613707i</v>
      </c>
      <c r="AH116" s="51">
        <f t="shared" si="128"/>
        <v>1.0014005879612062</v>
      </c>
      <c r="AI116" s="51">
        <f t="shared" si="129"/>
        <v>5.2895277805199162E-2</v>
      </c>
      <c r="AJ116" s="51" t="str">
        <f t="shared" si="109"/>
        <v>1+0.000120007907699107i</v>
      </c>
      <c r="AK116" s="51">
        <f t="shared" si="130"/>
        <v>1.0000000072009489</v>
      </c>
      <c r="AL116" s="51">
        <f t="shared" si="131"/>
        <v>1.2000790712299313E-4</v>
      </c>
      <c r="AM116" s="51" t="str">
        <f t="shared" si="110"/>
        <v>1-0.000311189672558612i</v>
      </c>
      <c r="AN116" s="51">
        <f t="shared" si="132"/>
        <v>1.0000000484195051</v>
      </c>
      <c r="AO116" s="51">
        <f t="shared" si="133"/>
        <v>-3.1118966251351244E-4</v>
      </c>
      <c r="AP116" s="60" t="str">
        <f t="shared" si="134"/>
        <v>42.0520932020669-2.23449620470393i</v>
      </c>
      <c r="AQ116" s="51">
        <f t="shared" si="135"/>
        <v>32.487997285118617</v>
      </c>
      <c r="AR116" s="63">
        <f t="shared" si="136"/>
        <v>-3.0416300821137092</v>
      </c>
      <c r="AS116" s="32" t="str">
        <f t="shared" si="111"/>
        <v>-0.000133283554228113</v>
      </c>
      <c r="AT116" s="32" t="str">
        <f t="shared" si="112"/>
        <v>0.0000366624158020771i</v>
      </c>
      <c r="AU116" s="32">
        <f t="shared" si="137"/>
        <v>3.6662415802077098E-5</v>
      </c>
      <c r="AV116" s="32">
        <f t="shared" si="138"/>
        <v>1.5707963267948966</v>
      </c>
      <c r="AW116" s="32" t="str">
        <f t="shared" si="113"/>
        <v>1+0.00641015168132426i</v>
      </c>
      <c r="AX116" s="32">
        <f t="shared" si="139"/>
        <v>1.000020544811244</v>
      </c>
      <c r="AY116" s="32">
        <f t="shared" si="140"/>
        <v>6.4100638856826545E-3</v>
      </c>
      <c r="AZ116" s="32" t="str">
        <f t="shared" si="114"/>
        <v>1+0.0955268945680273i</v>
      </c>
      <c r="BA116" s="32">
        <f t="shared" si="141"/>
        <v>1.0045523319299055</v>
      </c>
      <c r="BB116" s="32">
        <f t="shared" si="142"/>
        <v>9.5237901914875439E-2</v>
      </c>
      <c r="BC116" s="60" t="str">
        <f t="shared" si="143"/>
        <v>-0.323964145138974+3.63750414853042i</v>
      </c>
      <c r="BD116" s="51">
        <f t="shared" si="144"/>
        <v>11.250382610880209</v>
      </c>
      <c r="BE116" s="63">
        <f t="shared" si="145"/>
        <v>95.089460222344414</v>
      </c>
      <c r="BF116" s="60" t="str">
        <f t="shared" si="146"/>
        <v>25.3096888823793+125.497403446436i</v>
      </c>
      <c r="BG116" s="66">
        <f t="shared" si="147"/>
        <v>42.145836866158191</v>
      </c>
      <c r="BH116" s="63">
        <f t="shared" si="148"/>
        <v>78.597818041850658</v>
      </c>
      <c r="BI116" s="60" t="str">
        <f t="shared" si="152"/>
        <v>-5.49538121102604+153.688560129679i</v>
      </c>
      <c r="BJ116" s="66">
        <f t="shared" si="149"/>
        <v>43.738379895998804</v>
      </c>
      <c r="BK116" s="63">
        <f t="shared" si="153"/>
        <v>92.047830140230701</v>
      </c>
      <c r="BL116" s="51">
        <f t="shared" si="150"/>
        <v>42.145836866158191</v>
      </c>
      <c r="BM116" s="63">
        <f t="shared" si="151"/>
        <v>78.597818041850658</v>
      </c>
    </row>
    <row r="117" spans="14:65" x14ac:dyDescent="0.35">
      <c r="N117" s="11">
        <v>99</v>
      </c>
      <c r="O117" s="52">
        <f t="shared" si="115"/>
        <v>97.723722095581124</v>
      </c>
      <c r="P117" s="50" t="str">
        <f t="shared" si="103"/>
        <v>36.531007751938</v>
      </c>
      <c r="Q117" s="18" t="str">
        <f t="shared" si="104"/>
        <v>1+0.299868403523511i</v>
      </c>
      <c r="R117" s="18">
        <f t="shared" si="116"/>
        <v>1.0439928445309092</v>
      </c>
      <c r="S117" s="18">
        <f t="shared" si="117"/>
        <v>0.29133605939314866</v>
      </c>
      <c r="T117" s="18" t="str">
        <f t="shared" si="105"/>
        <v>1+0.000122803250966771i</v>
      </c>
      <c r="U117" s="18">
        <f t="shared" si="118"/>
        <v>1.0000000075403193</v>
      </c>
      <c r="V117" s="18">
        <f t="shared" si="119"/>
        <v>1.2280325034945386E-4</v>
      </c>
      <c r="W117" s="32" t="str">
        <f t="shared" si="106"/>
        <v>1-0.00203461007518911i</v>
      </c>
      <c r="X117" s="18">
        <f t="shared" si="120"/>
        <v>1.000002069816937</v>
      </c>
      <c r="Y117" s="18">
        <f t="shared" si="121"/>
        <v>-2.034607267679582E-3</v>
      </c>
      <c r="Z117" s="32" t="str">
        <f t="shared" si="107"/>
        <v>0.999999802687482+0.000924546336959246i</v>
      </c>
      <c r="AA117" s="18">
        <f t="shared" si="122"/>
        <v>1.0000002300804396</v>
      </c>
      <c r="AB117" s="18">
        <f t="shared" si="123"/>
        <v>9.245462559540938E-4</v>
      </c>
      <c r="AC117" s="68" t="str">
        <f t="shared" si="124"/>
        <v>33.4885331138351-10.1457677474873i</v>
      </c>
      <c r="AD117" s="66">
        <f t="shared" si="125"/>
        <v>30.879298662593438</v>
      </c>
      <c r="AE117" s="63">
        <f t="shared" si="126"/>
        <v>-16.85483752308005</v>
      </c>
      <c r="AF117" s="51" t="str">
        <f t="shared" si="127"/>
        <v>42.1703962805665</v>
      </c>
      <c r="AG117" s="51" t="str">
        <f t="shared" si="108"/>
        <v>1+0.0541779048382816i</v>
      </c>
      <c r="AH117" s="51">
        <f t="shared" si="128"/>
        <v>1.0014665473058328</v>
      </c>
      <c r="AI117" s="51">
        <f t="shared" si="129"/>
        <v>5.4124989517244947E-2</v>
      </c>
      <c r="AJ117" s="51" t="str">
        <f t="shared" si="109"/>
        <v>1+0.000122803250966771i</v>
      </c>
      <c r="AK117" s="51">
        <f t="shared" si="130"/>
        <v>1.0000000075403193</v>
      </c>
      <c r="AL117" s="51">
        <f t="shared" si="131"/>
        <v>1.2280325034945386E-4</v>
      </c>
      <c r="AM117" s="51" t="str">
        <f t="shared" si="110"/>
        <v>1-0.00031843821119937i</v>
      </c>
      <c r="AN117" s="51">
        <f t="shared" si="132"/>
        <v>1.0000000507014459</v>
      </c>
      <c r="AO117" s="51">
        <f t="shared" si="133"/>
        <v>-3.1843820043585188E-4</v>
      </c>
      <c r="AP117" s="60" t="str">
        <f t="shared" si="134"/>
        <v>42.0465340671722-2.28624312527016i</v>
      </c>
      <c r="AQ117" s="51">
        <f t="shared" si="135"/>
        <v>32.487425212436314</v>
      </c>
      <c r="AR117" s="63">
        <f t="shared" si="136"/>
        <v>-3.112342522493158</v>
      </c>
      <c r="AS117" s="32" t="str">
        <f t="shared" si="111"/>
        <v>-0.000133283554228113</v>
      </c>
      <c r="AT117" s="32" t="str">
        <f t="shared" si="112"/>
        <v>0.0000375163931703486i</v>
      </c>
      <c r="AU117" s="32">
        <f t="shared" si="137"/>
        <v>3.7516393170348598E-5</v>
      </c>
      <c r="AV117" s="32">
        <f t="shared" si="138"/>
        <v>1.5707963267948966</v>
      </c>
      <c r="AW117" s="32" t="str">
        <f t="shared" si="113"/>
        <v>1+0.0065594632949558i</v>
      </c>
      <c r="AX117" s="32">
        <f t="shared" si="139"/>
        <v>1.0000215130479533</v>
      </c>
      <c r="AY117" s="32">
        <f t="shared" si="140"/>
        <v>6.5593692203402059E-3</v>
      </c>
      <c r="AZ117" s="32" t="str">
        <f t="shared" si="114"/>
        <v>1+0.0977520017858046i</v>
      </c>
      <c r="BA117" s="32">
        <f t="shared" si="141"/>
        <v>1.0047663677955845</v>
      </c>
      <c r="BB117" s="32">
        <f t="shared" si="142"/>
        <v>9.7442419860354845E-2</v>
      </c>
      <c r="BC117" s="60" t="str">
        <f t="shared" si="143"/>
        <v>-0.323963517804818+3.55480008335642i</v>
      </c>
      <c r="BD117" s="51">
        <f t="shared" si="144"/>
        <v>11.052224670987986</v>
      </c>
      <c r="BE117" s="63">
        <f t="shared" si="145"/>
        <v>95.207215230946559</v>
      </c>
      <c r="BF117" s="60" t="str">
        <f t="shared" si="146"/>
        <v>25.2171130408016+122.331898914852i</v>
      </c>
      <c r="BG117" s="66">
        <f t="shared" si="147"/>
        <v>41.931523333581431</v>
      </c>
      <c r="BH117" s="63">
        <f t="shared" si="148"/>
        <v>78.352377707866509</v>
      </c>
      <c r="BI117" s="60" t="str">
        <f t="shared" si="152"/>
        <v>-5.49440583561782+150.207682172252i</v>
      </c>
      <c r="BJ117" s="66">
        <f t="shared" si="149"/>
        <v>43.539649883424303</v>
      </c>
      <c r="BK117" s="63">
        <f t="shared" si="153"/>
        <v>92.094872708453408</v>
      </c>
      <c r="BL117" s="51">
        <f t="shared" si="150"/>
        <v>41.931523333581431</v>
      </c>
      <c r="BM117" s="63">
        <f t="shared" si="151"/>
        <v>78.352377707866509</v>
      </c>
    </row>
    <row r="118" spans="14:65" x14ac:dyDescent="0.35">
      <c r="N118" s="11">
        <v>100</v>
      </c>
      <c r="O118" s="52">
        <f t="shared" si="115"/>
        <v>100</v>
      </c>
      <c r="P118" s="50" t="str">
        <f t="shared" si="103"/>
        <v>36.531007751938</v>
      </c>
      <c r="Q118" s="18" t="str">
        <f t="shared" si="104"/>
        <v>1+0.306853235932026i</v>
      </c>
      <c r="R118" s="18">
        <f t="shared" si="116"/>
        <v>1.0460205105073015</v>
      </c>
      <c r="S118" s="18">
        <f t="shared" si="117"/>
        <v>0.29773224752425176</v>
      </c>
      <c r="T118" s="18" t="str">
        <f t="shared" si="105"/>
        <v>1+0.000125663706143592i</v>
      </c>
      <c r="U118" s="18">
        <f t="shared" si="118"/>
        <v>1.0000000078956834</v>
      </c>
      <c r="V118" s="18">
        <f t="shared" si="119"/>
        <v>1.2566370548212479E-4</v>
      </c>
      <c r="W118" s="32" t="str">
        <f t="shared" si="106"/>
        <v>1-0.00208200223196484i</v>
      </c>
      <c r="X118" s="18">
        <f t="shared" si="120"/>
        <v>1.0000021673642983</v>
      </c>
      <c r="Y118" s="18">
        <f t="shared" si="121"/>
        <v>-2.0819992236645333E-3</v>
      </c>
      <c r="Z118" s="32" t="str">
        <f t="shared" si="107"/>
        <v>0.99999979338843+0.000946081787649238i</v>
      </c>
      <c r="AA118" s="18">
        <f t="shared" si="122"/>
        <v>1.0000002409237967</v>
      </c>
      <c r="AB118" s="18">
        <f t="shared" si="123"/>
        <v>9.4608170085065375E-4</v>
      </c>
      <c r="AC118" s="68" t="str">
        <f t="shared" si="124"/>
        <v>33.3574850455078-10.341880510926i</v>
      </c>
      <c r="AD118" s="66">
        <f t="shared" si="125"/>
        <v>30.862445853344852</v>
      </c>
      <c r="AE118" s="63">
        <f t="shared" si="126"/>
        <v>-17.225097465120722</v>
      </c>
      <c r="AF118" s="51" t="str">
        <f t="shared" si="127"/>
        <v>42.1703962805665</v>
      </c>
      <c r="AG118" s="51" t="str">
        <f t="shared" si="108"/>
        <v>1+0.0554398703574671i</v>
      </c>
      <c r="AH118" s="51">
        <f t="shared" si="128"/>
        <v>1.0015356105627262</v>
      </c>
      <c r="AI118" s="51">
        <f t="shared" si="129"/>
        <v>5.5383175263655389E-2</v>
      </c>
      <c r="AJ118" s="51" t="str">
        <f t="shared" si="109"/>
        <v>1+0.000125663706143592i</v>
      </c>
      <c r="AK118" s="51">
        <f t="shared" si="130"/>
        <v>1.0000000078956834</v>
      </c>
      <c r="AL118" s="51">
        <f t="shared" si="131"/>
        <v>1.2566370548212479E-4</v>
      </c>
      <c r="AM118" s="51" t="str">
        <f t="shared" si="110"/>
        <v>1-0.000325855589994734i</v>
      </c>
      <c r="AN118" s="51">
        <f t="shared" si="132"/>
        <v>1.0000000530909314</v>
      </c>
      <c r="AO118" s="51">
        <f t="shared" si="133"/>
        <v>-3.2585557846141657E-4</v>
      </c>
      <c r="AP118" s="60" t="str">
        <f t="shared" si="134"/>
        <v>42.0407145077734-2.3391739331204i</v>
      </c>
      <c r="AQ118" s="51">
        <f t="shared" si="135"/>
        <v>32.48682625956144</v>
      </c>
      <c r="AR118" s="63">
        <f t="shared" si="136"/>
        <v>-3.1846923480553273</v>
      </c>
      <c r="AS118" s="32" t="str">
        <f t="shared" si="111"/>
        <v>-0.000133283554228113</v>
      </c>
      <c r="AT118" s="32" t="str">
        <f t="shared" si="112"/>
        <v>0.0000383902622268673i</v>
      </c>
      <c r="AU118" s="32">
        <f t="shared" si="137"/>
        <v>3.8390262226867299E-5</v>
      </c>
      <c r="AV118" s="32">
        <f t="shared" si="138"/>
        <v>1.5707963267948966</v>
      </c>
      <c r="AW118" s="32" t="str">
        <f t="shared" si="113"/>
        <v>1+0.0067122528228511i</v>
      </c>
      <c r="AX118" s="32">
        <f t="shared" si="139"/>
        <v>1.0000225269152478</v>
      </c>
      <c r="AY118" s="32">
        <f t="shared" si="140"/>
        <v>6.7121520202069974E-3</v>
      </c>
      <c r="AZ118" s="32" t="str">
        <f t="shared" si="114"/>
        <v>1+0.10002893840883i</v>
      </c>
      <c r="BA118" s="32">
        <f t="shared" si="141"/>
        <v>1.0049904420039015</v>
      </c>
      <c r="BB118" s="32">
        <f t="shared" si="142"/>
        <v>9.9697304298992026E-2</v>
      </c>
      <c r="BC118" s="60" t="str">
        <f t="shared" si="143"/>
        <v>-0.323962860907919+3.473980819852i</v>
      </c>
      <c r="BD118" s="51">
        <f t="shared" si="144"/>
        <v>10.854152700028459</v>
      </c>
      <c r="BE118" s="63">
        <f t="shared" si="145"/>
        <v>95.327656782955629</v>
      </c>
      <c r="BF118" s="60" t="str">
        <f t="shared" si="146"/>
        <v>25.1209082481223+119.233648444081i</v>
      </c>
      <c r="BG118" s="66">
        <f t="shared" si="147"/>
        <v>41.716598553373281</v>
      </c>
      <c r="BH118" s="63">
        <f t="shared" si="148"/>
        <v>78.10255931783486</v>
      </c>
      <c r="BI118" s="60" t="str">
        <f t="shared" si="152"/>
        <v>-5.49338476859329+146.806441332413i</v>
      </c>
      <c r="BJ118" s="66">
        <f t="shared" si="149"/>
        <v>43.340978959589876</v>
      </c>
      <c r="BK118" s="63">
        <f t="shared" si="153"/>
        <v>92.142964434900307</v>
      </c>
      <c r="BL118" s="51">
        <f t="shared" si="150"/>
        <v>41.716598553373281</v>
      </c>
      <c r="BM118" s="63">
        <f t="shared" si="151"/>
        <v>78.10255931783486</v>
      </c>
    </row>
    <row r="119" spans="14:65" x14ac:dyDescent="0.35">
      <c r="N119" s="11">
        <v>1</v>
      </c>
      <c r="O119" s="52">
        <f>10^(2+(N119/100))</f>
        <v>102.32929922807544</v>
      </c>
      <c r="P119" s="50" t="str">
        <f t="shared" si="103"/>
        <v>36.531007751938</v>
      </c>
      <c r="Q119" s="18" t="str">
        <f t="shared" si="104"/>
        <v>1+0.314000765987915i</v>
      </c>
      <c r="R119" s="18">
        <f t="shared" si="116"/>
        <v>1.0481395331925027</v>
      </c>
      <c r="S119" s="18">
        <f t="shared" si="117"/>
        <v>0.30425152948041689</v>
      </c>
      <c r="T119" s="18" t="str">
        <f t="shared" si="105"/>
        <v>1+0.000128590789880765i</v>
      </c>
      <c r="U119" s="18">
        <f t="shared" si="118"/>
        <v>1.0000000082677956</v>
      </c>
      <c r="V119" s="18">
        <f t="shared" si="119"/>
        <v>1.2859078917199009E-4</v>
      </c>
      <c r="W119" s="32" t="str">
        <f t="shared" si="106"/>
        <v>1-0.00213049829388251i</v>
      </c>
      <c r="X119" s="18">
        <f t="shared" si="120"/>
        <v>1.0000022695089148</v>
      </c>
      <c r="Y119" s="18">
        <f t="shared" si="121"/>
        <v>-2.1304950704310504E-3</v>
      </c>
      <c r="Z119" s="32" t="str">
        <f t="shared" si="107"/>
        <v>0.999999783651126+0.000968118863425913i</v>
      </c>
      <c r="AA119" s="18">
        <f t="shared" si="122"/>
        <v>1.0000002522781843</v>
      </c>
      <c r="AB119" s="18">
        <f t="shared" si="123"/>
        <v>9.6811877041955597E-4</v>
      </c>
      <c r="AC119" s="68" t="str">
        <f t="shared" si="124"/>
        <v>33.2213445070303-10.5400256177316i</v>
      </c>
      <c r="AD119" s="66">
        <f t="shared" si="125"/>
        <v>30.844868615713814</v>
      </c>
      <c r="AE119" s="63">
        <f t="shared" si="126"/>
        <v>-17.602498335545754</v>
      </c>
      <c r="AF119" s="51" t="str">
        <f t="shared" si="127"/>
        <v>42.1703962805665</v>
      </c>
      <c r="AG119" s="51" t="str">
        <f t="shared" si="108"/>
        <v>1+0.0567312308297496i</v>
      </c>
      <c r="AH119" s="51">
        <f t="shared" si="128"/>
        <v>1.0016079235666311</v>
      </c>
      <c r="AI119" s="51">
        <f t="shared" si="129"/>
        <v>5.6670486208159385E-2</v>
      </c>
      <c r="AJ119" s="51" t="str">
        <f t="shared" si="109"/>
        <v>1+0.000128590789880765i</v>
      </c>
      <c r="AK119" s="51">
        <f t="shared" si="130"/>
        <v>1.0000000082677956</v>
      </c>
      <c r="AL119" s="51">
        <f t="shared" si="131"/>
        <v>1.2859078917199009E-4</v>
      </c>
      <c r="AM119" s="51" t="str">
        <f t="shared" si="110"/>
        <v>1-0.000333445741737122i</v>
      </c>
      <c r="AN119" s="51">
        <f t="shared" si="132"/>
        <v>1.0000000555930297</v>
      </c>
      <c r="AO119" s="51">
        <f t="shared" si="133"/>
        <v>-3.3344572937894979E-4</v>
      </c>
      <c r="AP119" s="60" t="str">
        <f t="shared" si="134"/>
        <v>42.0346224011473-2.39331468078067i</v>
      </c>
      <c r="AQ119" s="51">
        <f t="shared" si="135"/>
        <v>32.486199167436922</v>
      </c>
      <c r="AR119" s="63">
        <f t="shared" si="136"/>
        <v>-3.2587170061681361</v>
      </c>
      <c r="AS119" s="32" t="str">
        <f t="shared" si="111"/>
        <v>-0.000133283554228113</v>
      </c>
      <c r="AT119" s="32" t="str">
        <f t="shared" si="112"/>
        <v>0.0000392844863085738i</v>
      </c>
      <c r="AU119" s="32">
        <f t="shared" si="137"/>
        <v>3.9284486308573799E-5</v>
      </c>
      <c r="AV119" s="32">
        <f t="shared" si="138"/>
        <v>1.5707963267948966</v>
      </c>
      <c r="AW119" s="32" t="str">
        <f t="shared" si="113"/>
        <v>1+0.00686860127604024i</v>
      </c>
      <c r="AX119" s="32">
        <f t="shared" si="139"/>
        <v>1.0000235885635345</v>
      </c>
      <c r="AY119" s="32">
        <f t="shared" si="140"/>
        <v>6.868493264198668E-3</v>
      </c>
      <c r="AZ119" s="32" t="str">
        <f t="shared" si="114"/>
        <v>1+0.102358911699039i</v>
      </c>
      <c r="BA119" s="32">
        <f t="shared" si="141"/>
        <v>1.0052250229695894</v>
      </c>
      <c r="BB119" s="32">
        <f t="shared" si="142"/>
        <v>0.10200365903025452</v>
      </c>
      <c r="BC119" s="60" t="str">
        <f t="shared" si="143"/>
        <v>-0.323962173055279+3.39500350654614i</v>
      </c>
      <c r="BD119" s="51">
        <f t="shared" si="144"/>
        <v>10.656170668925192</v>
      </c>
      <c r="BE119" s="63">
        <f t="shared" si="145"/>
        <v>95.450843481672464</v>
      </c>
      <c r="BF119" s="60" t="str">
        <f t="shared" si="146"/>
        <v>25.0209649729693+116.201150696724i</v>
      </c>
      <c r="BG119" s="66">
        <f t="shared" si="147"/>
        <v>41.501039284639006</v>
      </c>
      <c r="BH119" s="63">
        <f t="shared" si="148"/>
        <v>77.848345146126746</v>
      </c>
      <c r="BI119" s="60" t="str">
        <f t="shared" si="152"/>
        <v>-5.49231588311506+143.483033873029i</v>
      </c>
      <c r="BJ119" s="66">
        <f t="shared" si="149"/>
        <v>43.142369836362128</v>
      </c>
      <c r="BK119" s="63">
        <f t="shared" si="153"/>
        <v>92.192126475504324</v>
      </c>
      <c r="BL119" s="51">
        <f t="shared" si="150"/>
        <v>41.501039284639006</v>
      </c>
      <c r="BM119" s="63">
        <f t="shared" si="151"/>
        <v>77.848345146126746</v>
      </c>
    </row>
    <row r="120" spans="14:65" x14ac:dyDescent="0.35">
      <c r="N120" s="11">
        <v>2</v>
      </c>
      <c r="O120" s="52">
        <f t="shared" ref="O120:O183" si="154">10^(2+(N120/100))</f>
        <v>104.71285480508998</v>
      </c>
      <c r="P120" s="50" t="str">
        <f t="shared" si="103"/>
        <v>36.531007751938</v>
      </c>
      <c r="Q120" s="18" t="str">
        <f t="shared" si="104"/>
        <v>1+0.321314783406223i</v>
      </c>
      <c r="R120" s="18">
        <f t="shared" si="116"/>
        <v>1.0503538403963628</v>
      </c>
      <c r="S120" s="18">
        <f t="shared" si="117"/>
        <v>0.31089514445919331</v>
      </c>
      <c r="T120" s="18" t="str">
        <f t="shared" si="105"/>
        <v>1+0.000131586054156834i</v>
      </c>
      <c r="U120" s="18">
        <f t="shared" si="118"/>
        <v>1.0000000086574448</v>
      </c>
      <c r="V120" s="18">
        <f t="shared" si="119"/>
        <v>1.3158605339736799E-4</v>
      </c>
      <c r="W120" s="32" t="str">
        <f t="shared" si="106"/>
        <v>1-0.00218012397419607i</v>
      </c>
      <c r="X120" s="18">
        <f t="shared" si="120"/>
        <v>1.0000023764674477</v>
      </c>
      <c r="Y120" s="18">
        <f t="shared" si="121"/>
        <v>-2.1801205202060451E-3</v>
      </c>
      <c r="Z120" s="32" t="str">
        <f t="shared" si="107"/>
        <v>0.999999773454918+0.000990669248638546i</v>
      </c>
      <c r="AA120" s="18">
        <f t="shared" si="122"/>
        <v>1.0000002641676888</v>
      </c>
      <c r="AB120" s="18">
        <f t="shared" si="123"/>
        <v>9.9066914898043954E-4</v>
      </c>
      <c r="AC120" s="68" t="str">
        <f t="shared" si="124"/>
        <v>33.0799616970266-10.7401059631749i</v>
      </c>
      <c r="AD120" s="66">
        <f t="shared" si="125"/>
        <v>30.826538926991486</v>
      </c>
      <c r="AE120" s="63">
        <f t="shared" si="126"/>
        <v>-17.987113188887474</v>
      </c>
      <c r="AF120" s="51" t="str">
        <f t="shared" si="127"/>
        <v>42.1703962805665</v>
      </c>
      <c r="AG120" s="51" t="str">
        <f t="shared" si="108"/>
        <v>1+0.0580526709515447i</v>
      </c>
      <c r="AH120" s="51">
        <f t="shared" si="128"/>
        <v>1.001683638982193</v>
      </c>
      <c r="AI120" s="51">
        <f t="shared" si="129"/>
        <v>5.7987587824057017E-2</v>
      </c>
      <c r="AJ120" s="51" t="str">
        <f t="shared" si="109"/>
        <v>1+0.000131586054156834i</v>
      </c>
      <c r="AK120" s="51">
        <f t="shared" si="130"/>
        <v>1.0000000086574448</v>
      </c>
      <c r="AL120" s="51">
        <f t="shared" si="131"/>
        <v>1.3158605339736799E-4</v>
      </c>
      <c r="AM120" s="51" t="str">
        <f t="shared" si="110"/>
        <v>1-0.000341212690825456i</v>
      </c>
      <c r="AN120" s="51">
        <f t="shared" si="132"/>
        <v>1.0000000582130484</v>
      </c>
      <c r="AO120" s="51">
        <f t="shared" si="133"/>
        <v>-3.4121267758343595E-4</v>
      </c>
      <c r="AP120" s="60" t="str">
        <f t="shared" si="134"/>
        <v>42.0282450676789-2.44869191992413i</v>
      </c>
      <c r="AQ120" s="51">
        <f t="shared" si="135"/>
        <v>32.485542618413888</v>
      </c>
      <c r="AR120" s="63">
        <f t="shared" si="136"/>
        <v>-3.3344547673021143</v>
      </c>
      <c r="AS120" s="32" t="str">
        <f t="shared" si="111"/>
        <v>-0.000133283554228113</v>
      </c>
      <c r="AT120" s="32" t="str">
        <f t="shared" si="112"/>
        <v>0.0000401995395449128i</v>
      </c>
      <c r="AU120" s="32">
        <f t="shared" si="137"/>
        <v>4.0199539544912802E-5</v>
      </c>
      <c r="AV120" s="32">
        <f t="shared" si="138"/>
        <v>1.5707963267948966</v>
      </c>
      <c r="AW120" s="32" t="str">
        <f t="shared" si="113"/>
        <v>1+0.00702859155254262i</v>
      </c>
      <c r="AX120" s="32">
        <f t="shared" si="139"/>
        <v>1.0000247002445553</v>
      </c>
      <c r="AY120" s="32">
        <f t="shared" si="140"/>
        <v>7.0284758159235737E-3</v>
      </c>
      <c r="AZ120" s="32" t="str">
        <f t="shared" si="114"/>
        <v>1+0.104743157039111i</v>
      </c>
      <c r="BA120" s="32">
        <f t="shared" si="141"/>
        <v>1.005470600737048</v>
      </c>
      <c r="BB120" s="32">
        <f t="shared" si="142"/>
        <v>0.10436260871514934</v>
      </c>
      <c r="BC120" s="60" t="str">
        <f t="shared" si="143"/>
        <v>-0.32396145278827+3.31782626859221i</v>
      </c>
      <c r="BD120" s="51">
        <f t="shared" si="144"/>
        <v>10.458282728084068</v>
      </c>
      <c r="BE120" s="63">
        <f t="shared" si="145"/>
        <v>95.576835017691053</v>
      </c>
      <c r="BF120" s="60" t="str">
        <f t="shared" si="146"/>
        <v>24.9171732425365+113.232946213349i</v>
      </c>
      <c r="BG120" s="66">
        <f t="shared" si="147"/>
        <v>41.284821655075547</v>
      </c>
      <c r="BH120" s="63">
        <f t="shared" si="148"/>
        <v>77.589721828803562</v>
      </c>
      <c r="BI120" s="60" t="str">
        <f t="shared" si="152"/>
        <v>-5.49119695465293+140.235697300186i</v>
      </c>
      <c r="BJ120" s="66">
        <f t="shared" si="149"/>
        <v>42.943825346497981</v>
      </c>
      <c r="BK120" s="63">
        <f t="shared" si="153"/>
        <v>92.242380250388948</v>
      </c>
      <c r="BL120" s="51">
        <f t="shared" si="150"/>
        <v>41.284821655075547</v>
      </c>
      <c r="BM120" s="63">
        <f t="shared" si="151"/>
        <v>77.589721828803562</v>
      </c>
    </row>
    <row r="121" spans="14:65" x14ac:dyDescent="0.35">
      <c r="N121" s="11">
        <v>3</v>
      </c>
      <c r="O121" s="52">
        <f t="shared" si="154"/>
        <v>107.15193052376065</v>
      </c>
      <c r="P121" s="50" t="str">
        <f t="shared" si="103"/>
        <v>36.531007751938</v>
      </c>
      <c r="Q121" s="18" t="str">
        <f t="shared" si="104"/>
        <v>1+0.328799166175796i</v>
      </c>
      <c r="R121" s="18">
        <f t="shared" si="116"/>
        <v>1.0526675124073597</v>
      </c>
      <c r="S121" s="18">
        <f t="shared" si="117"/>
        <v>0.31766426829670996</v>
      </c>
      <c r="T121" s="18" t="str">
        <f t="shared" si="105"/>
        <v>1+0.000134651087100564i</v>
      </c>
      <c r="U121" s="18">
        <f t="shared" si="118"/>
        <v>1.0000000090654575</v>
      </c>
      <c r="V121" s="18">
        <f t="shared" si="119"/>
        <v>1.3465108628678152E-4</v>
      </c>
      <c r="W121" s="32" t="str">
        <f t="shared" si="106"/>
        <v>1-0.00223090558509811i</v>
      </c>
      <c r="X121" s="18">
        <f t="shared" si="120"/>
        <v>1.0000024884667686</v>
      </c>
      <c r="Y121" s="18">
        <f t="shared" si="121"/>
        <v>-2.2309018840816156E-3</v>
      </c>
      <c r="Z121" s="32" t="str">
        <f t="shared" si="107"/>
        <v>0.999999762778177+0.00101374489979986i</v>
      </c>
      <c r="AA121" s="18">
        <f t="shared" si="122"/>
        <v>1.000000276617528</v>
      </c>
      <c r="AB121" s="18">
        <f t="shared" si="123"/>
        <v>1.0137447930142762E-3</v>
      </c>
      <c r="AC121" s="68" t="str">
        <f t="shared" si="124"/>
        <v>32.9331866011766-10.9420156361929i</v>
      </c>
      <c r="AD121" s="66">
        <f t="shared" si="125"/>
        <v>30.807427951358761</v>
      </c>
      <c r="AE121" s="63">
        <f t="shared" si="126"/>
        <v>-18.379011497170548</v>
      </c>
      <c r="AF121" s="51" t="str">
        <f t="shared" si="127"/>
        <v>42.1703962805665</v>
      </c>
      <c r="AG121" s="51" t="str">
        <f t="shared" si="108"/>
        <v>1+0.0594048913678961i</v>
      </c>
      <c r="AH121" s="51">
        <f t="shared" si="128"/>
        <v>1.0017629166217084</v>
      </c>
      <c r="AI121" s="51">
        <f t="shared" si="129"/>
        <v>5.9335160166909755E-2</v>
      </c>
      <c r="AJ121" s="51" t="str">
        <f t="shared" si="109"/>
        <v>1+0.000134651087100564i</v>
      </c>
      <c r="AK121" s="51">
        <f t="shared" si="130"/>
        <v>1.0000000090654575</v>
      </c>
      <c r="AL121" s="51">
        <f t="shared" si="131"/>
        <v>1.3465108628678152E-4</v>
      </c>
      <c r="AM121" s="51" t="str">
        <f t="shared" si="110"/>
        <v>1-0.000349160555398948i</v>
      </c>
      <c r="AN121" s="51">
        <f t="shared" si="132"/>
        <v>1.0000000609565449</v>
      </c>
      <c r="AO121" s="51">
        <f t="shared" si="133"/>
        <v>-3.4916054120986793E-4</v>
      </c>
      <c r="AP121" s="60" t="str">
        <f t="shared" si="134"/>
        <v>42.0215692459935-2.50533270545085i</v>
      </c>
      <c r="AQ121" s="51">
        <f t="shared" si="135"/>
        <v>32.484855233561817</v>
      </c>
      <c r="AR121" s="63">
        <f t="shared" si="136"/>
        <v>-3.4119447407294392</v>
      </c>
      <c r="AS121" s="32" t="str">
        <f t="shared" si="111"/>
        <v>-0.000133283554228113</v>
      </c>
      <c r="AT121" s="32" t="str">
        <f t="shared" si="112"/>
        <v>0.0000411359071092224i</v>
      </c>
      <c r="AU121" s="32">
        <f t="shared" si="137"/>
        <v>4.1135907109222398E-5</v>
      </c>
      <c r="AV121" s="32">
        <f t="shared" si="138"/>
        <v>1.5707963267948966</v>
      </c>
      <c r="AW121" s="32" t="str">
        <f t="shared" si="113"/>
        <v>1+0.00719230848132057i</v>
      </c>
      <c r="AX121" s="32">
        <f t="shared" si="139"/>
        <v>1.0000258643161639</v>
      </c>
      <c r="AY121" s="32">
        <f t="shared" si="140"/>
        <v>7.1921844674721685E-3</v>
      </c>
      <c r="AZ121" s="32" t="str">
        <f t="shared" si="114"/>
        <v>1+0.107182938587485i</v>
      </c>
      <c r="BA121" s="32">
        <f t="shared" si="141"/>
        <v>1.0057276879574553</v>
      </c>
      <c r="BB121" s="32">
        <f t="shared" si="142"/>
        <v>0.10677529902890369</v>
      </c>
      <c r="BC121" s="60" t="str">
        <f t="shared" si="143"/>
        <v>-0.323960698579558+3.24240818556523i</v>
      </c>
      <c r="BD121" s="51">
        <f t="shared" si="144"/>
        <v>10.26049321513057</v>
      </c>
      <c r="BE121" s="63">
        <f t="shared" si="145"/>
        <v>95.705692175137798</v>
      </c>
      <c r="BF121" s="60" t="str">
        <f t="shared" si="146"/>
        <v>24.8094229276065+110.327616841772i</v>
      </c>
      <c r="BG121" s="66">
        <f t="shared" si="147"/>
        <v>41.067921166489356</v>
      </c>
      <c r="BH121" s="63">
        <f t="shared" si="148"/>
        <v>77.326680677967275</v>
      </c>
      <c r="BI121" s="60" t="str">
        <f t="shared" si="152"/>
        <v>-5.4900256566232+137.062709426938i</v>
      </c>
      <c r="BJ121" s="66">
        <f t="shared" si="149"/>
        <v>42.745348448692425</v>
      </c>
      <c r="BK121" s="63">
        <f t="shared" si="153"/>
        <v>92.293747434408345</v>
      </c>
      <c r="BL121" s="51">
        <f t="shared" si="150"/>
        <v>41.067921166489356</v>
      </c>
      <c r="BM121" s="63">
        <f t="shared" si="151"/>
        <v>77.326680677967275</v>
      </c>
    </row>
    <row r="122" spans="14:65" x14ac:dyDescent="0.35">
      <c r="N122" s="11">
        <v>4</v>
      </c>
      <c r="O122" s="52">
        <f t="shared" si="154"/>
        <v>109.64781961431861</v>
      </c>
      <c r="P122" s="50" t="str">
        <f t="shared" si="103"/>
        <v>36.531007751938</v>
      </c>
      <c r="Q122" s="18" t="str">
        <f t="shared" si="104"/>
        <v>1+0.336457882615447i</v>
      </c>
      <c r="R122" s="18">
        <f t="shared" si="116"/>
        <v>1.0550847865333242</v>
      </c>
      <c r="S122" s="18">
        <f t="shared" si="117"/>
        <v>0.32456000786914418</v>
      </c>
      <c r="T122" s="18" t="str">
        <f t="shared" si="105"/>
        <v>1+0.000137787513832993i</v>
      </c>
      <c r="U122" s="18">
        <f t="shared" si="118"/>
        <v>1.0000000094926995</v>
      </c>
      <c r="V122" s="18">
        <f t="shared" si="119"/>
        <v>1.3778751296100936E-4</v>
      </c>
      <c r="W122" s="32" t="str">
        <f t="shared" si="106"/>
        <v>1-0.00228287005167089i</v>
      </c>
      <c r="X122" s="18">
        <f t="shared" si="120"/>
        <v>1.0000026057444413</v>
      </c>
      <c r="Y122" s="18">
        <f t="shared" si="121"/>
        <v>-2.282866085960825E-3</v>
      </c>
      <c r="Z122" s="32" t="str">
        <f t="shared" si="107"/>
        <v>0.999999751598257+0.00103735805192556i</v>
      </c>
      <c r="AA122" s="18">
        <f t="shared" si="122"/>
        <v>1.0000002896541098</v>
      </c>
      <c r="AB122" s="18">
        <f t="shared" si="123"/>
        <v>1.0373579375027465E-3</v>
      </c>
      <c r="AC122" s="68" t="str">
        <f t="shared" si="124"/>
        <v>32.780869415786-11.1456396008894i</v>
      </c>
      <c r="AD122" s="66">
        <f t="shared" si="125"/>
        <v>30.78750603986748</v>
      </c>
      <c r="AE122" s="63">
        <f t="shared" si="126"/>
        <v>-18.778258830254906</v>
      </c>
      <c r="AF122" s="51" t="str">
        <f t="shared" si="127"/>
        <v>42.1703962805665</v>
      </c>
      <c r="AG122" s="51" t="str">
        <f t="shared" si="108"/>
        <v>1+0.0607886090439676i</v>
      </c>
      <c r="AH122" s="51">
        <f t="shared" si="128"/>
        <v>1.0018459237774542</v>
      </c>
      <c r="AI122" s="51">
        <f t="shared" si="129"/>
        <v>6.0713898149337052E-2</v>
      </c>
      <c r="AJ122" s="51" t="str">
        <f t="shared" si="109"/>
        <v>1+0.000137787513832993i</v>
      </c>
      <c r="AK122" s="51">
        <f t="shared" si="130"/>
        <v>1.0000000094926995</v>
      </c>
      <c r="AL122" s="51">
        <f t="shared" si="131"/>
        <v>1.3778751296100936E-4</v>
      </c>
      <c r="AM122" s="51" t="str">
        <f t="shared" si="110"/>
        <v>1-0.0003572935495206i</v>
      </c>
      <c r="AN122" s="51">
        <f t="shared" si="132"/>
        <v>1.0000000638293383</v>
      </c>
      <c r="AO122" s="51">
        <f t="shared" si="133"/>
        <v>-3.5729353431672678E-4</v>
      </c>
      <c r="AP122" s="60" t="str">
        <f t="shared" si="134"/>
        <v>42.0145810670465-2.5632645991417i</v>
      </c>
      <c r="AQ122" s="51">
        <f t="shared" si="135"/>
        <v>32.484135569858623</v>
      </c>
      <c r="AR122" s="63">
        <f t="shared" si="136"/>
        <v>-3.4912268903455499</v>
      </c>
      <c r="AS122" s="32" t="str">
        <f t="shared" si="111"/>
        <v>-0.000133283554228113</v>
      </c>
      <c r="AT122" s="32" t="str">
        <f t="shared" si="112"/>
        <v>0.0000420940854759793i</v>
      </c>
      <c r="AU122" s="32">
        <f t="shared" si="137"/>
        <v>4.2094085475979302E-5</v>
      </c>
      <c r="AV122" s="32">
        <f t="shared" si="138"/>
        <v>1.5707963267948966</v>
      </c>
      <c r="AW122" s="32" t="str">
        <f t="shared" si="113"/>
        <v>1+0.00735983886725677i</v>
      </c>
      <c r="AX122" s="32">
        <f t="shared" si="139"/>
        <v>1.0000270832473248</v>
      </c>
      <c r="AY122" s="32">
        <f t="shared" si="140"/>
        <v>7.3597059842184587E-3</v>
      </c>
      <c r="AZ122" s="32" t="str">
        <f t="shared" si="114"/>
        <v>1+0.109679549948631i</v>
      </c>
      <c r="BA122" s="32">
        <f t="shared" si="141"/>
        <v>1.0059968209079659</v>
      </c>
      <c r="BB122" s="32">
        <f t="shared" si="142"/>
        <v>0.10924289679497944</v>
      </c>
      <c r="BC122" s="60" t="str">
        <f t="shared" si="143"/>
        <v>-0.323959908829845+3.16870926976518i</v>
      </c>
      <c r="BD122" s="51">
        <f t="shared" si="144"/>
        <v>10.062806662944663</v>
      </c>
      <c r="BE122" s="63">
        <f t="shared" si="145"/>
        <v>95.83747683678267</v>
      </c>
      <c r="BF122" s="60" t="str">
        <f t="shared" si="146"/>
        <v>24.697604053499+107.483785177717i</v>
      </c>
      <c r="BG122" s="66">
        <f t="shared" si="147"/>
        <v>40.850312702812118</v>
      </c>
      <c r="BH122" s="63">
        <f t="shared" si="148"/>
        <v>77.059218006527729</v>
      </c>
      <c r="BI122" s="60" t="str">
        <f t="shared" si="152"/>
        <v>-5.48879955584328+133.962387458296i</v>
      </c>
      <c r="BJ122" s="66">
        <f t="shared" si="149"/>
        <v>42.54694223280331</v>
      </c>
      <c r="BK122" s="63">
        <f t="shared" si="153"/>
        <v>92.346249946437112</v>
      </c>
      <c r="BL122" s="51">
        <f t="shared" si="150"/>
        <v>40.850312702812118</v>
      </c>
      <c r="BM122" s="63">
        <f t="shared" si="151"/>
        <v>77.059218006527729</v>
      </c>
    </row>
    <row r="123" spans="14:65" x14ac:dyDescent="0.35">
      <c r="N123" s="11">
        <v>5</v>
      </c>
      <c r="O123" s="52">
        <f t="shared" si="154"/>
        <v>112.20184543019634</v>
      </c>
      <c r="P123" s="50" t="str">
        <f t="shared" si="103"/>
        <v>36.531007751938</v>
      </c>
      <c r="Q123" s="18" t="str">
        <f t="shared" si="104"/>
        <v>1+0.344294993478008i</v>
      </c>
      <c r="R123" s="18">
        <f t="shared" si="116"/>
        <v>1.0576100616645161</v>
      </c>
      <c r="S123" s="18">
        <f t="shared" si="117"/>
        <v>0.33158339529908643</v>
      </c>
      <c r="T123" s="18" t="str">
        <f t="shared" si="105"/>
        <v>1+0.000140996997329089i</v>
      </c>
      <c r="U123" s="18">
        <f t="shared" si="118"/>
        <v>1.0000000099400765</v>
      </c>
      <c r="V123" s="18">
        <f t="shared" si="119"/>
        <v>1.409969963947417E-4</v>
      </c>
      <c r="W123" s="32" t="str">
        <f t="shared" si="106"/>
        <v>1-0.00233604492616242i</v>
      </c>
      <c r="X123" s="18">
        <f t="shared" si="120"/>
        <v>1.0000027285492259</v>
      </c>
      <c r="Y123" s="18">
        <f t="shared" si="121"/>
        <v>-2.3360406768281527E-3</v>
      </c>
      <c r="Z123" s="32" t="str">
        <f t="shared" si="107"/>
        <v>0.999999739891444+0.00106152122502144i</v>
      </c>
      <c r="AA123" s="18">
        <f t="shared" si="122"/>
        <v>1.0000003033050875</v>
      </c>
      <c r="AB123" s="18">
        <f t="shared" si="123"/>
        <v>1.0615211024151876E-3</v>
      </c>
      <c r="AC123" s="68" t="str">
        <f t="shared" si="124"/>
        <v>32.6228610076697-11.3508533906232i</v>
      </c>
      <c r="AD123" s="66">
        <f t="shared" si="125"/>
        <v>30.766742732817015</v>
      </c>
      <c r="AE123" s="63">
        <f t="shared" si="126"/>
        <v>-19.184916525023763</v>
      </c>
      <c r="AF123" s="51" t="str">
        <f t="shared" si="127"/>
        <v>42.1703962805665</v>
      </c>
      <c r="AG123" s="51" t="str">
        <f t="shared" si="108"/>
        <v>1+0.0622045576451865i</v>
      </c>
      <c r="AH123" s="51">
        <f t="shared" si="128"/>
        <v>1.0019328355692478</v>
      </c>
      <c r="AI123" s="51">
        <f t="shared" si="129"/>
        <v>6.2124511817673159E-2</v>
      </c>
      <c r="AJ123" s="51" t="str">
        <f t="shared" si="109"/>
        <v>1+0.000140996997329089i</v>
      </c>
      <c r="AK123" s="51">
        <f t="shared" si="130"/>
        <v>1.0000000099400765</v>
      </c>
      <c r="AL123" s="51">
        <f t="shared" si="131"/>
        <v>1.409969963947417E-4</v>
      </c>
      <c r="AM123" s="51" t="str">
        <f t="shared" si="110"/>
        <v>1-0.000365615985411546i</v>
      </c>
      <c r="AN123" s="51">
        <f t="shared" si="132"/>
        <v>1.0000000668375222</v>
      </c>
      <c r="AO123" s="51">
        <f t="shared" si="133"/>
        <v>-3.6561596912030242E-4</v>
      </c>
      <c r="AP123" s="60" t="str">
        <f t="shared" si="134"/>
        <v>42.0072660271356-2.62251567284122i</v>
      </c>
      <c r="AQ123" s="51">
        <f t="shared" si="135"/>
        <v>32.483382117255736</v>
      </c>
      <c r="AR123" s="63">
        <f t="shared" si="136"/>
        <v>-3.57234205059902</v>
      </c>
      <c r="AS123" s="32" t="str">
        <f t="shared" si="111"/>
        <v>-0.000133283554228113</v>
      </c>
      <c r="AT123" s="32" t="str">
        <f t="shared" si="112"/>
        <v>0.0000430745826840367i</v>
      </c>
      <c r="AU123" s="32">
        <f t="shared" si="137"/>
        <v>4.3074582684036703E-5</v>
      </c>
      <c r="AV123" s="32">
        <f t="shared" si="138"/>
        <v>1.5707963267948966</v>
      </c>
      <c r="AW123" s="32" t="str">
        <f t="shared" si="113"/>
        <v>1+0.00753127153717938i</v>
      </c>
      <c r="AX123" s="32">
        <f t="shared" si="139"/>
        <v>1.0000283596233492</v>
      </c>
      <c r="AY123" s="32">
        <f t="shared" si="140"/>
        <v>7.5311291506565733E-3</v>
      </c>
      <c r="AZ123" s="32" t="str">
        <f t="shared" si="114"/>
        <v>1+0.112234314858941i</v>
      </c>
      <c r="BA123" s="32">
        <f t="shared" si="141"/>
        <v>1.006278560554609</v>
      </c>
      <c r="BB123" s="32">
        <f t="shared" si="142"/>
        <v>0.11176659009859571</v>
      </c>
      <c r="BC123" s="60" t="str">
        <f t="shared" si="143"/>
        <v>-0.323959081864504+3.09669044501482i</v>
      </c>
      <c r="BD123" s="51">
        <f t="shared" si="144"/>
        <v>9.8652278080011655</v>
      </c>
      <c r="BE123" s="63">
        <f t="shared" si="145"/>
        <v>95.972251987917616</v>
      </c>
      <c r="BF123" s="60" t="str">
        <f t="shared" si="146"/>
        <v>24.5816071376689+104.700114014302i</v>
      </c>
      <c r="BG123" s="66">
        <f t="shared" si="147"/>
        <v>40.631970540818159</v>
      </c>
      <c r="BH123" s="63">
        <f t="shared" si="148"/>
        <v>76.787335462893864</v>
      </c>
      <c r="BI123" s="60" t="str">
        <f t="shared" si="152"/>
        <v>-5.4875161077998+130.933087096975i</v>
      </c>
      <c r="BJ123" s="66">
        <f t="shared" si="149"/>
        <v>42.348609925256866</v>
      </c>
      <c r="BK123" s="63">
        <f t="shared" si="153"/>
        <v>92.399909937318597</v>
      </c>
      <c r="BL123" s="51">
        <f t="shared" si="150"/>
        <v>40.631970540818159</v>
      </c>
      <c r="BM123" s="63">
        <f t="shared" si="151"/>
        <v>76.787335462893864</v>
      </c>
    </row>
    <row r="124" spans="14:65" x14ac:dyDescent="0.35">
      <c r="N124" s="11">
        <v>6</v>
      </c>
      <c r="O124" s="52">
        <f t="shared" si="154"/>
        <v>114.81536214968835</v>
      </c>
      <c r="P124" s="50" t="str">
        <f t="shared" si="103"/>
        <v>36.531007751938</v>
      </c>
      <c r="Q124" s="18" t="str">
        <f t="shared" si="104"/>
        <v>1+0.352314654103393i</v>
      </c>
      <c r="R124" s="18">
        <f t="shared" si="116"/>
        <v>1.0602479028491372</v>
      </c>
      <c r="S124" s="18">
        <f t="shared" si="117"/>
        <v>0.33873538197565367</v>
      </c>
      <c r="T124" s="18" t="str">
        <f t="shared" si="105"/>
        <v>1+0.000144281239299485i</v>
      </c>
      <c r="U124" s="18">
        <f t="shared" si="118"/>
        <v>1.000000010408538</v>
      </c>
      <c r="V124" s="18">
        <f t="shared" si="119"/>
        <v>1.4428123829831384E-4</v>
      </c>
      <c r="W124" s="32" t="str">
        <f t="shared" si="106"/>
        <v>1-0.00239045840259502i</v>
      </c>
      <c r="X124" s="18">
        <f t="shared" si="120"/>
        <v>1.0000028571416055</v>
      </c>
      <c r="Y124" s="18">
        <f t="shared" si="121"/>
        <v>-2.3904538493520209E-3</v>
      </c>
      <c r="Z124" s="32" t="str">
        <f t="shared" si="107"/>
        <v>0.999999727632905+0.00108624723072172i</v>
      </c>
      <c r="AA124" s="18">
        <f t="shared" si="122"/>
        <v>1.0000003175994148</v>
      </c>
      <c r="AB124" s="18">
        <f t="shared" si="123"/>
        <v>1.0862470993467553E-3</v>
      </c>
      <c r="AC124" s="68" t="str">
        <f t="shared" si="124"/>
        <v>32.4590134111717-11.5575228178749i</v>
      </c>
      <c r="AD124" s="66">
        <f t="shared" si="125"/>
        <v>30.745106764725708</v>
      </c>
      <c r="AE124" s="63">
        <f t="shared" si="126"/>
        <v>-19.599041343928864</v>
      </c>
      <c r="AF124" s="51" t="str">
        <f t="shared" si="127"/>
        <v>42.1703962805665</v>
      </c>
      <c r="AG124" s="51" t="str">
        <f t="shared" si="108"/>
        <v>1+0.0636534879262436i</v>
      </c>
      <c r="AH124" s="51">
        <f t="shared" si="128"/>
        <v>1.0020238353079114</v>
      </c>
      <c r="AI124" s="51">
        <f t="shared" si="129"/>
        <v>6.3567726630218396E-2</v>
      </c>
      <c r="AJ124" s="51" t="str">
        <f t="shared" si="109"/>
        <v>1+0.000144281239299485i</v>
      </c>
      <c r="AK124" s="51">
        <f t="shared" si="130"/>
        <v>1.000000010408538</v>
      </c>
      <c r="AL124" s="51">
        <f t="shared" si="131"/>
        <v>1.4428123829831384E-4</v>
      </c>
      <c r="AM124" s="51" t="str">
        <f t="shared" si="110"/>
        <v>1-0.000374132275737458i</v>
      </c>
      <c r="AN124" s="51">
        <f t="shared" si="132"/>
        <v>1.0000000699874774</v>
      </c>
      <c r="AO124" s="51">
        <f t="shared" si="133"/>
        <v>-3.7413225828107605E-4</v>
      </c>
      <c r="AP124" s="60" t="str">
        <f t="shared" si="134"/>
        <v>41.9996089597974-2.6831145111215i</v>
      </c>
      <c r="AQ124" s="51">
        <f t="shared" si="135"/>
        <v>32.482593295613228</v>
      </c>
      <c r="AR124" s="63">
        <f t="shared" si="136"/>
        <v>-3.6553319425146684</v>
      </c>
      <c r="AS124" s="32" t="str">
        <f t="shared" si="111"/>
        <v>-0.000133283554228113</v>
      </c>
      <c r="AT124" s="32" t="str">
        <f t="shared" si="112"/>
        <v>0.0000440779186059927i</v>
      </c>
      <c r="AU124" s="32">
        <f t="shared" si="137"/>
        <v>4.4077918605992703E-5</v>
      </c>
      <c r="AV124" s="32">
        <f t="shared" si="138"/>
        <v>1.5707963267948966</v>
      </c>
      <c r="AW124" s="32" t="str">
        <f t="shared" si="113"/>
        <v>1+0.00770669738695916i</v>
      </c>
      <c r="AX124" s="32">
        <f t="shared" si="139"/>
        <v>1.0000296961513764</v>
      </c>
      <c r="AY124" s="32">
        <f t="shared" si="140"/>
        <v>7.7065448172958595E-3</v>
      </c>
      <c r="AZ124" s="32" t="str">
        <f t="shared" si="114"/>
        <v>1+0.114848587888586i</v>
      </c>
      <c r="BA124" s="32">
        <f t="shared" si="141"/>
        <v>1.0065734936605484</v>
      </c>
      <c r="BB124" s="32">
        <f t="shared" si="142"/>
        <v>0.11434758837778661</v>
      </c>
      <c r="BC124" s="60" t="str">
        <f t="shared" si="143"/>
        <v>-0.323958215930012+3.02631352594078i</v>
      </c>
      <c r="BD124" s="51">
        <f t="shared" si="144"/>
        <v>9.6677615990233718</v>
      </c>
      <c r="BE124" s="63">
        <f t="shared" si="145"/>
        <v>96.110081718886875</v>
      </c>
      <c r="BF124" s="60" t="str">
        <f t="shared" si="146"/>
        <v>24.4613235545725+101.975305797571i</v>
      </c>
      <c r="BG124" s="66">
        <f t="shared" si="147"/>
        <v>40.412868363749055</v>
      </c>
      <c r="BH124" s="63">
        <f t="shared" si="148"/>
        <v>76.511040374957972</v>
      </c>
      <c r="BI124" s="60" t="str">
        <f t="shared" si="152"/>
        <v>-5.48617265171913+127.973201669417i</v>
      </c>
      <c r="BJ124" s="66">
        <f t="shared" si="149"/>
        <v>42.150354894636585</v>
      </c>
      <c r="BK124" s="63">
        <f t="shared" si="153"/>
        <v>92.454749776372196</v>
      </c>
      <c r="BL124" s="51">
        <f t="shared" si="150"/>
        <v>40.412868363749055</v>
      </c>
      <c r="BM124" s="63">
        <f t="shared" si="151"/>
        <v>76.511040374957972</v>
      </c>
    </row>
    <row r="125" spans="14:65" x14ac:dyDescent="0.35">
      <c r="N125" s="11">
        <v>7</v>
      </c>
      <c r="O125" s="52">
        <f t="shared" si="154"/>
        <v>117.48975549395293</v>
      </c>
      <c r="P125" s="50" t="str">
        <f t="shared" si="103"/>
        <v>36.531007751938</v>
      </c>
      <c r="Q125" s="18" t="str">
        <f t="shared" si="104"/>
        <v>1+0.36052111662182i</v>
      </c>
      <c r="R125" s="18">
        <f t="shared" si="116"/>
        <v>1.0630030458706334</v>
      </c>
      <c r="S125" s="18">
        <f t="shared" si="117"/>
        <v>0.3460168323992649</v>
      </c>
      <c r="T125" s="18" t="str">
        <f t="shared" si="105"/>
        <v>1+0.000147641981092745i</v>
      </c>
      <c r="U125" s="18">
        <f t="shared" si="118"/>
        <v>1.0000000108990772</v>
      </c>
      <c r="V125" s="18">
        <f t="shared" si="119"/>
        <v>1.4764198001997078E-4</v>
      </c>
      <c r="W125" s="32" t="str">
        <f t="shared" si="106"/>
        <v>1-0.00244613933171413i</v>
      </c>
      <c r="X125" s="18">
        <f t="shared" si="120"/>
        <v>1.0000029917943398</v>
      </c>
      <c r="Y125" s="18">
        <f t="shared" si="121"/>
        <v>-2.4461344528271434E-3</v>
      </c>
      <c r="Z125" s="32" t="str">
        <f t="shared" si="107"/>
        <v>0.99999971479664+0.00111154917908191i</v>
      </c>
      <c r="AA125" s="18">
        <f t="shared" si="122"/>
        <v>1.0000003325674143</v>
      </c>
      <c r="AB125" s="18">
        <f t="shared" si="123"/>
        <v>1.1115490383111E-3</v>
      </c>
      <c r="AC125" s="68" t="str">
        <f t="shared" si="124"/>
        <v>32.2891803629248-11.7655037033161i</v>
      </c>
      <c r="AD125" s="66">
        <f t="shared" si="125"/>
        <v>30.722566072099976</v>
      </c>
      <c r="AE125" s="63">
        <f t="shared" si="126"/>
        <v>-20.020685123514916</v>
      </c>
      <c r="AF125" s="51" t="str">
        <f t="shared" si="127"/>
        <v>42.1703962805665</v>
      </c>
      <c r="AG125" s="51" t="str">
        <f t="shared" si="108"/>
        <v>1+0.0651361681291526i</v>
      </c>
      <c r="AH125" s="51">
        <f t="shared" si="128"/>
        <v>1.0021191148753472</v>
      </c>
      <c r="AI125" s="51">
        <f t="shared" si="129"/>
        <v>6.5044283736785211E-2</v>
      </c>
      <c r="AJ125" s="51" t="str">
        <f t="shared" si="109"/>
        <v>1+0.000147641981092745i</v>
      </c>
      <c r="AK125" s="51">
        <f t="shared" si="130"/>
        <v>1.0000000108990772</v>
      </c>
      <c r="AL125" s="51">
        <f t="shared" si="131"/>
        <v>1.4764198001997078E-4</v>
      </c>
      <c r="AM125" s="51" t="str">
        <f t="shared" si="110"/>
        <v>1-0.000382846935948191i</v>
      </c>
      <c r="AN125" s="51">
        <f t="shared" si="132"/>
        <v>1.0000000732858854</v>
      </c>
      <c r="AO125" s="51">
        <f t="shared" si="133"/>
        <v>-3.8284691724334085E-4</v>
      </c>
      <c r="AP125" s="60" t="str">
        <f t="shared" si="134"/>
        <v>41.9915940065497-2.74509021337514i</v>
      </c>
      <c r="AQ125" s="51">
        <f t="shared" si="135"/>
        <v>32.481767451499159</v>
      </c>
      <c r="AR125" s="63">
        <f t="shared" si="136"/>
        <v>-3.7402391897927449</v>
      </c>
      <c r="AS125" s="32" t="str">
        <f t="shared" si="111"/>
        <v>-0.000133283554228113</v>
      </c>
      <c r="AT125" s="32" t="str">
        <f t="shared" si="112"/>
        <v>0.0000451046252238337i</v>
      </c>
      <c r="AU125" s="32">
        <f t="shared" si="137"/>
        <v>4.5104625223833698E-5</v>
      </c>
      <c r="AV125" s="32">
        <f t="shared" si="138"/>
        <v>1.5707963267948966</v>
      </c>
      <c r="AW125" s="32" t="str">
        <f t="shared" si="113"/>
        <v>1+0.0078862094297037i</v>
      </c>
      <c r="AX125" s="32">
        <f t="shared" si="139"/>
        <v>1.0000310956661143</v>
      </c>
      <c r="AY125" s="32">
        <f t="shared" si="140"/>
        <v>7.8860459486386272E-3</v>
      </c>
      <c r="AZ125" s="32" t="str">
        <f t="shared" si="114"/>
        <v>1+0.117523755159731i</v>
      </c>
      <c r="BA125" s="32">
        <f t="shared" si="141"/>
        <v>1.0068822339414101</v>
      </c>
      <c r="BB125" s="32">
        <f t="shared" si="142"/>
        <v>0.11698712248993165</v>
      </c>
      <c r="BC125" s="60" t="str">
        <f t="shared" si="143"/>
        <v>-0.32395730919025+2.95754119772703i</v>
      </c>
      <c r="BD125" s="51">
        <f t="shared" si="144"/>
        <v>9.4704132059577404</v>
      </c>
      <c r="BE125" s="63">
        <f t="shared" si="145"/>
        <v>96.251031226149863</v>
      </c>
      <c r="BF125" s="60" t="str">
        <f t="shared" si="146"/>
        <v>24.3366459282355+99.3081020851829i</v>
      </c>
      <c r="BG125" s="66">
        <f t="shared" si="147"/>
        <v>40.19297927805772</v>
      </c>
      <c r="BH125" s="63">
        <f t="shared" si="148"/>
        <v>76.230346102634954</v>
      </c>
      <c r="BI125" s="60" t="str">
        <f t="shared" si="152"/>
        <v>-5.48476640543701+125.081161271608i</v>
      </c>
      <c r="BJ125" s="66">
        <f t="shared" si="149"/>
        <v>41.952180657456921</v>
      </c>
      <c r="BK125" s="63">
        <f t="shared" si="153"/>
        <v>92.510792036357103</v>
      </c>
      <c r="BL125" s="51">
        <f t="shared" si="150"/>
        <v>40.19297927805772</v>
      </c>
      <c r="BM125" s="63">
        <f t="shared" si="151"/>
        <v>76.230346102634954</v>
      </c>
    </row>
    <row r="126" spans="14:65" x14ac:dyDescent="0.35">
      <c r="N126" s="11">
        <v>8</v>
      </c>
      <c r="O126" s="52">
        <f t="shared" si="154"/>
        <v>120.22644346174135</v>
      </c>
      <c r="P126" s="50" t="str">
        <f t="shared" si="103"/>
        <v>36.531007751938</v>
      </c>
      <c r="Q126" s="18" t="str">
        <f t="shared" si="104"/>
        <v>1+0.368918732208341i</v>
      </c>
      <c r="R126" s="18">
        <f t="shared" si="116"/>
        <v>1.065880401815424</v>
      </c>
      <c r="S126" s="18">
        <f t="shared" si="117"/>
        <v>0.35342851786418317</v>
      </c>
      <c r="T126" s="18" t="str">
        <f t="shared" si="105"/>
        <v>1+0.000151081004618654i</v>
      </c>
      <c r="U126" s="18">
        <f t="shared" si="118"/>
        <v>1.000000011412735</v>
      </c>
      <c r="V126" s="18">
        <f t="shared" si="119"/>
        <v>1.5108100346915569E-4</v>
      </c>
      <c r="W126" s="32" t="str">
        <f t="shared" si="106"/>
        <v>1-0.0025031172362854i</v>
      </c>
      <c r="X126" s="18">
        <f t="shared" si="120"/>
        <v>1.0000031327930421</v>
      </c>
      <c r="Y126" s="18">
        <f t="shared" si="121"/>
        <v>-2.5031120084646904E-3</v>
      </c>
      <c r="Z126" s="32" t="str">
        <f t="shared" si="107"/>
        <v>0.999999701355419+0.00113744048552994i</v>
      </c>
      <c r="AA126" s="18">
        <f t="shared" si="122"/>
        <v>1.0000003482408319</v>
      </c>
      <c r="AB126" s="18">
        <f t="shared" si="123"/>
        <v>1.1374403346913022E-3</v>
      </c>
      <c r="AC126" s="68" t="str">
        <f t="shared" si="124"/>
        <v>32.1132178747008-11.9746416277413i</v>
      </c>
      <c r="AD126" s="66">
        <f t="shared" si="125"/>
        <v>30.699087804207007</v>
      </c>
      <c r="AE126" s="63">
        <f t="shared" si="126"/>
        <v>-20.449894413677722</v>
      </c>
      <c r="AF126" s="51" t="str">
        <f t="shared" si="127"/>
        <v>42.1703962805665</v>
      </c>
      <c r="AG126" s="51" t="str">
        <f t="shared" si="108"/>
        <v>1+0.0666533843905829i</v>
      </c>
      <c r="AH126" s="51">
        <f t="shared" si="128"/>
        <v>1.0022188751219561</v>
      </c>
      <c r="AI126" s="51">
        <f t="shared" si="129"/>
        <v>6.6554940259216502E-2</v>
      </c>
      <c r="AJ126" s="51" t="str">
        <f t="shared" si="109"/>
        <v>1+0.000151081004618654i</v>
      </c>
      <c r="AK126" s="51">
        <f t="shared" si="130"/>
        <v>1.000000011412735</v>
      </c>
      <c r="AL126" s="51">
        <f t="shared" si="131"/>
        <v>1.5108100346915569E-4</v>
      </c>
      <c r="AM126" s="51" t="str">
        <f t="shared" si="110"/>
        <v>1-0.000391764586671943i</v>
      </c>
      <c r="AN126" s="51">
        <f t="shared" si="132"/>
        <v>1.0000000767397428</v>
      </c>
      <c r="AO126" s="51">
        <f t="shared" si="133"/>
        <v>-3.9176456662933504E-4</v>
      </c>
      <c r="AP126" s="60" t="str">
        <f t="shared" si="134"/>
        <v>41.9832045864427-2.80847239528206i</v>
      </c>
      <c r="AQ126" s="51">
        <f t="shared" si="135"/>
        <v>32.480902854848075</v>
      </c>
      <c r="AR126" s="63">
        <f t="shared" si="136"/>
        <v>-3.8271073349656808</v>
      </c>
      <c r="AS126" s="32" t="str">
        <f t="shared" si="111"/>
        <v>-0.000133283554228113</v>
      </c>
      <c r="AT126" s="32" t="str">
        <f t="shared" si="112"/>
        <v>0.0000461552469109988i</v>
      </c>
      <c r="AU126" s="32">
        <f t="shared" si="137"/>
        <v>4.6155246910998803E-5</v>
      </c>
      <c r="AV126" s="32">
        <f t="shared" si="138"/>
        <v>1.5707963267948966</v>
      </c>
      <c r="AW126" s="32" t="str">
        <f t="shared" si="113"/>
        <v>1+0.00806990284507422i</v>
      </c>
      <c r="AX126" s="32">
        <f t="shared" si="139"/>
        <v>1.0000325611358507</v>
      </c>
      <c r="AY126" s="32">
        <f t="shared" si="140"/>
        <v>8.0697276722649994E-3</v>
      </c>
      <c r="AZ126" s="32" t="str">
        <f t="shared" si="114"/>
        <v>1+0.120261235081472i</v>
      </c>
      <c r="BA126" s="32">
        <f t="shared" si="141"/>
        <v>1.0072054232694148</v>
      </c>
      <c r="BB126" s="32">
        <f t="shared" si="142"/>
        <v>0.11968644475152659</v>
      </c>
      <c r="BC126" s="60" t="str">
        <f t="shared" si="143"/>
        <v>-0.323956359722596+2.89033699632987i</v>
      </c>
      <c r="BD126" s="51">
        <f t="shared" si="144"/>
        <v>9.2731880292765645</v>
      </c>
      <c r="BE126" s="63">
        <f t="shared" si="145"/>
        <v>96.395166811747458</v>
      </c>
      <c r="BF126" s="60" t="str">
        <f t="shared" si="146"/>
        <v>24.2074685527857+96.6972830051551i</v>
      </c>
      <c r="BG126" s="66">
        <f t="shared" si="147"/>
        <v>39.972275833483565</v>
      </c>
      <c r="BH126" s="63">
        <f t="shared" si="148"/>
        <v>75.945272398069747</v>
      </c>
      <c r="BI126" s="60" t="str">
        <f t="shared" si="152"/>
        <v>-5.48329446005807+122.255431934238i</v>
      </c>
      <c r="BJ126" s="66">
        <f t="shared" si="149"/>
        <v>41.754090884124636</v>
      </c>
      <c r="BK126" s="63">
        <f t="shared" si="153"/>
        <v>92.568059476781784</v>
      </c>
      <c r="BL126" s="51">
        <f t="shared" si="150"/>
        <v>39.972275833483565</v>
      </c>
      <c r="BM126" s="63">
        <f t="shared" si="151"/>
        <v>75.945272398069747</v>
      </c>
    </row>
    <row r="127" spans="14:65" x14ac:dyDescent="0.35">
      <c r="N127" s="11">
        <v>9</v>
      </c>
      <c r="O127" s="52">
        <f t="shared" si="154"/>
        <v>123.02687708123821</v>
      </c>
      <c r="P127" s="50" t="str">
        <f t="shared" si="103"/>
        <v>36.531007751938</v>
      </c>
      <c r="Q127" s="18" t="str">
        <f t="shared" si="104"/>
        <v>1+0.377511953389896i</v>
      </c>
      <c r="R127" s="18">
        <f t="shared" si="116"/>
        <v>1.0688850616190009</v>
      </c>
      <c r="S127" s="18">
        <f t="shared" si="117"/>
        <v>0.36097110999431808</v>
      </c>
      <c r="T127" s="18" t="str">
        <f t="shared" si="105"/>
        <v>1+0.000154600133293005i</v>
      </c>
      <c r="U127" s="18">
        <f t="shared" si="118"/>
        <v>1.0000000119506005</v>
      </c>
      <c r="V127" s="18">
        <f t="shared" si="119"/>
        <v>1.5460013206129537E-4</v>
      </c>
      <c r="W127" s="32" t="str">
        <f t="shared" si="106"/>
        <v>1-0.00256142232674801i</v>
      </c>
      <c r="X127" s="18">
        <f t="shared" si="120"/>
        <v>1.0000032804367873</v>
      </c>
      <c r="Y127" s="18">
        <f t="shared" si="121"/>
        <v>-2.5614167250381874E-3</v>
      </c>
      <c r="Z127" s="32" t="str">
        <f t="shared" si="107"/>
        <v>0.999999687280734+0.00116393487797921i</v>
      </c>
      <c r="AA127" s="18">
        <f t="shared" si="122"/>
        <v>1.0000003646529165</v>
      </c>
      <c r="AB127" s="18">
        <f t="shared" si="123"/>
        <v>1.1639347163526993E-3</v>
      </c>
      <c r="AC127" s="68" t="str">
        <f t="shared" si="124"/>
        <v>31.9309848444111-12.1847717107428i</v>
      </c>
      <c r="AD127" s="66">
        <f t="shared" si="125"/>
        <v>30.674638337058184</v>
      </c>
      <c r="AE127" s="63">
        <f t="shared" si="126"/>
        <v>-20.886710108542367</v>
      </c>
      <c r="AF127" s="51" t="str">
        <f t="shared" si="127"/>
        <v>42.1703962805665</v>
      </c>
      <c r="AG127" s="51" t="str">
        <f t="shared" si="108"/>
        <v>1+0.0682059411586789i</v>
      </c>
      <c r="AH127" s="51">
        <f t="shared" si="128"/>
        <v>1.002323326282164</v>
      </c>
      <c r="AI127" s="51">
        <f t="shared" si="129"/>
        <v>6.8100469572516573E-2</v>
      </c>
      <c r="AJ127" s="51" t="str">
        <f t="shared" si="109"/>
        <v>1+0.000154600133293005i</v>
      </c>
      <c r="AK127" s="51">
        <f t="shared" si="130"/>
        <v>1.0000000119506005</v>
      </c>
      <c r="AL127" s="51">
        <f t="shared" si="131"/>
        <v>1.5460013206129537E-4</v>
      </c>
      <c r="AM127" s="51" t="str">
        <f t="shared" si="110"/>
        <v>1-0.000400889956165165i</v>
      </c>
      <c r="AN127" s="51">
        <f t="shared" si="132"/>
        <v>1.0000000803563751</v>
      </c>
      <c r="AO127" s="51">
        <f t="shared" si="133"/>
        <v>-4.0088993468912371E-4</v>
      </c>
      <c r="AP127" s="60" t="str">
        <f t="shared" si="134"/>
        <v>41.9744233643792-2.87329118959072i</v>
      </c>
      <c r="AQ127" s="51">
        <f t="shared" si="135"/>
        <v>32.47999769547269</v>
      </c>
      <c r="AR127" s="63">
        <f t="shared" si="136"/>
        <v>-3.915980855591974</v>
      </c>
      <c r="AS127" s="32" t="str">
        <f t="shared" si="111"/>
        <v>-0.000133283554228113</v>
      </c>
      <c r="AT127" s="32" t="str">
        <f t="shared" si="112"/>
        <v>0.000047230340721013i</v>
      </c>
      <c r="AU127" s="32">
        <f t="shared" si="137"/>
        <v>4.7230340721013002E-5</v>
      </c>
      <c r="AV127" s="32">
        <f t="shared" si="138"/>
        <v>1.5707963267948966</v>
      </c>
      <c r="AW127" s="32" t="str">
        <f t="shared" si="113"/>
        <v>1+0.00825787502975096i</v>
      </c>
      <c r="AX127" s="32">
        <f t="shared" si="139"/>
        <v>1.0000340956687461</v>
      </c>
      <c r="AY127" s="32">
        <f t="shared" si="140"/>
        <v>8.2576873290497593E-3</v>
      </c>
      <c r="AZ127" s="32" t="str">
        <f t="shared" si="114"/>
        <v>1+0.123062479101898i</v>
      </c>
      <c r="BA127" s="32">
        <f t="shared" si="141"/>
        <v>1.0075437329281072</v>
      </c>
      <c r="BB127" s="32">
        <f t="shared" si="142"/>
        <v>0.12244682894885345</v>
      </c>
      <c r="BC127" s="60" t="str">
        <f t="shared" si="143"/>
        <v>-0.323955365513874+2.82466528914394i</v>
      </c>
      <c r="BD127" s="51">
        <f t="shared" si="144"/>
        <v>9.0760917096155982</v>
      </c>
      <c r="BE127" s="63">
        <f t="shared" si="145"/>
        <v>96.542555881036407</v>
      </c>
      <c r="BF127" s="60" t="str">
        <f t="shared" si="146"/>
        <v>24.073687840989+94.141666711446i</v>
      </c>
      <c r="BG127" s="66">
        <f t="shared" si="147"/>
        <v>39.75073004667378</v>
      </c>
      <c r="BH127" s="63">
        <f t="shared" si="148"/>
        <v>75.655845772494061</v>
      </c>
      <c r="BI127" s="60" t="str">
        <f t="shared" si="152"/>
        <v>-5.48175377440155+119.494514806746i</v>
      </c>
      <c r="BJ127" s="66">
        <f t="shared" si="149"/>
        <v>41.556089405088287</v>
      </c>
      <c r="BK127" s="63">
        <f t="shared" si="153"/>
        <v>92.626575025444438</v>
      </c>
      <c r="BL127" s="51">
        <f t="shared" si="150"/>
        <v>39.75073004667378</v>
      </c>
      <c r="BM127" s="63">
        <f t="shared" si="151"/>
        <v>75.655845772494061</v>
      </c>
    </row>
    <row r="128" spans="14:65" x14ac:dyDescent="0.35">
      <c r="N128" s="11">
        <v>10</v>
      </c>
      <c r="O128" s="52">
        <f t="shared" si="154"/>
        <v>125.89254117941677</v>
      </c>
      <c r="P128" s="50" t="str">
        <f t="shared" si="103"/>
        <v>36.531007751938</v>
      </c>
      <c r="Q128" s="18" t="str">
        <f t="shared" si="104"/>
        <v>1+0.386305336406098i</v>
      </c>
      <c r="R128" s="18">
        <f t="shared" si="116"/>
        <v>1.0720223005776646</v>
      </c>
      <c r="S128" s="18">
        <f t="shared" si="117"/>
        <v>0.36864517415023634</v>
      </c>
      <c r="T128" s="18" t="str">
        <f t="shared" si="105"/>
        <v>1+0.000158201233004402i</v>
      </c>
      <c r="U128" s="18">
        <f t="shared" si="118"/>
        <v>1.0000000125138151</v>
      </c>
      <c r="V128" s="18">
        <f t="shared" si="119"/>
        <v>1.5820123168460137E-4</v>
      </c>
      <c r="W128" s="32" t="str">
        <f t="shared" si="106"/>
        <v>1-0.00262108551723271i</v>
      </c>
      <c r="X128" s="18">
        <f t="shared" si="120"/>
        <v>1.0000034350387446</v>
      </c>
      <c r="Y128" s="18">
        <f t="shared" si="121"/>
        <v>-2.6210795148936066E-3</v>
      </c>
      <c r="Z128" s="32" t="str">
        <f t="shared" si="107"/>
        <v>0.999999672542729+0.00119104640410728i</v>
      </c>
      <c r="AA128" s="18">
        <f t="shared" si="122"/>
        <v>1.0000003818384779</v>
      </c>
      <c r="AB128" s="18">
        <f t="shared" si="123"/>
        <v>1.1910462309213561E-3</v>
      </c>
      <c r="AC128" s="68" t="str">
        <f t="shared" si="124"/>
        <v>31.7423437049844-12.3957184202157i</v>
      </c>
      <c r="AD128" s="66">
        <f t="shared" si="125"/>
        <v>30.649183290808924</v>
      </c>
      <c r="AE128" s="63">
        <f t="shared" si="126"/>
        <v>-21.331167069992794</v>
      </c>
      <c r="AF128" s="51" t="str">
        <f t="shared" si="127"/>
        <v>42.1703962805665</v>
      </c>
      <c r="AG128" s="51" t="str">
        <f t="shared" si="108"/>
        <v>1+0.0697946616195895i</v>
      </c>
      <c r="AH128" s="51">
        <f t="shared" si="128"/>
        <v>1.0024326884088492</v>
      </c>
      <c r="AI128" s="51">
        <f t="shared" si="129"/>
        <v>6.9681661586207463E-2</v>
      </c>
      <c r="AJ128" s="51" t="str">
        <f t="shared" si="109"/>
        <v>1+0.000158201233004402i</v>
      </c>
      <c r="AK128" s="51">
        <f t="shared" si="130"/>
        <v>1.0000000125138151</v>
      </c>
      <c r="AL128" s="51">
        <f t="shared" si="131"/>
        <v>1.5820123168460137E-4</v>
      </c>
      <c r="AM128" s="51" t="str">
        <f t="shared" si="110"/>
        <v>1-0.000410227882819552i</v>
      </c>
      <c r="AN128" s="51">
        <f t="shared" si="132"/>
        <v>1.0000000841434544</v>
      </c>
      <c r="AO128" s="51">
        <f t="shared" si="133"/>
        <v>-4.1022785980755923E-4</v>
      </c>
      <c r="AP128" s="60" t="str">
        <f t="shared" si="134"/>
        <v>41.9652322181647-2.93957724615027i</v>
      </c>
      <c r="AQ128" s="51">
        <f t="shared" si="135"/>
        <v>32.479050079422734</v>
      </c>
      <c r="AR128" s="63">
        <f t="shared" si="136"/>
        <v>-4.0069051804649201</v>
      </c>
      <c r="AS128" s="32" t="str">
        <f t="shared" si="111"/>
        <v>-0.000133283554228113</v>
      </c>
      <c r="AT128" s="32" t="str">
        <f t="shared" si="112"/>
        <v>0.000048330476682845i</v>
      </c>
      <c r="AU128" s="32">
        <f t="shared" si="137"/>
        <v>4.8330476682844997E-5</v>
      </c>
      <c r="AV128" s="32">
        <f t="shared" si="138"/>
        <v>1.5707963267948966</v>
      </c>
      <c r="AW128" s="32" t="str">
        <f t="shared" si="113"/>
        <v>1+0.00845022564907438i</v>
      </c>
      <c r="AX128" s="32">
        <f t="shared" si="139"/>
        <v>1.0000357025194253</v>
      </c>
      <c r="AY128" s="32">
        <f t="shared" si="140"/>
        <v>8.4500245245372422E-3</v>
      </c>
      <c r="AZ128" s="32" t="str">
        <f t="shared" si="114"/>
        <v>1+0.125928972477669i</v>
      </c>
      <c r="BA128" s="32">
        <f t="shared" si="141"/>
        <v>1.0078978649194974</v>
      </c>
      <c r="BB128" s="32">
        <f t="shared" si="142"/>
        <v>0.12526957031704219</v>
      </c>
      <c r="BC128" s="60" t="str">
        <f t="shared" si="143"/>
        <v>-0.323954324456081+2.76049125610918i</v>
      </c>
      <c r="BD128" s="51">
        <f t="shared" si="144"/>
        <v>8.8791301377536254</v>
      </c>
      <c r="BE128" s="63">
        <f t="shared" si="145"/>
        <v>96.69326693854579</v>
      </c>
      <c r="BF128" s="60" t="str">
        <f t="shared" si="146"/>
        <v>23.935202800596+91.6401088329905i</v>
      </c>
      <c r="BG128" s="66">
        <f t="shared" si="147"/>
        <v>39.528313428562555</v>
      </c>
      <c r="BH128" s="63">
        <f t="shared" si="148"/>
        <v>75.362099868552988</v>
      </c>
      <c r="BI128" s="60" t="str">
        <f t="shared" si="152"/>
        <v>-5.48014116922279+116.796945359798i</v>
      </c>
      <c r="BJ128" s="66">
        <f t="shared" si="149"/>
        <v>41.358180217176361</v>
      </c>
      <c r="BK128" s="63">
        <f t="shared" si="153"/>
        <v>92.686361758080864</v>
      </c>
      <c r="BL128" s="51">
        <f t="shared" si="150"/>
        <v>39.528313428562555</v>
      </c>
      <c r="BM128" s="63">
        <f t="shared" si="151"/>
        <v>75.362099868552988</v>
      </c>
    </row>
    <row r="129" spans="14:65" x14ac:dyDescent="0.35">
      <c r="N129" s="11">
        <v>11</v>
      </c>
      <c r="O129" s="52">
        <f t="shared" si="154"/>
        <v>128.82495516931343</v>
      </c>
      <c r="P129" s="50" t="str">
        <f t="shared" si="103"/>
        <v>36.531007751938</v>
      </c>
      <c r="Q129" s="18" t="str">
        <f t="shared" si="104"/>
        <v>1+0.39530354362502i</v>
      </c>
      <c r="R129" s="18">
        <f t="shared" si="116"/>
        <v>1.0752975828125431</v>
      </c>
      <c r="S129" s="18">
        <f t="shared" si="117"/>
        <v>0.37645116272797496</v>
      </c>
      <c r="T129" s="18" t="str">
        <f t="shared" si="105"/>
        <v>1+0.00016188621310358i</v>
      </c>
      <c r="U129" s="18">
        <f t="shared" si="118"/>
        <v>1.0000000131035729</v>
      </c>
      <c r="V129" s="18">
        <f t="shared" si="119"/>
        <v>1.6188621168938816E-4</v>
      </c>
      <c r="W129" s="32" t="str">
        <f t="shared" si="106"/>
        <v>1-0.0026821384419528i</v>
      </c>
      <c r="X129" s="18">
        <f t="shared" si="120"/>
        <v>1.0000035969268419</v>
      </c>
      <c r="Y129" s="18">
        <f t="shared" si="121"/>
        <v>-2.6821320103318233E-3</v>
      </c>
      <c r="Z129" s="32" t="str">
        <f t="shared" si="107"/>
        <v>0.999999657110143+0.00121878943880417i</v>
      </c>
      <c r="AA129" s="18">
        <f t="shared" si="122"/>
        <v>1.0000003998339699</v>
      </c>
      <c r="AB129" s="18">
        <f t="shared" si="123"/>
        <v>1.218789253232112E-3</v>
      </c>
      <c r="AC129" s="68" t="str">
        <f t="shared" si="124"/>
        <v>31.5471611104855-12.6072954169661i</v>
      </c>
      <c r="AD129" s="66">
        <f t="shared" si="125"/>
        <v>30.622687550779631</v>
      </c>
      <c r="AE129" s="63">
        <f t="shared" si="126"/>
        <v>-21.7832937450294</v>
      </c>
      <c r="AF129" s="51" t="str">
        <f t="shared" si="127"/>
        <v>42.1703962805665</v>
      </c>
      <c r="AG129" s="51" t="str">
        <f t="shared" si="108"/>
        <v>1+0.0714203881339325i</v>
      </c>
      <c r="AH129" s="51">
        <f t="shared" si="128"/>
        <v>1.0025471918274977</v>
      </c>
      <c r="AI129" s="51">
        <f t="shared" si="129"/>
        <v>7.1299323025483405E-2</v>
      </c>
      <c r="AJ129" s="51" t="str">
        <f t="shared" si="109"/>
        <v>1+0.00016188621310358i</v>
      </c>
      <c r="AK129" s="51">
        <f t="shared" si="130"/>
        <v>1.0000000131035729</v>
      </c>
      <c r="AL129" s="51">
        <f t="shared" si="131"/>
        <v>1.6188621168938816E-4</v>
      </c>
      <c r="AM129" s="51" t="str">
        <f t="shared" si="110"/>
        <v>1-0.000419783317727418i</v>
      </c>
      <c r="AN129" s="51">
        <f t="shared" si="132"/>
        <v>1.0000000881090132</v>
      </c>
      <c r="AO129" s="51">
        <f t="shared" si="133"/>
        <v>-4.1978329306962365E-4</v>
      </c>
      <c r="AP129" s="60" t="str">
        <f t="shared" si="134"/>
        <v>41.9556122042496-3.00736173112586i</v>
      </c>
      <c r="AQ129" s="51">
        <f t="shared" si="135"/>
        <v>32.478058025185234</v>
      </c>
      <c r="AR129" s="63">
        <f t="shared" si="136"/>
        <v>-4.0999267058119608</v>
      </c>
      <c r="AS129" s="32" t="str">
        <f t="shared" si="111"/>
        <v>-0.000133283554228113</v>
      </c>
      <c r="AT129" s="32" t="str">
        <f t="shared" si="112"/>
        <v>0.0000494562381031436i</v>
      </c>
      <c r="AU129" s="32">
        <f t="shared" si="137"/>
        <v>4.9456238103143602E-5</v>
      </c>
      <c r="AV129" s="32">
        <f t="shared" si="138"/>
        <v>1.5707963267948966</v>
      </c>
      <c r="AW129" s="32" t="str">
        <f t="shared" si="113"/>
        <v>1+0.0086470566898889i</v>
      </c>
      <c r="AX129" s="32">
        <f t="shared" si="139"/>
        <v>1.0000373850958764</v>
      </c>
      <c r="AY129" s="32">
        <f t="shared" si="140"/>
        <v>8.6468411814997204E-3</v>
      </c>
      <c r="AZ129" s="32" t="str">
        <f t="shared" si="114"/>
        <v>1+0.128862235061515i</v>
      </c>
      <c r="BA129" s="32">
        <f t="shared" si="141"/>
        <v>1.0082685533254765</v>
      </c>
      <c r="BB129" s="32">
        <f t="shared" si="142"/>
        <v>0.12815598548487017</v>
      </c>
      <c r="BC129" s="60" t="str">
        <f t="shared" si="143"/>
        <v>-0.323953234341918+2.69778087124848i</v>
      </c>
      <c r="BD129" s="51">
        <f t="shared" si="144"/>
        <v>8.682309464939415</v>
      </c>
      <c r="BE129" s="63">
        <f t="shared" si="145"/>
        <v>96.847369581803022</v>
      </c>
      <c r="BF129" s="60" t="str">
        <f t="shared" si="146"/>
        <v>23.7919155380224+89.1915019126919i</v>
      </c>
      <c r="BG129" s="66">
        <f t="shared" si="147"/>
        <v>39.304997015719046</v>
      </c>
      <c r="BH129" s="63">
        <f t="shared" si="148"/>
        <v>75.06407583677364</v>
      </c>
      <c r="BI129" s="60" t="str">
        <f t="shared" si="152"/>
        <v>-5.47845332120585+114.161292605778i</v>
      </c>
      <c r="BJ129" s="66">
        <f t="shared" si="149"/>
        <v>41.160367490124628</v>
      </c>
      <c r="BK129" s="63">
        <f t="shared" si="153"/>
        <v>92.747442875991069</v>
      </c>
      <c r="BL129" s="51">
        <f t="shared" si="150"/>
        <v>39.304997015719046</v>
      </c>
      <c r="BM129" s="63">
        <f t="shared" si="151"/>
        <v>75.06407583677364</v>
      </c>
    </row>
    <row r="130" spans="14:65" x14ac:dyDescent="0.35">
      <c r="N130" s="11">
        <v>12</v>
      </c>
      <c r="O130" s="52">
        <f t="shared" si="154"/>
        <v>131.82567385564084</v>
      </c>
      <c r="P130" s="50" t="str">
        <f t="shared" si="103"/>
        <v>36.531007751938</v>
      </c>
      <c r="Q130" s="18" t="str">
        <f t="shared" si="104"/>
        <v>1+0.404511346015233i</v>
      </c>
      <c r="R130" s="18">
        <f t="shared" si="116"/>
        <v>1.0787165656719357</v>
      </c>
      <c r="S130" s="18">
        <f t="shared" si="117"/>
        <v>0.38438940837292174</v>
      </c>
      <c r="T130" s="18" t="str">
        <f t="shared" si="105"/>
        <v>1+0.000165657027415762i</v>
      </c>
      <c r="U130" s="18">
        <f t="shared" si="118"/>
        <v>1.0000000137211253</v>
      </c>
      <c r="V130" s="18">
        <f t="shared" si="119"/>
        <v>1.6565702590042814E-4</v>
      </c>
      <c r="W130" s="32" t="str">
        <f t="shared" si="106"/>
        <v>1-0.00274461347197713i</v>
      </c>
      <c r="X130" s="18">
        <f t="shared" si="120"/>
        <v>1.0000037664444623</v>
      </c>
      <c r="Y130" s="18">
        <f t="shared" si="121"/>
        <v>-2.7446065803724915E-3</v>
      </c>
      <c r="Z130" s="32" t="str">
        <f t="shared" si="107"/>
        <v>0.999999640950242+0.0012471786917941i</v>
      </c>
      <c r="AA130" s="18">
        <f t="shared" si="122"/>
        <v>1.0000004186775633</v>
      </c>
      <c r="AB130" s="18">
        <f t="shared" si="123"/>
        <v>1.2471784929500604E-3</v>
      </c>
      <c r="AC130" s="68" t="str">
        <f t="shared" si="124"/>
        <v>31.3453086584242-12.8193054388571i</v>
      </c>
      <c r="AD130" s="66">
        <f t="shared" si="125"/>
        <v>30.595115292296434</v>
      </c>
      <c r="AE130" s="63">
        <f t="shared" si="126"/>
        <v>-22.243111778292914</v>
      </c>
      <c r="AF130" s="51" t="str">
        <f t="shared" si="127"/>
        <v>42.1703962805665</v>
      </c>
      <c r="AG130" s="51" t="str">
        <f t="shared" si="108"/>
        <v>1+0.0730839826834247i</v>
      </c>
      <c r="AH130" s="51">
        <f t="shared" si="128"/>
        <v>1.0026670776109441</v>
      </c>
      <c r="AI130" s="51">
        <f t="shared" si="129"/>
        <v>7.2954277711698629E-2</v>
      </c>
      <c r="AJ130" s="51" t="str">
        <f t="shared" si="109"/>
        <v>1+0.000165657027415762i</v>
      </c>
      <c r="AK130" s="51">
        <f t="shared" si="130"/>
        <v>1.0000000137211253</v>
      </c>
      <c r="AL130" s="51">
        <f t="shared" si="131"/>
        <v>1.6565702590042814E-4</v>
      </c>
      <c r="AM130" s="51" t="str">
        <f t="shared" si="110"/>
        <v>1-0.000429561327306833i</v>
      </c>
      <c r="AN130" s="51">
        <f t="shared" si="132"/>
        <v>1.0000000922614627</v>
      </c>
      <c r="AO130" s="51">
        <f t="shared" si="133"/>
        <v>-4.2956130088553048E-4</v>
      </c>
      <c r="AP130" s="60" t="str">
        <f t="shared" si="134"/>
        <v>41.9455435221232-3.07667632532424i</v>
      </c>
      <c r="AQ130" s="51">
        <f t="shared" si="135"/>
        <v>32.477019459719607</v>
      </c>
      <c r="AR130" s="63">
        <f t="shared" si="136"/>
        <v>-4.1950928114577648</v>
      </c>
      <c r="AS130" s="32" t="str">
        <f t="shared" si="111"/>
        <v>-0.000133283554228113</v>
      </c>
      <c r="AT130" s="32" t="str">
        <f t="shared" si="112"/>
        <v>0.0000506082218755153i</v>
      </c>
      <c r="AU130" s="32">
        <f t="shared" si="137"/>
        <v>5.0608221875515303E-5</v>
      </c>
      <c r="AV130" s="32">
        <f t="shared" si="138"/>
        <v>1.5707963267948966</v>
      </c>
      <c r="AW130" s="32" t="str">
        <f t="shared" si="113"/>
        <v>1+0.00884847251461774i</v>
      </c>
      <c r="AX130" s="32">
        <f t="shared" si="139"/>
        <v>1.0000391469666785</v>
      </c>
      <c r="AY130" s="32">
        <f t="shared" si="140"/>
        <v>8.8482415937065056E-3</v>
      </c>
      <c r="AZ130" s="32" t="str">
        <f t="shared" si="114"/>
        <v>1+0.131863822108084i</v>
      </c>
      <c r="BA130" s="32">
        <f t="shared" si="141"/>
        <v>1.0086565657253972</v>
      </c>
      <c r="BB130" s="32">
        <f t="shared" si="142"/>
        <v>0.13110741238250012</v>
      </c>
      <c r="BC130" s="60" t="str">
        <f t="shared" si="143"/>
        <v>-0.32395209286012+2.63650088462638i</v>
      </c>
      <c r="BD130" s="51">
        <f t="shared" si="144"/>
        <v>8.4856361135718927</v>
      </c>
      <c r="BE130" s="63">
        <f t="shared" si="145"/>
        <v>97.00493449296701</v>
      </c>
      <c r="BF130" s="60" t="str">
        <f t="shared" si="146"/>
        <v>23.6437317885995+86.7947748327532i</v>
      </c>
      <c r="BG130" s="66">
        <f t="shared" si="147"/>
        <v>39.080751405868327</v>
      </c>
      <c r="BH130" s="63">
        <f t="shared" si="148"/>
        <v>74.761822714674139</v>
      </c>
      <c r="BI130" s="60" t="str">
        <f t="shared" si="152"/>
        <v>-5.47668675672066+111.586158336854i</v>
      </c>
      <c r="BJ130" s="66">
        <f t="shared" si="149"/>
        <v>40.962655573291485</v>
      </c>
      <c r="BK130" s="63">
        <f t="shared" si="153"/>
        <v>92.809841681509241</v>
      </c>
      <c r="BL130" s="51">
        <f t="shared" si="150"/>
        <v>39.080751405868327</v>
      </c>
      <c r="BM130" s="63">
        <f t="shared" si="151"/>
        <v>74.761822714674139</v>
      </c>
    </row>
    <row r="131" spans="14:65" x14ac:dyDescent="0.35">
      <c r="N131" s="11">
        <v>13</v>
      </c>
      <c r="O131" s="52">
        <f t="shared" si="154"/>
        <v>134.89628825916537</v>
      </c>
      <c r="P131" s="50" t="str">
        <f t="shared" si="103"/>
        <v>36.531007751938</v>
      </c>
      <c r="Q131" s="18" t="str">
        <f t="shared" si="104"/>
        <v>1+0.413933625675443i</v>
      </c>
      <c r="R131" s="18">
        <f t="shared" si="116"/>
        <v>1.0822851040575296</v>
      </c>
      <c r="S131" s="18">
        <f t="shared" si="117"/>
        <v>0.39246011713490325</v>
      </c>
      <c r="T131" s="18" t="str">
        <f t="shared" si="105"/>
        <v>1+0.00016951567527661i</v>
      </c>
      <c r="U131" s="18">
        <f t="shared" si="118"/>
        <v>1.0000000143677821</v>
      </c>
      <c r="V131" s="18">
        <f t="shared" si="119"/>
        <v>1.6951567365290052E-4</v>
      </c>
      <c r="W131" s="32" t="str">
        <f t="shared" si="106"/>
        <v>1-0.00280854373239354i</v>
      </c>
      <c r="X131" s="18">
        <f t="shared" si="120"/>
        <v>1.000003943951171</v>
      </c>
      <c r="Y131" s="18">
        <f t="shared" si="121"/>
        <v>-2.8085363479076987E-3</v>
      </c>
      <c r="Z131" s="32" t="str">
        <f t="shared" si="107"/>
        <v>0.999999624028748+0.00127622921543478i</v>
      </c>
      <c r="AA131" s="18">
        <f t="shared" si="122"/>
        <v>1.0000004384092278</v>
      </c>
      <c r="AB131" s="18">
        <f t="shared" si="123"/>
        <v>1.2762290023695566E-3</v>
      </c>
      <c r="AC131" s="68" t="str">
        <f t="shared" si="124"/>
        <v>31.1366636467599-13.0315402290551i</v>
      </c>
      <c r="AD131" s="66">
        <f t="shared" si="125"/>
        <v>30.566430009544362</v>
      </c>
      <c r="AE131" s="63">
        <f t="shared" si="126"/>
        <v>-22.710635621250454</v>
      </c>
      <c r="AF131" s="51" t="str">
        <f t="shared" si="127"/>
        <v>42.1703962805665</v>
      </c>
      <c r="AG131" s="51" t="str">
        <f t="shared" si="108"/>
        <v>1+0.0747863273279164i</v>
      </c>
      <c r="AH131" s="51">
        <f t="shared" si="128"/>
        <v>1.0027925980755932</v>
      </c>
      <c r="AI131" s="51">
        <f t="shared" si="129"/>
        <v>7.4647366841685853E-2</v>
      </c>
      <c r="AJ131" s="51" t="str">
        <f t="shared" si="109"/>
        <v>1+0.00016951567527661i</v>
      </c>
      <c r="AK131" s="51">
        <f t="shared" si="130"/>
        <v>1.0000000143677821</v>
      </c>
      <c r="AL131" s="51">
        <f t="shared" si="131"/>
        <v>1.6951567365290052E-4</v>
      </c>
      <c r="AM131" s="51" t="str">
        <f t="shared" si="110"/>
        <v>1-0.000439567095987901i</v>
      </c>
      <c r="AN131" s="51">
        <f t="shared" si="132"/>
        <v>1.0000000966096112</v>
      </c>
      <c r="AO131" s="51">
        <f t="shared" si="133"/>
        <v>-4.3956706767696541E-4</v>
      </c>
      <c r="AP131" s="60" t="str">
        <f t="shared" si="134"/>
        <v>41.9350054773218-3.14755322155248i</v>
      </c>
      <c r="AQ131" s="51">
        <f t="shared" si="135"/>
        <v>32.475932214321304</v>
      </c>
      <c r="AR131" s="63">
        <f t="shared" si="136"/>
        <v>-4.2924518769226081</v>
      </c>
      <c r="AS131" s="32" t="str">
        <f t="shared" si="111"/>
        <v>-0.000133283554228113</v>
      </c>
      <c r="AT131" s="32" t="str">
        <f t="shared" si="112"/>
        <v>0.0000517870387970044i</v>
      </c>
      <c r="AU131" s="32">
        <f t="shared" si="137"/>
        <v>5.1787038797004398E-5</v>
      </c>
      <c r="AV131" s="32">
        <f t="shared" si="138"/>
        <v>1.5707963267948966</v>
      </c>
      <c r="AW131" s="32" t="str">
        <f t="shared" si="113"/>
        <v>1+0.00905457991659718i</v>
      </c>
      <c r="AX131" s="32">
        <f t="shared" si="139"/>
        <v>1.0000409918685664</v>
      </c>
      <c r="AY131" s="32">
        <f t="shared" si="140"/>
        <v>9.0543324809305888E-3</v>
      </c>
      <c r="AZ131" s="32" t="str">
        <f t="shared" si="114"/>
        <v>1+0.134935325098558i</v>
      </c>
      <c r="BA131" s="32">
        <f t="shared" si="141"/>
        <v>1.0090627046717431</v>
      </c>
      <c r="BB131" s="32">
        <f t="shared" si="142"/>
        <v>0.13412521010917722</v>
      </c>
      <c r="BC131" s="60" t="str">
        <f t="shared" si="143"/>
        <v>-0.323950897590562+2.57661880471934i</v>
      </c>
      <c r="BD131" s="51">
        <f t="shared" si="144"/>
        <v>8.2891167882387649</v>
      </c>
      <c r="BE131" s="63">
        <f t="shared" si="145"/>
        <v>97.166033428095716</v>
      </c>
      <c r="BF131" s="60" t="str">
        <f t="shared" si="146"/>
        <v>23.4905614722967+84.4488922226525i</v>
      </c>
      <c r="BG131" s="66">
        <f t="shared" si="147"/>
        <v>38.855546797783127</v>
      </c>
      <c r="BH131" s="63">
        <f t="shared" si="148"/>
        <v>74.455397806845241</v>
      </c>
      <c r="BI131" s="60" t="str">
        <f t="shared" si="152"/>
        <v>-5.47483784533647+109.070176380212i</v>
      </c>
      <c r="BJ131" s="66">
        <f t="shared" si="149"/>
        <v>40.765049002560076</v>
      </c>
      <c r="BK131" s="63">
        <f t="shared" si="153"/>
        <v>92.873581551173103</v>
      </c>
      <c r="BL131" s="51">
        <f t="shared" si="150"/>
        <v>38.855546797783127</v>
      </c>
      <c r="BM131" s="63">
        <f t="shared" si="151"/>
        <v>74.455397806845241</v>
      </c>
    </row>
    <row r="132" spans="14:65" x14ac:dyDescent="0.35">
      <c r="N132" s="11">
        <v>14</v>
      </c>
      <c r="O132" s="52">
        <f t="shared" si="154"/>
        <v>138.0384264602886</v>
      </c>
      <c r="P132" s="50" t="str">
        <f t="shared" si="103"/>
        <v>36.531007751938</v>
      </c>
      <c r="Q132" s="18" t="str">
        <f t="shared" si="104"/>
        <v>1+0.423575378423045i</v>
      </c>
      <c r="R132" s="18">
        <f t="shared" si="116"/>
        <v>1.0860092546595659</v>
      </c>
      <c r="S132" s="18">
        <f t="shared" si="117"/>
        <v>0.40066336159344218</v>
      </c>
      <c r="T132" s="18" t="str">
        <f t="shared" si="105"/>
        <v>1+0.000173464202592295i</v>
      </c>
      <c r="U132" s="18">
        <f t="shared" si="118"/>
        <v>1.0000000150449146</v>
      </c>
      <c r="V132" s="18">
        <f t="shared" si="119"/>
        <v>1.7346420085245895E-4</v>
      </c>
      <c r="W132" s="32" t="str">
        <f t="shared" si="106"/>
        <v>1-0.00287396311987235i</v>
      </c>
      <c r="X132" s="18">
        <f t="shared" si="120"/>
        <v>1.0000041298234794</v>
      </c>
      <c r="Y132" s="18">
        <f t="shared" si="121"/>
        <v>-2.8739552072549767E-3</v>
      </c>
      <c r="Z132" s="32" t="str">
        <f t="shared" si="107"/>
        <v>0.999999606309769+0.00130595641269838i</v>
      </c>
      <c r="AA132" s="18">
        <f t="shared" si="122"/>
        <v>1.0000004590708171</v>
      </c>
      <c r="AB132" s="18">
        <f t="shared" si="123"/>
        <v>1.3059561843948835E-3</v>
      </c>
      <c r="AC132" s="68" t="str">
        <f t="shared" si="124"/>
        <v>30.9211098636216-13.2437805130278i</v>
      </c>
      <c r="AD132" s="66">
        <f t="shared" si="125"/>
        <v>30.536594548616183</v>
      </c>
      <c r="AE132" s="63">
        <f t="shared" si="126"/>
        <v>-23.185872139702919</v>
      </c>
      <c r="AF132" s="51" t="str">
        <f t="shared" si="127"/>
        <v>42.1703962805665</v>
      </c>
      <c r="AG132" s="51" t="str">
        <f t="shared" si="108"/>
        <v>1+0.0765283246730716i</v>
      </c>
      <c r="AH132" s="51">
        <f t="shared" si="128"/>
        <v>1.002924017300048</v>
      </c>
      <c r="AI132" s="51">
        <f t="shared" si="129"/>
        <v>7.6379449265355739E-2</v>
      </c>
      <c r="AJ132" s="51" t="str">
        <f t="shared" si="109"/>
        <v>1+0.000173464202592295i</v>
      </c>
      <c r="AK132" s="51">
        <f t="shared" si="130"/>
        <v>1.0000000150449146</v>
      </c>
      <c r="AL132" s="51">
        <f t="shared" si="131"/>
        <v>1.7346420085245895E-4</v>
      </c>
      <c r="AM132" s="51" t="str">
        <f t="shared" si="110"/>
        <v>1-0.000449805928961621i</v>
      </c>
      <c r="AN132" s="51">
        <f t="shared" si="132"/>
        <v>1.0000001011626818</v>
      </c>
      <c r="AO132" s="51">
        <f t="shared" si="133"/>
        <v>-4.4980589862590715E-4</v>
      </c>
      <c r="AP132" s="60" t="str">
        <f t="shared" si="134"/>
        <v>41.9239764430115-3.22002512092684i</v>
      </c>
      <c r="AQ132" s="51">
        <f t="shared" si="135"/>
        <v>32.47479402030725</v>
      </c>
      <c r="AR132" s="63">
        <f t="shared" si="136"/>
        <v>-4.3920532974243791</v>
      </c>
      <c r="AS132" s="32" t="str">
        <f t="shared" si="111"/>
        <v>-0.000133283554228113</v>
      </c>
      <c r="AT132" s="32" t="str">
        <f t="shared" si="112"/>
        <v>0.0000529933138919461i</v>
      </c>
      <c r="AU132" s="32">
        <f t="shared" si="137"/>
        <v>5.2993313891946099E-5</v>
      </c>
      <c r="AV132" s="32">
        <f t="shared" si="138"/>
        <v>1.5707963267948966</v>
      </c>
      <c r="AW132" s="32" t="str">
        <f t="shared" si="113"/>
        <v>1+0.00926548817669996i</v>
      </c>
      <c r="AX132" s="32">
        <f t="shared" si="139"/>
        <v>1.0000429237143538</v>
      </c>
      <c r="AY132" s="32">
        <f t="shared" si="140"/>
        <v>9.2652230452210192E-3</v>
      </c>
      <c r="AZ132" s="32" t="str">
        <f t="shared" si="114"/>
        <v>1+0.13807837258448i</v>
      </c>
      <c r="BA132" s="32">
        <f t="shared" si="141"/>
        <v>1.0094878092258364</v>
      </c>
      <c r="BB132" s="32">
        <f t="shared" si="142"/>
        <v>0.13721075875774849</v>
      </c>
      <c r="BC132" s="60" t="str">
        <f t="shared" si="143"/>
        <v>-0.323949645999142+2.51810288118786i</v>
      </c>
      <c r="BD132" s="51">
        <f t="shared" si="144"/>
        <v>8.0927584871163614</v>
      </c>
      <c r="BE132" s="63">
        <f t="shared" si="145"/>
        <v>97.330739203868163</v>
      </c>
      <c r="BF132" s="60" t="str">
        <f t="shared" si="146"/>
        <v>23.3323192734541+82.1528538459976i</v>
      </c>
      <c r="BG132" s="66">
        <f t="shared" si="147"/>
        <v>38.629353035732542</v>
      </c>
      <c r="BH132" s="63">
        <f t="shared" si="148"/>
        <v>74.144867064165282</v>
      </c>
      <c r="BI132" s="60" t="str">
        <f t="shared" si="152"/>
        <v>-5.47290279308678+106.612011870032i</v>
      </c>
      <c r="BJ132" s="66">
        <f t="shared" si="149"/>
        <v>40.567552507423628</v>
      </c>
      <c r="BK132" s="63">
        <f t="shared" si="153"/>
        <v>92.938685906443766</v>
      </c>
      <c r="BL132" s="51">
        <f t="shared" si="150"/>
        <v>38.629353035732542</v>
      </c>
      <c r="BM132" s="63">
        <f t="shared" si="151"/>
        <v>74.144867064165282</v>
      </c>
    </row>
    <row r="133" spans="14:65" x14ac:dyDescent="0.35">
      <c r="N133" s="11">
        <v>15</v>
      </c>
      <c r="O133" s="52">
        <f t="shared" si="154"/>
        <v>141.25375446227542</v>
      </c>
      <c r="P133" s="50" t="str">
        <f t="shared" si="103"/>
        <v>36.531007751938</v>
      </c>
      <c r="Q133" s="18" t="str">
        <f t="shared" si="104"/>
        <v>1+0.433441716442971i</v>
      </c>
      <c r="R133" s="18">
        <f t="shared" si="116"/>
        <v>1.0898952800856736</v>
      </c>
      <c r="S133" s="18">
        <f t="shared" si="117"/>
        <v>0.40899907398509677</v>
      </c>
      <c r="T133" s="18" t="str">
        <f t="shared" si="105"/>
        <v>1+0.000177504702924264i</v>
      </c>
      <c r="U133" s="18">
        <f t="shared" si="118"/>
        <v>1.0000000157539597</v>
      </c>
      <c r="V133" s="18">
        <f t="shared" si="119"/>
        <v>1.7750470105999607E-4</v>
      </c>
      <c r="W133" s="32" t="str">
        <f t="shared" si="106"/>
        <v>1-0.0029409063206387i</v>
      </c>
      <c r="X133" s="18">
        <f t="shared" si="120"/>
        <v>1.0000043244556429</v>
      </c>
      <c r="Y133" s="18">
        <f t="shared" si="121"/>
        <v>-2.9408978421184098E-3</v>
      </c>
      <c r="Z133" s="32" t="str">
        <f t="shared" si="107"/>
        <v>0.99999958775572+0.00133637604533836i</v>
      </c>
      <c r="AA133" s="18">
        <f t="shared" si="122"/>
        <v>1.0000004807061567</v>
      </c>
      <c r="AB133" s="18">
        <f t="shared" si="123"/>
        <v>1.3363758007067601E-3</v>
      </c>
      <c r="AC133" s="68" t="str">
        <f t="shared" si="124"/>
        <v>30.6985384072405-13.4557960289942i</v>
      </c>
      <c r="AD133" s="66">
        <f t="shared" si="125"/>
        <v>30.505571144927654</v>
      </c>
      <c r="AE133" s="63">
        <f t="shared" si="126"/>
        <v>-23.668820221446975</v>
      </c>
      <c r="AF133" s="51" t="str">
        <f t="shared" si="127"/>
        <v>42.1703962805665</v>
      </c>
      <c r="AG133" s="51" t="str">
        <f t="shared" si="108"/>
        <v>1+0.0783108983489404i</v>
      </c>
      <c r="AH133" s="51">
        <f t="shared" si="128"/>
        <v>1.0030616116671089</v>
      </c>
      <c r="AI133" s="51">
        <f t="shared" si="129"/>
        <v>7.8151401760981259E-2</v>
      </c>
      <c r="AJ133" s="51" t="str">
        <f t="shared" si="109"/>
        <v>1+0.000177504702924264i</v>
      </c>
      <c r="AK133" s="51">
        <f t="shared" si="130"/>
        <v>1.0000000157539597</v>
      </c>
      <c r="AL133" s="51">
        <f t="shared" si="131"/>
        <v>1.7750470105999607E-4</v>
      </c>
      <c r="AM133" s="51" t="str">
        <f t="shared" si="110"/>
        <v>1-0.000460283254992761i</v>
      </c>
      <c r="AN133" s="51">
        <f t="shared" si="132"/>
        <v>1.0000001059303318</v>
      </c>
      <c r="AO133" s="51">
        <f t="shared" si="133"/>
        <v>-4.6028322248745811E-4</v>
      </c>
      <c r="AP133" s="60" t="str">
        <f t="shared" si="134"/>
        <v>41.9124338201089-3.29412522804361i</v>
      </c>
      <c r="AQ133" s="51">
        <f t="shared" si="135"/>
        <v>32.473602504516322</v>
      </c>
      <c r="AR133" s="63">
        <f t="shared" si="136"/>
        <v>-4.4939474997502344</v>
      </c>
      <c r="AS133" s="32" t="str">
        <f t="shared" si="111"/>
        <v>-0.000133283554228113</v>
      </c>
      <c r="AT133" s="32" t="str">
        <f t="shared" si="112"/>
        <v>0.0000542276867433628i</v>
      </c>
      <c r="AU133" s="32">
        <f t="shared" si="137"/>
        <v>5.42276867433628E-5</v>
      </c>
      <c r="AV133" s="32">
        <f t="shared" si="138"/>
        <v>1.5707963267948966</v>
      </c>
      <c r="AW133" s="32" t="str">
        <f t="shared" si="113"/>
        <v>1+0.00948130912127724i</v>
      </c>
      <c r="AX133" s="32">
        <f t="shared" si="139"/>
        <v>1.000044946601228</v>
      </c>
      <c r="AY133" s="32">
        <f t="shared" si="140"/>
        <v>9.4810250284687349E-3</v>
      </c>
      <c r="AZ133" s="32" t="str">
        <f t="shared" si="114"/>
        <v>1+0.141294631051229i</v>
      </c>
      <c r="BA133" s="32">
        <f t="shared" si="141"/>
        <v>1.0099327565555554</v>
      </c>
      <c r="BB133" s="32">
        <f t="shared" si="142"/>
        <v>0.14036545919267734</v>
      </c>
      <c r="BC133" s="60" t="str">
        <f t="shared" si="143"/>
        <v>-0.323948335432397+2.46092208804174i</v>
      </c>
      <c r="BD133" s="51">
        <f t="shared" si="144"/>
        <v>7.8965685137353319</v>
      </c>
      <c r="BE133" s="63">
        <f t="shared" si="145"/>
        <v>97.499125681567008</v>
      </c>
      <c r="BF133" s="60" t="str">
        <f t="shared" si="146"/>
        <v>23.1689252427031+79.9056939624864i</v>
      </c>
      <c r="BG133" s="66">
        <f t="shared" si="147"/>
        <v>38.402139658662989</v>
      </c>
      <c r="BH133" s="63">
        <f t="shared" si="148"/>
        <v>73.830305460120044</v>
      </c>
      <c r="BI133" s="60" t="str">
        <f t="shared" si="152"/>
        <v>-5.47087763547672+104.210360535824i</v>
      </c>
      <c r="BJ133" s="66">
        <f t="shared" si="149"/>
        <v>40.370171018251632</v>
      </c>
      <c r="BK133" s="63">
        <f t="shared" si="153"/>
        <v>93.005178181816788</v>
      </c>
      <c r="BL133" s="51">
        <f t="shared" si="150"/>
        <v>38.402139658662989</v>
      </c>
      <c r="BM133" s="63">
        <f t="shared" si="151"/>
        <v>73.830305460120044</v>
      </c>
    </row>
    <row r="134" spans="14:65" x14ac:dyDescent="0.35">
      <c r="N134" s="11">
        <v>16</v>
      </c>
      <c r="O134" s="52">
        <f t="shared" si="154"/>
        <v>144.54397707459285</v>
      </c>
      <c r="P134" s="50" t="str">
        <f t="shared" si="103"/>
        <v>36.531007751938</v>
      </c>
      <c r="Q134" s="18" t="str">
        <f t="shared" si="104"/>
        <v>1+0.443537870998234i</v>
      </c>
      <c r="R134" s="18">
        <f t="shared" si="116"/>
        <v>1.0939496528678301</v>
      </c>
      <c r="S134" s="18">
        <f t="shared" si="117"/>
        <v>0.41746703936771801</v>
      </c>
      <c r="T134" s="18" t="str">
        <f t="shared" si="105"/>
        <v>1+0.000181639318599277i</v>
      </c>
      <c r="U134" s="18">
        <f t="shared" si="118"/>
        <v>1.0000000164964209</v>
      </c>
      <c r="V134" s="18">
        <f t="shared" si="119"/>
        <v>1.8163931660167791E-4</v>
      </c>
      <c r="W134" s="32" t="str">
        <f t="shared" si="106"/>
        <v>1-0.00300940882886376i</v>
      </c>
      <c r="X134" s="18">
        <f t="shared" si="120"/>
        <v>1.000004528260497</v>
      </c>
      <c r="Y134" s="18">
        <f t="shared" si="121"/>
        <v>-3.0093997439678112E-3</v>
      </c>
      <c r="Z134" s="32" t="str">
        <f t="shared" si="107"/>
        <v>0.999999568327246+0.00136750424224661i</v>
      </c>
      <c r="AA134" s="18">
        <f t="shared" si="122"/>
        <v>1.0000005033611388</v>
      </c>
      <c r="AB134" s="18">
        <f t="shared" si="123"/>
        <v>1.3675039801191325E-3</v>
      </c>
      <c r="AC134" s="68" t="str">
        <f t="shared" si="124"/>
        <v>30.4688485330388-13.6673456165136i</v>
      </c>
      <c r="AD134" s="66">
        <f t="shared" si="125"/>
        <v>30.473321465154768</v>
      </c>
      <c r="AE134" s="63">
        <f t="shared" si="126"/>
        <v>-24.159470386082361</v>
      </c>
      <c r="AF134" s="51" t="str">
        <f t="shared" si="127"/>
        <v>42.1703962805665</v>
      </c>
      <c r="AG134" s="51" t="str">
        <f t="shared" si="108"/>
        <v>1+0.0801349934996813i</v>
      </c>
      <c r="AH134" s="51">
        <f t="shared" si="128"/>
        <v>1.0032056704301435</v>
      </c>
      <c r="AI134" s="51">
        <f t="shared" si="129"/>
        <v>7.9964119307526102E-2</v>
      </c>
      <c r="AJ134" s="51" t="str">
        <f t="shared" si="109"/>
        <v>1+0.000181639318599277i</v>
      </c>
      <c r="AK134" s="51">
        <f t="shared" si="130"/>
        <v>1.0000000164964209</v>
      </c>
      <c r="AL134" s="51">
        <f t="shared" si="131"/>
        <v>1.8163931660167791E-4</v>
      </c>
      <c r="AM134" s="51" t="str">
        <f t="shared" si="110"/>
        <v>1-0.000471004629298268i</v>
      </c>
      <c r="AN134" s="51">
        <f t="shared" si="132"/>
        <v>1.0000001109226742</v>
      </c>
      <c r="AO134" s="51">
        <f t="shared" si="133"/>
        <v>-4.7100459446820862E-4</v>
      </c>
      <c r="AP134" s="60" t="str">
        <f t="shared" si="134"/>
        <v>41.9003539959025-3.36988724491802i</v>
      </c>
      <c r="AQ134" s="51">
        <f t="shared" si="135"/>
        <v>32.472355184617832</v>
      </c>
      <c r="AR134" s="63">
        <f t="shared" si="136"/>
        <v>-4.5981859579612099</v>
      </c>
      <c r="AS134" s="32" t="str">
        <f t="shared" si="111"/>
        <v>-0.000133283554228113</v>
      </c>
      <c r="AT134" s="32" t="str">
        <f t="shared" si="112"/>
        <v>0.0000554908118320791i</v>
      </c>
      <c r="AU134" s="32">
        <f t="shared" si="137"/>
        <v>5.54908118320791E-5</v>
      </c>
      <c r="AV134" s="32">
        <f t="shared" si="138"/>
        <v>1.5707963267948966</v>
      </c>
      <c r="AW134" s="32" t="str">
        <f t="shared" si="113"/>
        <v>1+0.0097021571814506i</v>
      </c>
      <c r="AX134" s="32">
        <f t="shared" si="139"/>
        <v>1.0000470648194382</v>
      </c>
      <c r="AY134" s="32">
        <f t="shared" si="140"/>
        <v>9.7018527712955539E-3</v>
      </c>
      <c r="AZ134" s="32" t="str">
        <f t="shared" si="114"/>
        <v>1+0.144585805801617i</v>
      </c>
      <c r="BA134" s="32">
        <f t="shared" si="141"/>
        <v>1.0103984635970618</v>
      </c>
      <c r="BB134" s="32">
        <f t="shared" si="142"/>
        <v>0.14359073277807247</v>
      </c>
      <c r="BC134" s="60" t="str">
        <f t="shared" si="143"/>
        <v>-0.323946963111913+2.40504610718944i</v>
      </c>
      <c r="BD134" s="51">
        <f t="shared" si="144"/>
        <v>7.7005544891140234</v>
      </c>
      <c r="BE134" s="63">
        <f t="shared" si="145"/>
        <v>97.671267748121835</v>
      </c>
      <c r="BF134" s="60" t="str">
        <f t="shared" si="146"/>
        <v>23.0003054188139+77.7064806612001i</v>
      </c>
      <c r="BG134" s="66">
        <f t="shared" si="147"/>
        <v>38.173875954268787</v>
      </c>
      <c r="BH134" s="63">
        <f t="shared" si="148"/>
        <v>73.511797362039474</v>
      </c>
      <c r="BI134" s="60" t="str">
        <f t="shared" si="152"/>
        <v>-5.46875823022929+101.863948006726i</v>
      </c>
      <c r="BJ134" s="66">
        <f t="shared" si="149"/>
        <v>40.172909673731894</v>
      </c>
      <c r="BK134" s="63">
        <f t="shared" si="153"/>
        <v>93.0730817901606</v>
      </c>
      <c r="BL134" s="51">
        <f t="shared" si="150"/>
        <v>38.173875954268787</v>
      </c>
      <c r="BM134" s="63">
        <f t="shared" si="151"/>
        <v>73.511797362039474</v>
      </c>
    </row>
    <row r="135" spans="14:65" x14ac:dyDescent="0.35">
      <c r="N135" s="11">
        <v>17</v>
      </c>
      <c r="O135" s="52">
        <f t="shared" si="154"/>
        <v>147.91083881682084</v>
      </c>
      <c r="P135" s="50" t="str">
        <f t="shared" si="103"/>
        <v>36.531007751938</v>
      </c>
      <c r="Q135" s="18" t="str">
        <f t="shared" si="104"/>
        <v>1+0.453869195203618i</v>
      </c>
      <c r="R135" s="18">
        <f t="shared" si="116"/>
        <v>1.0981790593317557</v>
      </c>
      <c r="S135" s="18">
        <f t="shared" si="117"/>
        <v>0.42606688885938926</v>
      </c>
      <c r="T135" s="18" t="str">
        <f t="shared" si="105"/>
        <v>1+0.000185870241845291i</v>
      </c>
      <c r="U135" s="18">
        <f t="shared" si="118"/>
        <v>1.0000000172738732</v>
      </c>
      <c r="V135" s="18">
        <f t="shared" si="119"/>
        <v>1.8587023970482503E-4</v>
      </c>
      <c r="W135" s="32" t="str">
        <f t="shared" si="106"/>
        <v>1-0.00307950696548412i</v>
      </c>
      <c r="X135" s="18">
        <f t="shared" si="120"/>
        <v>1.0000047416703335</v>
      </c>
      <c r="Y135" s="18">
        <f t="shared" si="121"/>
        <v>-3.0794972308452171E-3</v>
      </c>
      <c r="Z135" s="32" t="str">
        <f t="shared" si="107"/>
        <v>0.999999547983136+0.00139935750800516i</v>
      </c>
      <c r="AA135" s="18">
        <f t="shared" si="122"/>
        <v>1.0000005270838168</v>
      </c>
      <c r="AB135" s="18">
        <f t="shared" si="123"/>
        <v>1.3993572271305127E-3</v>
      </c>
      <c r="AC135" s="68" t="str">
        <f t="shared" si="124"/>
        <v>30.2319485242367-13.8781773678444i</v>
      </c>
      <c r="AD135" s="66">
        <f t="shared" si="125"/>
        <v>30.439806653831276</v>
      </c>
      <c r="AE135" s="63">
        <f t="shared" si="126"/>
        <v>-24.657804399135671</v>
      </c>
      <c r="AF135" s="51" t="str">
        <f t="shared" si="127"/>
        <v>42.1703962805665</v>
      </c>
      <c r="AG135" s="51" t="str">
        <f t="shared" si="108"/>
        <v>1+0.0820015772846876i</v>
      </c>
      <c r="AH135" s="51">
        <f t="shared" si="128"/>
        <v>1.003356496304866</v>
      </c>
      <c r="AI135" s="51">
        <f t="shared" si="129"/>
        <v>8.1818515353314816E-2</v>
      </c>
      <c r="AJ135" s="51" t="str">
        <f t="shared" si="109"/>
        <v>1+0.000185870241845291i</v>
      </c>
      <c r="AK135" s="51">
        <f t="shared" si="130"/>
        <v>1.0000000172738732</v>
      </c>
      <c r="AL135" s="51">
        <f t="shared" si="131"/>
        <v>1.8587023970482503E-4</v>
      </c>
      <c r="AM135" s="51" t="str">
        <f t="shared" si="110"/>
        <v>1-0.000481975736492712i</v>
      </c>
      <c r="AN135" s="51">
        <f t="shared" si="132"/>
        <v>1.0000001161502985</v>
      </c>
      <c r="AO135" s="51">
        <f t="shared" si="133"/>
        <v>-4.8197569917163128E-4</v>
      </c>
      <c r="AP135" s="60" t="str">
        <f t="shared" si="134"/>
        <v>41.8877123011397-3.4473453635908i</v>
      </c>
      <c r="AQ135" s="51">
        <f t="shared" si="135"/>
        <v>32.471049464221011</v>
      </c>
      <c r="AR135" s="63">
        <f t="shared" si="136"/>
        <v>-4.704821208889495</v>
      </c>
      <c r="AS135" s="32" t="str">
        <f t="shared" si="111"/>
        <v>-0.000133283554228113</v>
      </c>
      <c r="AT135" s="32" t="str">
        <f t="shared" si="112"/>
        <v>0.0000567833588837365i</v>
      </c>
      <c r="AU135" s="32">
        <f t="shared" si="137"/>
        <v>5.6783358883736499E-5</v>
      </c>
      <c r="AV135" s="32">
        <f t="shared" si="138"/>
        <v>1.5707963267948966</v>
      </c>
      <c r="AW135" s="32" t="str">
        <f t="shared" si="113"/>
        <v>1+0.00992814945378479i</v>
      </c>
      <c r="AX135" s="32">
        <f t="shared" si="139"/>
        <v>1.0000492828613881</v>
      </c>
      <c r="AY135" s="32">
        <f t="shared" si="140"/>
        <v>9.9278232732950989E-3</v>
      </c>
      <c r="AZ135" s="32" t="str">
        <f t="shared" si="114"/>
        <v>1+0.147953641860061i</v>
      </c>
      <c r="BA135" s="32">
        <f t="shared" si="141"/>
        <v>1.0108858887825347</v>
      </c>
      <c r="BB135" s="32">
        <f t="shared" si="142"/>
        <v>0.14688802105203258</v>
      </c>
      <c r="BC135" s="60" t="str">
        <f t="shared" si="143"/>
        <v>-0.323945526128417+2.35044531236253i</v>
      </c>
      <c r="BD135" s="51">
        <f t="shared" si="144"/>
        <v>7.5047243642596682</v>
      </c>
      <c r="BE135" s="63">
        <f t="shared" si="145"/>
        <v>97.847241293998636</v>
      </c>
      <c r="BF135" s="60" t="str">
        <f t="shared" si="146"/>
        <v>22.8263924678146+75.5543151615073i</v>
      </c>
      <c r="BG135" s="66">
        <f t="shared" si="147"/>
        <v>37.944531018090949</v>
      </c>
      <c r="BH135" s="63">
        <f t="shared" si="148"/>
        <v>73.189436894862936</v>
      </c>
      <c r="BI135" s="60" t="str">
        <f t="shared" si="152"/>
        <v>-5.46654024976177+99.5715291313589i</v>
      </c>
      <c r="BJ135" s="66">
        <f t="shared" si="149"/>
        <v>39.975773828480683</v>
      </c>
      <c r="BK135" s="63">
        <f t="shared" si="153"/>
        <v>93.142420085109151</v>
      </c>
      <c r="BL135" s="51">
        <f t="shared" si="150"/>
        <v>37.944531018090949</v>
      </c>
      <c r="BM135" s="63">
        <f t="shared" si="151"/>
        <v>73.189436894862936</v>
      </c>
    </row>
    <row r="136" spans="14:65" x14ac:dyDescent="0.35">
      <c r="N136" s="11">
        <v>18</v>
      </c>
      <c r="O136" s="52">
        <f t="shared" si="154"/>
        <v>151.3561248436209</v>
      </c>
      <c r="P136" s="50" t="str">
        <f t="shared" si="103"/>
        <v>36.531007751938</v>
      </c>
      <c r="Q136" s="18" t="str">
        <f t="shared" si="104"/>
        <v>1+0.464441166863968i</v>
      </c>
      <c r="R136" s="18">
        <f t="shared" si="116"/>
        <v>1.1025904033130183</v>
      </c>
      <c r="S136" s="18">
        <f t="shared" si="117"/>
        <v>0.43479809299263644</v>
      </c>
      <c r="T136" s="18" t="str">
        <f t="shared" si="105"/>
        <v>1+0.000190199715953816i</v>
      </c>
      <c r="U136" s="18">
        <f t="shared" si="118"/>
        <v>1.0000000180879658</v>
      </c>
      <c r="V136" s="18">
        <f t="shared" si="119"/>
        <v>1.901997136602654E-4</v>
      </c>
      <c r="W136" s="32" t="str">
        <f t="shared" si="106"/>
        <v>1-0.00315123789745967i</v>
      </c>
      <c r="X136" s="18">
        <f t="shared" si="120"/>
        <v>1.0000049651378169</v>
      </c>
      <c r="Y136" s="18">
        <f t="shared" si="121"/>
        <v>-3.1512274666089532E-3</v>
      </c>
      <c r="Z136" s="32" t="str">
        <f t="shared" si="107"/>
        <v>0.999999526680237+0.00143195273163714i</v>
      </c>
      <c r="AA136" s="18">
        <f t="shared" si="122"/>
        <v>1.0000005519245094</v>
      </c>
      <c r="AB136" s="18">
        <f t="shared" si="123"/>
        <v>1.4319524306745399E-3</v>
      </c>
      <c r="AC136" s="68" t="str">
        <f t="shared" si="124"/>
        <v>29.9877565817322-14.0880288465629i</v>
      </c>
      <c r="AD136" s="66">
        <f t="shared" si="125"/>
        <v>30.404987384722158</v>
      </c>
      <c r="AE136" s="63">
        <f t="shared" si="126"/>
        <v>-25.163794892820952</v>
      </c>
      <c r="AF136" s="51" t="str">
        <f t="shared" si="127"/>
        <v>42.1703962805665</v>
      </c>
      <c r="AG136" s="51" t="str">
        <f t="shared" si="108"/>
        <v>1+0.0839116393913895i</v>
      </c>
      <c r="AH136" s="51">
        <f t="shared" si="128"/>
        <v>1.0035144060876011</v>
      </c>
      <c r="AI136" s="51">
        <f t="shared" si="129"/>
        <v>8.3715522080296756E-2</v>
      </c>
      <c r="AJ136" s="51" t="str">
        <f t="shared" si="109"/>
        <v>1+0.000190199715953816i</v>
      </c>
      <c r="AK136" s="51">
        <f t="shared" si="130"/>
        <v>1.0000000180879658</v>
      </c>
      <c r="AL136" s="51">
        <f t="shared" si="131"/>
        <v>1.901997136602654E-4</v>
      </c>
      <c r="AM136" s="51" t="str">
        <f t="shared" si="110"/>
        <v>1-0.000493202393602348i</v>
      </c>
      <c r="AN136" s="51">
        <f t="shared" si="132"/>
        <v>1.0000001216242931</v>
      </c>
      <c r="AO136" s="51">
        <f t="shared" si="133"/>
        <v>-4.9320235361208968E-4</v>
      </c>
      <c r="AP136" s="60" t="str">
        <f t="shared" si="134"/>
        <v>41.8744829655434-3.52653425729607i</v>
      </c>
      <c r="AQ136" s="51">
        <f t="shared" si="135"/>
        <v>32.469682627777743</v>
      </c>
      <c r="AR136" s="63">
        <f t="shared" si="136"/>
        <v>-4.8139068673858167</v>
      </c>
      <c r="AS136" s="32" t="str">
        <f t="shared" si="111"/>
        <v>-0.000133283554228113</v>
      </c>
      <c r="AT136" s="32" t="str">
        <f t="shared" si="112"/>
        <v>0.0000581060132238907i</v>
      </c>
      <c r="AU136" s="32">
        <f t="shared" si="137"/>
        <v>5.8106013223890701E-5</v>
      </c>
      <c r="AV136" s="32">
        <f t="shared" si="138"/>
        <v>1.5707963267948966</v>
      </c>
      <c r="AW136" s="32" t="str">
        <f t="shared" si="113"/>
        <v>1+0.010159405762374i</v>
      </c>
      <c r="AX136" s="32">
        <f t="shared" si="139"/>
        <v>1.0000516054311621</v>
      </c>
      <c r="AY136" s="32">
        <f t="shared" si="140"/>
        <v>1.0159056254656381E-2</v>
      </c>
      <c r="AZ136" s="32" t="str">
        <f t="shared" si="114"/>
        <v>1+0.151399924897817i</v>
      </c>
      <c r="BA136" s="32">
        <f t="shared" si="141"/>
        <v>1.0113960338359373</v>
      </c>
      <c r="BB136" s="32">
        <f t="shared" si="142"/>
        <v>0.15025878534344242</v>
      </c>
      <c r="BC136" s="60" t="str">
        <f t="shared" si="143"/>
        <v>-0.323944021435641+2.2970907534071i</v>
      </c>
      <c r="BD136" s="51">
        <f t="shared" si="144"/>
        <v>7.3090864330384751</v>
      </c>
      <c r="BE136" s="63">
        <f t="shared" si="145"/>
        <v>98.027123187713642</v>
      </c>
      <c r="BF136" s="60" t="str">
        <f t="shared" si="146"/>
        <v>22.6471263362527+73.4483310779768i</v>
      </c>
      <c r="BG136" s="66">
        <f t="shared" si="147"/>
        <v>37.714073817760628</v>
      </c>
      <c r="BH136" s="63">
        <f t="shared" si="148"/>
        <v>72.863328294892668</v>
      </c>
      <c r="BI136" s="60" t="str">
        <f t="shared" si="152"/>
        <v>-5.4642191733882+97.3318873128919i</v>
      </c>
      <c r="BJ136" s="66">
        <f t="shared" si="149"/>
        <v>39.778769060816217</v>
      </c>
      <c r="BK136" s="63">
        <f t="shared" si="153"/>
        <v>93.213216320327817</v>
      </c>
      <c r="BL136" s="51">
        <f t="shared" si="150"/>
        <v>37.714073817760628</v>
      </c>
      <c r="BM136" s="63">
        <f t="shared" si="151"/>
        <v>72.863328294892668</v>
      </c>
    </row>
    <row r="137" spans="14:65" x14ac:dyDescent="0.35">
      <c r="N137" s="11">
        <v>19</v>
      </c>
      <c r="O137" s="52">
        <f t="shared" si="154"/>
        <v>154.8816618912482</v>
      </c>
      <c r="P137" s="50" t="str">
        <f t="shared" si="103"/>
        <v>36.531007751938</v>
      </c>
      <c r="Q137" s="18" t="str">
        <f t="shared" si="104"/>
        <v>1+0.475259391378594i</v>
      </c>
      <c r="R137" s="18">
        <f t="shared" si="116"/>
        <v>1.1071908097042495</v>
      </c>
      <c r="S137" s="18">
        <f t="shared" si="117"/>
        <v>0.44365995522726676</v>
      </c>
      <c r="T137" s="18" t="str">
        <f t="shared" si="105"/>
        <v>1+0.000194630036469329i</v>
      </c>
      <c r="U137" s="18">
        <f t="shared" si="118"/>
        <v>1.0000000189404255</v>
      </c>
      <c r="V137" s="18">
        <f t="shared" si="119"/>
        <v>1.9463003401174524E-4</v>
      </c>
      <c r="W137" s="32" t="str">
        <f t="shared" si="106"/>
        <v>1-0.00322463965748002i</v>
      </c>
      <c r="X137" s="18">
        <f t="shared" si="120"/>
        <v>1.0000051991369447</v>
      </c>
      <c r="Y137" s="18">
        <f t="shared" si="121"/>
        <v>-3.224628480625246E-3</v>
      </c>
      <c r="Z137" s="32" t="str">
        <f t="shared" si="107"/>
        <v>0.999999504373364+0.00146530719556157i</v>
      </c>
      <c r="AA137" s="18">
        <f t="shared" si="122"/>
        <v>1.0000005779359087</v>
      </c>
      <c r="AB137" s="18">
        <f t="shared" si="123"/>
        <v>1.4653068730743402E-3</v>
      </c>
      <c r="AC137" s="68" t="str">
        <f t="shared" si="124"/>
        <v>29.7362017283865-14.2966273777373i</v>
      </c>
      <c r="AD137" s="66">
        <f t="shared" si="125"/>
        <v>30.368823917065196</v>
      </c>
      <c r="AE137" s="63">
        <f t="shared" si="126"/>
        <v>-25.677404995926207</v>
      </c>
      <c r="AF137" s="51" t="str">
        <f t="shared" si="127"/>
        <v>42.1703962805665</v>
      </c>
      <c r="AG137" s="51" t="str">
        <f t="shared" si="108"/>
        <v>1+0.0858661925599985i</v>
      </c>
      <c r="AH137" s="51">
        <f t="shared" si="128"/>
        <v>1.003679731301151</v>
      </c>
      <c r="AI137" s="51">
        <f t="shared" si="129"/>
        <v>8.5656090663085313E-2</v>
      </c>
      <c r="AJ137" s="51" t="str">
        <f t="shared" si="109"/>
        <v>1+0.000194630036469329i</v>
      </c>
      <c r="AK137" s="51">
        <f t="shared" si="130"/>
        <v>1.0000000189404255</v>
      </c>
      <c r="AL137" s="51">
        <f t="shared" si="131"/>
        <v>1.9463003401174524E-4</v>
      </c>
      <c r="AM137" s="51" t="str">
        <f t="shared" si="110"/>
        <v>1-0.000504690553149376i</v>
      </c>
      <c r="AN137" s="51">
        <f t="shared" si="132"/>
        <v>1.0000001273562691</v>
      </c>
      <c r="AO137" s="51">
        <f t="shared" si="133"/>
        <v>-5.0469051029904263E-4</v>
      </c>
      <c r="AP137" s="60" t="str">
        <f t="shared" si="134"/>
        <v>41.8606390717284-3.60748907007698i</v>
      </c>
      <c r="AQ137" s="51">
        <f t="shared" si="135"/>
        <v>32.468251835271538</v>
      </c>
      <c r="AR137" s="63">
        <f t="shared" si="136"/>
        <v>-4.9254976412698008</v>
      </c>
      <c r="AS137" s="32" t="str">
        <f t="shared" si="111"/>
        <v>-0.000133283554228113</v>
      </c>
      <c r="AT137" s="32" t="str">
        <f t="shared" si="112"/>
        <v>0.0000594594761413801i</v>
      </c>
      <c r="AU137" s="32">
        <f t="shared" si="137"/>
        <v>5.9459476141380102E-5</v>
      </c>
      <c r="AV137" s="32">
        <f t="shared" si="138"/>
        <v>1.5707963267948966</v>
      </c>
      <c r="AW137" s="32" t="str">
        <f t="shared" si="113"/>
        <v>1+0.010396048722374i</v>
      </c>
      <c r="AX137" s="32">
        <f t="shared" si="139"/>
        <v>1.0000540374544957</v>
      </c>
      <c r="AY137" s="32">
        <f t="shared" si="140"/>
        <v>1.0395674219200166E-2</v>
      </c>
      <c r="AZ137" s="32" t="str">
        <f t="shared" si="114"/>
        <v>1+0.154926482179768i</v>
      </c>
      <c r="BA137" s="32">
        <f t="shared" si="141"/>
        <v>1.0119299456388264</v>
      </c>
      <c r="BB137" s="32">
        <f t="shared" si="142"/>
        <v>0.1537045063271546</v>
      </c>
      <c r="BC137" s="60" t="str">
        <f t="shared" si="143"/>
        <v>-0.323942445843858+2.24495414093361i</v>
      </c>
      <c r="BD137" s="51">
        <f t="shared" si="144"/>
        <v>7.1136493454124405</v>
      </c>
      <c r="BE137" s="63">
        <f t="shared" si="145"/>
        <v>98.21099124673465</v>
      </c>
      <c r="BF137" s="60" t="str">
        <f t="shared" si="146"/>
        <v>22.4624549150363+71.3876936458409i</v>
      </c>
      <c r="BG137" s="66">
        <f t="shared" si="147"/>
        <v>37.482473262477633</v>
      </c>
      <c r="BH137" s="63">
        <f t="shared" si="148"/>
        <v>72.53358625080844</v>
      </c>
      <c r="BI137" s="60" t="str">
        <f t="shared" si="152"/>
        <v>-5.46179027924061+95.1438338589197i</v>
      </c>
      <c r="BJ137" s="66">
        <f t="shared" si="149"/>
        <v>39.581901180683985</v>
      </c>
      <c r="BK137" s="63">
        <f t="shared" si="153"/>
        <v>93.285493605464836</v>
      </c>
      <c r="BL137" s="51">
        <f t="shared" si="150"/>
        <v>37.482473262477633</v>
      </c>
      <c r="BM137" s="63">
        <f t="shared" si="151"/>
        <v>72.53358625080844</v>
      </c>
    </row>
    <row r="138" spans="14:65" x14ac:dyDescent="0.35">
      <c r="N138" s="11">
        <v>20</v>
      </c>
      <c r="O138" s="52">
        <f t="shared" si="154"/>
        <v>158.48931924611153</v>
      </c>
      <c r="P138" s="50" t="str">
        <f t="shared" si="103"/>
        <v>36.531007751938</v>
      </c>
      <c r="Q138" s="18" t="str">
        <f t="shared" si="104"/>
        <v>1+0.486329604713333i</v>
      </c>
      <c r="R138" s="18">
        <f t="shared" si="116"/>
        <v>1.1119876278181455</v>
      </c>
      <c r="S138" s="18">
        <f t="shared" si="117"/>
        <v>0.45265160566778606</v>
      </c>
      <c r="T138" s="18" t="str">
        <f t="shared" si="105"/>
        <v>1+0.000199163552406413i</v>
      </c>
      <c r="U138" s="18">
        <f t="shared" si="118"/>
        <v>1.0000000198330601</v>
      </c>
      <c r="V138" s="18">
        <f t="shared" si="119"/>
        <v>1.9916354977306456E-4</v>
      </c>
      <c r="W138" s="32" t="str">
        <f t="shared" si="106"/>
        <v>1-0.00329975116412992i</v>
      </c>
      <c r="X138" s="18">
        <f t="shared" si="120"/>
        <v>1.0000054441640531</v>
      </c>
      <c r="Y138" s="18">
        <f t="shared" si="121"/>
        <v>-3.2997391879177789E-3</v>
      </c>
      <c r="Z138" s="32" t="str">
        <f t="shared" si="107"/>
        <v>0.9999994810152+0.00149943858475672i</v>
      </c>
      <c r="AA138" s="18">
        <f t="shared" si="122"/>
        <v>1.0000006051731865</v>
      </c>
      <c r="AB138" s="18">
        <f t="shared" si="123"/>
        <v>1.4994382392054357E-3</v>
      </c>
      <c r="AC138" s="68" t="str">
        <f t="shared" si="124"/>
        <v>29.4772247222154-14.5036904136672i</v>
      </c>
      <c r="AD138" s="66">
        <f t="shared" si="125"/>
        <v>30.331276156743883</v>
      </c>
      <c r="AE138" s="63">
        <f t="shared" si="126"/>
        <v>-26.19858797545794</v>
      </c>
      <c r="AF138" s="51" t="str">
        <f t="shared" si="127"/>
        <v>42.1703962805665</v>
      </c>
      <c r="AG138" s="51" t="str">
        <f t="shared" si="108"/>
        <v>1+0.0878662731204764i</v>
      </c>
      <c r="AH138" s="51">
        <f t="shared" si="128"/>
        <v>1.0038528188694209</v>
      </c>
      <c r="AI138" s="51">
        <f t="shared" si="129"/>
        <v>8.7641191521899656E-2</v>
      </c>
      <c r="AJ138" s="51" t="str">
        <f t="shared" si="109"/>
        <v>1+0.000199163552406413i</v>
      </c>
      <c r="AK138" s="51">
        <f t="shared" si="130"/>
        <v>1.0000000198330601</v>
      </c>
      <c r="AL138" s="51">
        <f t="shared" si="131"/>
        <v>1.9916354977306456E-4</v>
      </c>
      <c r="AM138" s="51" t="str">
        <f t="shared" si="110"/>
        <v>1-0.000516446306308055i</v>
      </c>
      <c r="AN138" s="51">
        <f t="shared" si="132"/>
        <v>1.0000001333583848</v>
      </c>
      <c r="AO138" s="51">
        <f t="shared" si="133"/>
        <v>-5.1644626039309581E-4</v>
      </c>
      <c r="AP138" s="60" t="str">
        <f t="shared" si="134"/>
        <v>41.8461525074853-3.69024540472883i</v>
      </c>
      <c r="AQ138" s="51">
        <f t="shared" si="135"/>
        <v>32.466754116684868</v>
      </c>
      <c r="AR138" s="63">
        <f t="shared" si="136"/>
        <v>-5.0396493459335758</v>
      </c>
      <c r="AS138" s="32" t="str">
        <f t="shared" si="111"/>
        <v>-0.000133283554228113</v>
      </c>
      <c r="AT138" s="32" t="str">
        <f t="shared" si="112"/>
        <v>0.000060844465260159i</v>
      </c>
      <c r="AU138" s="32">
        <f t="shared" si="137"/>
        <v>6.0844465260159001E-5</v>
      </c>
      <c r="AV138" s="32">
        <f t="shared" si="138"/>
        <v>1.5707963267948966</v>
      </c>
      <c r="AW138" s="32" t="str">
        <f t="shared" si="113"/>
        <v>1+0.0106382038050146i</v>
      </c>
      <c r="AX138" s="32">
        <f t="shared" si="139"/>
        <v>1.0000565840892188</v>
      </c>
      <c r="AY138" s="32">
        <f t="shared" si="140"/>
        <v>1.0637802518860236E-2</v>
      </c>
      <c r="AZ138" s="32" t="str">
        <f t="shared" si="114"/>
        <v>1+0.158535183533266i</v>
      </c>
      <c r="BA138" s="32">
        <f t="shared" si="141"/>
        <v>1.0124887181682205</v>
      </c>
      <c r="BB138" s="32">
        <f t="shared" si="142"/>
        <v>0.15722668351329272</v>
      </c>
      <c r="BC138" s="60" t="str">
        <f t="shared" si="143"/>
        <v>-0.323940796013152+2.19400783131695i</v>
      </c>
      <c r="BD138" s="51">
        <f t="shared" si="144"/>
        <v>6.9184221210393551</v>
      </c>
      <c r="BE138" s="63">
        <f t="shared" si="145"/>
        <v>98.39892420452648</v>
      </c>
      <c r="BF138" s="60" t="str">
        <f t="shared" si="146"/>
        <v>22.2723347098094+69.3715989037619i</v>
      </c>
      <c r="BG138" s="66">
        <f t="shared" si="147"/>
        <v>37.249698277783246</v>
      </c>
      <c r="BH138" s="63">
        <f t="shared" si="148"/>
        <v>72.200336229068554</v>
      </c>
      <c r="BI138" s="60" t="str">
        <f t="shared" si="152"/>
        <v>-5.45924863590611+93.0062073457979i</v>
      </c>
      <c r="BJ138" s="66">
        <f t="shared" si="149"/>
        <v>39.385176237724224</v>
      </c>
      <c r="BK138" s="63">
        <f t="shared" si="153"/>
        <v>93.359274858592912</v>
      </c>
      <c r="BL138" s="51">
        <f t="shared" si="150"/>
        <v>37.249698277783246</v>
      </c>
      <c r="BM138" s="63">
        <f t="shared" si="151"/>
        <v>72.200336229068554</v>
      </c>
    </row>
    <row r="139" spans="14:65" x14ac:dyDescent="0.35">
      <c r="N139" s="11">
        <v>21</v>
      </c>
      <c r="O139" s="52">
        <f t="shared" si="154"/>
        <v>162.18100973589304</v>
      </c>
      <c r="P139" s="50" t="str">
        <f t="shared" si="103"/>
        <v>36.531007751938</v>
      </c>
      <c r="Q139" s="18" t="str">
        <f t="shared" si="104"/>
        <v>1+0.497657676441821i</v>
      </c>
      <c r="R139" s="18">
        <f t="shared" si="116"/>
        <v>1.1169884345513486</v>
      </c>
      <c r="S139" s="18">
        <f t="shared" si="117"/>
        <v>0.46177199503371769</v>
      </c>
      <c r="T139" s="18" t="str">
        <f t="shared" si="105"/>
        <v>1+0.000203802667495222i</v>
      </c>
      <c r="U139" s="18">
        <f t="shared" si="118"/>
        <v>1.0000000207677635</v>
      </c>
      <c r="V139" s="18">
        <f t="shared" si="119"/>
        <v>2.0380266467353832E-4</v>
      </c>
      <c r="W139" s="32" t="str">
        <f t="shared" si="106"/>
        <v>1-0.00337661224252439i</v>
      </c>
      <c r="X139" s="18">
        <f t="shared" si="120"/>
        <v>1.000005700738869</v>
      </c>
      <c r="Y139" s="18">
        <f t="shared" si="121"/>
        <v>-3.3765994097858282E-3</v>
      </c>
      <c r="Z139" s="32" t="str">
        <f t="shared" si="107"/>
        <v>0.9999994565562+0.00153436499613692i</v>
      </c>
      <c r="AA139" s="18">
        <f t="shared" si="122"/>
        <v>1.0000006336941176</v>
      </c>
      <c r="AB139" s="18">
        <f t="shared" si="123"/>
        <v>1.5343646258720563E-3</v>
      </c>
      <c r="AC139" s="68" t="str">
        <f t="shared" si="124"/>
        <v>29.2107789723554-14.7089259788344i</v>
      </c>
      <c r="AD139" s="66">
        <f t="shared" si="125"/>
        <v>30.292303722423682</v>
      </c>
      <c r="AE139" s="63">
        <f t="shared" si="126"/>
        <v>-26.727286892812522</v>
      </c>
      <c r="AF139" s="51" t="str">
        <f t="shared" si="127"/>
        <v>42.1703962805665</v>
      </c>
      <c r="AG139" s="51" t="str">
        <f t="shared" si="108"/>
        <v>1+0.08991294154201i</v>
      </c>
      <c r="AH139" s="51">
        <f t="shared" si="128"/>
        <v>1.004034031821998</v>
      </c>
      <c r="AI139" s="51">
        <f t="shared" si="129"/>
        <v>8.9671814568460823E-2</v>
      </c>
      <c r="AJ139" s="51" t="str">
        <f t="shared" si="109"/>
        <v>1+0.000203802667495222i</v>
      </c>
      <c r="AK139" s="51">
        <f t="shared" si="130"/>
        <v>1.0000000207677635</v>
      </c>
      <c r="AL139" s="51">
        <f t="shared" si="131"/>
        <v>2.0380266467353832E-4</v>
      </c>
      <c r="AM139" s="51" t="str">
        <f t="shared" si="110"/>
        <v>1-0.00052847588613431i</v>
      </c>
      <c r="AN139" s="51">
        <f t="shared" si="132"/>
        <v>1.0000001396433713</v>
      </c>
      <c r="AO139" s="51">
        <f t="shared" si="133"/>
        <v>-5.284758369355451E-4</v>
      </c>
      <c r="AP139" s="60" t="str">
        <f t="shared" si="134"/>
        <v>41.8309939164051-3.7748393089416i</v>
      </c>
      <c r="AQ139" s="51">
        <f t="shared" si="135"/>
        <v>32.465186366237106</v>
      </c>
      <c r="AR139" s="63">
        <f t="shared" si="136"/>
        <v>-5.156418918544265</v>
      </c>
      <c r="AS139" s="32" t="str">
        <f t="shared" si="111"/>
        <v>-0.000133283554228113</v>
      </c>
      <c r="AT139" s="32" t="str">
        <f t="shared" si="112"/>
        <v>0.0000622617149197905i</v>
      </c>
      <c r="AU139" s="32">
        <f t="shared" si="137"/>
        <v>6.2261714919790501E-5</v>
      </c>
      <c r="AV139" s="32">
        <f t="shared" si="138"/>
        <v>1.5707963267948966</v>
      </c>
      <c r="AW139" s="32" t="str">
        <f t="shared" si="113"/>
        <v>1+0.0108859994041259i</v>
      </c>
      <c r="AX139" s="32">
        <f t="shared" si="139"/>
        <v>1.0000592507361885</v>
      </c>
      <c r="AY139" s="32">
        <f t="shared" si="140"/>
        <v>1.0885569419640464E-2</v>
      </c>
      <c r="AZ139" s="32" t="str">
        <f t="shared" si="114"/>
        <v>1+0.162227942339534i</v>
      </c>
      <c r="BA139" s="32">
        <f t="shared" si="141"/>
        <v>1.0130734945085274</v>
      </c>
      <c r="BB139" s="32">
        <f t="shared" si="142"/>
        <v>0.16082683466620529</v>
      </c>
      <c r="BC139" s="60" t="str">
        <f t="shared" si="143"/>
        <v>-0.323939068446331+2.14422481203903i</v>
      </c>
      <c r="BD139" s="51">
        <f t="shared" si="144"/>
        <v>6.7234141632319648</v>
      </c>
      <c r="BE139" s="63">
        <f t="shared" si="145"/>
        <v>98.591001673479781</v>
      </c>
      <c r="BF139" s="60" t="str">
        <f t="shared" si="146"/>
        <v>22.0767315133657+67.3992728309421i</v>
      </c>
      <c r="BG139" s="66">
        <f t="shared" si="147"/>
        <v>37.015717885655647</v>
      </c>
      <c r="BH139" s="63">
        <f t="shared" si="148"/>
        <v>71.86371478066728</v>
      </c>
      <c r="BI139" s="60" t="str">
        <f t="shared" si="152"/>
        <v>-5.45658909377156+90.9178729970827i</v>
      </c>
      <c r="BJ139" s="66">
        <f t="shared" si="149"/>
        <v>39.18860052946907</v>
      </c>
      <c r="BK139" s="63">
        <f t="shared" si="153"/>
        <v>93.434582754935505</v>
      </c>
      <c r="BL139" s="51">
        <f t="shared" si="150"/>
        <v>37.015717885655647</v>
      </c>
      <c r="BM139" s="63">
        <f t="shared" si="151"/>
        <v>71.86371478066728</v>
      </c>
    </row>
    <row r="140" spans="14:65" x14ac:dyDescent="0.35">
      <c r="N140" s="11">
        <v>22</v>
      </c>
      <c r="O140" s="52">
        <f t="shared" si="154"/>
        <v>165.95869074375622</v>
      </c>
      <c r="P140" s="50" t="str">
        <f t="shared" si="103"/>
        <v>36.531007751938</v>
      </c>
      <c r="Q140" s="18" t="str">
        <f t="shared" si="104"/>
        <v>1+0.50924961285764i</v>
      </c>
      <c r="R140" s="18">
        <f t="shared" si="116"/>
        <v>1.1222010373349582</v>
      </c>
      <c r="S140" s="18">
        <f t="shared" si="117"/>
        <v>0.47101988893334695</v>
      </c>
      <c r="T140" s="18" t="str">
        <f t="shared" si="105"/>
        <v>1+0.000208549841455986i</v>
      </c>
      <c r="U140" s="18">
        <f t="shared" si="118"/>
        <v>1.0000000217465179</v>
      </c>
      <c r="V140" s="18">
        <f t="shared" si="119"/>
        <v>2.0854983843249749E-4</v>
      </c>
      <c r="W140" s="32" t="str">
        <f t="shared" si="106"/>
        <v>1-0.00345526364542462i</v>
      </c>
      <c r="X140" s="18">
        <f t="shared" si="120"/>
        <v>1.0000059694056127</v>
      </c>
      <c r="Y140" s="18">
        <f t="shared" si="121"/>
        <v>-3.4552498949019452E-3</v>
      </c>
      <c r="Z140" s="32" t="str">
        <f t="shared" si="107"/>
        <v>0.999999430944483+0.0015701049481478i</v>
      </c>
      <c r="AA140" s="18">
        <f t="shared" si="122"/>
        <v>1.0000006635591989</v>
      </c>
      <c r="AB140" s="18">
        <f t="shared" si="123"/>
        <v>1.5701045514018598E-3</v>
      </c>
      <c r="AC140" s="68" t="str">
        <f t="shared" si="124"/>
        <v>28.9368314510518-14.9120331972626i</v>
      </c>
      <c r="AD140" s="66">
        <f t="shared" si="125"/>
        <v>30.251866016648794</v>
      </c>
      <c r="AE140" s="63">
        <f t="shared" si="126"/>
        <v>-27.263434277371697</v>
      </c>
      <c r="AF140" s="51" t="str">
        <f t="shared" si="127"/>
        <v>42.1703962805665</v>
      </c>
      <c r="AG140" s="51" t="str">
        <f t="shared" si="108"/>
        <v>1+0.0920072829952882i</v>
      </c>
      <c r="AH140" s="51">
        <f t="shared" si="128"/>
        <v>1.0042237500299298</v>
      </c>
      <c r="AI140" s="51">
        <f t="shared" si="129"/>
        <v>9.1748969443831513E-2</v>
      </c>
      <c r="AJ140" s="51" t="str">
        <f t="shared" si="109"/>
        <v>1+0.000208549841455986i</v>
      </c>
      <c r="AK140" s="51">
        <f t="shared" si="130"/>
        <v>1.0000000217465179</v>
      </c>
      <c r="AL140" s="51">
        <f t="shared" si="131"/>
        <v>2.0854983843249749E-4</v>
      </c>
      <c r="AM140" s="51" t="str">
        <f t="shared" si="110"/>
        <v>1-0.000540785670870603i</v>
      </c>
      <c r="AN140" s="51">
        <f t="shared" si="132"/>
        <v>1.0000001462245602</v>
      </c>
      <c r="AO140" s="51">
        <f t="shared" si="133"/>
        <v>-5.4078561815317709E-4</v>
      </c>
      <c r="AP140" s="60" t="str">
        <f t="shared" si="134"/>
        <v>41.8151326468189-3.8613072595064i</v>
      </c>
      <c r="AQ140" s="51">
        <f t="shared" si="135"/>
        <v>32.463545336384968</v>
      </c>
      <c r="AR140" s="63">
        <f t="shared" si="136"/>
        <v>-5.2758644317875341</v>
      </c>
      <c r="AS140" s="32" t="str">
        <f t="shared" si="111"/>
        <v>-0.000133283554228113</v>
      </c>
      <c r="AT140" s="32" t="str">
        <f t="shared" si="112"/>
        <v>0.0000637119765648037i</v>
      </c>
      <c r="AU140" s="32">
        <f t="shared" si="137"/>
        <v>6.3711976564803701E-5</v>
      </c>
      <c r="AV140" s="32">
        <f t="shared" si="138"/>
        <v>1.5707963267948966</v>
      </c>
      <c r="AW140" s="32" t="str">
        <f t="shared" si="113"/>
        <v>1+0.0111395669042145i</v>
      </c>
      <c r="AX140" s="32">
        <f t="shared" si="139"/>
        <v>1.0000620430507368</v>
      </c>
      <c r="AY140" s="32">
        <f t="shared" si="140"/>
        <v>1.1139106169081165E-2</v>
      </c>
      <c r="AZ140" s="32" t="str">
        <f t="shared" si="114"/>
        <v>1+0.166006716548172i</v>
      </c>
      <c r="BA140" s="32">
        <f t="shared" si="141"/>
        <v>1.0136854689395054</v>
      </c>
      <c r="BB140" s="32">
        <f t="shared" si="142"/>
        <v>0.1645064951484258</v>
      </c>
      <c r="BC140" s="60" t="str">
        <f t="shared" si="143"/>
        <v>-0.323937259481545+2.09557868736574i</v>
      </c>
      <c r="BD140" s="51">
        <f t="shared" si="144"/>
        <v>6.5286352732680761</v>
      </c>
      <c r="BE140" s="63">
        <f t="shared" si="145"/>
        <v>98.787304103457686</v>
      </c>
      <c r="BF140" s="60" t="str">
        <f t="shared" si="146"/>
        <v>21.8756210751408+65.4699704359379i</v>
      </c>
      <c r="BG140" s="66">
        <f t="shared" si="147"/>
        <v>36.780501289916877</v>
      </c>
      <c r="BH140" s="63">
        <f t="shared" si="148"/>
        <v>71.523869826086013</v>
      </c>
      <c r="BI140" s="60" t="str">
        <f t="shared" si="152"/>
        <v>-5.45380627607557+88.8777220757058i</v>
      </c>
      <c r="BJ140" s="66">
        <f t="shared" si="149"/>
        <v>38.992180609653047</v>
      </c>
      <c r="BK140" s="63">
        <f t="shared" si="153"/>
        <v>93.511439671670146</v>
      </c>
      <c r="BL140" s="51">
        <f t="shared" si="150"/>
        <v>36.780501289916877</v>
      </c>
      <c r="BM140" s="63">
        <f t="shared" si="151"/>
        <v>71.523869826086013</v>
      </c>
    </row>
    <row r="141" spans="14:65" x14ac:dyDescent="0.35">
      <c r="N141" s="11">
        <v>23</v>
      </c>
      <c r="O141" s="52">
        <f t="shared" si="154"/>
        <v>169.82436524617444</v>
      </c>
      <c r="P141" s="50" t="str">
        <f t="shared" si="103"/>
        <v>36.531007751938</v>
      </c>
      <c r="Q141" s="18" t="str">
        <f t="shared" si="104"/>
        <v>1+0.521111560158908i</v>
      </c>
      <c r="R141" s="18">
        <f t="shared" si="116"/>
        <v>1.1276334768581726</v>
      </c>
      <c r="S141" s="18">
        <f t="shared" si="117"/>
        <v>0.48039386249313948</v>
      </c>
      <c r="T141" s="18" t="str">
        <f t="shared" si="105"/>
        <v>1+0.000213407591303172i</v>
      </c>
      <c r="U141" s="18">
        <f t="shared" si="118"/>
        <v>1.0000000227713997</v>
      </c>
      <c r="V141" s="18">
        <f t="shared" si="119"/>
        <v>2.1340758806344566E-4</v>
      </c>
      <c r="W141" s="32" t="str">
        <f t="shared" si="106"/>
        <v>1-0.00353574707484546i</v>
      </c>
      <c r="X141" s="18">
        <f t="shared" si="120"/>
        <v>1.0000062507341527</v>
      </c>
      <c r="Y141" s="18">
        <f t="shared" si="121"/>
        <v>-3.5357323408999309E-3</v>
      </c>
      <c r="Z141" s="32" t="str">
        <f t="shared" si="107"/>
        <v>0.999999404125723+0.00160667739058497i</v>
      </c>
      <c r="AA141" s="18">
        <f t="shared" si="122"/>
        <v>1.0000006948317777</v>
      </c>
      <c r="AB141" s="18">
        <f t="shared" si="123"/>
        <v>1.6066769654640462E-3</v>
      </c>
      <c r="AC141" s="68" t="str">
        <f t="shared" si="124"/>
        <v>28.6553635943158-15.1127029049348i</v>
      </c>
      <c r="AD141" s="66">
        <f t="shared" si="125"/>
        <v>30.209922301857972</v>
      </c>
      <c r="AE141" s="63">
        <f t="shared" si="126"/>
        <v>-27.806951820516211</v>
      </c>
      <c r="AF141" s="51" t="str">
        <f t="shared" si="127"/>
        <v>42.1703962805665</v>
      </c>
      <c r="AG141" s="51" t="str">
        <f t="shared" si="108"/>
        <v>1+0.0941504079278703i</v>
      </c>
      <c r="AH141" s="51">
        <f t="shared" si="128"/>
        <v>1.0044223709739764</v>
      </c>
      <c r="AI141" s="51">
        <f t="shared" si="129"/>
        <v>9.3873685747097979E-2</v>
      </c>
      <c r="AJ141" s="51" t="str">
        <f t="shared" si="109"/>
        <v>1+0.000213407591303172i</v>
      </c>
      <c r="AK141" s="51">
        <f t="shared" si="130"/>
        <v>1.0000000227713997</v>
      </c>
      <c r="AL141" s="51">
        <f t="shared" si="131"/>
        <v>2.1340758806344566E-4</v>
      </c>
      <c r="AM141" s="51" t="str">
        <f t="shared" si="110"/>
        <v>1-0.000553382187327733i</v>
      </c>
      <c r="AN141" s="51">
        <f t="shared" si="132"/>
        <v>1.0000001531159108</v>
      </c>
      <c r="AO141" s="51">
        <f t="shared" si="133"/>
        <v>-5.5338213083999394E-4</v>
      </c>
      <c r="AP141" s="60" t="str">
        <f t="shared" si="134"/>
        <v>41.7985366990336-3.94968614444176i</v>
      </c>
      <c r="AQ141" s="51">
        <f t="shared" si="135"/>
        <v>32.46182763157811</v>
      </c>
      <c r="AR141" s="63">
        <f t="shared" si="136"/>
        <v>-5.3980451070891018</v>
      </c>
      <c r="AS141" s="32" t="str">
        <f t="shared" si="111"/>
        <v>-0.000133283554228113</v>
      </c>
      <c r="AT141" s="32" t="str">
        <f t="shared" si="112"/>
        <v>0.0000651960191431192i</v>
      </c>
      <c r="AU141" s="32">
        <f t="shared" si="137"/>
        <v>6.5196019143119196E-5</v>
      </c>
      <c r="AV141" s="32">
        <f t="shared" si="138"/>
        <v>1.5707963267948966</v>
      </c>
      <c r="AW141" s="32" t="str">
        <f t="shared" si="113"/>
        <v>1+0.0113990407501253i</v>
      </c>
      <c r="AX141" s="32">
        <f t="shared" si="139"/>
        <v>1.0000649669546589</v>
      </c>
      <c r="AY141" s="32">
        <f t="shared" si="140"/>
        <v>1.1398547065267444E-2</v>
      </c>
      <c r="AZ141" s="32" t="str">
        <f t="shared" si="114"/>
        <v>1+0.169873509715281i</v>
      </c>
      <c r="BA141" s="32">
        <f t="shared" si="141"/>
        <v>1.0143258891022093</v>
      </c>
      <c r="BB141" s="32">
        <f t="shared" si="142"/>
        <v>0.1682672171847516</v>
      </c>
      <c r="BC141" s="60" t="str">
        <f t="shared" si="143"/>
        <v>-0.323935365284525+2.04804366435111i</v>
      </c>
      <c r="BD141" s="51">
        <f t="shared" si="144"/>
        <v>6.3340956650440496</v>
      </c>
      <c r="BE141" s="63">
        <f t="shared" si="145"/>
        <v>98.987912735676446</v>
      </c>
      <c r="BF141" s="60" t="str">
        <f t="shared" si="146"/>
        <v>21.6689897623868+63.5829747949625i</v>
      </c>
      <c r="BG141" s="66">
        <f t="shared" si="147"/>
        <v>36.544017966902025</v>
      </c>
      <c r="BH141" s="63">
        <f t="shared" si="148"/>
        <v>71.180960915160227</v>
      </c>
      <c r="BI141" s="60" t="str">
        <f t="shared" si="152"/>
        <v>-5.45089456966076+86.8846712895621i</v>
      </c>
      <c r="BJ141" s="66">
        <f t="shared" si="149"/>
        <v>38.795923296622163</v>
      </c>
      <c r="BK141" s="63">
        <f t="shared" si="153"/>
        <v>93.589867628587342</v>
      </c>
      <c r="BL141" s="51">
        <f t="shared" si="150"/>
        <v>36.544017966902025</v>
      </c>
      <c r="BM141" s="63">
        <f t="shared" si="151"/>
        <v>71.180960915160227</v>
      </c>
    </row>
    <row r="142" spans="14:65" x14ac:dyDescent="0.35">
      <c r="N142" s="11">
        <v>24</v>
      </c>
      <c r="O142" s="52">
        <f t="shared" si="154"/>
        <v>173.78008287493768</v>
      </c>
      <c r="P142" s="50" t="str">
        <f t="shared" si="103"/>
        <v>36.531007751938</v>
      </c>
      <c r="Q142" s="18" t="str">
        <f t="shared" si="104"/>
        <v>1+0.533249807707103i</v>
      </c>
      <c r="R142" s="18">
        <f t="shared" si="116"/>
        <v>1.133294029552641</v>
      </c>
      <c r="S142" s="18">
        <f t="shared" si="117"/>
        <v>0.48989229539668849</v>
      </c>
      <c r="T142" s="18" t="str">
        <f t="shared" si="105"/>
        <v>1+0.000218378492680052i</v>
      </c>
      <c r="U142" s="18">
        <f t="shared" si="118"/>
        <v>1.0000000238445828</v>
      </c>
      <c r="V142" s="18">
        <f t="shared" si="119"/>
        <v>2.183784892086227E-4</v>
      </c>
      <c r="W142" s="32" t="str">
        <f t="shared" si="106"/>
        <v>1-0.00361810520416655i</v>
      </c>
      <c r="X142" s="18">
        <f t="shared" si="120"/>
        <v>1.0000065453212137</v>
      </c>
      <c r="Y142" s="18">
        <f t="shared" si="121"/>
        <v>-3.6180894164650544E-3</v>
      </c>
      <c r="Z142" s="32" t="str">
        <f t="shared" si="107"/>
        <v>0.999999376043033+0.00164410171464154i</v>
      </c>
      <c r="AA142" s="18">
        <f t="shared" si="122"/>
        <v>1.000000727578187</v>
      </c>
      <c r="AB142" s="18">
        <f t="shared" si="123"/>
        <v>1.6441012591162762E-3</v>
      </c>
      <c r="AC142" s="68" t="str">
        <f t="shared" si="124"/>
        <v>28.3663721833334-15.3106183492861i</v>
      </c>
      <c r="AD142" s="66">
        <f t="shared" si="125"/>
        <v>30.166431781236881</v>
      </c>
      <c r="AE142" s="63">
        <f t="shared" si="126"/>
        <v>-28.357750093142187</v>
      </c>
      <c r="AF142" s="51" t="str">
        <f t="shared" si="127"/>
        <v>42.1703962805665</v>
      </c>
      <c r="AG142" s="51" t="str">
        <f t="shared" si="108"/>
        <v>1+0.0963434526529644i</v>
      </c>
      <c r="AH142" s="51">
        <f t="shared" si="128"/>
        <v>1.0046303105466676</v>
      </c>
      <c r="AI142" s="51">
        <f t="shared" si="129"/>
        <v>9.6047013253735145E-2</v>
      </c>
      <c r="AJ142" s="51" t="str">
        <f t="shared" si="109"/>
        <v>1+0.000218378492680052i</v>
      </c>
      <c r="AK142" s="51">
        <f t="shared" si="130"/>
        <v>1.0000000238445828</v>
      </c>
      <c r="AL142" s="51">
        <f t="shared" si="131"/>
        <v>2.183784892086227E-4</v>
      </c>
      <c r="AM142" s="51" t="str">
        <f t="shared" si="110"/>
        <v>1-0.000566272114345467i</v>
      </c>
      <c r="AN142" s="51">
        <f t="shared" si="132"/>
        <v>1.000000160332041</v>
      </c>
      <c r="AO142" s="51">
        <f t="shared" si="133"/>
        <v>-5.6627205381776452E-4</v>
      </c>
      <c r="AP142" s="60" t="str">
        <f t="shared" si="134"/>
        <v>41.7811726708438-4.04001324288788i</v>
      </c>
      <c r="AQ142" s="51">
        <f t="shared" si="135"/>
        <v>32.460029701760853</v>
      </c>
      <c r="AR142" s="63">
        <f t="shared" si="136"/>
        <v>-5.5230213272479665</v>
      </c>
      <c r="AS142" s="32" t="str">
        <f t="shared" si="111"/>
        <v>-0.000133283554228113</v>
      </c>
      <c r="AT142" s="32" t="str">
        <f t="shared" si="112"/>
        <v>0.0000667146295137558i</v>
      </c>
      <c r="AU142" s="32">
        <f t="shared" si="137"/>
        <v>6.6714629513755805E-5</v>
      </c>
      <c r="AV142" s="32">
        <f t="shared" si="138"/>
        <v>1.5707963267948966</v>
      </c>
      <c r="AW142" s="32" t="str">
        <f t="shared" si="113"/>
        <v>1+0.011664558518326i</v>
      </c>
      <c r="AX142" s="32">
        <f t="shared" si="139"/>
        <v>1.0000680286487651</v>
      </c>
      <c r="AY142" s="32">
        <f t="shared" si="140"/>
        <v>1.1664029527413553E-2</v>
      </c>
      <c r="AZ142" s="32" t="str">
        <f t="shared" si="114"/>
        <v>1+0.173830372065785i</v>
      </c>
      <c r="BA142" s="32">
        <f t="shared" si="141"/>
        <v>1.0149960582448236</v>
      </c>
      <c r="BB142" s="32">
        <f t="shared" si="142"/>
        <v>0.17211056904140776</v>
      </c>
      <c r="BC142" s="60" t="str">
        <f t="shared" si="143"/>
        <v>-0.323933381840498+2.00159453916094i</v>
      </c>
      <c r="BD142" s="51">
        <f t="shared" si="144"/>
        <v>6.1398059800591733</v>
      </c>
      <c r="BE142" s="63">
        <f t="shared" si="145"/>
        <v>99.192909551630834</v>
      </c>
      <c r="BF142" s="60" t="str">
        <f t="shared" si="146"/>
        <v>21.4568352072149+61.7375960379204i</v>
      </c>
      <c r="BG142" s="66">
        <f t="shared" si="147"/>
        <v>36.306237761296053</v>
      </c>
      <c r="BH142" s="63">
        <f t="shared" si="148"/>
        <v>70.83515945848869</v>
      </c>
      <c r="BI142" s="60" t="str">
        <f t="shared" si="152"/>
        <v>-5.44784811542596+84.9376622101503i</v>
      </c>
      <c r="BJ142" s="66">
        <f t="shared" si="149"/>
        <v>38.599835681820018</v>
      </c>
      <c r="BK142" s="63">
        <f t="shared" si="153"/>
        <v>93.669888224382873</v>
      </c>
      <c r="BL142" s="51">
        <f t="shared" si="150"/>
        <v>36.306237761296053</v>
      </c>
      <c r="BM142" s="63">
        <f t="shared" si="151"/>
        <v>70.83515945848869</v>
      </c>
    </row>
    <row r="143" spans="14:65" x14ac:dyDescent="0.35">
      <c r="N143" s="11">
        <v>25</v>
      </c>
      <c r="O143" s="52">
        <f t="shared" si="154"/>
        <v>177.82794100389242</v>
      </c>
      <c r="P143" s="50" t="str">
        <f t="shared" si="103"/>
        <v>36.531007751938</v>
      </c>
      <c r="Q143" s="18" t="str">
        <f t="shared" si="104"/>
        <v>1+0.54567079136174i</v>
      </c>
      <c r="R143" s="18">
        <f t="shared" si="116"/>
        <v>1.1391912098262291</v>
      </c>
      <c r="S143" s="18">
        <f t="shared" si="117"/>
        <v>0.49951336738791657</v>
      </c>
      <c r="T143" s="18" t="str">
        <f t="shared" si="105"/>
        <v>1+0.000223465181224332i</v>
      </c>
      <c r="U143" s="18">
        <f t="shared" si="118"/>
        <v>1.0000000249683434</v>
      </c>
      <c r="V143" s="18">
        <f t="shared" si="119"/>
        <v>2.2346517750462851E-4</v>
      </c>
      <c r="W143" s="32" t="str">
        <f t="shared" si="106"/>
        <v>1-0.00370238170075817i</v>
      </c>
      <c r="X143" s="18">
        <f t="shared" si="120"/>
        <v>1.0000068537916418</v>
      </c>
      <c r="Y143" s="18">
        <f t="shared" si="121"/>
        <v>-3.702364783937494E-3</v>
      </c>
      <c r="Z143" s="32" t="str">
        <f t="shared" si="107"/>
        <v>0.999999346636847+0.00168239776318946i</v>
      </c>
      <c r="AA143" s="18">
        <f t="shared" si="122"/>
        <v>1.000000761867887</v>
      </c>
      <c r="AB143" s="18">
        <f t="shared" si="123"/>
        <v>1.6823972750853596E-3</v>
      </c>
      <c r="AC143" s="68" t="str">
        <f t="shared" si="124"/>
        <v>28.0698701981917-15.5054559770581i</v>
      </c>
      <c r="AD143" s="66">
        <f t="shared" si="125"/>
        <v>30.121353684280166</v>
      </c>
      <c r="AE143" s="63">
        <f t="shared" si="126"/>
        <v>-28.915728289820514</v>
      </c>
      <c r="AF143" s="51" t="str">
        <f t="shared" si="127"/>
        <v>42.1703962805665</v>
      </c>
      <c r="AG143" s="51" t="str">
        <f t="shared" si="108"/>
        <v>1+0.0985875799519115i</v>
      </c>
      <c r="AH143" s="51">
        <f t="shared" si="128"/>
        <v>1.0048480038895309</v>
      </c>
      <c r="AI143" s="51">
        <f t="shared" si="129"/>
        <v>9.8270022122380646E-2</v>
      </c>
      <c r="AJ143" s="51" t="str">
        <f t="shared" si="109"/>
        <v>1+0.000223465181224332i</v>
      </c>
      <c r="AK143" s="51">
        <f t="shared" si="130"/>
        <v>1.0000000249683434</v>
      </c>
      <c r="AL143" s="51">
        <f t="shared" si="131"/>
        <v>2.2346517750462851E-4</v>
      </c>
      <c r="AM143" s="51" t="str">
        <f t="shared" si="110"/>
        <v>1-0.000579462286333724i</v>
      </c>
      <c r="AN143" s="51">
        <f t="shared" si="132"/>
        <v>1.0000001678882566</v>
      </c>
      <c r="AO143" s="51">
        <f t="shared" si="133"/>
        <v>-5.7946222147712298E-4</v>
      </c>
      <c r="AP143" s="60" t="str">
        <f t="shared" si="134"/>
        <v>41.7630057013092-4.13232620260715i</v>
      </c>
      <c r="AQ143" s="51">
        <f t="shared" si="135"/>
        <v>32.45814783561255</v>
      </c>
      <c r="AR143" s="63">
        <f t="shared" si="136"/>
        <v>-5.6508546484083952</v>
      </c>
      <c r="AS143" s="32" t="str">
        <f t="shared" si="111"/>
        <v>-0.000133283554228113</v>
      </c>
      <c r="AT143" s="32" t="str">
        <f t="shared" si="112"/>
        <v>0.0000682686128640331i</v>
      </c>
      <c r="AU143" s="32">
        <f t="shared" si="137"/>
        <v>6.82686128640331E-5</v>
      </c>
      <c r="AV143" s="32">
        <f t="shared" si="138"/>
        <v>1.5707963267948966</v>
      </c>
      <c r="AW143" s="32" t="str">
        <f t="shared" si="113"/>
        <v>1+0.0119362609898518i</v>
      </c>
      <c r="AX143" s="32">
        <f t="shared" si="139"/>
        <v>1.000071234626023</v>
      </c>
      <c r="AY143" s="32">
        <f t="shared" si="140"/>
        <v>1.1935694168057384E-2</v>
      </c>
      <c r="AZ143" s="32" t="str">
        <f t="shared" si="114"/>
        <v>1+0.177879401580474i</v>
      </c>
      <c r="BA143" s="32">
        <f t="shared" si="141"/>
        <v>1.0156973375502307</v>
      </c>
      <c r="BB143" s="32">
        <f t="shared" si="142"/>
        <v>0.17603813411499658</v>
      </c>
      <c r="BC143" s="60" t="str">
        <f t="shared" si="143"/>
        <v>-0.323931304945663+1.95620668370864i</v>
      </c>
      <c r="BD143" s="51">
        <f t="shared" si="144"/>
        <v>5.9457773027167251</v>
      </c>
      <c r="BE143" s="63">
        <f t="shared" si="145"/>
        <v>99.40237721675868</v>
      </c>
      <c r="BF143" s="60" t="str">
        <f t="shared" si="146"/>
        <v>21.2391669333155+59.9331702809625i</v>
      </c>
      <c r="BG143" s="66">
        <f t="shared" si="147"/>
        <v>36.067130986996887</v>
      </c>
      <c r="BH143" s="63">
        <f t="shared" si="148"/>
        <v>70.486648926938173</v>
      </c>
      <c r="BI143" s="60" t="str">
        <f t="shared" si="152"/>
        <v>-5.4446607984738+83.0356607039348i</v>
      </c>
      <c r="BJ143" s="66">
        <f t="shared" si="149"/>
        <v>38.403925138329271</v>
      </c>
      <c r="BK143" s="63">
        <f t="shared" si="153"/>
        <v>93.751522568350282</v>
      </c>
      <c r="BL143" s="51">
        <f t="shared" si="150"/>
        <v>36.067130986996887</v>
      </c>
      <c r="BM143" s="63">
        <f t="shared" si="151"/>
        <v>70.486648926938173</v>
      </c>
    </row>
    <row r="144" spans="14:65" x14ac:dyDescent="0.35">
      <c r="N144" s="11">
        <v>26</v>
      </c>
      <c r="O144" s="52">
        <f t="shared" si="154"/>
        <v>181.9700858609983</v>
      </c>
      <c r="P144" s="50" t="str">
        <f t="shared" si="103"/>
        <v>36.531007751938</v>
      </c>
      <c r="Q144" s="18" t="str">
        <f t="shared" si="104"/>
        <v>1+0.558381096892758i</v>
      </c>
      <c r="R144" s="18">
        <f t="shared" si="116"/>
        <v>1.1453337720364136</v>
      </c>
      <c r="S144" s="18">
        <f t="shared" si="117"/>
        <v>0.50925505429396367</v>
      </c>
      <c r="T144" s="18" t="str">
        <f t="shared" si="105"/>
        <v>1+0.000228670353965606i</v>
      </c>
      <c r="U144" s="18">
        <f t="shared" si="118"/>
        <v>1.000000026145065</v>
      </c>
      <c r="V144" s="18">
        <f t="shared" si="119"/>
        <v>2.286703499798719E-4</v>
      </c>
      <c r="W144" s="32" t="str">
        <f t="shared" si="106"/>
        <v>1-0.0037886212491343i</v>
      </c>
      <c r="X144" s="18">
        <f t="shared" si="120"/>
        <v>1.0000071767997314</v>
      </c>
      <c r="Y144" s="18">
        <f t="shared" si="121"/>
        <v>-3.7886031224413884E-3</v>
      </c>
      <c r="Z144" s="32" t="str">
        <f t="shared" si="107"/>
        <v>0.99999931584479+0.00172158584130058i</v>
      </c>
      <c r="AA144" s="18">
        <f t="shared" si="122"/>
        <v>1.0000007977736103</v>
      </c>
      <c r="AB144" s="18">
        <f t="shared" si="123"/>
        <v>1.7215853182876292E-3</v>
      </c>
      <c r="AC144" s="68" t="str">
        <f t="shared" si="124"/>
        <v>27.7658876350312-15.6968863109798i</v>
      </c>
      <c r="AD144" s="66">
        <f t="shared" si="125"/>
        <v>30.074647356888697</v>
      </c>
      <c r="AE144" s="63">
        <f t="shared" si="126"/>
        <v>-29.480774002771636</v>
      </c>
      <c r="AF144" s="51" t="str">
        <f t="shared" si="127"/>
        <v>42.1703962805665</v>
      </c>
      <c r="AG144" s="51" t="str">
        <f t="shared" si="108"/>
        <v>1+0.100883979690709i</v>
      </c>
      <c r="AH144" s="51">
        <f t="shared" si="128"/>
        <v>1.0050759062669026</v>
      </c>
      <c r="AI144" s="51">
        <f t="shared" si="129"/>
        <v>0.1005438030886837</v>
      </c>
      <c r="AJ144" s="51" t="str">
        <f t="shared" si="109"/>
        <v>1+0.000228670353965606i</v>
      </c>
      <c r="AK144" s="51">
        <f t="shared" si="130"/>
        <v>1.000000026145065</v>
      </c>
      <c r="AL144" s="51">
        <f t="shared" si="131"/>
        <v>2.286703499798719E-4</v>
      </c>
      <c r="AM144" s="51" t="str">
        <f t="shared" si="110"/>
        <v>1-0.000592959696896279i</v>
      </c>
      <c r="AN144" s="51">
        <f t="shared" si="132"/>
        <v>1.0000001758005856</v>
      </c>
      <c r="AO144" s="51">
        <f t="shared" si="133"/>
        <v>-5.9295962740117951E-4</v>
      </c>
      <c r="AP144" s="60" t="str">
        <f t="shared" si="134"/>
        <v>41.7439994127909-4.22666301492114i</v>
      </c>
      <c r="AQ144" s="51">
        <f t="shared" si="135"/>
        <v>32.456178153518245</v>
      </c>
      <c r="AR144" s="63">
        <f t="shared" si="136"/>
        <v>-5.7816078112940996</v>
      </c>
      <c r="AS144" s="32" t="str">
        <f t="shared" si="111"/>
        <v>-0.000133283554228113</v>
      </c>
      <c r="AT144" s="32" t="str">
        <f t="shared" si="112"/>
        <v>0.0000698587931364928i</v>
      </c>
      <c r="AU144" s="32">
        <f t="shared" si="137"/>
        <v>6.9858793136492797E-5</v>
      </c>
      <c r="AV144" s="32">
        <f t="shared" si="138"/>
        <v>1.5707963267948966</v>
      </c>
      <c r="AW144" s="32" t="str">
        <f t="shared" si="113"/>
        <v>1+0.0122142922249494i</v>
      </c>
      <c r="AX144" s="32">
        <f t="shared" si="139"/>
        <v>1.0000745916853184</v>
      </c>
      <c r="AY144" s="32">
        <f t="shared" si="140"/>
        <v>1.2213684866900665E-2</v>
      </c>
      <c r="AZ144" s="32" t="str">
        <f t="shared" si="114"/>
        <v>1+0.182022745108392i</v>
      </c>
      <c r="BA144" s="32">
        <f t="shared" si="141"/>
        <v>1.0164311485471087</v>
      </c>
      <c r="BB144" s="32">
        <f t="shared" si="142"/>
        <v>0.18005150992582741</v>
      </c>
      <c r="BC144" s="60" t="str">
        <f t="shared" si="143"/>
        <v>-0.323929130198333+1.91185603259658i</v>
      </c>
      <c r="BD144" s="51">
        <f t="shared" si="144"/>
        <v>5.7520211759265818</v>
      </c>
      <c r="BE144" s="63">
        <f t="shared" si="145"/>
        <v>99.616399018531553</v>
      </c>
      <c r="BF144" s="60" t="str">
        <f t="shared" si="146"/>
        <v>21.0160069558291+58.169058504971i</v>
      </c>
      <c r="BG144" s="66">
        <f t="shared" si="147"/>
        <v>35.826668532815276</v>
      </c>
      <c r="BH144" s="63">
        <f t="shared" si="148"/>
        <v>70.135625015759913</v>
      </c>
      <c r="BI144" s="60" t="str">
        <f t="shared" si="152"/>
        <v>-5.44132623795525+81.1776563761172i</v>
      </c>
      <c r="BJ144" s="66">
        <f t="shared" si="149"/>
        <v>38.208199329444817</v>
      </c>
      <c r="BK144" s="63">
        <f t="shared" si="153"/>
        <v>93.834791207237458</v>
      </c>
      <c r="BL144" s="51">
        <f t="shared" si="150"/>
        <v>35.826668532815276</v>
      </c>
      <c r="BM144" s="63">
        <f t="shared" si="151"/>
        <v>70.135625015759913</v>
      </c>
    </row>
    <row r="145" spans="14:65" x14ac:dyDescent="0.35">
      <c r="N145" s="11">
        <v>27</v>
      </c>
      <c r="O145" s="52">
        <f t="shared" si="154"/>
        <v>186.20871366628685</v>
      </c>
      <c r="P145" s="50" t="str">
        <f t="shared" si="103"/>
        <v>36.531007751938</v>
      </c>
      <c r="Q145" s="18" t="str">
        <f t="shared" si="104"/>
        <v>1+0.5713874634724i</v>
      </c>
      <c r="R145" s="18">
        <f t="shared" si="116"/>
        <v>1.1517307121950959</v>
      </c>
      <c r="S145" s="18">
        <f t="shared" si="117"/>
        <v>0.51911512462311493</v>
      </c>
      <c r="T145" s="18" t="str">
        <f t="shared" si="105"/>
        <v>1+0.000233996770755364i</v>
      </c>
      <c r="U145" s="18">
        <f t="shared" si="118"/>
        <v>1.000000027377244</v>
      </c>
      <c r="V145" s="18">
        <f t="shared" si="119"/>
        <v>2.3399676648457296E-4</v>
      </c>
      <c r="W145" s="32" t="str">
        <f t="shared" si="106"/>
        <v>1-0.00387686957464509i</v>
      </c>
      <c r="X145" s="18">
        <f t="shared" si="120"/>
        <v>1.0000075150306116</v>
      </c>
      <c r="Y145" s="18">
        <f t="shared" si="121"/>
        <v>-3.8768501515515784E-3</v>
      </c>
      <c r="Z145" s="32" t="str">
        <f t="shared" si="107"/>
        <v>0.999999283601549+0.00176168672701265i</v>
      </c>
      <c r="AA145" s="18">
        <f t="shared" si="122"/>
        <v>1.0000008353715186</v>
      </c>
      <c r="AB145" s="18">
        <f t="shared" si="123"/>
        <v>1.7616861665941924E-3</v>
      </c>
      <c r="AC145" s="68" t="str">
        <f t="shared" si="124"/>
        <v>27.4544722773569-15.8845749148361i</v>
      </c>
      <c r="AD145" s="66">
        <f t="shared" si="125"/>
        <v>30.026272355779092</v>
      </c>
      <c r="AE145" s="63">
        <f t="shared" si="126"/>
        <v>-30.052763028834029</v>
      </c>
      <c r="AF145" s="51" t="str">
        <f t="shared" si="127"/>
        <v>42.1703962805665</v>
      </c>
      <c r="AG145" s="51" t="str">
        <f t="shared" si="108"/>
        <v>1+0.103233869450896i</v>
      </c>
      <c r="AH145" s="51">
        <f t="shared" si="128"/>
        <v>1.0053144939777823</v>
      </c>
      <c r="AI145" s="51">
        <f t="shared" si="129"/>
        <v>0.10286946764478117</v>
      </c>
      <c r="AJ145" s="51" t="str">
        <f t="shared" si="109"/>
        <v>1+0.000233996770755364i</v>
      </c>
      <c r="AK145" s="51">
        <f t="shared" si="130"/>
        <v>1.000000027377244</v>
      </c>
      <c r="AL145" s="51">
        <f t="shared" si="131"/>
        <v>2.3399676648457296E-4</v>
      </c>
      <c r="AM145" s="51" t="str">
        <f t="shared" si="110"/>
        <v>1-0.000606771502538882i</v>
      </c>
      <c r="AN145" s="51">
        <f t="shared" si="132"/>
        <v>1.0000001840858113</v>
      </c>
      <c r="AO145" s="51">
        <f t="shared" si="133"/>
        <v>-6.0677142807354209E-4</v>
      </c>
      <c r="AP145" s="60" t="str">
        <f t="shared" si="134"/>
        <v>41.7241158512436-4.32306198690404i</v>
      </c>
      <c r="AQ145" s="51">
        <f t="shared" si="135"/>
        <v>32.454116600261123</v>
      </c>
      <c r="AR145" s="63">
        <f t="shared" si="136"/>
        <v>-5.9153447516220101</v>
      </c>
      <c r="AS145" s="32" t="str">
        <f t="shared" si="111"/>
        <v>-0.000133283554228113</v>
      </c>
      <c r="AT145" s="32" t="str">
        <f t="shared" si="112"/>
        <v>0.000071486013465764i</v>
      </c>
      <c r="AU145" s="32">
        <f t="shared" si="137"/>
        <v>7.1486013465763999E-5</v>
      </c>
      <c r="AV145" s="32">
        <f t="shared" si="138"/>
        <v>1.5707963267948966</v>
      </c>
      <c r="AW145" s="32" t="str">
        <f t="shared" si="113"/>
        <v>1+0.01249879963946i</v>
      </c>
      <c r="AX145" s="32">
        <f t="shared" si="139"/>
        <v>1.0000781069458662</v>
      </c>
      <c r="AY145" s="32">
        <f t="shared" si="140"/>
        <v>1.2498148846330707E-2</v>
      </c>
      <c r="AZ145" s="32" t="str">
        <f t="shared" si="114"/>
        <v>1+0.186262599505123i</v>
      </c>
      <c r="BA145" s="32">
        <f t="shared" si="141"/>
        <v>1.0171989756062507</v>
      </c>
      <c r="BB145" s="32">
        <f t="shared" si="142"/>
        <v>0.18415230700995311</v>
      </c>
      <c r="BC145" s="60" t="str">
        <f t="shared" si="143"/>
        <v>-0.323926852989616+1.86851907035538i</v>
      </c>
      <c r="BD145" s="51">
        <f t="shared" si="144"/>
        <v>5.5585496169866051</v>
      </c>
      <c r="BE145" s="63">
        <f t="shared" si="145"/>
        <v>99.835058798646614</v>
      </c>
      <c r="BF145" s="60" t="str">
        <f t="shared" si="146"/>
        <v>20.7873903475651+56.4446453800251i</v>
      </c>
      <c r="BG145" s="66">
        <f t="shared" si="147"/>
        <v>35.584821972765695</v>
      </c>
      <c r="BH145" s="63">
        <f t="shared" si="148"/>
        <v>69.782295769812563</v>
      </c>
      <c r="BI145" s="60" t="str">
        <f t="shared" si="152"/>
        <v>-5.43783777660887+79.3626620264627i</v>
      </c>
      <c r="BJ145" s="66">
        <f t="shared" si="149"/>
        <v>38.012666217247727</v>
      </c>
      <c r="BK145" s="63">
        <f t="shared" si="153"/>
        <v>93.919714047024613</v>
      </c>
      <c r="BL145" s="51">
        <f t="shared" si="150"/>
        <v>35.584821972765695</v>
      </c>
      <c r="BM145" s="63">
        <f t="shared" si="151"/>
        <v>69.782295769812563</v>
      </c>
    </row>
    <row r="146" spans="14:65" x14ac:dyDescent="0.35">
      <c r="N146" s="11">
        <v>28</v>
      </c>
      <c r="O146" s="52">
        <f t="shared" si="154"/>
        <v>190.54607179632498</v>
      </c>
      <c r="P146" s="50" t="str">
        <f t="shared" si="103"/>
        <v>36.531007751938</v>
      </c>
      <c r="Q146" s="18" t="str">
        <f t="shared" si="104"/>
        <v>1+0.584696787248387i</v>
      </c>
      <c r="R146" s="18">
        <f t="shared" si="116"/>
        <v>1.1583912693984644</v>
      </c>
      <c r="S146" s="18">
        <f t="shared" si="117"/>
        <v>0.52909113679252417</v>
      </c>
      <c r="T146" s="18" t="str">
        <f t="shared" si="105"/>
        <v>1+0.000239447255730292i</v>
      </c>
      <c r="U146" s="18">
        <f t="shared" si="118"/>
        <v>1.0000000286674937</v>
      </c>
      <c r="V146" s="18">
        <f t="shared" si="119"/>
        <v>2.3944725115405697E-4</v>
      </c>
      <c r="W146" s="32" t="str">
        <f t="shared" si="106"/>
        <v>1-0.00396717346772082i</v>
      </c>
      <c r="X146" s="18">
        <f t="shared" si="120"/>
        <v>1.0000078692016994</v>
      </c>
      <c r="Y146" s="18">
        <f t="shared" si="121"/>
        <v>-3.9671526555100003E-3</v>
      </c>
      <c r="Z146" s="32" t="str">
        <f t="shared" si="107"/>
        <v>0.99999924983873+0.00180272168234608i</v>
      </c>
      <c r="AA146" s="18">
        <f t="shared" si="122"/>
        <v>1.0000008747413607</v>
      </c>
      <c r="AB146" s="18">
        <f t="shared" si="123"/>
        <v>1.8027210818469031E-3</v>
      </c>
      <c r="AC146" s="68" t="str">
        <f t="shared" si="124"/>
        <v>27.1356904119569-16.068183445488i</v>
      </c>
      <c r="AD146" s="66">
        <f t="shared" si="125"/>
        <v>29.97618854693112</v>
      </c>
      <c r="AE146" s="63">
        <f t="shared" si="126"/>
        <v>-30.631559212557377</v>
      </c>
      <c r="AF146" s="51" t="str">
        <f t="shared" si="127"/>
        <v>42.1703962805665</v>
      </c>
      <c r="AG146" s="51" t="str">
        <f t="shared" si="108"/>
        <v>1+0.105638495175129i</v>
      </c>
      <c r="AH146" s="51">
        <f t="shared" si="128"/>
        <v>1.0055642653072283</v>
      </c>
      <c r="AI146" s="51">
        <f t="shared" si="129"/>
        <v>0.10524814820285104</v>
      </c>
      <c r="AJ146" s="51" t="str">
        <f t="shared" si="109"/>
        <v>1+0.000239447255730292i</v>
      </c>
      <c r="AK146" s="51">
        <f t="shared" si="130"/>
        <v>1.0000000286674937</v>
      </c>
      <c r="AL146" s="51">
        <f t="shared" si="131"/>
        <v>2.3944725115405697E-4</v>
      </c>
      <c r="AM146" s="51" t="str">
        <f t="shared" si="110"/>
        <v>1-0.000620905026463707i</v>
      </c>
      <c r="AN146" s="51">
        <f t="shared" si="132"/>
        <v>1.0000001927615074</v>
      </c>
      <c r="AO146" s="51">
        <f t="shared" si="133"/>
        <v>-6.2090494667265859E-4</v>
      </c>
      <c r="AP146" s="60" t="str">
        <f t="shared" si="134"/>
        <v>41.7033154247719-4.42156171064278i</v>
      </c>
      <c r="AQ146" s="51">
        <f t="shared" si="135"/>
        <v>32.451958937428877</v>
      </c>
      <c r="AR146" s="63">
        <f t="shared" si="136"/>
        <v>-6.0521306096067686</v>
      </c>
      <c r="AS146" s="32" t="str">
        <f t="shared" si="111"/>
        <v>-0.000133283554228113</v>
      </c>
      <c r="AT146" s="32" t="str">
        <f t="shared" si="112"/>
        <v>0.0000731511366256039i</v>
      </c>
      <c r="AU146" s="32">
        <f t="shared" si="137"/>
        <v>7.3151136625603902E-5</v>
      </c>
      <c r="AV146" s="32">
        <f t="shared" si="138"/>
        <v>1.5707963267948966</v>
      </c>
      <c r="AW146" s="32" t="str">
        <f t="shared" si="113"/>
        <v>1+0.0127899340829807i</v>
      </c>
      <c r="AX146" s="32">
        <f t="shared" si="139"/>
        <v>1.0000817878622963</v>
      </c>
      <c r="AY146" s="32">
        <f t="shared" si="140"/>
        <v>1.2789236748658986E-2</v>
      </c>
      <c r="AZ146" s="32" t="str">
        <f t="shared" si="114"/>
        <v>1+0.190601212797591i</v>
      </c>
      <c r="BA146" s="32">
        <f t="shared" si="141"/>
        <v>1.0180023685237243</v>
      </c>
      <c r="BB146" s="32">
        <f t="shared" si="142"/>
        <v>0.18834214770411156</v>
      </c>
      <c r="BC146" s="60" t="str">
        <f t="shared" si="143"/>
        <v>-0.323924468493681+1.826172818975i</v>
      </c>
      <c r="BD146" s="51">
        <f t="shared" si="144"/>
        <v>5.3653751337221998</v>
      </c>
      <c r="BE146" s="63">
        <f t="shared" si="145"/>
        <v>100.05844087898338</v>
      </c>
      <c r="BF146" s="60" t="str">
        <f t="shared" si="146"/>
        <v>20.553365764552+54.7593380366749i</v>
      </c>
      <c r="BG146" s="66">
        <f t="shared" si="147"/>
        <v>35.341563680653316</v>
      </c>
      <c r="BH146" s="63">
        <f t="shared" si="148"/>
        <v>69.426881666426027</v>
      </c>
      <c r="BI146" s="60" t="str">
        <f t="shared" si="152"/>
        <v>-5.43418846999712+77.5897131168913i</v>
      </c>
      <c r="BJ146" s="66">
        <f t="shared" si="149"/>
        <v>37.81733407115108</v>
      </c>
      <c r="BK146" s="63">
        <f t="shared" si="153"/>
        <v>94.006310269376598</v>
      </c>
      <c r="BL146" s="51">
        <f t="shared" si="150"/>
        <v>35.341563680653316</v>
      </c>
      <c r="BM146" s="63">
        <f t="shared" si="151"/>
        <v>69.426881666426027</v>
      </c>
    </row>
    <row r="147" spans="14:65" x14ac:dyDescent="0.35">
      <c r="N147" s="11">
        <v>29</v>
      </c>
      <c r="O147" s="52">
        <f t="shared" si="154"/>
        <v>194.98445997580458</v>
      </c>
      <c r="P147" s="50" t="str">
        <f t="shared" ref="P147:P210" si="155">COMPLEX(Adc,0)</f>
        <v>36.531007751938</v>
      </c>
      <c r="Q147" s="18" t="str">
        <f t="shared" ref="Q147:Q210" si="156">IMSUM(COMPLEX(1,0),IMDIV(COMPLEX(0,2*PI()*O147),COMPLEX(wp_lf,0)))</f>
        <v>1+0.598316125000342i</v>
      </c>
      <c r="R147" s="18">
        <f t="shared" si="116"/>
        <v>1.1653249269776327</v>
      </c>
      <c r="S147" s="18">
        <f t="shared" si="117"/>
        <v>0.53918043703935026</v>
      </c>
      <c r="T147" s="18" t="str">
        <f t="shared" ref="T147:T210" si="157">IMSUM(COMPLEX(1,0),IMDIV(COMPLEX(0,2*PI()*O147),COMPLEX(wz_esr,0)))</f>
        <v>1+0.000245024698809664i</v>
      </c>
      <c r="U147" s="18">
        <f t="shared" si="118"/>
        <v>1.000000030018551</v>
      </c>
      <c r="V147" s="18">
        <f t="shared" si="119"/>
        <v>2.4502469390613979E-4</v>
      </c>
      <c r="W147" s="32" t="str">
        <f t="shared" ref="W147:W210" si="158">IMSUB(COMPLEX(1,0),IMDIV(COMPLEX(0,2*PI()*O147),COMPLEX(wz_rhp,0)))</f>
        <v>1-0.00405958080868083i</v>
      </c>
      <c r="X147" s="18">
        <f t="shared" si="120"/>
        <v>1.0000082400642218</v>
      </c>
      <c r="Y147" s="18">
        <f t="shared" si="121"/>
        <v>-4.0595585080050768E-3</v>
      </c>
      <c r="Z147" s="32" t="str">
        <f t="shared" ref="Z147:Z210" si="159">IMSUM(COMPLEX(1,0),IMDIV(COMPLEX(0,2*PI()*O147),COMPLEX(Q*(wsl/2),0)),IMDIV(IMPOWER(COMPLEX(0,2*PI()*O147),2),IMPOWER(COMPLEX(wsl/2,0),2)))</f>
        <v>0.999999214484718+0.0018447124645773i</v>
      </c>
      <c r="AA147" s="18">
        <f t="shared" si="122"/>
        <v>1.0000009159666454</v>
      </c>
      <c r="AB147" s="18">
        <f t="shared" si="123"/>
        <v>1.8447118211308616E-3</v>
      </c>
      <c r="AC147" s="68" t="str">
        <f t="shared" si="124"/>
        <v>26.8096274796928-16.2473707893555i</v>
      </c>
      <c r="AD147" s="66">
        <f t="shared" si="125"/>
        <v>29.924356207746058</v>
      </c>
      <c r="AE147" s="63">
        <f t="shared" si="126"/>
        <v>-31.217014328500401</v>
      </c>
      <c r="AF147" s="51" t="str">
        <f t="shared" si="127"/>
        <v>42.1703962805665</v>
      </c>
      <c r="AG147" s="51" t="str">
        <f t="shared" ref="AG147:AG210" si="160">IMSUM(COMPLEX(1,0),IMDIV(COMPLEX(0,2*PI()*O147),COMPLEX(wp_lf_DCM,0)))</f>
        <v>1+0.108099131827793i</v>
      </c>
      <c r="AH147" s="51">
        <f t="shared" si="128"/>
        <v>1.0058257415188392</v>
      </c>
      <c r="AI147" s="51">
        <f t="shared" si="129"/>
        <v>0.10768099824109635</v>
      </c>
      <c r="AJ147" s="51" t="str">
        <f t="shared" ref="AJ147:AJ210" si="161">IMSUM(COMPLEX(1,0),IMDIV(COMPLEX(0,2*PI()*O147),COMPLEX(wz1_dcm,0)))</f>
        <v>1+0.000245024698809664i</v>
      </c>
      <c r="AK147" s="51">
        <f t="shared" si="130"/>
        <v>1.000000030018551</v>
      </c>
      <c r="AL147" s="51">
        <f t="shared" si="131"/>
        <v>2.4502469390613979E-4</v>
      </c>
      <c r="AM147" s="51" t="str">
        <f t="shared" ref="AM147:AM210" si="162">IMSUB(COMPLEX(1,0),IMDIV(COMPLEX(0,2*PI()*O147),COMPLEX(wz2_dcm,0)))</f>
        <v>1-0.000635367762452204i</v>
      </c>
      <c r="AN147" s="51">
        <f t="shared" si="132"/>
        <v>1.0000002018460765</v>
      </c>
      <c r="AO147" s="51">
        <f t="shared" si="133"/>
        <v>-6.3536767695455607E-4</v>
      </c>
      <c r="AP147" s="60" t="str">
        <f t="shared" si="134"/>
        <v>41.6815568404623-4.52220102936396i</v>
      </c>
      <c r="AQ147" s="51">
        <f t="shared" si="135"/>
        <v>32.449700735525496</v>
      </c>
      <c r="AR147" s="63">
        <f t="shared" si="136"/>
        <v>-6.1920317384616865</v>
      </c>
      <c r="AS147" s="32" t="str">
        <f t="shared" ref="AS147:AS210" si="163">COMPLEX(Adc_ea,0)</f>
        <v>-0.000133283554228113</v>
      </c>
      <c r="AT147" s="32" t="str">
        <f t="shared" ref="AT147:AT210" si="164">COMPLEX(0,2*PI()*O147*wp0_ea)</f>
        <v>0.0000748550454863524i</v>
      </c>
      <c r="AU147" s="32">
        <f t="shared" si="137"/>
        <v>7.4855045486352397E-5</v>
      </c>
      <c r="AV147" s="32">
        <f t="shared" si="138"/>
        <v>1.5707963267948966</v>
      </c>
      <c r="AW147" s="32" t="str">
        <f t="shared" ref="AW147:AW210" si="165">IMSUM(COMPLEX(1,0),IMDIV(COMPLEX(0,2*PI()*O147),COMPLEX(wp1_ea,0)))</f>
        <v>1+0.0130878499188469i</v>
      </c>
      <c r="AX147" s="32">
        <f t="shared" si="139"/>
        <v>1.0000856422404525</v>
      </c>
      <c r="AY147" s="32">
        <f t="shared" si="140"/>
        <v>1.3087102715114804E-2</v>
      </c>
      <c r="AZ147" s="32" t="str">
        <f t="shared" ref="AZ147:AZ210" si="166">IMSUM(COMPLEX(1,0),IMDIV(COMPLEX(0,2*PI()*O147),COMPLEX(wz_ea,0)))</f>
        <v>1+0.195040885375986i</v>
      </c>
      <c r="BA147" s="32">
        <f t="shared" si="141"/>
        <v>1.0188429451923631</v>
      </c>
      <c r="BB147" s="32">
        <f t="shared" si="142"/>
        <v>0.19262266481758653</v>
      </c>
      <c r="BC147" s="60" t="str">
        <f t="shared" si="143"/>
        <v>-0.323921971657533+1.78479482572061i</v>
      </c>
      <c r="BD147" s="51">
        <f t="shared" si="144"/>
        <v>5.1725107408552082</v>
      </c>
      <c r="BE147" s="63">
        <f t="shared" si="145"/>
        <v>100.28662998098052</v>
      </c>
      <c r="BF147" s="60" t="str">
        <f t="shared" si="146"/>
        <v>20.3139959237798+53.1125647855918i</v>
      </c>
      <c r="BG147" s="66">
        <f t="shared" si="147"/>
        <v>35.09686694860126</v>
      </c>
      <c r="BH147" s="63">
        <f t="shared" si="148"/>
        <v>69.069615652480138</v>
      </c>
      <c r="BI147" s="60" t="str">
        <f t="shared" si="152"/>
        <v>-5.43037107544087+75.8578672504999i</v>
      </c>
      <c r="BJ147" s="66">
        <f t="shared" si="149"/>
        <v>37.622211476380699</v>
      </c>
      <c r="BK147" s="63">
        <f t="shared" si="153"/>
        <v>94.094598242518842</v>
      </c>
      <c r="BL147" s="51">
        <f t="shared" si="150"/>
        <v>35.09686694860126</v>
      </c>
      <c r="BM147" s="63">
        <f t="shared" si="151"/>
        <v>69.069615652480138</v>
      </c>
    </row>
    <row r="148" spans="14:65" x14ac:dyDescent="0.35">
      <c r="N148" s="11">
        <v>30</v>
      </c>
      <c r="O148" s="52">
        <f t="shared" si="154"/>
        <v>199.52623149688802</v>
      </c>
      <c r="P148" s="50" t="str">
        <f t="shared" si="155"/>
        <v>36.531007751938</v>
      </c>
      <c r="Q148" s="18" t="str">
        <f t="shared" si="156"/>
        <v>1+0.612252697881426i</v>
      </c>
      <c r="R148" s="18">
        <f t="shared" ref="R148:R211" si="167">IMABS(Q148)</f>
        <v>1.1725414133680245</v>
      </c>
      <c r="S148" s="18">
        <f t="shared" ref="S148:S211" si="168">IMARGUMENT(Q148)</f>
        <v>0.54938015806699303</v>
      </c>
      <c r="T148" s="18" t="str">
        <f t="shared" si="157"/>
        <v>1+0.000250732057227632i</v>
      </c>
      <c r="U148" s="18">
        <f t="shared" ref="U148:U211" si="169">IMABS(T148)</f>
        <v>1.0000000314332818</v>
      </c>
      <c r="V148" s="18">
        <f t="shared" ref="V148:V211" si="170">IMARGUMENT(T148)</f>
        <v>2.5073205197341118E-4</v>
      </c>
      <c r="W148" s="32" t="str">
        <f t="shared" si="158"/>
        <v>1-0.00415414059312053i</v>
      </c>
      <c r="X148" s="18">
        <f t="shared" ref="X148:X211" si="171">IMABS(W148)</f>
        <v>1.0000086284048091</v>
      </c>
      <c r="Y148" s="18">
        <f t="shared" ref="Y148:Y211" si="172">IMARGUMENT(W148)</f>
        <v>-4.1541166975270754E-3</v>
      </c>
      <c r="Z148" s="32" t="str">
        <f t="shared" si="159"/>
        <v>0.999999177464524+0.00188768133777491i</v>
      </c>
      <c r="AA148" s="18">
        <f t="shared" ref="AA148:AA211" si="173">IMABS(Z148)</f>
        <v>1.0000009591348189</v>
      </c>
      <c r="AB148" s="18">
        <f t="shared" ref="AB148:AB211" si="174">IMARGUMENT(Z148)</f>
        <v>1.8876806483096524E-3</v>
      </c>
      <c r="AC148" s="68" t="str">
        <f t="shared" ref="AC148:AC211" si="175">(IMDIV(IMPRODUCT(P148,T148,W148),IMPRODUCT(Q148,Z148)))</f>
        <v>26.4763886513717-16.4217942797452i</v>
      </c>
      <c r="AD148" s="66">
        <f t="shared" ref="AD148:AD211" si="176">20*LOG(IMABS(AC148))</f>
        <v>29.870736132536145</v>
      </c>
      <c r="AE148" s="63">
        <f t="shared" ref="AE148:AE211" si="177">(180/PI())*IMARGUMENT(AC148)</f>
        <v>-31.808968005691884</v>
      </c>
      <c r="AF148" s="51" t="str">
        <f t="shared" ref="AF148:AF211" si="178">COMPLEX($B$68,0)</f>
        <v>42.1703962805665</v>
      </c>
      <c r="AG148" s="51" t="str">
        <f t="shared" si="160"/>
        <v>1+0.110617084071014i</v>
      </c>
      <c r="AH148" s="51">
        <f t="shared" ref="AH148:AH211" si="179">IMABS(AG148)</f>
        <v>1.0060994678899169</v>
      </c>
      <c r="AI148" s="51">
        <f t="shared" ref="AI148:AI211" si="180">IMARGUMENT(AG148)</f>
        <v>0.11016919243041377</v>
      </c>
      <c r="AJ148" s="51" t="str">
        <f t="shared" si="161"/>
        <v>1+0.000250732057227632i</v>
      </c>
      <c r="AK148" s="51">
        <f t="shared" ref="AK148:AK211" si="181">IMABS(AJ148)</f>
        <v>1.0000000314332818</v>
      </c>
      <c r="AL148" s="51">
        <f t="shared" ref="AL148:AL211" si="182">IMARGUMENT(AJ148)</f>
        <v>2.5073205197341118E-4</v>
      </c>
      <c r="AM148" s="51" t="str">
        <f t="shared" si="162"/>
        <v>1-0.000650167378838444i</v>
      </c>
      <c r="AN148" s="51">
        <f t="shared" ref="AN148:AN211" si="183">IMABS(AM148)</f>
        <v>1.0000002113587878</v>
      </c>
      <c r="AO148" s="51">
        <f t="shared" ref="AO148:AO211" si="184">IMARGUMENT(AM148)</f>
        <v>-6.5016728722606476E-4</v>
      </c>
      <c r="AP148" s="60" t="str">
        <f t="shared" ref="AP148:AP211" si="185">(IMDIV(IMPRODUCT(AF148,AJ148,AM148),IMPRODUCT(AG148)))</f>
        <v>41.6587970395147-4.62501900021809i</v>
      </c>
      <c r="AQ148" s="51">
        <f t="shared" ref="AQ148:AQ211" si="186">20*LOG(IMABS(AP148))</f>
        <v>32.447337365780641</v>
      </c>
      <c r="AR148" s="63">
        <f t="shared" ref="AR148:AR211" si="187">(180/PI())*IMARGUMENT(AP148)</f>
        <v>-6.3351157117961181</v>
      </c>
      <c r="AS148" s="32" t="str">
        <f t="shared" si="163"/>
        <v>-0.000133283554228113</v>
      </c>
      <c r="AT148" s="32" t="str">
        <f t="shared" si="164"/>
        <v>0.0000765986434830416i</v>
      </c>
      <c r="AU148" s="32">
        <f t="shared" ref="AU148:AU211" si="188">IMABS(AT148)</f>
        <v>7.6598643483041605E-5</v>
      </c>
      <c r="AV148" s="32">
        <f t="shared" ref="AV148:AV211" si="189">IMARGUMENT(AT148)</f>
        <v>1.5707963267948966</v>
      </c>
      <c r="AW148" s="32" t="str">
        <f t="shared" si="165"/>
        <v>1+0.0133927051059783i</v>
      </c>
      <c r="AX148" s="32">
        <f t="shared" ref="AX148:AX211" si="190">IMABS(AW148)</f>
        <v>1.0000896782539332</v>
      </c>
      <c r="AY148" s="32">
        <f t="shared" ref="AY148:AY211" si="191">IMARGUMENT(AW148)</f>
        <v>1.339190446663187E-2</v>
      </c>
      <c r="AZ148" s="32" t="str">
        <f t="shared" si="166"/>
        <v>1+0.199583971213481i</v>
      </c>
      <c r="BA148" s="32">
        <f t="shared" ref="BA148:BA211" si="192">IMABS(AZ148)</f>
        <v>1.0197223943629676</v>
      </c>
      <c r="BB148" s="32">
        <f t="shared" ref="BB148:BB211" si="193">IMARGUMENT(AZ148)</f>
        <v>0.19699550018488887</v>
      </c>
      <c r="BC148" s="60" t="str">
        <f t="shared" ref="BC148:BC211" si="194">IMPRODUCT(AS148,IMDIV(AZ148,IMPRODUCT(AT148,AW148)))</f>
        <v>-0.323919357190382+1.74436315122697i</v>
      </c>
      <c r="BD148" s="51">
        <f t="shared" ref="BD148:BD211" si="195">20*LOG(IMABS(BC148))</f>
        <v>4.9799699765721819</v>
      </c>
      <c r="BE148" s="63">
        <f t="shared" ref="BE148:BE211" si="196">(180/PI())*IMARGUMENT(BC148)</f>
        <v>100.5197111380823</v>
      </c>
      <c r="BF148" s="60" t="str">
        <f t="shared" ref="BF148:BF211" si="197">IMPRODUCT(AC148,BC148)</f>
        <v>20.0693580259423+51.5037737880245i</v>
      </c>
      <c r="BG148" s="66">
        <f t="shared" ref="BG148:BG211" si="198">20*LOG(IMABS(BF148))</f>
        <v>34.85070610910833</v>
      </c>
      <c r="BH148" s="63">
        <f t="shared" ref="BH148:BH211" si="199">(180/PI())*IMARGUMENT(BF148)</f>
        <v>68.710743132390448</v>
      </c>
      <c r="BI148" s="60" t="str">
        <f t="shared" si="152"/>
        <v>-5.42637804065915+74.1662036617166i</v>
      </c>
      <c r="BJ148" s="66">
        <f t="shared" ref="BJ148:BJ211" si="200">20*LOG(IMABS(BI148))</f>
        <v>37.427307342352826</v>
      </c>
      <c r="BK148" s="63">
        <f t="shared" si="153"/>
        <v>94.18459542628618</v>
      </c>
      <c r="BL148" s="51">
        <f t="shared" ref="BL148:BL211" si="201">IF($B$31=0,BJ148,BG148)</f>
        <v>34.85070610910833</v>
      </c>
      <c r="BM148" s="63">
        <f t="shared" ref="BM148:BM211" si="202">IF($B$31=0,BK148,BH148)</f>
        <v>68.710743132390448</v>
      </c>
    </row>
    <row r="149" spans="14:65" x14ac:dyDescent="0.35">
      <c r="N149" s="11">
        <v>31</v>
      </c>
      <c r="O149" s="52">
        <f t="shared" si="154"/>
        <v>204.17379446695315</v>
      </c>
      <c r="P149" s="50" t="str">
        <f t="shared" si="155"/>
        <v>36.531007751938</v>
      </c>
      <c r="Q149" s="18" t="str">
        <f t="shared" si="156"/>
        <v>1+0.626513895247047i</v>
      </c>
      <c r="R149" s="18">
        <f t="shared" si="167"/>
        <v>1.1800507026978238</v>
      </c>
      <c r="S149" s="18">
        <f t="shared" si="168"/>
        <v>0.55968721847538139</v>
      </c>
      <c r="T149" s="18" t="str">
        <f t="shared" si="157"/>
        <v>1+0.000256572357101172i</v>
      </c>
      <c r="U149" s="18">
        <f t="shared" si="169"/>
        <v>1.0000000329146868</v>
      </c>
      <c r="V149" s="18">
        <f t="shared" si="170"/>
        <v>2.5657235147117296E-4</v>
      </c>
      <c r="W149" s="32" t="str">
        <f t="shared" si="158"/>
        <v>1-0.00425090295788924i</v>
      </c>
      <c r="X149" s="18">
        <f t="shared" si="171"/>
        <v>1.0000090350471627</v>
      </c>
      <c r="Y149" s="18">
        <f t="shared" si="172"/>
        <v>-4.2508773533120377E-3</v>
      </c>
      <c r="Z149" s="32" t="str">
        <f t="shared" si="159"/>
        <v>0.999999138699621+0.00193165108460422i</v>
      </c>
      <c r="AA149" s="18">
        <f t="shared" si="173"/>
        <v>1.0000010043374439</v>
      </c>
      <c r="AB149" s="18">
        <f t="shared" si="174"/>
        <v>1.9316503458289139E-3</v>
      </c>
      <c r="AC149" s="68" t="str">
        <f t="shared" si="175"/>
        <v>26.1360993189887-16.5911109902334i</v>
      </c>
      <c r="AD149" s="66">
        <f t="shared" si="176"/>
        <v>29.815289740913112</v>
      </c>
      <c r="AE149" s="63">
        <f t="shared" si="177"/>
        <v>-32.407247697060193</v>
      </c>
      <c r="AF149" s="51" t="str">
        <f t="shared" si="178"/>
        <v>42.1703962805665</v>
      </c>
      <c r="AG149" s="51" t="str">
        <f t="shared" si="160"/>
        <v>1+0.1131936869564i</v>
      </c>
      <c r="AH149" s="51">
        <f t="shared" si="179"/>
        <v>1.0063860147909367</v>
      </c>
      <c r="AI149" s="51">
        <f t="shared" si="180"/>
        <v>0.11271392673983746</v>
      </c>
      <c r="AJ149" s="51" t="str">
        <f t="shared" si="161"/>
        <v>1+0.000256572357101172i</v>
      </c>
      <c r="AK149" s="51">
        <f t="shared" si="181"/>
        <v>1.0000000329146868</v>
      </c>
      <c r="AL149" s="51">
        <f t="shared" si="182"/>
        <v>2.5657235147117296E-4</v>
      </c>
      <c r="AM149" s="51" t="str">
        <f t="shared" si="162"/>
        <v>1-0.000665311722574924i</v>
      </c>
      <c r="AN149" s="51">
        <f t="shared" si="183"/>
        <v>1.0000002213198196</v>
      </c>
      <c r="AO149" s="51">
        <f t="shared" si="184"/>
        <v>-6.653116244104922E-4</v>
      </c>
      <c r="AP149" s="60" t="str">
        <f t="shared" si="185"/>
        <v>41.6349911307047-4.73005485349898i</v>
      </c>
      <c r="AQ149" s="51">
        <f t="shared" si="186"/>
        <v>32.444863991648553</v>
      </c>
      <c r="AR149" s="63">
        <f t="shared" si="187"/>
        <v>-6.4814513298001186</v>
      </c>
      <c r="AS149" s="32" t="str">
        <f t="shared" si="163"/>
        <v>-0.000133283554228113</v>
      </c>
      <c r="AT149" s="32" t="str">
        <f t="shared" si="164"/>
        <v>0.0000783828550944083i</v>
      </c>
      <c r="AU149" s="32">
        <f t="shared" si="188"/>
        <v>7.8382855094408295E-5</v>
      </c>
      <c r="AV149" s="32">
        <f t="shared" si="189"/>
        <v>1.5707963267948966</v>
      </c>
      <c r="AW149" s="32" t="str">
        <f t="shared" si="165"/>
        <v>1+0.0137046612826302i</v>
      </c>
      <c r="AX149" s="32">
        <f t="shared" si="190"/>
        <v>1.0000939044614119</v>
      </c>
      <c r="AY149" s="32">
        <f t="shared" si="191"/>
        <v>1.3703803386464493E-2</v>
      </c>
      <c r="AZ149" s="32" t="str">
        <f t="shared" si="166"/>
        <v>1+0.204232879114318i</v>
      </c>
      <c r="BA149" s="32">
        <f t="shared" si="192"/>
        <v>1.0206424784964241</v>
      </c>
      <c r="BB149" s="32">
        <f t="shared" si="193"/>
        <v>0.20146230309292698</v>
      </c>
      <c r="BC149" s="60" t="str">
        <f t="shared" si="194"/>
        <v>-0.323916619552423+1.70485635786483i</v>
      </c>
      <c r="BD149" s="51">
        <f t="shared" si="195"/>
        <v>4.7877669192558461</v>
      </c>
      <c r="BE149" s="63">
        <f t="shared" si="196"/>
        <v>100.75776960088855</v>
      </c>
      <c r="BF149" s="60" t="str">
        <f t="shared" si="197"/>
        <v>19.8195441160473+49.93243168034i</v>
      </c>
      <c r="BG149" s="66">
        <f t="shared" si="198"/>
        <v>34.60305666016896</v>
      </c>
      <c r="BH149" s="63">
        <f t="shared" si="199"/>
        <v>68.350521903828337</v>
      </c>
      <c r="BI149" s="60" t="str">
        <f t="shared" si="152"/>
        <v>-5.42220149211585+72.5138227172706i</v>
      </c>
      <c r="BJ149" s="66">
        <f t="shared" si="200"/>
        <v>37.232630910904398</v>
      </c>
      <c r="BK149" s="63">
        <f t="shared" si="153"/>
        <v>94.276318271088442</v>
      </c>
      <c r="BL149" s="51">
        <f t="shared" si="201"/>
        <v>34.60305666016896</v>
      </c>
      <c r="BM149" s="63">
        <f t="shared" si="202"/>
        <v>68.350521903828337</v>
      </c>
    </row>
    <row r="150" spans="14:65" x14ac:dyDescent="0.35">
      <c r="N150" s="11">
        <v>32</v>
      </c>
      <c r="O150" s="52">
        <f t="shared" si="154"/>
        <v>208.92961308540396</v>
      </c>
      <c r="P150" s="50" t="str">
        <f t="shared" si="155"/>
        <v>36.531007751938</v>
      </c>
      <c r="Q150" s="18" t="str">
        <f t="shared" si="156"/>
        <v>1+0.641107278572826i</v>
      </c>
      <c r="R150" s="18">
        <f t="shared" si="167"/>
        <v>1.1878630150985656</v>
      </c>
      <c r="S150" s="18">
        <f t="shared" si="168"/>
        <v>0.57009832302111008</v>
      </c>
      <c r="T150" s="18" t="str">
        <f t="shared" si="157"/>
        <v>1+0.000262548695034586i</v>
      </c>
      <c r="U150" s="18">
        <f t="shared" si="169"/>
        <v>1.0000000344659081</v>
      </c>
      <c r="V150" s="18">
        <f t="shared" si="170"/>
        <v>2.625486890019334E-4</v>
      </c>
      <c r="W150" s="32" t="str">
        <f t="shared" si="158"/>
        <v>1-0.00434991920767362i</v>
      </c>
      <c r="X150" s="18">
        <f t="shared" si="171"/>
        <v>1.0000094608538028</v>
      </c>
      <c r="Y150" s="18">
        <f t="shared" si="172"/>
        <v>-4.3498917718888643E-3</v>
      </c>
      <c r="Z150" s="32" t="str">
        <f t="shared" si="159"/>
        <v>0.999999098107785+0.00197664501840703i</v>
      </c>
      <c r="AA150" s="18">
        <f t="shared" si="173"/>
        <v>1.0000010516704032</v>
      </c>
      <c r="AB150" s="18">
        <f t="shared" si="174"/>
        <v>1.9766442267950572E-3</v>
      </c>
      <c r="AC150" s="68" t="str">
        <f t="shared" si="175"/>
        <v>25.7889054928404-16.7549790981188i</v>
      </c>
      <c r="AD150" s="66">
        <f t="shared" si="176"/>
        <v>29.757979188589982</v>
      </c>
      <c r="AE150" s="63">
        <f t="shared" si="177"/>
        <v>-33.011668696461101</v>
      </c>
      <c r="AF150" s="51" t="str">
        <f t="shared" si="178"/>
        <v>42.1703962805665</v>
      </c>
      <c r="AG150" s="51" t="str">
        <f t="shared" si="160"/>
        <v>1+0.115830306632906i</v>
      </c>
      <c r="AH150" s="51">
        <f t="shared" si="179"/>
        <v>1.0066859788110059</v>
      </c>
      <c r="AI150" s="51">
        <f t="shared" si="180"/>
        <v>0.11531641851878463</v>
      </c>
      <c r="AJ150" s="51" t="str">
        <f t="shared" si="161"/>
        <v>1+0.000262548695034586i</v>
      </c>
      <c r="AK150" s="51">
        <f t="shared" si="181"/>
        <v>1.0000000344659081</v>
      </c>
      <c r="AL150" s="51">
        <f t="shared" si="182"/>
        <v>2.625486890019334E-4</v>
      </c>
      <c r="AM150" s="51" t="str">
        <f t="shared" si="162"/>
        <v>1-0.000680808823393161i</v>
      </c>
      <c r="AN150" s="51">
        <f t="shared" si="183"/>
        <v>1.0000002317503003</v>
      </c>
      <c r="AO150" s="51">
        <f t="shared" si="184"/>
        <v>-6.808087182080786E-4</v>
      </c>
      <c r="AP150" s="60" t="str">
        <f t="shared" si="185"/>
        <v>41.610092322219-4.8373479480674i</v>
      </c>
      <c r="AQ150" s="51">
        <f t="shared" si="186"/>
        <v>32.442275559988552</v>
      </c>
      <c r="AR150" s="63">
        <f t="shared" si="187"/>
        <v>-6.6311086241031427</v>
      </c>
      <c r="AS150" s="32" t="str">
        <f t="shared" si="163"/>
        <v>-0.000133283554228113</v>
      </c>
      <c r="AT150" s="32" t="str">
        <f t="shared" si="164"/>
        <v>0.0000802086263330658i</v>
      </c>
      <c r="AU150" s="32">
        <f t="shared" si="188"/>
        <v>8.0208626333065804E-5</v>
      </c>
      <c r="AV150" s="32">
        <f t="shared" si="189"/>
        <v>1.5707963267948966</v>
      </c>
      <c r="AW150" s="32" t="str">
        <f t="shared" si="165"/>
        <v>1+0.0140238838520969i</v>
      </c>
      <c r="AX150" s="32">
        <f t="shared" si="190"/>
        <v>1.0000983298247714</v>
      </c>
      <c r="AY150" s="32">
        <f t="shared" si="191"/>
        <v>1.4022964604674764E-2</v>
      </c>
      <c r="AZ150" s="32" t="str">
        <f t="shared" si="166"/>
        <v>1+0.208990073991005i</v>
      </c>
      <c r="BA150" s="32">
        <f t="shared" si="192"/>
        <v>1.02160503670781</v>
      </c>
      <c r="BB150" s="32">
        <f t="shared" si="193"/>
        <v>0.2060247285763655</v>
      </c>
      <c r="BC150" s="60" t="str">
        <f t="shared" si="194"/>
        <v>-0.323913752943161+1.66625349837345i</v>
      </c>
      <c r="BD150" s="51">
        <f t="shared" si="195"/>
        <v>4.595916204341373</v>
      </c>
      <c r="BE150" s="63">
        <f t="shared" si="196"/>
        <v>101.00089073464481</v>
      </c>
      <c r="BF150" s="60" t="str">
        <f t="shared" si="197"/>
        <v>19.5646613749321+48.3980221568235i</v>
      </c>
      <c r="BG150" s="66">
        <f t="shared" si="198"/>
        <v>34.353895392931364</v>
      </c>
      <c r="BH150" s="63">
        <f t="shared" si="199"/>
        <v>67.989222038183684</v>
      </c>
      <c r="BI150" s="60" t="str">
        <f t="shared" si="152"/>
        <v>-5.41783322308443+70.8998454276901i</v>
      </c>
      <c r="BJ150" s="66">
        <f t="shared" si="200"/>
        <v>37.03819176432993</v>
      </c>
      <c r="BK150" s="63">
        <f t="shared" si="153"/>
        <v>94.369782110541664</v>
      </c>
      <c r="BL150" s="51">
        <f t="shared" si="201"/>
        <v>34.353895392931364</v>
      </c>
      <c r="BM150" s="63">
        <f t="shared" si="202"/>
        <v>67.989222038183684</v>
      </c>
    </row>
    <row r="151" spans="14:65" x14ac:dyDescent="0.35">
      <c r="N151" s="11">
        <v>33</v>
      </c>
      <c r="O151" s="52">
        <f t="shared" si="154"/>
        <v>213.79620895022339</v>
      </c>
      <c r="P151" s="50" t="str">
        <f t="shared" si="155"/>
        <v>36.531007751938</v>
      </c>
      <c r="Q151" s="18" t="str">
        <f t="shared" si="156"/>
        <v>1+0.656040585463756i</v>
      </c>
      <c r="R151" s="18">
        <f t="shared" si="167"/>
        <v>1.1959888167435462</v>
      </c>
      <c r="S151" s="18">
        <f t="shared" si="168"/>
        <v>0.58060996374888618</v>
      </c>
      <c r="T151" s="18" t="str">
        <f t="shared" si="157"/>
        <v>1+0.000268664239761348i</v>
      </c>
      <c r="U151" s="18">
        <f t="shared" si="169"/>
        <v>1.0000000360902364</v>
      </c>
      <c r="V151" s="18">
        <f t="shared" si="170"/>
        <v>2.6866423329724421E-4</v>
      </c>
      <c r="W151" s="32" t="str">
        <f t="shared" si="158"/>
        <v>1-0.00445124184219985i</v>
      </c>
      <c r="X151" s="18">
        <f t="shared" si="171"/>
        <v>1.0000099067278974</v>
      </c>
      <c r="Y151" s="18">
        <f t="shared" si="172"/>
        <v>-4.4512124442425589E-3</v>
      </c>
      <c r="Z151" s="32" t="str">
        <f t="shared" si="159"/>
        <v>0.999999055602914+0.00202268699556257i</v>
      </c>
      <c r="AA151" s="18">
        <f t="shared" si="173"/>
        <v>1.0000011012340946</v>
      </c>
      <c r="AB151" s="18">
        <f t="shared" si="174"/>
        <v>2.0226861473350934E-3</v>
      </c>
      <c r="AC151" s="68" t="str">
        <f t="shared" si="175"/>
        <v>25.4349740953992-16.9130593107362i</v>
      </c>
      <c r="AD151" s="66">
        <f t="shared" si="176"/>
        <v>29.698767480061687</v>
      </c>
      <c r="AE151" s="63">
        <f t="shared" si="177"/>
        <v>-33.622034205673963</v>
      </c>
      <c r="AF151" s="51" t="str">
        <f t="shared" si="178"/>
        <v>42.1703962805665</v>
      </c>
      <c r="AG151" s="51" t="str">
        <f t="shared" si="160"/>
        <v>1+0.118528341071183i</v>
      </c>
      <c r="AH151" s="51">
        <f t="shared" si="179"/>
        <v>1.006999983931026</v>
      </c>
      <c r="AI151" s="51">
        <f t="shared" si="180"/>
        <v>0.11797790655395704</v>
      </c>
      <c r="AJ151" s="51" t="str">
        <f t="shared" si="161"/>
        <v>1+0.000268664239761348i</v>
      </c>
      <c r="AK151" s="51">
        <f t="shared" si="181"/>
        <v>1.0000000360902364</v>
      </c>
      <c r="AL151" s="51">
        <f t="shared" si="182"/>
        <v>2.6866423329724421E-4</v>
      </c>
      <c r="AM151" s="51" t="str">
        <f t="shared" si="162"/>
        <v>1-0.000696666898061125i</v>
      </c>
      <c r="AN151" s="51">
        <f t="shared" si="183"/>
        <v>1.000000242672354</v>
      </c>
      <c r="AO151" s="51">
        <f t="shared" si="184"/>
        <v>-6.966667853532801E-4</v>
      </c>
      <c r="AP151" s="60" t="str">
        <f t="shared" si="185"/>
        <v>41.5840518519195-4.94693772273571i</v>
      </c>
      <c r="AQ151" s="51">
        <f t="shared" si="186"/>
        <v>32.439566791919802</v>
      </c>
      <c r="AR151" s="63">
        <f t="shared" si="187"/>
        <v>-6.7841588611841912</v>
      </c>
      <c r="AS151" s="32" t="str">
        <f t="shared" si="163"/>
        <v>-0.000133283554228113</v>
      </c>
      <c r="AT151" s="32" t="str">
        <f t="shared" si="164"/>
        <v>0.0000820769252470918i</v>
      </c>
      <c r="AU151" s="32">
        <f t="shared" si="188"/>
        <v>8.2076925247091798E-5</v>
      </c>
      <c r="AV151" s="32">
        <f t="shared" si="189"/>
        <v>1.5707963267948966</v>
      </c>
      <c r="AW151" s="32" t="str">
        <f t="shared" si="165"/>
        <v>1+0.01435054207041i</v>
      </c>
      <c r="AX151" s="32">
        <f t="shared" si="190"/>
        <v>1.0001029637280927</v>
      </c>
      <c r="AY151" s="32">
        <f t="shared" si="191"/>
        <v>1.434955708452774E-2</v>
      </c>
      <c r="AZ151" s="32" t="str">
        <f t="shared" si="166"/>
        <v>1+0.213858078171232i</v>
      </c>
      <c r="BA151" s="32">
        <f t="shared" si="192"/>
        <v>1.0226119878033373</v>
      </c>
      <c r="BB151" s="32">
        <f t="shared" si="193"/>
        <v>0.21068443557463884</v>
      </c>
      <c r="BC151" s="60" t="str">
        <f t="shared" si="194"/>
        <v>-0.323910751289147+1.62853410475293i</v>
      </c>
      <c r="BD151" s="51">
        <f t="shared" si="195"/>
        <v>4.4044330412513704</v>
      </c>
      <c r="BE151" s="63">
        <f t="shared" si="196"/>
        <v>101.24915990869718</v>
      </c>
      <c r="BF151" s="60" t="str">
        <f t="shared" si="197"/>
        <v>19.3048323349822+46.9000445158034i</v>
      </c>
      <c r="BG151" s="66">
        <f t="shared" si="198"/>
        <v>34.103200521313056</v>
      </c>
      <c r="BH151" s="63">
        <f t="shared" si="199"/>
        <v>67.627125703023282</v>
      </c>
      <c r="BI151" s="60" t="str">
        <f t="shared" si="152"/>
        <v>-5.41326468143819+69.3234129690171i</v>
      </c>
      <c r="BJ151" s="66">
        <f t="shared" si="200"/>
        <v>36.843999833171168</v>
      </c>
      <c r="BK151" s="63">
        <f t="shared" si="153"/>
        <v>94.465001047512985</v>
      </c>
      <c r="BL151" s="51">
        <f t="shared" si="201"/>
        <v>34.103200521313056</v>
      </c>
      <c r="BM151" s="63">
        <f t="shared" si="202"/>
        <v>67.627125703023282</v>
      </c>
    </row>
    <row r="152" spans="14:65" x14ac:dyDescent="0.35">
      <c r="N152" s="11">
        <v>34</v>
      </c>
      <c r="O152" s="52">
        <f t="shared" si="154"/>
        <v>218.77616239495524</v>
      </c>
      <c r="P152" s="50" t="str">
        <f t="shared" si="155"/>
        <v>36.531007751938</v>
      </c>
      <c r="Q152" s="18" t="str">
        <f t="shared" si="156"/>
        <v>1+0.671321733756825i</v>
      </c>
      <c r="R152" s="18">
        <f t="shared" si="167"/>
        <v>1.2044388196227609</v>
      </c>
      <c r="S152" s="18">
        <f t="shared" si="168"/>
        <v>0.59121842203107633</v>
      </c>
      <c r="T152" s="18" t="str">
        <f t="shared" si="157"/>
        <v>1+0.000274922233824224i</v>
      </c>
      <c r="U152" s="18">
        <f t="shared" si="169"/>
        <v>1.0000000377911167</v>
      </c>
      <c r="V152" s="18">
        <f t="shared" si="170"/>
        <v>2.7492222689781204E-4</v>
      </c>
      <c r="W152" s="32" t="str">
        <f t="shared" si="158"/>
        <v>1-0.00455492458406999i</v>
      </c>
      <c r="X152" s="18">
        <f t="shared" si="171"/>
        <v>1.0000103736151773</v>
      </c>
      <c r="Y152" s="18">
        <f t="shared" si="172"/>
        <v>-4.5548930836088672E-3</v>
      </c>
      <c r="Z152" s="32" t="str">
        <f t="shared" si="159"/>
        <v>0.999999011094851+0.00206980142813659i</v>
      </c>
      <c r="AA152" s="18">
        <f t="shared" si="173"/>
        <v>1.000001153133651</v>
      </c>
      <c r="AB152" s="18">
        <f t="shared" si="174"/>
        <v>2.0698005192445116E-3</v>
      </c>
      <c r="AC152" s="68" t="str">
        <f t="shared" si="175"/>
        <v>25.0744931433656-17.0650163462245i</v>
      </c>
      <c r="AD152" s="66">
        <f t="shared" si="176"/>
        <v>29.637618582580206</v>
      </c>
      <c r="AE152" s="63">
        <f t="shared" si="177"/>
        <v>-34.238135453480176</v>
      </c>
      <c r="AF152" s="51" t="str">
        <f t="shared" si="178"/>
        <v>42.1703962805665</v>
      </c>
      <c r="AG152" s="51" t="str">
        <f t="shared" si="160"/>
        <v>1+0.121289220804805i</v>
      </c>
      <c r="AH152" s="51">
        <f t="shared" si="179"/>
        <v>1.0073286827463201</v>
      </c>
      <c r="AI152" s="51">
        <f t="shared" si="180"/>
        <v>0.12069965109864196</v>
      </c>
      <c r="AJ152" s="51" t="str">
        <f t="shared" si="161"/>
        <v>1+0.000274922233824224i</v>
      </c>
      <c r="AK152" s="51">
        <f t="shared" si="181"/>
        <v>1.0000000377911167</v>
      </c>
      <c r="AL152" s="51">
        <f t="shared" si="182"/>
        <v>2.7492222689781204E-4</v>
      </c>
      <c r="AM152" s="51" t="str">
        <f t="shared" si="162"/>
        <v>1-0.00071289435473992i</v>
      </c>
      <c r="AN152" s="51">
        <f t="shared" si="183"/>
        <v>1.0000002541091482</v>
      </c>
      <c r="AO152" s="51">
        <f t="shared" si="184"/>
        <v>-7.1289423397128998E-4</v>
      </c>
      <c r="AP152" s="60" t="str">
        <f t="shared" si="185"/>
        <v>41.5568189161031-5.05886364335938i</v>
      </c>
      <c r="AQ152" s="51">
        <f t="shared" si="186"/>
        <v>32.436732173342918</v>
      </c>
      <c r="AR152" s="63">
        <f t="shared" si="187"/>
        <v>-6.9406745442039366</v>
      </c>
      <c r="AS152" s="32" t="str">
        <f t="shared" si="163"/>
        <v>-0.000133283554228113</v>
      </c>
      <c r="AT152" s="32" t="str">
        <f t="shared" si="164"/>
        <v>0.0000839887424333003i</v>
      </c>
      <c r="AU152" s="32">
        <f t="shared" si="188"/>
        <v>8.39887424333003E-5</v>
      </c>
      <c r="AV152" s="32">
        <f t="shared" si="189"/>
        <v>1.5707963267948966</v>
      </c>
      <c r="AW152" s="32" t="str">
        <f t="shared" si="165"/>
        <v>1+0.0146848091360807i</v>
      </c>
      <c r="AX152" s="32">
        <f t="shared" si="190"/>
        <v>1.000107815997537</v>
      </c>
      <c r="AY152" s="32">
        <f t="shared" si="191"/>
        <v>1.4683753710837513E-2</v>
      </c>
      <c r="AZ152" s="32" t="str">
        <f t="shared" si="166"/>
        <v>1+0.218839472735251i</v>
      </c>
      <c r="BA152" s="32">
        <f t="shared" si="192"/>
        <v>1.0236653334107992</v>
      </c>
      <c r="BB152" s="32">
        <f t="shared" si="193"/>
        <v>0.21544308494414291</v>
      </c>
      <c r="BC152" s="60" t="str">
        <f t="shared" si="194"/>
        <v>-0.323907608231162+1.59167817741058i</v>
      </c>
      <c r="BD152" s="51">
        <f t="shared" si="195"/>
        <v>4.2133332303602833</v>
      </c>
      <c r="BE152" s="63">
        <f t="shared" si="196"/>
        <v>101.50266237753735</v>
      </c>
      <c r="BF152" s="60" t="str">
        <f t="shared" si="197"/>
        <v>19.0401950137641+45.4380121750575i</v>
      </c>
      <c r="BG152" s="66">
        <f t="shared" si="198"/>
        <v>33.850951812940487</v>
      </c>
      <c r="BH152" s="63">
        <f t="shared" si="199"/>
        <v>67.264526924057222</v>
      </c>
      <c r="BI152" s="60" t="str">
        <f t="shared" si="152"/>
        <v>-5.40848695717956+67.7836862144526i</v>
      </c>
      <c r="BJ152" s="66">
        <f t="shared" si="200"/>
        <v>36.650065403703202</v>
      </c>
      <c r="BK152" s="63">
        <f t="shared" si="153"/>
        <v>94.561987833333419</v>
      </c>
      <c r="BL152" s="51">
        <f t="shared" si="201"/>
        <v>33.850951812940487</v>
      </c>
      <c r="BM152" s="63">
        <f t="shared" si="202"/>
        <v>67.264526924057222</v>
      </c>
    </row>
    <row r="153" spans="14:65" x14ac:dyDescent="0.35">
      <c r="N153" s="11">
        <v>35</v>
      </c>
      <c r="O153" s="52">
        <f t="shared" si="154"/>
        <v>223.87211385683412</v>
      </c>
      <c r="P153" s="50" t="str">
        <f t="shared" si="155"/>
        <v>36.531007751938</v>
      </c>
      <c r="Q153" s="18" t="str">
        <f t="shared" si="156"/>
        <v>1+0.686958825719127i</v>
      </c>
      <c r="R153" s="18">
        <f t="shared" si="167"/>
        <v>1.2132239810659045</v>
      </c>
      <c r="S153" s="18">
        <f t="shared" si="168"/>
        <v>0.60191977154631482</v>
      </c>
      <c r="T153" s="18" t="str">
        <f t="shared" si="157"/>
        <v>1+0.0002813259952945i</v>
      </c>
      <c r="U153" s="18">
        <f t="shared" si="169"/>
        <v>1.0000000395721569</v>
      </c>
      <c r="V153" s="18">
        <f t="shared" si="170"/>
        <v>2.8132598787271589E-4</v>
      </c>
      <c r="W153" s="32" t="str">
        <f t="shared" si="158"/>
        <v>1-0.00466102240724616i</v>
      </c>
      <c r="X153" s="18">
        <f t="shared" si="171"/>
        <v>1.0000108625059434</v>
      </c>
      <c r="Y153" s="18">
        <f t="shared" si="172"/>
        <v>-4.6609886539137448E-3</v>
      </c>
      <c r="Z153" s="32" t="str">
        <f t="shared" si="159"/>
        <v>0.999998964489187+0.00211801329682488i</v>
      </c>
      <c r="AA153" s="18">
        <f t="shared" si="173"/>
        <v>1.0000012074791569</v>
      </c>
      <c r="AB153" s="18">
        <f t="shared" si="174"/>
        <v>2.118012322929515E-3</v>
      </c>
      <c r="AC153" s="68" t="str">
        <f t="shared" si="175"/>
        <v>24.7076718100313-17.2105204591621i</v>
      </c>
      <c r="AD153" s="66">
        <f t="shared" si="176"/>
        <v>29.57449754079699</v>
      </c>
      <c r="AE153" s="63">
        <f t="shared" si="177"/>
        <v>-34.859751868598302</v>
      </c>
      <c r="AF153" s="51" t="str">
        <f t="shared" si="178"/>
        <v>42.1703962805665</v>
      </c>
      <c r="AG153" s="51" t="str">
        <f t="shared" si="160"/>
        <v>1+0.12411440968875i</v>
      </c>
      <c r="AH153" s="51">
        <f t="shared" si="179"/>
        <v>1.0076727577405211</v>
      </c>
      <c r="AI153" s="51">
        <f t="shared" si="180"/>
        <v>0.12348293387198836</v>
      </c>
      <c r="AJ153" s="51" t="str">
        <f t="shared" si="161"/>
        <v>1+0.0002813259952945i</v>
      </c>
      <c r="AK153" s="51">
        <f t="shared" si="181"/>
        <v>1.0000000395721569</v>
      </c>
      <c r="AL153" s="51">
        <f t="shared" si="182"/>
        <v>2.8132598787271589E-4</v>
      </c>
      <c r="AM153" s="51" t="str">
        <f t="shared" si="162"/>
        <v>1-0.000729499797441872i</v>
      </c>
      <c r="AN153" s="51">
        <f t="shared" si="183"/>
        <v>1.0000002660849419</v>
      </c>
      <c r="AO153" s="51">
        <f t="shared" si="184"/>
        <v>-7.2949966803595532E-4</v>
      </c>
      <c r="AP153" s="60" t="str">
        <f t="shared" si="185"/>
        <v>41.5283405968413-5.17316514536943i</v>
      </c>
      <c r="AQ153" s="51">
        <f t="shared" si="186"/>
        <v>32.433765945121664</v>
      </c>
      <c r="AR153" s="63">
        <f t="shared" si="187"/>
        <v>-7.1007294131201659</v>
      </c>
      <c r="AS153" s="32" t="str">
        <f t="shared" si="163"/>
        <v>-0.000133283554228113</v>
      </c>
      <c r="AT153" s="32" t="str">
        <f t="shared" si="164"/>
        <v>0.0000859450915624695i</v>
      </c>
      <c r="AU153" s="32">
        <f t="shared" si="188"/>
        <v>8.5945091562469498E-5</v>
      </c>
      <c r="AV153" s="32">
        <f t="shared" si="189"/>
        <v>1.5707963267948966</v>
      </c>
      <c r="AW153" s="32" t="str">
        <f t="shared" si="165"/>
        <v>1+0.0150268622819318i</v>
      </c>
      <c r="AX153" s="32">
        <f t="shared" si="190"/>
        <v>1.0001128969221627</v>
      </c>
      <c r="AY153" s="32">
        <f t="shared" si="191"/>
        <v>1.5025731380303241E-2</v>
      </c>
      <c r="AZ153" s="32" t="str">
        <f t="shared" si="166"/>
        <v>1+0.223936898884398i</v>
      </c>
      <c r="BA153" s="32">
        <f t="shared" si="192"/>
        <v>1.0247671612039297</v>
      </c>
      <c r="BB153" s="32">
        <f t="shared" si="193"/>
        <v>0.2203023373190223</v>
      </c>
      <c r="BC153" s="60" t="str">
        <f t="shared" si="194"/>
        <v>-0.323904317110795+1.55566617455563i</v>
      </c>
      <c r="BD153" s="51">
        <f t="shared" si="195"/>
        <v>4.022633179932984</v>
      </c>
      <c r="BE153" s="63">
        <f t="shared" si="196"/>
        <v>101.76148315305873</v>
      </c>
      <c r="BF153" s="60" t="str">
        <f t="shared" si="197"/>
        <v>18.7709029597903+44.0114511633336i</v>
      </c>
      <c r="BG153" s="66">
        <f t="shared" si="198"/>
        <v>33.597130720729965</v>
      </c>
      <c r="BH153" s="63">
        <f t="shared" si="199"/>
        <v>66.901731284460396</v>
      </c>
      <c r="BI153" s="60" t="str">
        <f t="shared" si="152"/>
        <v>-5.40349076972301+66.2798452756436i</v>
      </c>
      <c r="BJ153" s="66">
        <f t="shared" si="200"/>
        <v>36.456399125054645</v>
      </c>
      <c r="BK153" s="63">
        <f t="shared" si="153"/>
        <v>94.660753739938571</v>
      </c>
      <c r="BL153" s="51">
        <f t="shared" si="201"/>
        <v>33.597130720729965</v>
      </c>
      <c r="BM153" s="63">
        <f t="shared" si="202"/>
        <v>66.901731284460396</v>
      </c>
    </row>
    <row r="154" spans="14:65" x14ac:dyDescent="0.35">
      <c r="N154" s="11">
        <v>36</v>
      </c>
      <c r="O154" s="52">
        <f t="shared" si="154"/>
        <v>229.08676527677744</v>
      </c>
      <c r="P154" s="50" t="str">
        <f t="shared" si="155"/>
        <v>36.531007751938</v>
      </c>
      <c r="Q154" s="18" t="str">
        <f t="shared" si="156"/>
        <v>1+0.702960152343798i</v>
      </c>
      <c r="R154" s="18">
        <f t="shared" si="167"/>
        <v>1.2223555030281557</v>
      </c>
      <c r="S154" s="18">
        <f t="shared" si="168"/>
        <v>0.61270988222198075</v>
      </c>
      <c r="T154" s="18" t="str">
        <f t="shared" si="157"/>
        <v>1+0.00028787891953127i</v>
      </c>
      <c r="U154" s="18">
        <f t="shared" si="169"/>
        <v>1.0000000414371353</v>
      </c>
      <c r="V154" s="18">
        <f t="shared" si="170"/>
        <v>2.8787891157868508E-4</v>
      </c>
      <c r="W154" s="32" t="str">
        <f t="shared" si="158"/>
        <v>1-0.00476959156619856i</v>
      </c>
      <c r="X154" s="18">
        <f t="shared" si="171"/>
        <v>1.0000113744371653</v>
      </c>
      <c r="Y154" s="18">
        <f t="shared" si="172"/>
        <v>-4.7695553988734794E-3</v>
      </c>
      <c r="Z154" s="32" t="str">
        <f t="shared" si="159"/>
        <v>0.999998915687066+0.00216734816419835i</v>
      </c>
      <c r="AA154" s="18">
        <f t="shared" si="173"/>
        <v>1.0000012643858869</v>
      </c>
      <c r="AB154" s="18">
        <f t="shared" si="174"/>
        <v>2.1673471206507134E-3</v>
      </c>
      <c r="AC154" s="68" t="str">
        <f t="shared" si="175"/>
        <v>24.3347403609524-17.3492490003649i</v>
      </c>
      <c r="AD154" s="66">
        <f t="shared" si="176"/>
        <v>29.509370591403542</v>
      </c>
      <c r="AE154" s="63">
        <f t="shared" si="177"/>
        <v>-35.486651307895364</v>
      </c>
      <c r="AF154" s="51" t="str">
        <f t="shared" si="178"/>
        <v>42.1703962805665</v>
      </c>
      <c r="AG154" s="51" t="str">
        <f t="shared" si="160"/>
        <v>1+0.127005405675561i</v>
      </c>
      <c r="AH154" s="51">
        <f t="shared" si="179"/>
        <v>1.0080329226125573</v>
      </c>
      <c r="AI154" s="51">
        <f t="shared" si="180"/>
        <v>0.12632905802572694</v>
      </c>
      <c r="AJ154" s="51" t="str">
        <f t="shared" si="161"/>
        <v>1+0.00028787891953127i</v>
      </c>
      <c r="AK154" s="51">
        <f t="shared" si="181"/>
        <v>1.0000000414371353</v>
      </c>
      <c r="AL154" s="51">
        <f t="shared" si="182"/>
        <v>2.8787891157868508E-4</v>
      </c>
      <c r="AM154" s="51" t="str">
        <f t="shared" si="162"/>
        <v>1-0.000746492030592497i</v>
      </c>
      <c r="AN154" s="51">
        <f t="shared" si="183"/>
        <v>1.000000278625137</v>
      </c>
      <c r="AO154" s="51">
        <f t="shared" si="184"/>
        <v>-7.4649189193156122E-4</v>
      </c>
      <c r="AP154" s="60" t="str">
        <f t="shared" si="185"/>
        <v>41.4985617879958-5.28988157146966i</v>
      </c>
      <c r="AQ154" s="51">
        <f t="shared" si="186"/>
        <v>32.430662092917927</v>
      </c>
      <c r="AR154" s="63">
        <f t="shared" si="187"/>
        <v>-7.2643984429415749</v>
      </c>
      <c r="AS154" s="32" t="str">
        <f t="shared" si="163"/>
        <v>-0.000133283554228113</v>
      </c>
      <c r="AT154" s="32" t="str">
        <f t="shared" si="164"/>
        <v>0.0000879470099168028i</v>
      </c>
      <c r="AU154" s="32">
        <f t="shared" si="188"/>
        <v>8.7947009916802802E-5</v>
      </c>
      <c r="AV154" s="32">
        <f t="shared" si="189"/>
        <v>1.5707963267948966</v>
      </c>
      <c r="AW154" s="32" t="str">
        <f t="shared" si="165"/>
        <v>1+0.0153768828690688i</v>
      </c>
      <c r="AX154" s="32">
        <f t="shared" si="190"/>
        <v>1.0001182172757224</v>
      </c>
      <c r="AY154" s="32">
        <f t="shared" si="191"/>
        <v>1.5375671093877399E-2</v>
      </c>
      <c r="AZ154" s="32" t="str">
        <f t="shared" si="166"/>
        <v>1+0.229153059341488i</v>
      </c>
      <c r="BA154" s="32">
        <f t="shared" si="192"/>
        <v>1.0259196482208359</v>
      </c>
      <c r="BB154" s="32">
        <f t="shared" si="193"/>
        <v>0.22526385081401562</v>
      </c>
      <c r="BC154" s="60" t="str">
        <f t="shared" si="194"/>
        <v>-0.323900870956383+1.52047900183646i</v>
      </c>
      <c r="BD154" s="51">
        <f t="shared" si="195"/>
        <v>3.8323499229750824</v>
      </c>
      <c r="BE154" s="63">
        <f t="shared" si="196"/>
        <v>102.02570686764722</v>
      </c>
      <c r="BF154" s="60" t="str">
        <f t="shared" si="197"/>
        <v>18.4971252052771+42.6198985956277i</v>
      </c>
      <c r="BG154" s="66">
        <f t="shared" si="198"/>
        <v>33.341720514378622</v>
      </c>
      <c r="BH154" s="63">
        <f t="shared" si="199"/>
        <v>66.539055559751873</v>
      </c>
      <c r="BI154" s="60" t="str">
        <f t="shared" si="152"/>
        <v>-5.39826645494784+64.8110890533157i</v>
      </c>
      <c r="BJ154" s="66">
        <f t="shared" si="200"/>
        <v>36.263012015893018</v>
      </c>
      <c r="BK154" s="63">
        <f t="shared" si="153"/>
        <v>94.761308424705646</v>
      </c>
      <c r="BL154" s="51">
        <f t="shared" si="201"/>
        <v>33.341720514378622</v>
      </c>
      <c r="BM154" s="63">
        <f t="shared" si="202"/>
        <v>66.539055559751873</v>
      </c>
    </row>
    <row r="155" spans="14:65" x14ac:dyDescent="0.35">
      <c r="N155" s="11">
        <v>37</v>
      </c>
      <c r="O155" s="52">
        <f t="shared" si="154"/>
        <v>234.42288153199232</v>
      </c>
      <c r="P155" s="50" t="str">
        <f t="shared" si="155"/>
        <v>36.531007751938</v>
      </c>
      <c r="Q155" s="18" t="str">
        <f t="shared" si="156"/>
        <v>1+0.719334197746016i</v>
      </c>
      <c r="R155" s="18">
        <f t="shared" si="167"/>
        <v>1.2318448311564669</v>
      </c>
      <c r="S155" s="18">
        <f t="shared" si="168"/>
        <v>0.62358442515823331</v>
      </c>
      <c r="T155" s="18" t="str">
        <f t="shared" si="157"/>
        <v>1+0.000294584480981702i</v>
      </c>
      <c r="U155" s="18">
        <f t="shared" si="169"/>
        <v>1.0000000433900074</v>
      </c>
      <c r="V155" s="18">
        <f t="shared" si="170"/>
        <v>2.9458447246035374E-4</v>
      </c>
      <c r="W155" s="32" t="str">
        <f t="shared" si="158"/>
        <v>1-0.00488068962573234i</v>
      </c>
      <c r="X155" s="18">
        <f t="shared" si="171"/>
        <v>1.0000119104946814</v>
      </c>
      <c r="Y155" s="18">
        <f t="shared" si="172"/>
        <v>-4.8806508717702257E-3</v>
      </c>
      <c r="Z155" s="32" t="str">
        <f t="shared" si="159"/>
        <v>0.999998864584971+0.00221783218825672i</v>
      </c>
      <c r="AA155" s="18">
        <f t="shared" si="173"/>
        <v>1.0000013239745469</v>
      </c>
      <c r="AB155" s="18">
        <f t="shared" si="174"/>
        <v>2.217831070075337E-3</v>
      </c>
      <c r="AC155" s="68" t="str">
        <f t="shared" si="175"/>
        <v>23.9559499569716-17.4808879991052i</v>
      </c>
      <c r="AD155" s="66">
        <f t="shared" si="176"/>
        <v>29.442205277066492</v>
      </c>
      <c r="AE155" s="63">
        <f t="shared" si="177"/>
        <v>-36.118590340893739</v>
      </c>
      <c r="AF155" s="51" t="str">
        <f t="shared" si="178"/>
        <v>42.1703962805665</v>
      </c>
      <c r="AG155" s="51" t="str">
        <f t="shared" si="160"/>
        <v>1+0.129963741609575i</v>
      </c>
      <c r="AH155" s="51">
        <f t="shared" si="179"/>
        <v>1.0084099236586084</v>
      </c>
      <c r="AI155" s="51">
        <f t="shared" si="180"/>
        <v>0.1292393480756017</v>
      </c>
      <c r="AJ155" s="51" t="str">
        <f t="shared" si="161"/>
        <v>1+0.000294584480981702i</v>
      </c>
      <c r="AK155" s="51">
        <f t="shared" si="181"/>
        <v>1.0000000433900074</v>
      </c>
      <c r="AL155" s="51">
        <f t="shared" si="182"/>
        <v>2.9458447246035374E-4</v>
      </c>
      <c r="AM155" s="51" t="str">
        <f t="shared" si="162"/>
        <v>1-0.000763880063698728i</v>
      </c>
      <c r="AN155" s="51">
        <f t="shared" si="183"/>
        <v>1.0000002917563333</v>
      </c>
      <c r="AO155" s="51">
        <f t="shared" si="184"/>
        <v>-7.6387991512086068E-4</v>
      </c>
      <c r="AP155" s="60" t="str">
        <f t="shared" si="185"/>
        <v>41.467425120029-5.40905210420974i</v>
      </c>
      <c r="AQ155" s="51">
        <f t="shared" si="186"/>
        <v>32.427414336674339</v>
      </c>
      <c r="AR155" s="63">
        <f t="shared" si="187"/>
        <v>-7.4317578399633408</v>
      </c>
      <c r="AS155" s="32" t="str">
        <f t="shared" si="163"/>
        <v>-0.000133283554228113</v>
      </c>
      <c r="AT155" s="32" t="str">
        <f t="shared" si="164"/>
        <v>0.0000899955589399103i</v>
      </c>
      <c r="AU155" s="32">
        <f t="shared" si="188"/>
        <v>8.9995558939910301E-5</v>
      </c>
      <c r="AV155" s="32">
        <f t="shared" si="189"/>
        <v>1.5707963267948966</v>
      </c>
      <c r="AW155" s="32" t="str">
        <f t="shared" si="165"/>
        <v>1+0.01573505648304i</v>
      </c>
      <c r="AX155" s="32">
        <f t="shared" si="190"/>
        <v>1.0001237883394858</v>
      </c>
      <c r="AY155" s="32">
        <f t="shared" si="191"/>
        <v>1.5733758051208524E-2</v>
      </c>
      <c r="AZ155" s="32" t="str">
        <f t="shared" si="166"/>
        <v>1+0.23449071978384i</v>
      </c>
      <c r="BA155" s="32">
        <f t="shared" si="192"/>
        <v>1.027125064276373</v>
      </c>
      <c r="BB155" s="32">
        <f t="shared" si="193"/>
        <v>0.23032927856288718</v>
      </c>
      <c r="BC155" s="60" t="str">
        <f t="shared" si="194"/>
        <v>-0.323897262468313+1.48609800221511i</v>
      </c>
      <c r="BD155" s="51">
        <f t="shared" si="195"/>
        <v>3.642501133928719</v>
      </c>
      <c r="BE155" s="63">
        <f t="shared" si="196"/>
        <v>102.29541762773226</v>
      </c>
      <c r="BF155" s="60" t="str">
        <f t="shared" si="197"/>
        <v>18.2190461215253+41.262901140646i</v>
      </c>
      <c r="BG155" s="66">
        <f t="shared" si="198"/>
        <v>33.084706410995203</v>
      </c>
      <c r="BH155" s="63">
        <f t="shared" si="199"/>
        <v>66.176827286838559</v>
      </c>
      <c r="BI155" s="60" t="str">
        <f t="shared" si="152"/>
        <v>-5.39280395204362+63.3766347969818i</v>
      </c>
      <c r="BJ155" s="66">
        <f t="shared" si="200"/>
        <v>36.069915470603064</v>
      </c>
      <c r="BK155" s="63">
        <f t="shared" si="153"/>
        <v>94.863659787768924</v>
      </c>
      <c r="BL155" s="51">
        <f t="shared" si="201"/>
        <v>33.084706410995203</v>
      </c>
      <c r="BM155" s="63">
        <f t="shared" si="202"/>
        <v>66.176827286838559</v>
      </c>
    </row>
    <row r="156" spans="14:65" x14ac:dyDescent="0.35">
      <c r="N156" s="11">
        <v>38</v>
      </c>
      <c r="O156" s="52">
        <f t="shared" si="154"/>
        <v>239.88329190194912</v>
      </c>
      <c r="P156" s="50" t="str">
        <f t="shared" si="155"/>
        <v>36.531007751938</v>
      </c>
      <c r="Q156" s="18" t="str">
        <f t="shared" si="156"/>
        <v>1+0.736089643661399i</v>
      </c>
      <c r="R156" s="18">
        <f t="shared" si="167"/>
        <v>1.2417036536571699</v>
      </c>
      <c r="S156" s="18">
        <f t="shared" si="168"/>
        <v>0.63453887854369373</v>
      </c>
      <c r="T156" s="18" t="str">
        <f t="shared" si="157"/>
        <v>1+0.00030144623502324i</v>
      </c>
      <c r="U156" s="18">
        <f t="shared" si="169"/>
        <v>1.0000000454349152</v>
      </c>
      <c r="V156" s="18">
        <f t="shared" si="170"/>
        <v>3.0144622589245088E-4</v>
      </c>
      <c r="W156" s="32" t="str">
        <f t="shared" si="158"/>
        <v>1-0.00499437549150931i</v>
      </c>
      <c r="X156" s="18">
        <f t="shared" si="171"/>
        <v>1.0000124718155021</v>
      </c>
      <c r="Y156" s="18">
        <f t="shared" si="172"/>
        <v>-4.994333965918721E-3</v>
      </c>
      <c r="Z156" s="32" t="str">
        <f t="shared" si="159"/>
        <v>0.99999881107451+0.0022694921362978i</v>
      </c>
      <c r="AA156" s="18">
        <f t="shared" si="173"/>
        <v>1.0000013863715342</v>
      </c>
      <c r="AB156" s="18">
        <f t="shared" si="174"/>
        <v>2.2694909381449206E-3</v>
      </c>
      <c r="AC156" s="68" t="str">
        <f t="shared" si="175"/>
        <v>23.571572319826-17.6051337550749i</v>
      </c>
      <c r="AD156" s="66">
        <f t="shared" si="176"/>
        <v>29.37297055892461</v>
      </c>
      <c r="AE156" s="63">
        <f t="shared" si="177"/>
        <v>-36.75531459114908</v>
      </c>
      <c r="AF156" s="51" t="str">
        <f t="shared" si="178"/>
        <v>42.1703962805665</v>
      </c>
      <c r="AG156" s="51" t="str">
        <f t="shared" si="160"/>
        <v>1+0.132990986039665i</v>
      </c>
      <c r="AH156" s="51">
        <f t="shared" si="179"/>
        <v>1.0088045412109337</v>
      </c>
      <c r="AI156" s="51">
        <f t="shared" si="180"/>
        <v>0.13221514979466867</v>
      </c>
      <c r="AJ156" s="51" t="str">
        <f t="shared" si="161"/>
        <v>1+0.00030144623502324i</v>
      </c>
      <c r="AK156" s="51">
        <f t="shared" si="181"/>
        <v>1.0000000454349152</v>
      </c>
      <c r="AL156" s="51">
        <f t="shared" si="182"/>
        <v>3.0144622589245088E-4</v>
      </c>
      <c r="AM156" s="51" t="str">
        <f t="shared" si="162"/>
        <v>1-0.000781673116125888i</v>
      </c>
      <c r="AN156" s="51">
        <f t="shared" si="183"/>
        <v>1.0000003055063835</v>
      </c>
      <c r="AO156" s="51">
        <f t="shared" si="184"/>
        <v>-7.8167295692183742E-4</v>
      </c>
      <c r="AP156" s="60" t="str">
        <f t="shared" si="185"/>
        <v>41.4348708837437-5.53071569313596i</v>
      </c>
      <c r="AQ156" s="51">
        <f t="shared" si="186"/>
        <v>32.424016119738972</v>
      </c>
      <c r="AR156" s="63">
        <f t="shared" si="187"/>
        <v>-7.6028850358218367</v>
      </c>
      <c r="AS156" s="32" t="str">
        <f t="shared" si="163"/>
        <v>-0.000133283554228113</v>
      </c>
      <c r="AT156" s="32" t="str">
        <f t="shared" si="164"/>
        <v>0.0000920918247995997i</v>
      </c>
      <c r="AU156" s="32">
        <f t="shared" si="188"/>
        <v>9.2091824799599696E-5</v>
      </c>
      <c r="AV156" s="32">
        <f t="shared" si="189"/>
        <v>1.5707963267948966</v>
      </c>
      <c r="AW156" s="32" t="str">
        <f t="shared" si="165"/>
        <v>1+0.0161015730322367i</v>
      </c>
      <c r="AX156" s="32">
        <f t="shared" si="190"/>
        <v>1.0001296219261344</v>
      </c>
      <c r="AY156" s="32">
        <f t="shared" si="191"/>
        <v>1.6100181747201379E-2</v>
      </c>
      <c r="AZ156" s="32" t="str">
        <f t="shared" si="166"/>
        <v>1+0.239952710309674i</v>
      </c>
      <c r="BA156" s="32">
        <f t="shared" si="192"/>
        <v>1.0283857754680188</v>
      </c>
      <c r="BB156" s="32">
        <f t="shared" si="193"/>
        <v>0.23550026608604452</v>
      </c>
      <c r="BC156" s="60" t="str">
        <f t="shared" si="194"/>
        <v>-0.323893484003615+1.45250494607344i</v>
      </c>
      <c r="BD156" s="51">
        <f t="shared" si="195"/>
        <v>3.453105145138085</v>
      </c>
      <c r="BE156" s="63">
        <f t="shared" si="196"/>
        <v>102.57069885743</v>
      </c>
      <c r="BF156" s="60" t="str">
        <f t="shared" si="197"/>
        <v>17.9368651734192+39.9400134895559i</v>
      </c>
      <c r="BG156" s="66">
        <f t="shared" si="198"/>
        <v>32.826075704062696</v>
      </c>
      <c r="BH156" s="63">
        <f t="shared" si="199"/>
        <v>65.815384266280873</v>
      </c>
      <c r="BI156" s="60" t="str">
        <f t="shared" si="152"/>
        <v>-5.38709279016972+61.9757176734354i</v>
      </c>
      <c r="BJ156" s="66">
        <f t="shared" si="200"/>
        <v>35.877121264877061</v>
      </c>
      <c r="BK156" s="63">
        <f t="shared" si="153"/>
        <v>94.967813821608175</v>
      </c>
      <c r="BL156" s="51">
        <f t="shared" si="201"/>
        <v>32.826075704062696</v>
      </c>
      <c r="BM156" s="63">
        <f t="shared" si="202"/>
        <v>65.815384266280873</v>
      </c>
    </row>
    <row r="157" spans="14:65" x14ac:dyDescent="0.35">
      <c r="N157" s="11">
        <v>39</v>
      </c>
      <c r="O157" s="52">
        <f t="shared" si="154"/>
        <v>245.4708915685033</v>
      </c>
      <c r="P157" s="50" t="str">
        <f t="shared" si="155"/>
        <v>36.531007751938</v>
      </c>
      <c r="Q157" s="18" t="str">
        <f t="shared" si="156"/>
        <v>1+0.753235374049145i</v>
      </c>
      <c r="R157" s="18">
        <f t="shared" si="167"/>
        <v>1.2519438999887156</v>
      </c>
      <c r="S157" s="18">
        <f t="shared" si="168"/>
        <v>0.64556853456466246</v>
      </c>
      <c r="T157" s="18" t="str">
        <f t="shared" si="157"/>
        <v>1+0.000308467819848698i</v>
      </c>
      <c r="U157" s="18">
        <f t="shared" si="169"/>
        <v>1.0000000475761968</v>
      </c>
      <c r="V157" s="18">
        <f t="shared" si="170"/>
        <v>3.0846781006488115E-4</v>
      </c>
      <c r="W157" s="32" t="str">
        <f t="shared" si="158"/>
        <v>1-0.00511070944128021i</v>
      </c>
      <c r="X157" s="18">
        <f t="shared" si="171"/>
        <v>1.0000130595902201</v>
      </c>
      <c r="Y157" s="18">
        <f t="shared" si="172"/>
        <v>-5.1106649458396158E-3</v>
      </c>
      <c r="Z157" s="32" t="str">
        <f t="shared" si="159"/>
        <v>0.999998755042178+0.00232235539910981i</v>
      </c>
      <c r="AA157" s="18">
        <f t="shared" si="173"/>
        <v>1.0000014517091991</v>
      </c>
      <c r="AB157" s="18">
        <f t="shared" si="174"/>
        <v>2.3223541152659374E-3</v>
      </c>
      <c r="AC157" s="68" t="str">
        <f t="shared" si="175"/>
        <v>23.1818992569175-17.7216944266159i</v>
      </c>
      <c r="AD157" s="66">
        <f t="shared" si="176"/>
        <v>29.301636926892517</v>
      </c>
      <c r="AE157" s="63">
        <f t="shared" si="177"/>
        <v>-37.396559134609788</v>
      </c>
      <c r="AF157" s="51" t="str">
        <f t="shared" si="178"/>
        <v>42.1703962805665</v>
      </c>
      <c r="AG157" s="51" t="str">
        <f t="shared" si="160"/>
        <v>1+0.136088744050897i</v>
      </c>
      <c r="AH157" s="51">
        <f t="shared" si="179"/>
        <v>1.0092175911355046</v>
      </c>
      <c r="AI157" s="51">
        <f t="shared" si="180"/>
        <v>0.13525783006539818</v>
      </c>
      <c r="AJ157" s="51" t="str">
        <f t="shared" si="161"/>
        <v>1+0.000308467819848698i</v>
      </c>
      <c r="AK157" s="51">
        <f t="shared" si="181"/>
        <v>1.0000000475761968</v>
      </c>
      <c r="AL157" s="51">
        <f t="shared" si="182"/>
        <v>3.0846781006488115E-4</v>
      </c>
      <c r="AM157" s="51" t="str">
        <f t="shared" si="162"/>
        <v>1-0.000799880621985879i</v>
      </c>
      <c r="AN157" s="51">
        <f t="shared" si="183"/>
        <v>1.0000003199044536</v>
      </c>
      <c r="AO157" s="51">
        <f t="shared" si="184"/>
        <v>-7.9988045139566834E-4</v>
      </c>
      <c r="AP157" s="60" t="str">
        <f t="shared" si="185"/>
        <v>41.40083695311-5.65491097620817i</v>
      </c>
      <c r="AQ157" s="51">
        <f t="shared" si="186"/>
        <v>32.420460597627539</v>
      </c>
      <c r="AR157" s="63">
        <f t="shared" si="187"/>
        <v>-7.7778586791926374</v>
      </c>
      <c r="AS157" s="32" t="str">
        <f t="shared" si="163"/>
        <v>-0.000133283554228113</v>
      </c>
      <c r="AT157" s="32" t="str">
        <f t="shared" si="164"/>
        <v>0.0000942369189637774i</v>
      </c>
      <c r="AU157" s="32">
        <f t="shared" si="188"/>
        <v>9.4236918963777399E-5</v>
      </c>
      <c r="AV157" s="32">
        <f t="shared" si="189"/>
        <v>1.5707963267948966</v>
      </c>
      <c r="AW157" s="32" t="str">
        <f t="shared" si="165"/>
        <v>1+0.0164766268485846i</v>
      </c>
      <c r="AX157" s="32">
        <f t="shared" si="190"/>
        <v>1.0001357304047824</v>
      </c>
      <c r="AY157" s="32">
        <f t="shared" si="191"/>
        <v>1.6475136070736911E-2</v>
      </c>
      <c r="AZ157" s="32" t="str">
        <f t="shared" si="166"/>
        <v>1+0.245541926938663i</v>
      </c>
      <c r="BA157" s="32">
        <f t="shared" si="192"/>
        <v>1.0297042477744529</v>
      </c>
      <c r="BB157" s="32">
        <f t="shared" si="193"/>
        <v>0.2407784484811247</v>
      </c>
      <c r="BC157" s="60" t="str">
        <f t="shared" si="194"/>
        <v>-0.323889527559845+1.41968202154586i</v>
      </c>
      <c r="BD157" s="51">
        <f t="shared" si="195"/>
        <v>3.2641809630044434</v>
      </c>
      <c r="BE157" s="63">
        <f t="shared" si="196"/>
        <v>102.85163313191956</v>
      </c>
      <c r="BF157" s="60" t="str">
        <f t="shared" si="197"/>
        <v>17.6507965705331+38.6507968357297i</v>
      </c>
      <c r="BG157" s="66">
        <f t="shared" si="198"/>
        <v>32.565817889896962</v>
      </c>
      <c r="BH157" s="63">
        <f t="shared" si="199"/>
        <v>65.455073997309839</v>
      </c>
      <c r="BI157" s="60" t="str">
        <f t="shared" si="152"/>
        <v>-5.38112207495988+60.6075903437588i</v>
      </c>
      <c r="BJ157" s="66">
        <f t="shared" si="200"/>
        <v>35.684641560631981</v>
      </c>
      <c r="BK157" s="63">
        <f t="shared" si="153"/>
        <v>95.073774452726923</v>
      </c>
      <c r="BL157" s="51">
        <f t="shared" si="201"/>
        <v>32.565817889896962</v>
      </c>
      <c r="BM157" s="63">
        <f t="shared" si="202"/>
        <v>65.455073997309839</v>
      </c>
    </row>
    <row r="158" spans="14:65" x14ac:dyDescent="0.35">
      <c r="N158" s="11">
        <v>40</v>
      </c>
      <c r="O158" s="52">
        <f t="shared" si="154"/>
        <v>251.18864315095806</v>
      </c>
      <c r="P158" s="50" t="str">
        <f t="shared" si="155"/>
        <v>36.531007751938</v>
      </c>
      <c r="Q158" s="18" t="str">
        <f t="shared" si="156"/>
        <v>1+0.770780479802466i</v>
      </c>
      <c r="R158" s="18">
        <f t="shared" si="167"/>
        <v>1.262577739406378</v>
      </c>
      <c r="S158" s="18">
        <f t="shared" si="168"/>
        <v>0.65666850730123494</v>
      </c>
      <c r="T158" s="18" t="str">
        <f t="shared" si="157"/>
        <v>1+0.000315652958395296i</v>
      </c>
      <c r="U158" s="18">
        <f t="shared" si="169"/>
        <v>1.0000000498183939</v>
      </c>
      <c r="V158" s="18">
        <f t="shared" si="170"/>
        <v>3.1565294791174745E-4</v>
      </c>
      <c r="W158" s="32" t="str">
        <f t="shared" si="158"/>
        <v>1-0.00522975315684515i</v>
      </c>
      <c r="X158" s="18">
        <f t="shared" si="171"/>
        <v>1.0000136750655371</v>
      </c>
      <c r="Y158" s="18">
        <f t="shared" si="172"/>
        <v>-5.2297054791567718E-3</v>
      </c>
      <c r="Z158" s="32" t="str">
        <f t="shared" si="159"/>
        <v>0.999998696369123+0.00237645000549445i</v>
      </c>
      <c r="AA158" s="18">
        <f t="shared" si="173"/>
        <v>1.0000015201261316</v>
      </c>
      <c r="AB158" s="18">
        <f t="shared" si="174"/>
        <v>2.376448629831033E-3</v>
      </c>
      <c r="AC158" s="68" t="str">
        <f t="shared" si="175"/>
        <v>22.7872420432933-17.8302916010966i</v>
      </c>
      <c r="AD158" s="66">
        <f t="shared" si="176"/>
        <v>29.228176507000875</v>
      </c>
      <c r="AE158" s="63">
        <f t="shared" si="177"/>
        <v>-38.042048954581269</v>
      </c>
      <c r="AF158" s="51" t="str">
        <f t="shared" si="178"/>
        <v>42.1703962805665</v>
      </c>
      <c r="AG158" s="51" t="str">
        <f t="shared" si="160"/>
        <v>1+0.139258658115572i</v>
      </c>
      <c r="AH158" s="51">
        <f t="shared" si="179"/>
        <v>1.0096499263904049</v>
      </c>
      <c r="AI158" s="51">
        <f t="shared" si="180"/>
        <v>0.13836877668740424</v>
      </c>
      <c r="AJ158" s="51" t="str">
        <f t="shared" si="161"/>
        <v>1+0.000315652958395296i</v>
      </c>
      <c r="AK158" s="51">
        <f t="shared" si="181"/>
        <v>1.0000000498183939</v>
      </c>
      <c r="AL158" s="51">
        <f t="shared" si="182"/>
        <v>3.1565294791174745E-4</v>
      </c>
      <c r="AM158" s="51" t="str">
        <f t="shared" si="162"/>
        <v>1-0.000818512235139324i</v>
      </c>
      <c r="AN158" s="51">
        <f t="shared" si="183"/>
        <v>1.0000003349810833</v>
      </c>
      <c r="AO158" s="51">
        <f t="shared" si="184"/>
        <v>-8.1851205234862335E-4</v>
      </c>
      <c r="AP158" s="60" t="str">
        <f t="shared" si="185"/>
        <v>41.3652587073577-5.78167619516377i</v>
      </c>
      <c r="AQ158" s="51">
        <f t="shared" si="186"/>
        <v>32.416740626418878</v>
      </c>
      <c r="AR158" s="63">
        <f t="shared" si="187"/>
        <v>-7.9567586249504014</v>
      </c>
      <c r="AS158" s="32" t="str">
        <f t="shared" si="163"/>
        <v>-0.000133283554228113</v>
      </c>
      <c r="AT158" s="32" t="str">
        <f t="shared" si="164"/>
        <v>0.0000964319787897627i</v>
      </c>
      <c r="AU158" s="32">
        <f t="shared" si="188"/>
        <v>9.6431978789762699E-5</v>
      </c>
      <c r="AV158" s="32">
        <f t="shared" si="189"/>
        <v>1.5707963267948966</v>
      </c>
      <c r="AW158" s="32" t="str">
        <f t="shared" si="165"/>
        <v>1+0.0168604167905816i</v>
      </c>
      <c r="AX158" s="32">
        <f t="shared" si="190"/>
        <v>1.0001421267271726</v>
      </c>
      <c r="AY158" s="32">
        <f t="shared" si="191"/>
        <v>1.6858819405597778E-2</v>
      </c>
      <c r="AZ158" s="32" t="str">
        <f t="shared" si="166"/>
        <v>1+0.251261333147447i</v>
      </c>
      <c r="BA158" s="32">
        <f t="shared" si="192"/>
        <v>1.0310830507456867</v>
      </c>
      <c r="BB158" s="32">
        <f t="shared" si="193"/>
        <v>0.24616544743055715</v>
      </c>
      <c r="BC158" s="60" t="str">
        <f t="shared" si="194"/>
        <v>-0.323885384758224+1.38761182507342i</v>
      </c>
      <c r="BD158" s="51">
        <f t="shared" si="195"/>
        <v>3.0757482837417598</v>
      </c>
      <c r="BE158" s="63">
        <f t="shared" si="196"/>
        <v>103.13830200020648</v>
      </c>
      <c r="BF158" s="60" t="str">
        <f t="shared" si="197"/>
        <v>17.3610688134181+37.3948173756565i</v>
      </c>
      <c r="BG158" s="66">
        <f t="shared" si="198"/>
        <v>32.303924790742634</v>
      </c>
      <c r="BH158" s="63">
        <f t="shared" si="199"/>
        <v>65.096253045625218</v>
      </c>
      <c r="BI158" s="60" t="str">
        <f t="shared" si="152"/>
        <v>-5.37488047490128+59.2715225485689i</v>
      </c>
      <c r="BJ158" s="66">
        <f t="shared" si="200"/>
        <v>35.492488910160645</v>
      </c>
      <c r="BK158" s="63">
        <f t="shared" si="153"/>
        <v>95.181543375256084</v>
      </c>
      <c r="BL158" s="51">
        <f t="shared" si="201"/>
        <v>32.303924790742634</v>
      </c>
      <c r="BM158" s="63">
        <f t="shared" si="202"/>
        <v>65.096253045625218</v>
      </c>
    </row>
    <row r="159" spans="14:65" x14ac:dyDescent="0.35">
      <c r="N159" s="11">
        <v>41</v>
      </c>
      <c r="O159" s="52">
        <f t="shared" si="154"/>
        <v>257.03957827688663</v>
      </c>
      <c r="P159" s="50" t="str">
        <f t="shared" si="155"/>
        <v>36.531007751938</v>
      </c>
      <c r="Q159" s="18" t="str">
        <f t="shared" si="156"/>
        <v>1+0.788734263568659i</v>
      </c>
      <c r="R159" s="18">
        <f t="shared" si="167"/>
        <v>1.2736175793884108</v>
      </c>
      <c r="S159" s="18">
        <f t="shared" si="168"/>
        <v>0.66783374159452991</v>
      </c>
      <c r="T159" s="18" t="str">
        <f t="shared" si="157"/>
        <v>1+0.000323005460318594i</v>
      </c>
      <c r="U159" s="18">
        <f t="shared" si="169"/>
        <v>1.0000000521662624</v>
      </c>
      <c r="V159" s="18">
        <f t="shared" si="170"/>
        <v>3.2300544908526937E-4</v>
      </c>
      <c r="W159" s="32" t="str">
        <f t="shared" si="158"/>
        <v>1-0.00535156975675777i</v>
      </c>
      <c r="X159" s="18">
        <f t="shared" si="171"/>
        <v>1.000014319546906</v>
      </c>
      <c r="Y159" s="18">
        <f t="shared" si="172"/>
        <v>-5.351518669233753E-3</v>
      </c>
      <c r="Z159" s="32" t="str">
        <f t="shared" si="159"/>
        <v>0.999998634930893+0.00243180463712803i</v>
      </c>
      <c r="AA159" s="18">
        <f t="shared" si="173"/>
        <v>1.0000015917674545</v>
      </c>
      <c r="AB159" s="18">
        <f t="shared" si="174"/>
        <v>2.4318031630782061E-3</v>
      </c>
      <c r="AC159" s="68" t="str">
        <f t="shared" si="175"/>
        <v>22.387930660478-17.9306618328411i</v>
      </c>
      <c r="AD159" s="66">
        <f t="shared" si="176"/>
        <v>29.152563164997876</v>
      </c>
      <c r="AE159" s="63">
        <f t="shared" si="177"/>
        <v>-38.691499452388157</v>
      </c>
      <c r="AF159" s="51" t="str">
        <f t="shared" si="178"/>
        <v>42.1703962805665</v>
      </c>
      <c r="AG159" s="51" t="str">
        <f t="shared" si="160"/>
        <v>1+0.142502408964086i</v>
      </c>
      <c r="AH159" s="51">
        <f t="shared" si="179"/>
        <v>1.0101024386469759</v>
      </c>
      <c r="AI159" s="51">
        <f t="shared" si="180"/>
        <v>0.14154939813739956</v>
      </c>
      <c r="AJ159" s="51" t="str">
        <f t="shared" si="161"/>
        <v>1+0.000323005460318594i</v>
      </c>
      <c r="AK159" s="51">
        <f t="shared" si="181"/>
        <v>1.0000000521662624</v>
      </c>
      <c r="AL159" s="51">
        <f t="shared" si="182"/>
        <v>3.2300544908526937E-4</v>
      </c>
      <c r="AM159" s="51" t="str">
        <f t="shared" si="162"/>
        <v>1-0.000837577834314125i</v>
      </c>
      <c r="AN159" s="51">
        <f t="shared" si="183"/>
        <v>1.0000003507682527</v>
      </c>
      <c r="AO159" s="51">
        <f t="shared" si="184"/>
        <v>-8.3757763845036413E-4</v>
      </c>
      <c r="AP159" s="60" t="str">
        <f t="shared" si="185"/>
        <v>41.328068952543-5.91104910449765i</v>
      </c>
      <c r="AQ159" s="51">
        <f t="shared" si="186"/>
        <v>32.412848750781407</v>
      </c>
      <c r="AR159" s="63">
        <f t="shared" si="187"/>
        <v>-8.139665920595375</v>
      </c>
      <c r="AS159" s="32" t="str">
        <f t="shared" si="163"/>
        <v>-0.000133283554228113</v>
      </c>
      <c r="AT159" s="32" t="str">
        <f t="shared" si="164"/>
        <v>0.0000986781681273305i</v>
      </c>
      <c r="AU159" s="32">
        <f t="shared" si="188"/>
        <v>9.8678168127330505E-5</v>
      </c>
      <c r="AV159" s="32">
        <f t="shared" si="189"/>
        <v>1.5707963267948966</v>
      </c>
      <c r="AW159" s="32" t="str">
        <f t="shared" si="165"/>
        <v>1+0.0172531463487349i</v>
      </c>
      <c r="AX159" s="32">
        <f t="shared" si="190"/>
        <v>1.0001488244551062</v>
      </c>
      <c r="AY159" s="32">
        <f t="shared" si="191"/>
        <v>1.7251434733642296E-2</v>
      </c>
      <c r="AZ159" s="32" t="str">
        <f t="shared" si="166"/>
        <v>1+0.257113961440902i</v>
      </c>
      <c r="BA159" s="32">
        <f t="shared" si="192"/>
        <v>1.0325248612831719</v>
      </c>
      <c r="BB159" s="32">
        <f t="shared" si="193"/>
        <v>0.25166286802037008</v>
      </c>
      <c r="BC159" s="60" t="str">
        <f t="shared" si="194"/>
        <v>-0.323881046825963+1.35627735217427i</v>
      </c>
      <c r="BD159" s="51">
        <f t="shared" si="195"/>
        <v>2.8878275086370837</v>
      </c>
      <c r="BE159" s="63">
        <f t="shared" si="196"/>
        <v>103.43078579694195</v>
      </c>
      <c r="BF159" s="60" t="str">
        <f t="shared" si="197"/>
        <v>17.0679241347953+36.1716448415572i</v>
      </c>
      <c r="BG159" s="66">
        <f t="shared" si="198"/>
        <v>32.040390673634967</v>
      </c>
      <c r="BH159" s="63">
        <f t="shared" si="199"/>
        <v>64.73928634455379</v>
      </c>
      <c r="BI159" s="60" t="str">
        <f t="shared" si="152"/>
        <v>-5.36835620762505+57.966800701235i</v>
      </c>
      <c r="BJ159" s="66">
        <f t="shared" si="200"/>
        <v>35.300676259418481</v>
      </c>
      <c r="BK159" s="63">
        <f t="shared" si="153"/>
        <v>95.291119876346571</v>
      </c>
      <c r="BL159" s="51">
        <f t="shared" si="201"/>
        <v>32.040390673634967</v>
      </c>
      <c r="BM159" s="63">
        <f t="shared" si="202"/>
        <v>64.73928634455379</v>
      </c>
    </row>
    <row r="160" spans="14:65" x14ac:dyDescent="0.35">
      <c r="N160" s="11">
        <v>42</v>
      </c>
      <c r="O160" s="52">
        <f t="shared" si="154"/>
        <v>263.02679918953817</v>
      </c>
      <c r="P160" s="50" t="str">
        <f t="shared" si="155"/>
        <v>36.531007751938</v>
      </c>
      <c r="Q160" s="18" t="str">
        <f t="shared" si="156"/>
        <v>1+0.807106244681529i</v>
      </c>
      <c r="R160" s="18">
        <f t="shared" si="167"/>
        <v>1.2850760639759502</v>
      </c>
      <c r="S160" s="18">
        <f t="shared" si="168"/>
        <v>0.67905902286024356</v>
      </c>
      <c r="T160" s="18" t="str">
        <f t="shared" si="157"/>
        <v>1+0.000330529224012436i</v>
      </c>
      <c r="U160" s="18">
        <f t="shared" si="169"/>
        <v>1.0000000546247825</v>
      </c>
      <c r="V160" s="18">
        <f t="shared" si="170"/>
        <v>3.3052921197571186E-4</v>
      </c>
      <c r="W160" s="32" t="str">
        <f t="shared" si="158"/>
        <v>1-0.00547622382979184i</v>
      </c>
      <c r="X160" s="18">
        <f t="shared" si="171"/>
        <v>1.000014994401301</v>
      </c>
      <c r="Y160" s="18">
        <f t="shared" si="172"/>
        <v>-5.4761690885679294E-3</v>
      </c>
      <c r="Z160" s="32" t="str">
        <f t="shared" si="159"/>
        <v>0.999998570597168+0.00248844864376895i</v>
      </c>
      <c r="AA160" s="18">
        <f t="shared" si="173"/>
        <v>1.0000016667851268</v>
      </c>
      <c r="AB160" s="18">
        <f t="shared" si="174"/>
        <v>2.4884470642962029E-3</v>
      </c>
      <c r="AC160" s="68" t="str">
        <f t="shared" si="175"/>
        <v>21.9843128934628-18.0225581337502i</v>
      </c>
      <c r="AD160" s="66">
        <f t="shared" si="176"/>
        <v>29.07477260543763</v>
      </c>
      <c r="AE160" s="63">
        <f t="shared" si="177"/>
        <v>-39.344617012318452</v>
      </c>
      <c r="AF160" s="51" t="str">
        <f t="shared" si="178"/>
        <v>42.1703962805665</v>
      </c>
      <c r="AG160" s="51" t="str">
        <f t="shared" si="160"/>
        <v>1+0.145821716476075i</v>
      </c>
      <c r="AH160" s="51">
        <f t="shared" si="179"/>
        <v>1.0105760599757097</v>
      </c>
      <c r="AI160" s="51">
        <f t="shared" si="180"/>
        <v>0.14480112327781641</v>
      </c>
      <c r="AJ160" s="51" t="str">
        <f t="shared" si="161"/>
        <v>1+0.000330529224012436i</v>
      </c>
      <c r="AK160" s="51">
        <f t="shared" si="181"/>
        <v>1.0000000546247825</v>
      </c>
      <c r="AL160" s="51">
        <f t="shared" si="182"/>
        <v>3.3052921197571186E-4</v>
      </c>
      <c r="AM160" s="51" t="str">
        <f t="shared" si="162"/>
        <v>1-0.000857087528343334i</v>
      </c>
      <c r="AN160" s="51">
        <f t="shared" si="183"/>
        <v>1.0000003672994482</v>
      </c>
      <c r="AO160" s="51">
        <f t="shared" si="184"/>
        <v>-8.570873184715372E-4</v>
      </c>
      <c r="AP160" s="60" t="str">
        <f t="shared" si="185"/>
        <v>41.2891978428172-6.04306687371831i</v>
      </c>
      <c r="AQ160" s="51">
        <f t="shared" si="186"/>
        <v>32.408777191627543</v>
      </c>
      <c r="AR160" s="63">
        <f t="shared" si="187"/>
        <v>-8.3266627897430254</v>
      </c>
      <c r="AS160" s="32" t="str">
        <f t="shared" si="163"/>
        <v>-0.000133283554228113</v>
      </c>
      <c r="AT160" s="32" t="str">
        <f t="shared" si="164"/>
        <v>0.000100976677935799i</v>
      </c>
      <c r="AU160" s="32">
        <f t="shared" si="188"/>
        <v>1.00976677935799E-4</v>
      </c>
      <c r="AV160" s="32">
        <f t="shared" si="189"/>
        <v>1.5707963267948966</v>
      </c>
      <c r="AW160" s="32" t="str">
        <f t="shared" si="165"/>
        <v>1+0.0176550237534546i</v>
      </c>
      <c r="AX160" s="32">
        <f t="shared" si="190"/>
        <v>1.0001558377891593</v>
      </c>
      <c r="AY160" s="32">
        <f t="shared" si="191"/>
        <v>1.7653189740273315E-2</v>
      </c>
      <c r="AZ160" s="32" t="str">
        <f t="shared" si="166"/>
        <v>1+0.263102914960019i</v>
      </c>
      <c r="BA160" s="32">
        <f t="shared" si="192"/>
        <v>1.0340324675078916</v>
      </c>
      <c r="BB160" s="32">
        <f t="shared" si="193"/>
        <v>0.25727229536491164</v>
      </c>
      <c r="BC160" s="60" t="str">
        <f t="shared" si="194"/>
        <v>-0.323876504577797+1.32566198842554i</v>
      </c>
      <c r="BD160" s="51">
        <f t="shared" si="195"/>
        <v>2.7004397587116418</v>
      </c>
      <c r="BE160" s="63">
        <f t="shared" si="196"/>
        <v>103.72916344299131</v>
      </c>
      <c r="BF160" s="60" t="str">
        <f t="shared" si="197"/>
        <v>16.7716178366229+34.9808510764263i</v>
      </c>
      <c r="BG160" s="66">
        <f t="shared" si="198"/>
        <v>31.775212364149276</v>
      </c>
      <c r="BH160" s="63">
        <f t="shared" si="199"/>
        <v>64.384546430672799</v>
      </c>
      <c r="BI160" s="60" t="str">
        <f t="shared" si="152"/>
        <v>-5.36153702615082+56.6927274887943i</v>
      </c>
      <c r="BJ160" s="66">
        <f t="shared" si="200"/>
        <v>35.109216950339174</v>
      </c>
      <c r="BK160" s="63">
        <f t="shared" si="153"/>
        <v>95.402500653248282</v>
      </c>
      <c r="BL160" s="51">
        <f t="shared" si="201"/>
        <v>31.775212364149276</v>
      </c>
      <c r="BM160" s="63">
        <f t="shared" si="202"/>
        <v>64.384546430672799</v>
      </c>
    </row>
    <row r="161" spans="14:65" x14ac:dyDescent="0.35">
      <c r="N161" s="11">
        <v>43</v>
      </c>
      <c r="O161" s="52">
        <f t="shared" si="154"/>
        <v>269.15348039269179</v>
      </c>
      <c r="P161" s="50" t="str">
        <f t="shared" si="155"/>
        <v>36.531007751938</v>
      </c>
      <c r="Q161" s="18" t="str">
        <f t="shared" si="156"/>
        <v>1+0.825906164208646i</v>
      </c>
      <c r="R161" s="18">
        <f t="shared" si="167"/>
        <v>1.2969660720611929</v>
      </c>
      <c r="S161" s="18">
        <f t="shared" si="168"/>
        <v>0.69033898781424397</v>
      </c>
      <c r="T161" s="18" t="str">
        <f t="shared" si="157"/>
        <v>1+0.000338228238675922i</v>
      </c>
      <c r="U161" s="18">
        <f t="shared" si="169"/>
        <v>1.0000000571991692</v>
      </c>
      <c r="V161" s="18">
        <f t="shared" si="170"/>
        <v>3.382282257783397E-4</v>
      </c>
      <c r="W161" s="32" t="str">
        <f t="shared" si="158"/>
        <v>1-0.00560378146918688i</v>
      </c>
      <c r="X161" s="18">
        <f t="shared" si="171"/>
        <v>1.0000157010601156</v>
      </c>
      <c r="Y161" s="18">
        <f t="shared" si="172"/>
        <v>-5.6037228129584065E-3</v>
      </c>
      <c r="Z161" s="32" t="str">
        <f t="shared" si="159"/>
        <v>0.999998503231487+0.00254641205881932i</v>
      </c>
      <c r="AA161" s="18">
        <f t="shared" si="173"/>
        <v>1.0000017453382708</v>
      </c>
      <c r="AB161" s="18">
        <f t="shared" si="174"/>
        <v>2.5464103663838909E-3</v>
      </c>
      <c r="AC161" s="68" t="str">
        <f t="shared" si="175"/>
        <v>21.5767532889015-18.1057514016921i</v>
      </c>
      <c r="AD161" s="66">
        <f t="shared" si="176"/>
        <v>28.994782465494108</v>
      </c>
      <c r="AE161" s="63">
        <f t="shared" si="177"/>
        <v>-40.001099618885881</v>
      </c>
      <c r="AF161" s="51" t="str">
        <f t="shared" si="178"/>
        <v>42.1703962805665</v>
      </c>
      <c r="AG161" s="51" t="str">
        <f t="shared" si="160"/>
        <v>1+0.149218340592319i</v>
      </c>
      <c r="AH161" s="51">
        <f t="shared" si="179"/>
        <v>1.011071764598896</v>
      </c>
      <c r="AI161" s="51">
        <f t="shared" si="180"/>
        <v>0.14812540101034249</v>
      </c>
      <c r="AJ161" s="51" t="str">
        <f t="shared" si="161"/>
        <v>1+0.000338228238675922i</v>
      </c>
      <c r="AK161" s="51">
        <f t="shared" si="181"/>
        <v>1.0000000571991692</v>
      </c>
      <c r="AL161" s="51">
        <f t="shared" si="182"/>
        <v>3.382282257783397E-4</v>
      </c>
      <c r="AM161" s="51" t="str">
        <f t="shared" si="162"/>
        <v>1-0.000877051661524967i</v>
      </c>
      <c r="AN161" s="51">
        <f t="shared" si="183"/>
        <v>1.0000003846097345</v>
      </c>
      <c r="AO161" s="51">
        <f t="shared" si="184"/>
        <v>-8.7705143664328967E-4</v>
      </c>
      <c r="AP161" s="60" t="str">
        <f t="shared" si="185"/>
        <v>41.2485728016651-6.17776598253272i</v>
      </c>
      <c r="AQ161" s="51">
        <f t="shared" si="186"/>
        <v>32.404517833396532</v>
      </c>
      <c r="AR161" s="63">
        <f t="shared" si="187"/>
        <v>-8.5178326124617278</v>
      </c>
      <c r="AS161" s="32" t="str">
        <f t="shared" si="163"/>
        <v>-0.000133283554228113</v>
      </c>
      <c r="AT161" s="32" t="str">
        <f t="shared" si="164"/>
        <v>0.000103328726915494i</v>
      </c>
      <c r="AU161" s="32">
        <f t="shared" si="188"/>
        <v>1.03328726915494E-4</v>
      </c>
      <c r="AV161" s="32">
        <f t="shared" si="189"/>
        <v>1.5707963267948966</v>
      </c>
      <c r="AW161" s="32" t="str">
        <f t="shared" si="165"/>
        <v>1+0.0180662620854604i</v>
      </c>
      <c r="AX161" s="32">
        <f t="shared" si="190"/>
        <v>1.0001631815987533</v>
      </c>
      <c r="AY161" s="32">
        <f t="shared" si="191"/>
        <v>1.8064296922246995E-2</v>
      </c>
      <c r="AZ161" s="32" t="str">
        <f t="shared" si="166"/>
        <v>1+0.269231369127227i</v>
      </c>
      <c r="BA161" s="32">
        <f t="shared" si="192"/>
        <v>1.0356087727139633</v>
      </c>
      <c r="BB161" s="32">
        <f t="shared" si="193"/>
        <v>0.26299529103256691</v>
      </c>
      <c r="BC161" s="60" t="str">
        <f t="shared" si="194"/>
        <v>-0.323871748396619+1.29574950065194i</v>
      </c>
      <c r="BD161" s="51">
        <f t="shared" si="195"/>
        <v>2.5136068886713208</v>
      </c>
      <c r="BE161" s="63">
        <f t="shared" si="196"/>
        <v>104.03351223446498</v>
      </c>
      <c r="BF161" s="60" t="str">
        <f t="shared" si="197"/>
        <v>16.4724175252717+33.8220086622848i</v>
      </c>
      <c r="BG161" s="66">
        <f t="shared" si="198"/>
        <v>31.508389354165438</v>
      </c>
      <c r="BH161" s="63">
        <f t="shared" si="199"/>
        <v>64.032412615579076</v>
      </c>
      <c r="BI161" s="60" t="str">
        <f t="shared" si="152"/>
        <v>-5.35441020512919+55.4486214803108i</v>
      </c>
      <c r="BJ161" s="66">
        <f t="shared" si="200"/>
        <v>34.918124722067859</v>
      </c>
      <c r="BK161" s="63">
        <f t="shared" si="153"/>
        <v>95.515679622003248</v>
      </c>
      <c r="BL161" s="51">
        <f t="shared" si="201"/>
        <v>31.508389354165438</v>
      </c>
      <c r="BM161" s="63">
        <f t="shared" si="202"/>
        <v>64.032412615579076</v>
      </c>
    </row>
    <row r="162" spans="14:65" x14ac:dyDescent="0.35">
      <c r="N162" s="11">
        <v>44</v>
      </c>
      <c r="O162" s="52">
        <f t="shared" si="154"/>
        <v>275.42287033381683</v>
      </c>
      <c r="P162" s="50" t="str">
        <f t="shared" si="155"/>
        <v>36.531007751938</v>
      </c>
      <c r="Q162" s="18" t="str">
        <f t="shared" si="156"/>
        <v>1+0.845143990116187i</v>
      </c>
      <c r="R162" s="18">
        <f t="shared" si="167"/>
        <v>1.3093007156606575</v>
      </c>
      <c r="S162" s="18">
        <f t="shared" si="168"/>
        <v>0.70166813606677714</v>
      </c>
      <c r="T162" s="18" t="str">
        <f t="shared" si="157"/>
        <v>1+0.000346106586428534i</v>
      </c>
      <c r="U162" s="18">
        <f t="shared" si="169"/>
        <v>1.0000000598948828</v>
      </c>
      <c r="V162" s="18">
        <f t="shared" si="170"/>
        <v>3.4610657260852559E-4</v>
      </c>
      <c r="W162" s="32" t="str">
        <f t="shared" si="158"/>
        <v>1-0.00573431030769169i</v>
      </c>
      <c r="X162" s="18">
        <f t="shared" si="171"/>
        <v>1.0000164410221988</v>
      </c>
      <c r="Y162" s="18">
        <f t="shared" si="172"/>
        <v>-5.7342474564663175E-3</v>
      </c>
      <c r="Z162" s="32" t="str">
        <f t="shared" si="159"/>
        <v>0.999998432690961+0.00260572561524902i</v>
      </c>
      <c r="AA162" s="18">
        <f t="shared" si="173"/>
        <v>1.0000018275935103</v>
      </c>
      <c r="AB162" s="18">
        <f t="shared" si="174"/>
        <v>2.6057238017719035E-3</v>
      </c>
      <c r="AC162" s="68" t="str">
        <f t="shared" si="175"/>
        <v>21.1656319793271-18.1800317719104i</v>
      </c>
      <c r="AD162" s="66">
        <f t="shared" si="176"/>
        <v>28.912572402760258</v>
      </c>
      <c r="AE162" s="63">
        <f t="shared" si="177"/>
        <v>-40.660637523922851</v>
      </c>
      <c r="AF162" s="51" t="str">
        <f t="shared" si="178"/>
        <v>42.1703962805665</v>
      </c>
      <c r="AG162" s="51" t="str">
        <f t="shared" si="160"/>
        <v>1+0.152694082247883i</v>
      </c>
      <c r="AH162" s="51">
        <f t="shared" si="179"/>
        <v>1.0115905707120463</v>
      </c>
      <c r="AI162" s="51">
        <f t="shared" si="180"/>
        <v>0.15152369987042208</v>
      </c>
      <c r="AJ162" s="51" t="str">
        <f t="shared" si="161"/>
        <v>1+0.000346106586428534i</v>
      </c>
      <c r="AK162" s="51">
        <f t="shared" si="181"/>
        <v>1.0000000598948828</v>
      </c>
      <c r="AL162" s="51">
        <f t="shared" si="182"/>
        <v>3.4610657260852559E-4</v>
      </c>
      <c r="AM162" s="51" t="str">
        <f t="shared" si="162"/>
        <v>1-0.000897480819106693i</v>
      </c>
      <c r="AN162" s="51">
        <f t="shared" si="183"/>
        <v>1.0000004027358291</v>
      </c>
      <c r="AO162" s="51">
        <f t="shared" si="184"/>
        <v>-8.9748057814163968E-4</v>
      </c>
      <c r="AP162" s="60" t="str">
        <f t="shared" si="185"/>
        <v>41.2061184434031-6.31518210860393i</v>
      </c>
      <c r="AQ162" s="51">
        <f t="shared" si="186"/>
        <v>32.400062210965281</v>
      </c>
      <c r="AR162" s="63">
        <f t="shared" si="187"/>
        <v>-8.7132599022324317</v>
      </c>
      <c r="AS162" s="32" t="str">
        <f t="shared" si="163"/>
        <v>-0.000133283554228113</v>
      </c>
      <c r="AT162" s="32" t="str">
        <f t="shared" si="164"/>
        <v>0.000105735562153917i</v>
      </c>
      <c r="AU162" s="32">
        <f t="shared" si="188"/>
        <v>1.0573556215391699E-4</v>
      </c>
      <c r="AV162" s="32">
        <f t="shared" si="189"/>
        <v>1.5707963267948966</v>
      </c>
      <c r="AW162" s="32" t="str">
        <f t="shared" si="165"/>
        <v>1+0.0184870793887592i</v>
      </c>
      <c r="AX162" s="32">
        <f t="shared" si="190"/>
        <v>1.0001708714536361</v>
      </c>
      <c r="AY162" s="32">
        <f t="shared" si="191"/>
        <v>1.8484973697866999E-2</v>
      </c>
      <c r="AZ162" s="32" t="str">
        <f t="shared" si="166"/>
        <v>1+0.275502573330045i</v>
      </c>
      <c r="BA162" s="32">
        <f t="shared" si="192"/>
        <v>1.0372567994047939</v>
      </c>
      <c r="BB162" s="32">
        <f t="shared" si="193"/>
        <v>0.26883338926811573</v>
      </c>
      <c r="BC162" s="60" t="str">
        <f t="shared" si="194"/>
        <v>-0.323866768213246+1.2665240283163i</v>
      </c>
      <c r="BD162" s="51">
        <f t="shared" si="195"/>
        <v>2.3273515000259826</v>
      </c>
      <c r="BE162" s="63">
        <f t="shared" si="196"/>
        <v>104.34390761996248</v>
      </c>
      <c r="BF162" s="60" t="str">
        <f t="shared" si="197"/>
        <v>16.1706022483427+32.6946896123004i</v>
      </c>
      <c r="BG162" s="66">
        <f t="shared" si="198"/>
        <v>31.239923902786238</v>
      </c>
      <c r="BH162" s="63">
        <f t="shared" si="199"/>
        <v>63.683270096039607</v>
      </c>
      <c r="BI162" s="60" t="str">
        <f t="shared" si="152"/>
        <v>-5.34696252713712+54.2338167424091i</v>
      </c>
      <c r="BJ162" s="66">
        <f t="shared" si="200"/>
        <v>34.727413710991264</v>
      </c>
      <c r="BK162" s="63">
        <f t="shared" si="153"/>
        <v>95.630647717730071</v>
      </c>
      <c r="BL162" s="51">
        <f t="shared" si="201"/>
        <v>31.239923902786238</v>
      </c>
      <c r="BM162" s="63">
        <f t="shared" si="202"/>
        <v>63.683270096039607</v>
      </c>
    </row>
    <row r="163" spans="14:65" x14ac:dyDescent="0.35">
      <c r="N163" s="11">
        <v>45</v>
      </c>
      <c r="O163" s="52">
        <f t="shared" si="154"/>
        <v>281.83829312644554</v>
      </c>
      <c r="P163" s="50" t="str">
        <f t="shared" si="155"/>
        <v>36.531007751938</v>
      </c>
      <c r="Q163" s="18" t="str">
        <f t="shared" si="156"/>
        <v>1+0.864829922554089i</v>
      </c>
      <c r="R163" s="18">
        <f t="shared" si="167"/>
        <v>1.3220933382121367</v>
      </c>
      <c r="S163" s="18">
        <f t="shared" si="168"/>
        <v>0.71304084253270228</v>
      </c>
      <c r="T163" s="18" t="str">
        <f t="shared" si="157"/>
        <v>1+0.000354168444474532i</v>
      </c>
      <c r="U163" s="18">
        <f t="shared" si="169"/>
        <v>1.0000000627176415</v>
      </c>
      <c r="V163" s="18">
        <f t="shared" si="170"/>
        <v>3.5416842966612633E-4</v>
      </c>
      <c r="W163" s="32" t="str">
        <f t="shared" si="158"/>
        <v>1-0.0058678795534242i</v>
      </c>
      <c r="X163" s="18">
        <f t="shared" si="171"/>
        <v>1.000017215857034</v>
      </c>
      <c r="Y163" s="18">
        <f t="shared" si="172"/>
        <v>-5.8678122071854737E-3</v>
      </c>
      <c r="Z163" s="32" t="str">
        <f t="shared" si="159"/>
        <v>0.999998358825961+0.00266642076189078i</v>
      </c>
      <c r="AA163" s="18">
        <f t="shared" si="173"/>
        <v>1.0000019137253164</v>
      </c>
      <c r="AB163" s="18">
        <f t="shared" si="174"/>
        <v>2.6664188187151784E-3</v>
      </c>
      <c r="AC163" s="68" t="str">
        <f t="shared" si="175"/>
        <v>20.7513433799708-18.245209877097i</v>
      </c>
      <c r="AD163" s="66">
        <f t="shared" si="176"/>
        <v>28.828124176322724</v>
      </c>
      <c r="AE163" s="63">
        <f t="shared" si="177"/>
        <v>-41.322913960493203</v>
      </c>
      <c r="AF163" s="51" t="str">
        <f t="shared" si="178"/>
        <v>42.1703962805665</v>
      </c>
      <c r="AG163" s="51" t="str">
        <f t="shared" si="160"/>
        <v>1+0.156250784327i</v>
      </c>
      <c r="AH163" s="51">
        <f t="shared" si="179"/>
        <v>1.0121335423761051</v>
      </c>
      <c r="AI163" s="51">
        <f t="shared" si="180"/>
        <v>0.15499750755859484</v>
      </c>
      <c r="AJ163" s="51" t="str">
        <f t="shared" si="161"/>
        <v>1+0.000354168444474532i</v>
      </c>
      <c r="AK163" s="51">
        <f t="shared" si="181"/>
        <v>1.0000000627176415</v>
      </c>
      <c r="AL163" s="51">
        <f t="shared" si="182"/>
        <v>3.5416842966612633E-4</v>
      </c>
      <c r="AM163" s="51" t="str">
        <f t="shared" si="162"/>
        <v>1-0.00091838583289827i</v>
      </c>
      <c r="AN163" s="51">
        <f t="shared" si="183"/>
        <v>1.0000004217161802</v>
      </c>
      <c r="AO163" s="51">
        <f t="shared" si="184"/>
        <v>-9.1838557469956926E-4</v>
      </c>
      <c r="AP163" s="60" t="str">
        <f t="shared" si="185"/>
        <v>41.1617564952676-6.45535000752076i</v>
      </c>
      <c r="AQ163" s="51">
        <f t="shared" si="186"/>
        <v>32.395401496189486</v>
      </c>
      <c r="AR163" s="63">
        <f t="shared" si="187"/>
        <v>-8.9130302792938902</v>
      </c>
      <c r="AS163" s="32" t="str">
        <f t="shared" si="163"/>
        <v>-0.000133283554228113</v>
      </c>
      <c r="AT163" s="32" t="str">
        <f t="shared" si="164"/>
        <v>0.000108198459786969i</v>
      </c>
      <c r="AU163" s="32">
        <f t="shared" si="188"/>
        <v>1.0819845978696901E-4</v>
      </c>
      <c r="AV163" s="32">
        <f t="shared" si="189"/>
        <v>1.5707963267948966</v>
      </c>
      <c r="AW163" s="32" t="str">
        <f t="shared" si="165"/>
        <v>1+0.0189176987862552i</v>
      </c>
      <c r="AX163" s="32">
        <f t="shared" si="190"/>
        <v>1.0001789236568464</v>
      </c>
      <c r="AY163" s="32">
        <f t="shared" si="191"/>
        <v>1.8915442519612444E-2</v>
      </c>
      <c r="AZ163" s="32" t="str">
        <f t="shared" si="166"/>
        <v>1+0.28191985264395i</v>
      </c>
      <c r="BA163" s="32">
        <f t="shared" si="192"/>
        <v>1.0389796934082911</v>
      </c>
      <c r="BB163" s="32">
        <f t="shared" si="193"/>
        <v>0.27478809300799606</v>
      </c>
      <c r="BC163" s="60" t="str">
        <f t="shared" si="194"/>
        <v>-0.32386155348522+1.23797007510756i</v>
      </c>
      <c r="BD163" s="51">
        <f t="shared" si="195"/>
        <v>2.1416969532496353</v>
      </c>
      <c r="BE163" s="63">
        <f t="shared" si="196"/>
        <v>104.66042296581035</v>
      </c>
      <c r="BF163" s="60" t="str">
        <f t="shared" si="197"/>
        <v>15.8664615379604+31.5984641371457i</v>
      </c>
      <c r="BG163" s="66">
        <f t="shared" si="198"/>
        <v>30.969821129572352</v>
      </c>
      <c r="BH163" s="63">
        <f t="shared" si="199"/>
        <v>63.337509005317138</v>
      </c>
      <c r="BI163" s="60" t="str">
        <f t="shared" si="152"/>
        <v>-5.33918026908165+53.047662461732i</v>
      </c>
      <c r="BJ163" s="66">
        <f t="shared" si="200"/>
        <v>34.537098449439114</v>
      </c>
      <c r="BK163" s="63">
        <f t="shared" si="153"/>
        <v>95.747392686516477</v>
      </c>
      <c r="BL163" s="51">
        <f t="shared" si="201"/>
        <v>30.969821129572352</v>
      </c>
      <c r="BM163" s="63">
        <f t="shared" si="202"/>
        <v>63.337509005317138</v>
      </c>
    </row>
    <row r="164" spans="14:65" x14ac:dyDescent="0.35">
      <c r="N164" s="11">
        <v>46</v>
      </c>
      <c r="O164" s="52">
        <f t="shared" si="154"/>
        <v>288.40315031266073</v>
      </c>
      <c r="P164" s="50" t="str">
        <f t="shared" si="155"/>
        <v>36.531007751938</v>
      </c>
      <c r="Q164" s="18" t="str">
        <f t="shared" si="156"/>
        <v>1+0.884974399264306i</v>
      </c>
      <c r="R164" s="18">
        <f t="shared" si="167"/>
        <v>1.3353575129354758</v>
      </c>
      <c r="S164" s="18">
        <f t="shared" si="168"/>
        <v>0.72445137059639997</v>
      </c>
      <c r="T164" s="18" t="str">
        <f t="shared" si="157"/>
        <v>1+0.000362418087317764i</v>
      </c>
      <c r="U164" s="18">
        <f t="shared" si="169"/>
        <v>1.0000000656734329</v>
      </c>
      <c r="V164" s="18">
        <f t="shared" si="170"/>
        <v>3.6241807145027147E-4</v>
      </c>
      <c r="W164" s="32" t="str">
        <f t="shared" si="158"/>
        <v>1-0.00600456002656651i</v>
      </c>
      <c r="X164" s="18">
        <f t="shared" si="171"/>
        <v>1.0000180272080663</v>
      </c>
      <c r="Y164" s="18">
        <f t="shared" si="172"/>
        <v>-6.0044878638418377E-3</v>
      </c>
      <c r="Z164" s="32" t="str">
        <f t="shared" si="159"/>
        <v>0.999998281479812+0.00272852968011474i</v>
      </c>
      <c r="AA164" s="18">
        <f t="shared" si="173"/>
        <v>1.0000020039163886</v>
      </c>
      <c r="AB164" s="18">
        <f t="shared" si="174"/>
        <v>2.7285275979647208E-3</v>
      </c>
      <c r="AC164" s="68" t="str">
        <f t="shared" si="175"/>
        <v>20.3342947664972-18.3011180024142i</v>
      </c>
      <c r="AD164" s="66">
        <f t="shared" si="176"/>
        <v>28.741421720442844</v>
      </c>
      <c r="AE164" s="63">
        <f t="shared" si="177"/>
        <v>-41.987605900112278</v>
      </c>
      <c r="AF164" s="51" t="str">
        <f t="shared" si="178"/>
        <v>42.1703962805665</v>
      </c>
      <c r="AG164" s="51" t="str">
        <f t="shared" si="160"/>
        <v>1+0.15989033264019i</v>
      </c>
      <c r="AH164" s="51">
        <f t="shared" si="179"/>
        <v>1.0127017914824632</v>
      </c>
      <c r="AI164" s="51">
        <f t="shared" si="180"/>
        <v>0.15854833040432242</v>
      </c>
      <c r="AJ164" s="51" t="str">
        <f t="shared" si="161"/>
        <v>1+0.000362418087317764i</v>
      </c>
      <c r="AK164" s="51">
        <f t="shared" si="181"/>
        <v>1.0000000656734329</v>
      </c>
      <c r="AL164" s="51">
        <f t="shared" si="182"/>
        <v>3.6241807145027147E-4</v>
      </c>
      <c r="AM164" s="51" t="str">
        <f t="shared" si="162"/>
        <v>1-0.000939777787014723i</v>
      </c>
      <c r="AN164" s="51">
        <f t="shared" si="183"/>
        <v>1.0000004415910468</v>
      </c>
      <c r="AO164" s="51">
        <f t="shared" si="184"/>
        <v>-9.3977751034983719E-4</v>
      </c>
      <c r="AP164" s="60" t="str">
        <f t="shared" si="185"/>
        <v>41.1154057204592-6.59830338461324i</v>
      </c>
      <c r="AQ164" s="51">
        <f t="shared" si="186"/>
        <v>32.390526484078798</v>
      </c>
      <c r="AR164" s="63">
        <f t="shared" si="187"/>
        <v>-9.1172304401243682</v>
      </c>
      <c r="AS164" s="32" t="str">
        <f t="shared" si="163"/>
        <v>-0.000133283554228113</v>
      </c>
      <c r="AT164" s="32" t="str">
        <f t="shared" si="164"/>
        <v>0.000110718725675577i</v>
      </c>
      <c r="AU164" s="32">
        <f t="shared" si="188"/>
        <v>1.1071872567557699E-4</v>
      </c>
      <c r="AV164" s="32">
        <f t="shared" si="189"/>
        <v>1.5707963267948966</v>
      </c>
      <c r="AW164" s="32" t="str">
        <f t="shared" si="165"/>
        <v>1+0.0193583485980531i</v>
      </c>
      <c r="AX164" s="32">
        <f t="shared" si="190"/>
        <v>1.0001873552792215</v>
      </c>
      <c r="AY164" s="32">
        <f t="shared" si="191"/>
        <v>1.9355930989246043E-2</v>
      </c>
      <c r="AZ164" s="32" t="str">
        <f t="shared" si="166"/>
        <v>1+0.288486609595377i</v>
      </c>
      <c r="BA164" s="32">
        <f t="shared" si="192"/>
        <v>1.0407807280670773</v>
      </c>
      <c r="BB164" s="32">
        <f t="shared" si="193"/>
        <v>0.28086086968548224</v>
      </c>
      <c r="BC164" s="60" t="str">
        <f t="shared" si="194"/>
        <v>-0.323856093174615+1.21007250072159i</v>
      </c>
      <c r="BD164" s="51">
        <f t="shared" si="195"/>
        <v>1.956667378843697</v>
      </c>
      <c r="BE164" s="63">
        <f t="shared" si="196"/>
        <v>104.98312930912167</v>
      </c>
      <c r="BF164" s="60" t="str">
        <f t="shared" si="197"/>
        <v>15.5602943666435+30.5328994954947i</v>
      </c>
      <c r="BG164" s="66">
        <f t="shared" si="198"/>
        <v>30.698089099286552</v>
      </c>
      <c r="BH164" s="63">
        <f t="shared" si="199"/>
        <v>62.99552340900933</v>
      </c>
      <c r="BI164" s="60" t="str">
        <f t="shared" si="152"/>
        <v>-5.33104918877846+51.8895225740605i</v>
      </c>
      <c r="BJ164" s="66">
        <f t="shared" si="200"/>
        <v>34.347193862922495</v>
      </c>
      <c r="BK164" s="63">
        <f t="shared" si="153"/>
        <v>95.865898868997292</v>
      </c>
      <c r="BL164" s="51">
        <f t="shared" si="201"/>
        <v>30.698089099286552</v>
      </c>
      <c r="BM164" s="63">
        <f t="shared" si="202"/>
        <v>62.99552340900933</v>
      </c>
    </row>
    <row r="165" spans="14:65" x14ac:dyDescent="0.35">
      <c r="N165" s="11">
        <v>47</v>
      </c>
      <c r="O165" s="52">
        <f t="shared" si="154"/>
        <v>295.12092266663871</v>
      </c>
      <c r="P165" s="50" t="str">
        <f t="shared" si="155"/>
        <v>36.531007751938</v>
      </c>
      <c r="Q165" s="18" t="str">
        <f t="shared" si="156"/>
        <v>1+0.905588101115034i</v>
      </c>
      <c r="R165" s="18">
        <f t="shared" si="167"/>
        <v>1.349107041298478</v>
      </c>
      <c r="S165" s="18">
        <f t="shared" si="168"/>
        <v>0.73589388596169769</v>
      </c>
      <c r="T165" s="18" t="str">
        <f t="shared" si="157"/>
        <v>1+0.000370859889028062i</v>
      </c>
      <c r="U165" s="18">
        <f t="shared" si="169"/>
        <v>1.0000000687685262</v>
      </c>
      <c r="V165" s="18">
        <f t="shared" si="170"/>
        <v>3.708598720257375E-4</v>
      </c>
      <c r="W165" s="32" t="str">
        <f t="shared" si="158"/>
        <v>1-0.00614442419691464i</v>
      </c>
      <c r="X165" s="18">
        <f t="shared" si="171"/>
        <v>1.0000188767961891</v>
      </c>
      <c r="Y165" s="18">
        <f t="shared" si="172"/>
        <v>-6.1443468732408661E-3</v>
      </c>
      <c r="Z165" s="32" t="str">
        <f t="shared" si="159"/>
        <v>0.99999820048845+0.00279208530089146i</v>
      </c>
      <c r="AA165" s="18">
        <f t="shared" si="173"/>
        <v>1.0000020983580313</v>
      </c>
      <c r="AB165" s="18">
        <f t="shared" si="174"/>
        <v>2.7920830698276908E-3</v>
      </c>
      <c r="AC165" s="68" t="str">
        <f t="shared" si="175"/>
        <v>19.9149047436358-18.3476111226191i</v>
      </c>
      <c r="AD165" s="66">
        <f t="shared" si="176"/>
        <v>28.652451210224829</v>
      </c>
      <c r="AE165" s="63">
        <f t="shared" si="177"/>
        <v>-42.654384849281058</v>
      </c>
      <c r="AF165" s="51" t="str">
        <f t="shared" si="178"/>
        <v>42.1703962805665</v>
      </c>
      <c r="AG165" s="51" t="str">
        <f t="shared" si="160"/>
        <v>1+0.163614656924145i</v>
      </c>
      <c r="AH165" s="51">
        <f t="shared" si="179"/>
        <v>1.013296479792763</v>
      </c>
      <c r="AI165" s="51">
        <f t="shared" si="180"/>
        <v>0.1621776927577788</v>
      </c>
      <c r="AJ165" s="51" t="str">
        <f t="shared" si="161"/>
        <v>1+0.000370859889028062i</v>
      </c>
      <c r="AK165" s="51">
        <f t="shared" si="181"/>
        <v>1.0000000687685262</v>
      </c>
      <c r="AL165" s="51">
        <f t="shared" si="182"/>
        <v>3.708598720257375E-4</v>
      </c>
      <c r="AM165" s="51" t="str">
        <f t="shared" si="162"/>
        <v>1-0.00096166802375328i</v>
      </c>
      <c r="AN165" s="51">
        <f t="shared" si="183"/>
        <v>1.0000004624025871</v>
      </c>
      <c r="AO165" s="51">
        <f t="shared" si="184"/>
        <v>-9.6166772730152123E-4</v>
      </c>
      <c r="AP165" s="60" t="str">
        <f t="shared" si="185"/>
        <v>41.0669818425482-6.74407475824577i</v>
      </c>
      <c r="AQ165" s="51">
        <f t="shared" si="186"/>
        <v>32.38542757861147</v>
      </c>
      <c r="AR165" s="63">
        <f t="shared" si="187"/>
        <v>-9.3259481228005914</v>
      </c>
      <c r="AS165" s="32" t="str">
        <f t="shared" si="163"/>
        <v>-0.000133283554228113</v>
      </c>
      <c r="AT165" s="32" t="str">
        <f t="shared" si="164"/>
        <v>0.000113297696098073i</v>
      </c>
      <c r="AU165" s="32">
        <f t="shared" si="188"/>
        <v>1.1329769609807301E-4</v>
      </c>
      <c r="AV165" s="32">
        <f t="shared" si="189"/>
        <v>1.5707963267948966</v>
      </c>
      <c r="AW165" s="32" t="str">
        <f t="shared" si="165"/>
        <v>1+0.0198092624625157i</v>
      </c>
      <c r="AX165" s="32">
        <f t="shared" si="190"/>
        <v>1.0001961841955351</v>
      </c>
      <c r="AY165" s="32">
        <f t="shared" si="191"/>
        <v>1.9806671975448546E-2</v>
      </c>
      <c r="AZ165" s="32" t="str">
        <f t="shared" si="166"/>
        <v>1+0.295206325965782i</v>
      </c>
      <c r="BA165" s="32">
        <f t="shared" si="192"/>
        <v>1.0426633084990646</v>
      </c>
      <c r="BB165" s="32">
        <f t="shared" si="193"/>
        <v>0.28705314682363431</v>
      </c>
      <c r="BC165" s="60" t="str">
        <f t="shared" si="194"/>
        <v>-0.323850375724839+1.18281651283076i</v>
      </c>
      <c r="BD165" s="51">
        <f t="shared" si="195"/>
        <v>1.7722876871599067</v>
      </c>
      <c r="BE165" s="63">
        <f t="shared" si="196"/>
        <v>105.31209509855022</v>
      </c>
      <c r="BF165" s="60" t="str">
        <f t="shared" si="197"/>
        <v>15.2524080230804+29.4975589379375i</v>
      </c>
      <c r="BG165" s="66">
        <f t="shared" si="198"/>
        <v>30.424738897384746</v>
      </c>
      <c r="BH165" s="63">
        <f t="shared" si="199"/>
        <v>62.657710249269101</v>
      </c>
      <c r="BI165" s="60" t="str">
        <f t="shared" si="152"/>
        <v>-5.32255451177616+50.7587753998613i</v>
      </c>
      <c r="BJ165" s="66">
        <f t="shared" si="200"/>
        <v>34.15771526577138</v>
      </c>
      <c r="BK165" s="63">
        <f t="shared" si="153"/>
        <v>95.98614697574962</v>
      </c>
      <c r="BL165" s="51">
        <f t="shared" si="201"/>
        <v>30.424738897384746</v>
      </c>
      <c r="BM165" s="63">
        <f t="shared" si="202"/>
        <v>62.657710249269101</v>
      </c>
    </row>
    <row r="166" spans="14:65" x14ac:dyDescent="0.35">
      <c r="N166" s="11">
        <v>48</v>
      </c>
      <c r="O166" s="52">
        <f t="shared" si="154"/>
        <v>301.99517204020168</v>
      </c>
      <c r="P166" s="50" t="str">
        <f t="shared" si="155"/>
        <v>36.531007751938</v>
      </c>
      <c r="Q166" s="18" t="str">
        <f t="shared" si="156"/>
        <v>1+0.926681957763849i</v>
      </c>
      <c r="R166" s="18">
        <f t="shared" si="167"/>
        <v>1.3633559516300355</v>
      </c>
      <c r="S166" s="18">
        <f t="shared" si="168"/>
        <v>0.74736247110947385</v>
      </c>
      <c r="T166" s="18" t="str">
        <f t="shared" si="157"/>
        <v>1+0.000379498325560434i</v>
      </c>
      <c r="U166" s="18">
        <f t="shared" si="169"/>
        <v>1.000000072009487</v>
      </c>
      <c r="V166" s="18">
        <f t="shared" si="170"/>
        <v>3.7949830734211511E-4</v>
      </c>
      <c r="W166" s="32" t="str">
        <f t="shared" si="158"/>
        <v>1-0.00628754622230305i</v>
      </c>
      <c r="X166" s="18">
        <f t="shared" si="171"/>
        <v>1.000019766423393</v>
      </c>
      <c r="Y166" s="18">
        <f t="shared" si="172"/>
        <v>-6.2874633685822984E-3</v>
      </c>
      <c r="Z166" s="32" t="str">
        <f t="shared" si="159"/>
        <v>0.999998115680084+0.00285712132225233i</v>
      </c>
      <c r="AA166" s="18">
        <f t="shared" si="173"/>
        <v>1.0000021972505704</v>
      </c>
      <c r="AB166" s="18">
        <f t="shared" si="174"/>
        <v>2.8571189316246213E-3</v>
      </c>
      <c r="AC166" s="68" t="str">
        <f t="shared" si="175"/>
        <v>19.4936016162444-18.3845678095401i</v>
      </c>
      <c r="AD166" s="66">
        <f t="shared" si="176"/>
        <v>28.561201118709789</v>
      </c>
      <c r="AE166" s="63">
        <f t="shared" si="177"/>
        <v>-43.322917680909597</v>
      </c>
      <c r="AF166" s="51" t="str">
        <f t="shared" si="178"/>
        <v>42.1703962805665</v>
      </c>
      <c r="AG166" s="51" t="str">
        <f t="shared" si="160"/>
        <v>1+0.167425731864898i</v>
      </c>
      <c r="AH166" s="51">
        <f t="shared" si="179"/>
        <v>1.0139188210554613</v>
      </c>
      <c r="AI166" s="51">
        <f t="shared" si="180"/>
        <v>0.16588713630485521</v>
      </c>
      <c r="AJ166" s="51" t="str">
        <f t="shared" si="161"/>
        <v>1+0.000379498325560434i</v>
      </c>
      <c r="AK166" s="51">
        <f t="shared" si="181"/>
        <v>1.000000072009487</v>
      </c>
      <c r="AL166" s="51">
        <f t="shared" si="182"/>
        <v>3.7949830734211511E-4</v>
      </c>
      <c r="AM166" s="51" t="str">
        <f t="shared" si="162"/>
        <v>1-0.000984068149607214i</v>
      </c>
      <c r="AN166" s="51">
        <f t="shared" si="183"/>
        <v>1.0000004841949444</v>
      </c>
      <c r="AO166" s="51">
        <f t="shared" si="184"/>
        <v>-9.8406783195343988E-4</v>
      </c>
      <c r="AP166" s="60" t="str">
        <f t="shared" si="185"/>
        <v>41.0163974716896-6.89269531421851i</v>
      </c>
      <c r="AQ166" s="51">
        <f t="shared" si="186"/>
        <v>32.380094778195826</v>
      </c>
      <c r="AR166" s="63">
        <f t="shared" si="187"/>
        <v>-9.539272067962079</v>
      </c>
      <c r="AS166" s="32" t="str">
        <f t="shared" si="163"/>
        <v>-0.000133283554228113</v>
      </c>
      <c r="AT166" s="32" t="str">
        <f t="shared" si="164"/>
        <v>0.000115936738458712i</v>
      </c>
      <c r="AU166" s="32">
        <f t="shared" si="188"/>
        <v>1.15936738458712E-4</v>
      </c>
      <c r="AV166" s="32">
        <f t="shared" si="189"/>
        <v>1.5707963267948966</v>
      </c>
      <c r="AW166" s="32" t="str">
        <f t="shared" si="165"/>
        <v>1+0.0202706794601425i</v>
      </c>
      <c r="AX166" s="32">
        <f t="shared" si="190"/>
        <v>1.0002054291223257</v>
      </c>
      <c r="AY166" s="32">
        <f t="shared" si="191"/>
        <v>2.0267903734029844E-2</v>
      </c>
      <c r="AZ166" s="32" t="str">
        <f t="shared" si="166"/>
        <v>1+0.302082564637733i</v>
      </c>
      <c r="BA166" s="32">
        <f t="shared" si="192"/>
        <v>1.0446309759231296</v>
      </c>
      <c r="BB166" s="32">
        <f t="shared" si="193"/>
        <v>0.29336630741485831</v>
      </c>
      <c r="BC166" s="60" t="str">
        <f t="shared" si="194"/>
        <v>-0.323844389036325+1.15618765923761i</v>
      </c>
      <c r="BD166" s="51">
        <f t="shared" si="195"/>
        <v>1.5885835768266294</v>
      </c>
      <c r="BE166" s="63">
        <f t="shared" si="196"/>
        <v>105.64738592267156</v>
      </c>
      <c r="BF166" s="60" t="str">
        <f t="shared" si="197"/>
        <v>14.9431169162771+28.4920007527735i</v>
      </c>
      <c r="BG166" s="66">
        <f t="shared" si="198"/>
        <v>30.149784695536415</v>
      </c>
      <c r="BH166" s="63">
        <f t="shared" si="199"/>
        <v>62.324468241761949</v>
      </c>
      <c r="BI166" s="60" t="str">
        <f t="shared" si="152"/>
        <v>-5.31368091850604+49.6548132859989i</v>
      </c>
      <c r="BJ166" s="66">
        <f t="shared" si="200"/>
        <v>33.968678355022462</v>
      </c>
      <c r="BK166" s="63">
        <f t="shared" si="153"/>
        <v>96.108113854709472</v>
      </c>
      <c r="BL166" s="51">
        <f t="shared" si="201"/>
        <v>30.149784695536415</v>
      </c>
      <c r="BM166" s="63">
        <f t="shared" si="202"/>
        <v>62.324468241761949</v>
      </c>
    </row>
    <row r="167" spans="14:65" x14ac:dyDescent="0.35">
      <c r="N167" s="11">
        <v>49</v>
      </c>
      <c r="O167" s="52">
        <f t="shared" si="154"/>
        <v>309.02954325135937</v>
      </c>
      <c r="P167" s="50" t="str">
        <f t="shared" si="155"/>
        <v>36.531007751938</v>
      </c>
      <c r="Q167" s="18" t="str">
        <f t="shared" si="156"/>
        <v>1+0.948267153452756i</v>
      </c>
      <c r="R167" s="18">
        <f t="shared" si="167"/>
        <v>1.3781184979229444</v>
      </c>
      <c r="S167" s="18">
        <f t="shared" si="168"/>
        <v>0.75885114027865208</v>
      </c>
      <c r="T167" s="18" t="str">
        <f t="shared" si="157"/>
        <v>1+0.000388337977128272i</v>
      </c>
      <c r="U167" s="18">
        <f t="shared" si="169"/>
        <v>1.0000000754031895</v>
      </c>
      <c r="V167" s="18">
        <f t="shared" si="170"/>
        <v>3.8833795760699169E-4</v>
      </c>
      <c r="W167" s="32" t="str">
        <f t="shared" si="158"/>
        <v>1-0.00643400198792404i</v>
      </c>
      <c r="X167" s="18">
        <f t="shared" si="171"/>
        <v>1.0000206979765871</v>
      </c>
      <c r="Y167" s="18">
        <f t="shared" si="172"/>
        <v>-6.4339132086619864E-3</v>
      </c>
      <c r="Z167" s="32" t="str">
        <f t="shared" si="159"/>
        <v>0.999998026874822+0.00292367222715673i</v>
      </c>
      <c r="AA167" s="18">
        <f t="shared" si="173"/>
        <v>1.0000023008037677</v>
      </c>
      <c r="AB167" s="18">
        <f t="shared" si="174"/>
        <v>2.9236696655532057E-3</v>
      </c>
      <c r="AC167" s="68" t="str">
        <f t="shared" si="175"/>
        <v>19.0708216757666-18.4118909994568i</v>
      </c>
      <c r="AD167" s="66">
        <f t="shared" si="176"/>
        <v>28.467662264901392</v>
      </c>
      <c r="AE167" s="63">
        <f t="shared" si="177"/>
        <v>-43.992867495797604</v>
      </c>
      <c r="AF167" s="51" t="str">
        <f t="shared" si="178"/>
        <v>42.1703962805665</v>
      </c>
      <c r="AG167" s="51" t="str">
        <f t="shared" si="160"/>
        <v>1+0.171325578144826i</v>
      </c>
      <c r="AH167" s="51">
        <f t="shared" si="179"/>
        <v>1.0145700832010862</v>
      </c>
      <c r="AI167" s="51">
        <f t="shared" si="180"/>
        <v>0.16967821930044907</v>
      </c>
      <c r="AJ167" s="51" t="str">
        <f t="shared" si="161"/>
        <v>1+0.000388337977128272i</v>
      </c>
      <c r="AK167" s="51">
        <f t="shared" si="181"/>
        <v>1.0000000754031895</v>
      </c>
      <c r="AL167" s="51">
        <f t="shared" si="182"/>
        <v>3.8833795760699169E-4</v>
      </c>
      <c r="AM167" s="51" t="str">
        <f t="shared" si="162"/>
        <v>1-0.00100699004141975i</v>
      </c>
      <c r="AN167" s="51">
        <f t="shared" si="183"/>
        <v>1.0000005070143432</v>
      </c>
      <c r="AO167" s="51">
        <f t="shared" si="184"/>
        <v>-1.0069897010476078E-3</v>
      </c>
      <c r="AP167" s="60" t="str">
        <f t="shared" si="185"/>
        <v>40.96356203314-7.04419475091011i</v>
      </c>
      <c r="AQ167" s="51">
        <f t="shared" si="186"/>
        <v>32.374517660788293</v>
      </c>
      <c r="AR167" s="63">
        <f t="shared" si="187"/>
        <v>-9.757291975098509</v>
      </c>
      <c r="AS167" s="32" t="str">
        <f t="shared" si="163"/>
        <v>-0.000133283554228113</v>
      </c>
      <c r="AT167" s="32" t="str">
        <f t="shared" si="164"/>
        <v>0.000118637252012687i</v>
      </c>
      <c r="AU167" s="32">
        <f t="shared" si="188"/>
        <v>1.18637252012687E-4</v>
      </c>
      <c r="AV167" s="32">
        <f t="shared" si="189"/>
        <v>1.5707963267948966</v>
      </c>
      <c r="AW167" s="32" t="str">
        <f t="shared" si="165"/>
        <v>1+0.0207428442403332i</v>
      </c>
      <c r="AX167" s="32">
        <f t="shared" si="190"/>
        <v>1.0002151096575069</v>
      </c>
      <c r="AY167" s="32">
        <f t="shared" si="191"/>
        <v>2.0739870030763195E-2</v>
      </c>
      <c r="AZ167" s="32" t="str">
        <f t="shared" si="166"/>
        <v>1+0.30911897148399i</v>
      </c>
      <c r="BA167" s="32">
        <f t="shared" si="192"/>
        <v>1.046687412043978</v>
      </c>
      <c r="BB167" s="32">
        <f t="shared" si="193"/>
        <v>0.29980168508699123</v>
      </c>
      <c r="BC167" s="60" t="str">
        <f t="shared" si="194"/>
        <v>-0.323838120441098+1.13017182020872i</v>
      </c>
      <c r="BD167" s="51">
        <f t="shared" si="195"/>
        <v>1.4055815416183433</v>
      </c>
      <c r="BE167" s="63">
        <f t="shared" si="196"/>
        <v>105.98906422598223</v>
      </c>
      <c r="BF167" s="60" t="str">
        <f t="shared" si="197"/>
        <v>14.632741317593+27.5157774212075i</v>
      </c>
      <c r="BG167" s="66">
        <f t="shared" si="198"/>
        <v>29.873243806519728</v>
      </c>
      <c r="BH167" s="63">
        <f t="shared" si="199"/>
        <v>61.996196730184707</v>
      </c>
      <c r="BI167" s="60" t="str">
        <f t="shared" si="152"/>
        <v>-5.30441253184359+48.5770422533824i</v>
      </c>
      <c r="BJ167" s="66">
        <f t="shared" si="200"/>
        <v>33.780099202406632</v>
      </c>
      <c r="BK167" s="63">
        <f t="shared" si="153"/>
        <v>96.231772250883736</v>
      </c>
      <c r="BL167" s="51">
        <f t="shared" si="201"/>
        <v>29.873243806519728</v>
      </c>
      <c r="BM167" s="63">
        <f t="shared" si="202"/>
        <v>61.996196730184707</v>
      </c>
    </row>
    <row r="168" spans="14:65" x14ac:dyDescent="0.35">
      <c r="N168" s="11">
        <v>50</v>
      </c>
      <c r="O168" s="52">
        <f t="shared" si="154"/>
        <v>316.22776601683825</v>
      </c>
      <c r="P168" s="50" t="str">
        <f t="shared" si="155"/>
        <v>36.531007751938</v>
      </c>
      <c r="Q168" s="18" t="str">
        <f t="shared" si="156"/>
        <v>1+0.970355132938223i</v>
      </c>
      <c r="R168" s="18">
        <f t="shared" si="167"/>
        <v>1.3934091588688358</v>
      </c>
      <c r="S168" s="18">
        <f t="shared" si="168"/>
        <v>0.770353854880234</v>
      </c>
      <c r="T168" s="18" t="str">
        <f t="shared" si="157"/>
        <v>1+0.000397383530631844i</v>
      </c>
      <c r="U168" s="18">
        <f t="shared" si="169"/>
        <v>1.000000078956832</v>
      </c>
      <c r="V168" s="18">
        <f t="shared" si="170"/>
        <v>3.9738350971441533E-4</v>
      </c>
      <c r="W168" s="32" t="str">
        <f t="shared" si="158"/>
        <v>1-0.0065838691465631i</v>
      </c>
      <c r="X168" s="18">
        <f t="shared" si="171"/>
        <v>1.0000216734316008</v>
      </c>
      <c r="Y168" s="18">
        <f t="shared" si="172"/>
        <v>-6.5837740179812559E-3</v>
      </c>
      <c r="Z168" s="32" t="str">
        <f t="shared" si="159"/>
        <v>0.999997933884297+0.00299177330177535i</v>
      </c>
      <c r="AA168" s="18">
        <f t="shared" si="173"/>
        <v>1.0000024092372739</v>
      </c>
      <c r="AB168" s="18">
        <f t="shared" si="174"/>
        <v>2.9917705569679634E-3</v>
      </c>
      <c r="AC168" s="68" t="str">
        <f t="shared" si="175"/>
        <v>18.647007416295-18.4295086114314i</v>
      </c>
      <c r="AD168" s="66">
        <f t="shared" si="176"/>
        <v>28.371827852301781</v>
      </c>
      <c r="AE168" s="63">
        <f t="shared" si="177"/>
        <v>-44.663894509000109</v>
      </c>
      <c r="AF168" s="51" t="str">
        <f t="shared" si="178"/>
        <v>42.1703962805665</v>
      </c>
      <c r="AG168" s="51" t="str">
        <f t="shared" si="160"/>
        <v>1+0.175316263514049i</v>
      </c>
      <c r="AH168" s="51">
        <f t="shared" si="179"/>
        <v>1.015251590618073</v>
      </c>
      <c r="AI168" s="51">
        <f t="shared" si="180"/>
        <v>0.17355251571490793</v>
      </c>
      <c r="AJ168" s="51" t="str">
        <f t="shared" si="161"/>
        <v>1+0.000397383530631844i</v>
      </c>
      <c r="AK168" s="51">
        <f t="shared" si="181"/>
        <v>1.000000078956832</v>
      </c>
      <c r="AL168" s="51">
        <f t="shared" si="182"/>
        <v>3.9738350971441533E-4</v>
      </c>
      <c r="AM168" s="51" t="str">
        <f t="shared" si="162"/>
        <v>1-0.00103044585268133i</v>
      </c>
      <c r="AN168" s="51">
        <f t="shared" si="183"/>
        <v>1.0000005309091866</v>
      </c>
      <c r="AO168" s="51">
        <f t="shared" si="184"/>
        <v>-1.030445487966019E-3</v>
      </c>
      <c r="AP168" s="60" t="str">
        <f t="shared" si="185"/>
        <v>40.9083816986189-7.19860111479949i</v>
      </c>
      <c r="AQ168" s="51">
        <f t="shared" si="186"/>
        <v>32.36868536868019</v>
      </c>
      <c r="AR168" s="63">
        <f t="shared" si="187"/>
        <v>-9.9800984538661339</v>
      </c>
      <c r="AS168" s="32" t="str">
        <f t="shared" si="163"/>
        <v>-0.000133283554228113</v>
      </c>
      <c r="AT168" s="32" t="str">
        <f t="shared" si="164"/>
        <v>0.000121400668608028i</v>
      </c>
      <c r="AU168" s="32">
        <f t="shared" si="188"/>
        <v>1.21400668608028E-4</v>
      </c>
      <c r="AV168" s="32">
        <f t="shared" si="189"/>
        <v>1.5707963267948966</v>
      </c>
      <c r="AW168" s="32" t="str">
        <f t="shared" si="165"/>
        <v>1+0.0212260071511042i</v>
      </c>
      <c r="AX168" s="32">
        <f t="shared" si="190"/>
        <v>1.0002252463218366</v>
      </c>
      <c r="AY168" s="32">
        <f t="shared" si="191"/>
        <v>2.1222820266891994E-2</v>
      </c>
      <c r="AZ168" s="32" t="str">
        <f t="shared" si="166"/>
        <v>1+0.316319277300601i</v>
      </c>
      <c r="BA168" s="32">
        <f t="shared" si="192"/>
        <v>1.0488364434896293</v>
      </c>
      <c r="BB168" s="32">
        <f t="shared" si="193"/>
        <v>0.3063605590570958</v>
      </c>
      <c r="BC168" s="60" t="str">
        <f t="shared" si="194"/>
        <v>-0.323831556676182+1.10475520098467i</v>
      </c>
      <c r="BD168" s="51">
        <f t="shared" si="195"/>
        <v>1.2233088755982466</v>
      </c>
      <c r="BE168" s="63">
        <f t="shared" si="196"/>
        <v>106.33718901258241</v>
      </c>
      <c r="BF168" s="60" t="str">
        <f t="shared" si="197"/>
        <v>14.3216060510995+26.5684348883685i</v>
      </c>
      <c r="BG168" s="66">
        <f t="shared" si="198"/>
        <v>29.595136727900019</v>
      </c>
      <c r="BH168" s="63">
        <f t="shared" si="199"/>
        <v>61.673294503582227</v>
      </c>
      <c r="BI168" s="60" t="str">
        <f t="shared" si="152"/>
        <v>-5.29473290517842+47.5248816503117i</v>
      </c>
      <c r="BJ168" s="66">
        <f t="shared" si="200"/>
        <v>33.591994244278432</v>
      </c>
      <c r="BK168" s="63">
        <f t="shared" si="153"/>
        <v>96.35709055871628</v>
      </c>
      <c r="BL168" s="51">
        <f t="shared" si="201"/>
        <v>29.595136727900019</v>
      </c>
      <c r="BM168" s="63">
        <f t="shared" si="202"/>
        <v>61.673294503582227</v>
      </c>
    </row>
    <row r="169" spans="14:65" x14ac:dyDescent="0.35">
      <c r="N169" s="11">
        <v>51</v>
      </c>
      <c r="O169" s="52">
        <f t="shared" si="154"/>
        <v>323.59365692962825</v>
      </c>
      <c r="P169" s="50" t="str">
        <f t="shared" si="155"/>
        <v>36.531007751938</v>
      </c>
      <c r="Q169" s="18" t="str">
        <f t="shared" si="156"/>
        <v>1+0.992957607559342i</v>
      </c>
      <c r="R169" s="18">
        <f t="shared" si="167"/>
        <v>1.4092426371672027</v>
      </c>
      <c r="S169" s="18">
        <f t="shared" si="168"/>
        <v>0.78186453924894084</v>
      </c>
      <c r="T169" s="18" t="str">
        <f t="shared" si="157"/>
        <v>1+0.00040663978214335i</v>
      </c>
      <c r="U169" s="18">
        <f t="shared" si="169"/>
        <v>1.0000000826779529</v>
      </c>
      <c r="V169" s="18">
        <f t="shared" si="170"/>
        <v>4.0663975972992148E-4</v>
      </c>
      <c r="W169" s="32" t="str">
        <f t="shared" si="158"/>
        <v>1-0.00673722715977149i</v>
      </c>
      <c r="X169" s="18">
        <f t="shared" si="171"/>
        <v>1.0000226948573729</v>
      </c>
      <c r="Y169" s="18">
        <f t="shared" si="172"/>
        <v>-6.7371252277845005E-3</v>
      </c>
      <c r="Z169" s="32" t="str">
        <f t="shared" si="159"/>
        <v>0.999997836511264+0.00306146065419936i</v>
      </c>
      <c r="AA169" s="18">
        <f t="shared" si="173"/>
        <v>1.0000025227810907</v>
      </c>
      <c r="AB169" s="18">
        <f t="shared" si="174"/>
        <v>3.0614577130855273E-3</v>
      </c>
      <c r="AC169" s="68" t="str">
        <f t="shared" si="175"/>
        <v>18.2226056955141-18.4373740093028i</v>
      </c>
      <c r="AD169" s="66">
        <f t="shared" si="176"/>
        <v>28.273693497617906</v>
      </c>
      <c r="AE169" s="63">
        <f t="shared" si="177"/>
        <v>-45.335656955610915</v>
      </c>
      <c r="AF169" s="51" t="str">
        <f t="shared" si="178"/>
        <v>42.1703962805665</v>
      </c>
      <c r="AG169" s="51" t="str">
        <f t="shared" si="160"/>
        <v>1+0.179399903886773i</v>
      </c>
      <c r="AH169" s="51">
        <f t="shared" si="179"/>
        <v>1.0159647265110061</v>
      </c>
      <c r="AI169" s="51">
        <f t="shared" si="180"/>
        <v>0.17751161428827655</v>
      </c>
      <c r="AJ169" s="51" t="str">
        <f t="shared" si="161"/>
        <v>1+0.00040663978214335i</v>
      </c>
      <c r="AK169" s="51">
        <f t="shared" si="181"/>
        <v>1.0000000826779529</v>
      </c>
      <c r="AL169" s="51">
        <f t="shared" si="182"/>
        <v>4.0663975972992148E-4</v>
      </c>
      <c r="AM169" s="51" t="str">
        <f t="shared" si="162"/>
        <v>1-0.00105444801997358i</v>
      </c>
      <c r="AN169" s="51">
        <f t="shared" si="183"/>
        <v>1.000000555930159</v>
      </c>
      <c r="AO169" s="51">
        <f t="shared" si="184"/>
        <v>-1.0544476291740952E-3</v>
      </c>
      <c r="AP169" s="60" t="str">
        <f t="shared" si="185"/>
        <v>40.8507593211074-7.35594062601149i</v>
      </c>
      <c r="AQ169" s="51">
        <f t="shared" si="186"/>
        <v>32.362586592968199</v>
      </c>
      <c r="AR169" s="63">
        <f t="shared" si="187"/>
        <v>-10.207782970126935</v>
      </c>
      <c r="AS169" s="32" t="str">
        <f t="shared" si="163"/>
        <v>-0.000133283554228113</v>
      </c>
      <c r="AT169" s="32" t="str">
        <f t="shared" si="164"/>
        <v>0.000124228453444794i</v>
      </c>
      <c r="AU169" s="32">
        <f t="shared" si="188"/>
        <v>1.2422845344479399E-4</v>
      </c>
      <c r="AV169" s="32">
        <f t="shared" si="189"/>
        <v>1.5707963267948966</v>
      </c>
      <c r="AW169" s="32" t="str">
        <f t="shared" si="165"/>
        <v>1+0.021720424371826i</v>
      </c>
      <c r="AX169" s="32">
        <f t="shared" si="190"/>
        <v>1.0002358606023343</v>
      </c>
      <c r="AY169" s="32">
        <f t="shared" si="191"/>
        <v>2.1717009607357073E-2</v>
      </c>
      <c r="AZ169" s="32" t="str">
        <f t="shared" si="166"/>
        <v>1+0.323687299785017i</v>
      </c>
      <c r="BA169" s="32">
        <f t="shared" si="192"/>
        <v>1.0510820462942536</v>
      </c>
      <c r="BB169" s="32">
        <f t="shared" si="193"/>
        <v>0.31304414887547849</v>
      </c>
      <c r="BC169" s="60" t="str">
        <f t="shared" si="194"/>
        <v>-0.323824683855729+1.07992432446191i</v>
      </c>
      <c r="BD169" s="51">
        <f t="shared" si="195"/>
        <v>1.0417936763548965</v>
      </c>
      <c r="BE169" s="63">
        <f t="shared" si="196"/>
        <v>106.69181553768334</v>
      </c>
      <c r="BF169" s="60" t="str">
        <f t="shared" si="197"/>
        <v>14.0100391434704+25.6495119553561i</v>
      </c>
      <c r="BG169" s="66">
        <f t="shared" si="198"/>
        <v>29.315487173972787</v>
      </c>
      <c r="BH169" s="63">
        <f t="shared" si="199"/>
        <v>61.356158582072474</v>
      </c>
      <c r="BI169" s="60" t="str">
        <f t="shared" si="152"/>
        <v>-5.2846250110967+46.4977638112827i</v>
      </c>
      <c r="BJ169" s="66">
        <f t="shared" si="200"/>
        <v>33.404380269323099</v>
      </c>
      <c r="BK169" s="63">
        <f t="shared" si="153"/>
        <v>96.484032567556397</v>
      </c>
      <c r="BL169" s="51">
        <f t="shared" si="201"/>
        <v>29.315487173972787</v>
      </c>
      <c r="BM169" s="63">
        <f t="shared" si="202"/>
        <v>61.356158582072474</v>
      </c>
    </row>
    <row r="170" spans="14:65" x14ac:dyDescent="0.35">
      <c r="N170" s="11">
        <v>52</v>
      </c>
      <c r="O170" s="52">
        <f t="shared" si="154"/>
        <v>331.13112148259137</v>
      </c>
      <c r="P170" s="50" t="str">
        <f t="shared" si="155"/>
        <v>36.531007751938</v>
      </c>
      <c r="Q170" s="18" t="str">
        <f t="shared" si="156"/>
        <v>1+1.01608656144734i</v>
      </c>
      <c r="R170" s="18">
        <f t="shared" si="167"/>
        <v>1.425633859149634</v>
      </c>
      <c r="S170" s="18">
        <f t="shared" si="168"/>
        <v>0.79337709663303746</v>
      </c>
      <c r="T170" s="18" t="str">
        <f t="shared" si="157"/>
        <v>1+0.000416111639449864i</v>
      </c>
      <c r="U170" s="18">
        <f t="shared" si="169"/>
        <v>1.0000000865744445</v>
      </c>
      <c r="V170" s="18">
        <f t="shared" si="170"/>
        <v>4.1611161543344275E-4</v>
      </c>
      <c r="W170" s="32" t="str">
        <f t="shared" si="158"/>
        <v>1-0.00689415733999775i</v>
      </c>
      <c r="X170" s="18">
        <f t="shared" si="171"/>
        <v>1.0000237644203405</v>
      </c>
      <c r="Y170" s="18">
        <f t="shared" si="172"/>
        <v>-6.8940481180460519E-3</v>
      </c>
      <c r="Z170" s="32" t="str">
        <f t="shared" si="159"/>
        <v>0.999997734549182+0.00313277123358547i</v>
      </c>
      <c r="AA170" s="18">
        <f t="shared" si="173"/>
        <v>1.0000026416760599</v>
      </c>
      <c r="AB170" s="18">
        <f t="shared" si="174"/>
        <v>3.1327680821255218E-3</v>
      </c>
      <c r="AC170" s="68" t="str">
        <f t="shared" si="175"/>
        <v>17.7980658566288-18.43546630185i</v>
      </c>
      <c r="AD170" s="66">
        <f t="shared" si="176"/>
        <v>28.173257249381848</v>
      </c>
      <c r="AE170" s="63">
        <f t="shared" si="177"/>
        <v>-46.007812010268424</v>
      </c>
      <c r="AF170" s="51" t="str">
        <f t="shared" si="178"/>
        <v>42.1703962805665</v>
      </c>
      <c r="AG170" s="51" t="str">
        <f t="shared" si="160"/>
        <v>1+0.183578664463176i</v>
      </c>
      <c r="AH170" s="51">
        <f t="shared" si="179"/>
        <v>1.0167109353430224</v>
      </c>
      <c r="AI170" s="51">
        <f t="shared" si="180"/>
        <v>0.1815571174868443</v>
      </c>
      <c r="AJ170" s="51" t="str">
        <f t="shared" si="161"/>
        <v>1+0.000416111639449864i</v>
      </c>
      <c r="AK170" s="51">
        <f t="shared" si="181"/>
        <v>1.0000000865744445</v>
      </c>
      <c r="AL170" s="51">
        <f t="shared" si="182"/>
        <v>4.1611161543344275E-4</v>
      </c>
      <c r="AM170" s="51" t="str">
        <f t="shared" si="162"/>
        <v>1-0.00107900926956328i</v>
      </c>
      <c r="AN170" s="51">
        <f t="shared" si="183"/>
        <v>1.0000005821303324</v>
      </c>
      <c r="AO170" s="51">
        <f t="shared" si="184"/>
        <v>-1.0790088508141008E-3</v>
      </c>
      <c r="AP170" s="60" t="str">
        <f t="shared" si="185"/>
        <v>40.7905943737289-7.51623749354363i</v>
      </c>
      <c r="AQ170" s="51">
        <f t="shared" si="186"/>
        <v>32.35620955772594</v>
      </c>
      <c r="AR170" s="63">
        <f t="shared" si="187"/>
        <v>-10.440437786395226</v>
      </c>
      <c r="AS170" s="32" t="str">
        <f t="shared" si="163"/>
        <v>-0.000133283554228113</v>
      </c>
      <c r="AT170" s="32" t="str">
        <f t="shared" si="164"/>
        <v>0.000127122105851933i</v>
      </c>
      <c r="AU170" s="32">
        <f t="shared" si="188"/>
        <v>1.2712210585193301E-4</v>
      </c>
      <c r="AV170" s="32">
        <f t="shared" si="189"/>
        <v>1.5707963267948966</v>
      </c>
      <c r="AW170" s="32" t="str">
        <f t="shared" si="165"/>
        <v>1+0.0222263580490538i</v>
      </c>
      <c r="AX170" s="32">
        <f t="shared" si="190"/>
        <v>1.0002469749977376</v>
      </c>
      <c r="AY170" s="32">
        <f t="shared" si="191"/>
        <v>2.2222699111795342E-2</v>
      </c>
      <c r="AZ170" s="32" t="str">
        <f t="shared" si="166"/>
        <v>1+0.331226945560289i</v>
      </c>
      <c r="BA170" s="32">
        <f t="shared" si="192"/>
        <v>1.0534283504183846</v>
      </c>
      <c r="BB170" s="32">
        <f t="shared" si="193"/>
        <v>0.31985360896399218</v>
      </c>
      <c r="BC170" s="60" t="str">
        <f t="shared" si="194"/>
        <v>-0.323817487441903+1.05566602404295i</v>
      </c>
      <c r="BD170" s="51">
        <f t="shared" si="195"/>
        <v>0.86106484615050827</v>
      </c>
      <c r="BE170" s="63">
        <f t="shared" si="196"/>
        <v>107.05299498716953</v>
      </c>
      <c r="BF170" s="60" t="str">
        <f t="shared" si="197"/>
        <v>13.6983704452327+24.7585397962068i</v>
      </c>
      <c r="BG170" s="66">
        <f t="shared" si="198"/>
        <v>29.034322095532342</v>
      </c>
      <c r="BH170" s="63">
        <f t="shared" si="199"/>
        <v>61.045182976901103</v>
      </c>
      <c r="BI170" s="60" t="str">
        <f t="shared" si="152"/>
        <v>-5.27407123079096+45.495133721039i</v>
      </c>
      <c r="BJ170" s="66">
        <f t="shared" si="200"/>
        <v>33.217274403876445</v>
      </c>
      <c r="BK170" s="63">
        <f t="shared" si="153"/>
        <v>96.612557200774305</v>
      </c>
      <c r="BL170" s="51">
        <f t="shared" si="201"/>
        <v>29.034322095532342</v>
      </c>
      <c r="BM170" s="63">
        <f t="shared" si="202"/>
        <v>61.045182976901103</v>
      </c>
    </row>
    <row r="171" spans="14:65" x14ac:dyDescent="0.35">
      <c r="N171" s="11">
        <v>53</v>
      </c>
      <c r="O171" s="52">
        <f t="shared" si="154"/>
        <v>338.84415613920277</v>
      </c>
      <c r="P171" s="50" t="str">
        <f t="shared" si="155"/>
        <v>36.531007751938</v>
      </c>
      <c r="Q171" s="18" t="str">
        <f t="shared" si="156"/>
        <v>1+1.03975425787971i</v>
      </c>
      <c r="R171" s="18">
        <f t="shared" si="167"/>
        <v>1.4425979747590758</v>
      </c>
      <c r="S171" s="18">
        <f t="shared" si="168"/>
        <v>0.8048854253200648</v>
      </c>
      <c r="T171" s="18" t="str">
        <f t="shared" si="157"/>
        <v>1+0.0004258041246555i</v>
      </c>
      <c r="U171" s="18">
        <f t="shared" si="169"/>
        <v>1.0000000906545721</v>
      </c>
      <c r="V171" s="18">
        <f t="shared" si="170"/>
        <v>4.2580409892144114E-4</v>
      </c>
      <c r="W171" s="32" t="str">
        <f t="shared" si="158"/>
        <v>1-0.0070547428937006i</v>
      </c>
      <c r="X171" s="18">
        <f t="shared" si="171"/>
        <v>1.0000248843890318</v>
      </c>
      <c r="Y171" s="18">
        <f t="shared" si="172"/>
        <v>-7.0546258604280857E-3</v>
      </c>
      <c r="Z171" s="32" t="str">
        <f t="shared" si="159"/>
        <v>0.999997627781774+0.00320574284974674i</v>
      </c>
      <c r="AA171" s="18">
        <f t="shared" si="173"/>
        <v>1.0000027661743711</v>
      </c>
      <c r="AB171" s="18">
        <f t="shared" si="174"/>
        <v>3.2057394728969091E-3</v>
      </c>
      <c r="AC171" s="68" t="str">
        <f t="shared" si="175"/>
        <v>17.3738378279848-18.4237904775383i</v>
      </c>
      <c r="AD171" s="66">
        <f t="shared" si="176"/>
        <v>28.070519596319336</v>
      </c>
      <c r="AE171" s="63">
        <f t="shared" si="177"/>
        <v>-46.680016714526246</v>
      </c>
      <c r="AF171" s="51" t="str">
        <f t="shared" si="178"/>
        <v>42.1703962805665</v>
      </c>
      <c r="AG171" s="51" t="str">
        <f t="shared" si="160"/>
        <v>1+0.187854760877427i</v>
      </c>
      <c r="AH171" s="51">
        <f t="shared" si="179"/>
        <v>1.0174917253640519</v>
      </c>
      <c r="AI171" s="51">
        <f t="shared" si="180"/>
        <v>0.1856906403562826</v>
      </c>
      <c r="AJ171" s="51" t="str">
        <f t="shared" si="161"/>
        <v>1+0.0004258041246555i</v>
      </c>
      <c r="AK171" s="51">
        <f t="shared" si="181"/>
        <v>1.0000000906545721</v>
      </c>
      <c r="AL171" s="51">
        <f t="shared" si="182"/>
        <v>4.2580409892144114E-4</v>
      </c>
      <c r="AM171" s="51" t="str">
        <f t="shared" si="162"/>
        <v>1-0.00110414262415008i</v>
      </c>
      <c r="AN171" s="51">
        <f t="shared" si="183"/>
        <v>1.0000006095652814</v>
      </c>
      <c r="AO171" s="51">
        <f t="shared" si="184"/>
        <v>-1.1041421754522651E-3</v>
      </c>
      <c r="AP171" s="60" t="str">
        <f t="shared" si="185"/>
        <v>40.7277828934177-7.67951371984679i</v>
      </c>
      <c r="AQ171" s="51">
        <f t="shared" si="186"/>
        <v>32.349542003898001</v>
      </c>
      <c r="AR171" s="63">
        <f t="shared" si="187"/>
        <v>-10.678155896364865</v>
      </c>
      <c r="AS171" s="32" t="str">
        <f t="shared" si="163"/>
        <v>-0.000133283554228113</v>
      </c>
      <c r="AT171" s="32" t="str">
        <f t="shared" si="164"/>
        <v>0.000130083160082256i</v>
      </c>
      <c r="AU171" s="32">
        <f t="shared" si="188"/>
        <v>1.3008316008225601E-4</v>
      </c>
      <c r="AV171" s="32">
        <f t="shared" si="189"/>
        <v>1.5707963267948966</v>
      </c>
      <c r="AW171" s="32" t="str">
        <f t="shared" si="165"/>
        <v>1+0.0227440764355196i</v>
      </c>
      <c r="AX171" s="32">
        <f t="shared" si="190"/>
        <v>1.0002586130660933</v>
      </c>
      <c r="AY171" s="32">
        <f t="shared" si="191"/>
        <v>2.2740155868355195E-2</v>
      </c>
      <c r="AZ171" s="32" t="str">
        <f t="shared" si="166"/>
        <v>1+0.338942212246401i</v>
      </c>
      <c r="BA171" s="32">
        <f t="shared" si="192"/>
        <v>1.0558796442978169</v>
      </c>
      <c r="BB171" s="32">
        <f t="shared" si="193"/>
        <v>0.32679002295431675</v>
      </c>
      <c r="BC171" s="60" t="str">
        <f t="shared" si="194"/>
        <v>-0.323809952214348+1.03196743665068i</v>
      </c>
      <c r="BD171" s="51">
        <f t="shared" si="195"/>
        <v>0.68115209078678718</v>
      </c>
      <c r="BE171" s="63">
        <f t="shared" si="196"/>
        <v>107.42077414553926</v>
      </c>
      <c r="BF171" s="60" t="str">
        <f t="shared" si="197"/>
        <v>13.3869302356348+23.8950416022689i</v>
      </c>
      <c r="BG171" s="66">
        <f t="shared" si="198"/>
        <v>28.751671687106111</v>
      </c>
      <c r="BH171" s="63">
        <f t="shared" si="199"/>
        <v>60.740757431013023</v>
      </c>
      <c r="BI171" s="60" t="str">
        <f t="shared" si="152"/>
        <v>-5.2630533443199+44.5164486836387i</v>
      </c>
      <c r="BJ171" s="66">
        <f t="shared" si="200"/>
        <v>33.030694094684783</v>
      </c>
      <c r="BK171" s="63">
        <f t="shared" si="153"/>
        <v>96.742618249174399</v>
      </c>
      <c r="BL171" s="51">
        <f t="shared" si="201"/>
        <v>28.751671687106111</v>
      </c>
      <c r="BM171" s="63">
        <f t="shared" si="202"/>
        <v>60.740757431013023</v>
      </c>
    </row>
    <row r="172" spans="14:65" x14ac:dyDescent="0.35">
      <c r="N172" s="11">
        <v>54</v>
      </c>
      <c r="O172" s="52">
        <f t="shared" si="154"/>
        <v>346.73685045253183</v>
      </c>
      <c r="P172" s="50" t="str">
        <f t="shared" si="155"/>
        <v>36.531007751938</v>
      </c>
      <c r="Q172" s="18" t="str">
        <f t="shared" si="156"/>
        <v>1+1.06397324578238i</v>
      </c>
      <c r="R172" s="18">
        <f t="shared" si="167"/>
        <v>1.4601503579223247</v>
      </c>
      <c r="S172" s="18">
        <f t="shared" si="168"/>
        <v>0.81638343479460973</v>
      </c>
      <c r="T172" s="18" t="str">
        <f t="shared" si="157"/>
        <v>1+0.000435722376844214i</v>
      </c>
      <c r="U172" s="18">
        <f t="shared" si="169"/>
        <v>1.0000000949269903</v>
      </c>
      <c r="V172" s="18">
        <f t="shared" si="170"/>
        <v>4.3572234926967328E-4</v>
      </c>
      <c r="W172" s="32" t="str">
        <f t="shared" si="158"/>
        <v>1-0.00721906896546627i</v>
      </c>
      <c r="X172" s="18">
        <f t="shared" si="171"/>
        <v>1.0000260571388768</v>
      </c>
      <c r="Y172" s="18">
        <f t="shared" si="172"/>
        <v>-7.2189435622318924E-3</v>
      </c>
      <c r="Z172" s="32" t="str">
        <f t="shared" si="159"/>
        <v>0.999997515982573+0.00328041419319997i</v>
      </c>
      <c r="AA172" s="18">
        <f t="shared" si="173"/>
        <v>1.0000028965401027</v>
      </c>
      <c r="AB172" s="18">
        <f t="shared" si="174"/>
        <v>3.2804105748405702E-3</v>
      </c>
      <c r="AC172" s="68" t="str">
        <f t="shared" si="175"/>
        <v>16.9503702174278-18.4023773722329i</v>
      </c>
      <c r="AD172" s="66">
        <f t="shared" si="176"/>
        <v>27.9654834653915</v>
      </c>
      <c r="AE172" s="63">
        <f t="shared" si="177"/>
        <v>-47.351928906139662</v>
      </c>
      <c r="AF172" s="51" t="str">
        <f t="shared" si="178"/>
        <v>42.1703962805665</v>
      </c>
      <c r="AG172" s="51" t="str">
        <f t="shared" si="160"/>
        <v>1+0.192230460372448i</v>
      </c>
      <c r="AH172" s="51">
        <f t="shared" si="179"/>
        <v>1.0183086712264624</v>
      </c>
      <c r="AI172" s="51">
        <f t="shared" si="180"/>
        <v>0.18991380926549806</v>
      </c>
      <c r="AJ172" s="51" t="str">
        <f t="shared" si="161"/>
        <v>1+0.000435722376844214i</v>
      </c>
      <c r="AK172" s="51">
        <f t="shared" si="181"/>
        <v>1.0000000949269903</v>
      </c>
      <c r="AL172" s="51">
        <f t="shared" si="182"/>
        <v>4.3572234926967328E-4</v>
      </c>
      <c r="AM172" s="51" t="str">
        <f t="shared" si="162"/>
        <v>1-0.00112986140977126i</v>
      </c>
      <c r="AN172" s="51">
        <f t="shared" si="183"/>
        <v>1.000000638293199</v>
      </c>
      <c r="AO172" s="51">
        <f t="shared" si="184"/>
        <v>-1.1298609289829057E-3</v>
      </c>
      <c r="AP172" s="60" t="str">
        <f t="shared" si="185"/>
        <v>40.6622174301358-7.84578889445192i</v>
      </c>
      <c r="AQ172" s="51">
        <f t="shared" si="186"/>
        <v>32.34257117294031</v>
      </c>
      <c r="AR172" s="63">
        <f t="shared" si="187"/>
        <v>-10.921030953180313</v>
      </c>
      <c r="AS172" s="32" t="str">
        <f t="shared" si="163"/>
        <v>-0.000133283554228113</v>
      </c>
      <c r="AT172" s="32" t="str">
        <f t="shared" si="164"/>
        <v>0.000133113186125908i</v>
      </c>
      <c r="AU172" s="32">
        <f t="shared" si="188"/>
        <v>1.3311318612590801E-4</v>
      </c>
      <c r="AV172" s="32">
        <f t="shared" si="189"/>
        <v>1.5707963267948966</v>
      </c>
      <c r="AW172" s="32" t="str">
        <f t="shared" si="165"/>
        <v>1+0.023273854032365i</v>
      </c>
      <c r="AX172" s="32">
        <f t="shared" si="190"/>
        <v>1.0002707994745823</v>
      </c>
      <c r="AY172" s="32">
        <f t="shared" si="191"/>
        <v>2.326965313038331E-2</v>
      </c>
      <c r="AZ172" s="32" t="str">
        <f t="shared" si="166"/>
        <v>1+0.346837190579878i</v>
      </c>
      <c r="BA172" s="32">
        <f t="shared" si="192"/>
        <v>1.0584403794117752</v>
      </c>
      <c r="BB172" s="32">
        <f t="shared" si="193"/>
        <v>0.33385439783377813</v>
      </c>
      <c r="BC172" s="60" t="str">
        <f t="shared" si="194"/>
        <v>-0.323802062238325+1.00881599590356i</v>
      </c>
      <c r="BD172" s="51">
        <f t="shared" si="195"/>
        <v>0.50208591599519414</v>
      </c>
      <c r="BE172" s="63">
        <f t="shared" si="196"/>
        <v>107.79519505265263</v>
      </c>
      <c r="BF172" s="60" t="str">
        <f t="shared" si="197"/>
        <v>13.0760478236561+23.0585323550454i</v>
      </c>
      <c r="BG172" s="66">
        <f t="shared" si="198"/>
        <v>28.467569381386703</v>
      </c>
      <c r="BH172" s="63">
        <f t="shared" si="199"/>
        <v>60.443266146512933</v>
      </c>
      <c r="BI172" s="60" t="str">
        <f t="shared" si="152"/>
        <v>-5.25155252185553+43.5611779963396i</v>
      </c>
      <c r="BJ172" s="66">
        <f t="shared" si="200"/>
        <v>32.844657088935506</v>
      </c>
      <c r="BK172" s="63">
        <f t="shared" si="153"/>
        <v>96.87416409947231</v>
      </c>
      <c r="BL172" s="51">
        <f t="shared" si="201"/>
        <v>28.467569381386703</v>
      </c>
      <c r="BM172" s="63">
        <f t="shared" si="202"/>
        <v>60.443266146512933</v>
      </c>
    </row>
    <row r="173" spans="14:65" x14ac:dyDescent="0.35">
      <c r="N173" s="11">
        <v>55</v>
      </c>
      <c r="O173" s="52">
        <f t="shared" si="154"/>
        <v>354.81338923357566</v>
      </c>
      <c r="P173" s="50" t="str">
        <f t="shared" si="155"/>
        <v>36.531007751938</v>
      </c>
      <c r="Q173" s="18" t="str">
        <f t="shared" si="156"/>
        <v>1+1.08875636638332i</v>
      </c>
      <c r="R173" s="18">
        <f t="shared" si="167"/>
        <v>1.4783066073518749</v>
      </c>
      <c r="S173" s="18">
        <f t="shared" si="168"/>
        <v>0.82786506182381203</v>
      </c>
      <c r="T173" s="18" t="str">
        <f t="shared" si="157"/>
        <v>1+0.000445871654804598i</v>
      </c>
      <c r="U173" s="18">
        <f t="shared" si="169"/>
        <v>1.0000000994007614</v>
      </c>
      <c r="V173" s="18">
        <f t="shared" si="170"/>
        <v>4.4587162525794544E-4</v>
      </c>
      <c r="W173" s="32" t="str">
        <f t="shared" si="158"/>
        <v>1-0.00738722268315311i</v>
      </c>
      <c r="X173" s="18">
        <f t="shared" si="171"/>
        <v>1.0000272851572454</v>
      </c>
      <c r="Y173" s="18">
        <f t="shared" si="172"/>
        <v>-7.3870883113645461E-3</v>
      </c>
      <c r="Z173" s="32" t="str">
        <f t="shared" si="159"/>
        <v>0.999997398914438+0.00335682485567985i</v>
      </c>
      <c r="AA173" s="18">
        <f t="shared" si="173"/>
        <v>1.0000030330497769</v>
      </c>
      <c r="AB173" s="18">
        <f t="shared" si="174"/>
        <v>3.3568209785383319E-3</v>
      </c>
      <c r="AC173" s="68" t="str">
        <f t="shared" si="175"/>
        <v>16.5281084185302-18.3712834702653i</v>
      </c>
      <c r="AD173" s="66">
        <f t="shared" si="176"/>
        <v>27.858154209527555</v>
      </c>
      <c r="AE173" s="63">
        <f t="shared" si="177"/>
        <v>-48.023208144292283</v>
      </c>
      <c r="AF173" s="51" t="str">
        <f t="shared" si="178"/>
        <v>42.1703962805665</v>
      </c>
      <c r="AG173" s="51" t="str">
        <f t="shared" si="160"/>
        <v>1+0.196708083002029i</v>
      </c>
      <c r="AH173" s="51">
        <f t="shared" si="179"/>
        <v>1.0191634166895578</v>
      </c>
      <c r="AI173" s="51">
        <f t="shared" si="180"/>
        <v>0.19422826053515044</v>
      </c>
      <c r="AJ173" s="51" t="str">
        <f t="shared" si="161"/>
        <v>1+0.000445871654804598i</v>
      </c>
      <c r="AK173" s="51">
        <f t="shared" si="181"/>
        <v>1.0000000994007614</v>
      </c>
      <c r="AL173" s="51">
        <f t="shared" si="182"/>
        <v>4.4587162525794544E-4</v>
      </c>
      <c r="AM173" s="51" t="str">
        <f t="shared" si="162"/>
        <v>1-0.00115617926286738i</v>
      </c>
      <c r="AN173" s="51">
        <f t="shared" si="183"/>
        <v>1.0000006683750207</v>
      </c>
      <c r="AO173" s="51">
        <f t="shared" si="184"/>
        <v>-1.1561787476933954E-3</v>
      </c>
      <c r="AP173" s="60" t="str">
        <f t="shared" si="185"/>
        <v>40.5937870024667-8.01507997636101i</v>
      </c>
      <c r="AQ173" s="51">
        <f t="shared" si="186"/>
        <v>32.335283790235827</v>
      </c>
      <c r="AR173" s="63">
        <f t="shared" si="187"/>
        <v>-11.169157191105116</v>
      </c>
      <c r="AS173" s="32" t="str">
        <f t="shared" si="163"/>
        <v>-0.000133283554228113</v>
      </c>
      <c r="AT173" s="32" t="str">
        <f t="shared" si="164"/>
        <v>0.000136213790542805i</v>
      </c>
      <c r="AU173" s="32">
        <f t="shared" si="188"/>
        <v>1.3621379054280501E-4</v>
      </c>
      <c r="AV173" s="32">
        <f t="shared" si="189"/>
        <v>1.5707963267948966</v>
      </c>
      <c r="AW173" s="32" t="str">
        <f t="shared" si="165"/>
        <v>1+0.0238159717346843i</v>
      </c>
      <c r="AX173" s="32">
        <f t="shared" si="190"/>
        <v>1.0002835600516822</v>
      </c>
      <c r="AY173" s="32">
        <f t="shared" si="191"/>
        <v>2.381147045602618E-2</v>
      </c>
      <c r="AZ173" s="32" t="str">
        <f t="shared" si="166"/>
        <v>1+0.354916066582734i</v>
      </c>
      <c r="BA173" s="32">
        <f t="shared" si="192"/>
        <v>1.0611151748601844</v>
      </c>
      <c r="BB173" s="32">
        <f t="shared" si="193"/>
        <v>0.34104765790813962</v>
      </c>
      <c r="BC173" s="60" t="str">
        <f t="shared" si="194"/>
        <v>-0.32379380083128+0.986199425447499i</v>
      </c>
      <c r="BD173" s="51">
        <f t="shared" si="195"/>
        <v>0.32389762114567056</v>
      </c>
      <c r="BE173" s="63">
        <f t="shared" si="196"/>
        <v>108.17629464982711</v>
      </c>
      <c r="BF173" s="60" t="str">
        <f t="shared" si="197"/>
        <v>12.7660501577214+22.2485187270745i</v>
      </c>
      <c r="BG173" s="66">
        <f t="shared" si="198"/>
        <v>28.18205183067322</v>
      </c>
      <c r="BH173" s="63">
        <f t="shared" si="199"/>
        <v>60.153086505534802</v>
      </c>
      <c r="BI173" s="60" t="str">
        <f t="shared" si="152"/>
        <v>-5.23954931606112+42.6288026280834i</v>
      </c>
      <c r="BJ173" s="66">
        <f t="shared" si="200"/>
        <v>32.659181411381496</v>
      </c>
      <c r="BK173" s="63">
        <f t="shared" si="153"/>
        <v>97.007137458721985</v>
      </c>
      <c r="BL173" s="51">
        <f t="shared" si="201"/>
        <v>28.18205183067322</v>
      </c>
      <c r="BM173" s="63">
        <f t="shared" si="202"/>
        <v>60.153086505534802</v>
      </c>
    </row>
    <row r="174" spans="14:65" x14ac:dyDescent="0.35">
      <c r="N174" s="11">
        <v>56</v>
      </c>
      <c r="O174" s="52">
        <f t="shared" si="154"/>
        <v>363.07805477010152</v>
      </c>
      <c r="P174" s="50" t="str">
        <f t="shared" si="155"/>
        <v>36.531007751938</v>
      </c>
      <c r="Q174" s="18" t="str">
        <f t="shared" si="156"/>
        <v>1+1.11411676002111i</v>
      </c>
      <c r="R174" s="18">
        <f t="shared" si="167"/>
        <v>1.4970825478108865</v>
      </c>
      <c r="S174" s="18">
        <f t="shared" si="168"/>
        <v>0.8393242863671968</v>
      </c>
      <c r="T174" s="18" t="str">
        <f t="shared" si="157"/>
        <v>1+0.00045625733981817i</v>
      </c>
      <c r="U174" s="18">
        <f t="shared" si="169"/>
        <v>1.0000001040853748</v>
      </c>
      <c r="V174" s="18">
        <f t="shared" si="170"/>
        <v>4.5625730815836152E-4</v>
      </c>
      <c r="W174" s="32" t="str">
        <f t="shared" si="158"/>
        <v>1-0.00755929320408803i</v>
      </c>
      <c r="X174" s="18">
        <f t="shared" si="171"/>
        <v>1.0000285710487202</v>
      </c>
      <c r="Y174" s="18">
        <f t="shared" si="172"/>
        <v>-7.5591492223446742E-3</v>
      </c>
      <c r="Z174" s="32" t="str">
        <f t="shared" si="159"/>
        <v>0.999997276329053+0.00343501535113106i</v>
      </c>
      <c r="AA174" s="18">
        <f t="shared" si="173"/>
        <v>1.00000317599295</v>
      </c>
      <c r="AB174" s="18">
        <f t="shared" si="174"/>
        <v>3.4350111966995542E-3</v>
      </c>
      <c r="AC174" s="68" t="str">
        <f t="shared" si="175"/>
        <v>16.1074927456323-18.3305905412378i</v>
      </c>
      <c r="AD174" s="66">
        <f t="shared" si="176"/>
        <v>27.748539585159531</v>
      </c>
      <c r="AE174" s="63">
        <f t="shared" si="177"/>
        <v>-48.693516624841628</v>
      </c>
      <c r="AF174" s="51" t="str">
        <f t="shared" si="178"/>
        <v>42.1703962805665</v>
      </c>
      <c r="AG174" s="51" t="str">
        <f t="shared" si="160"/>
        <v>1+0.201290002860958i</v>
      </c>
      <c r="AH174" s="51">
        <f t="shared" si="179"/>
        <v>1.0200576774142551</v>
      </c>
      <c r="AI174" s="51">
        <f t="shared" si="180"/>
        <v>0.19863563894467701</v>
      </c>
      <c r="AJ174" s="51" t="str">
        <f t="shared" si="161"/>
        <v>1+0.00045625733981817i</v>
      </c>
      <c r="AK174" s="51">
        <f t="shared" si="181"/>
        <v>1.0000001040853748</v>
      </c>
      <c r="AL174" s="51">
        <f t="shared" si="182"/>
        <v>4.5625730815836152E-4</v>
      </c>
      <c r="AM174" s="51" t="str">
        <f t="shared" si="162"/>
        <v>1-0.00118311013751252i</v>
      </c>
      <c r="AN174" s="51">
        <f t="shared" si="183"/>
        <v>1.0000006998745539</v>
      </c>
      <c r="AO174" s="51">
        <f t="shared" si="184"/>
        <v>-1.1831095854936708E-3</v>
      </c>
      <c r="AP174" s="60" t="str">
        <f t="shared" si="185"/>
        <v>40.5223770604717-8.18740106495157i</v>
      </c>
      <c r="AQ174" s="51">
        <f t="shared" si="186"/>
        <v>32.327666048316615</v>
      </c>
      <c r="AR174" s="63">
        <f t="shared" si="187"/>
        <v>-11.42262934023522</v>
      </c>
      <c r="AS174" s="32" t="str">
        <f t="shared" si="163"/>
        <v>-0.000133283554228113</v>
      </c>
      <c r="AT174" s="32" t="str">
        <f t="shared" si="164"/>
        <v>0.000139386617314451i</v>
      </c>
      <c r="AU174" s="32">
        <f t="shared" si="188"/>
        <v>1.3938661731445099E-4</v>
      </c>
      <c r="AV174" s="32">
        <f t="shared" si="189"/>
        <v>1.5707963267948966</v>
      </c>
      <c r="AW174" s="32" t="str">
        <f t="shared" si="165"/>
        <v>1+0.024370716980459i</v>
      </c>
      <c r="AX174" s="32">
        <f t="shared" si="190"/>
        <v>1.0002969218417808</v>
      </c>
      <c r="AY174" s="32">
        <f t="shared" si="191"/>
        <v>2.4365893850799219E-2</v>
      </c>
      <c r="AZ174" s="32" t="str">
        <f t="shared" si="166"/>
        <v>1+0.363183123781962i</v>
      </c>
      <c r="BA174" s="32">
        <f t="shared" si="192"/>
        <v>1.0639088219391848</v>
      </c>
      <c r="BB174" s="32">
        <f t="shared" si="193"/>
        <v>0.34837063859301182</v>
      </c>
      <c r="BC174" s="60" t="str">
        <f t="shared" si="194"/>
        <v>-0.323785150527934+0.96410573244139i</v>
      </c>
      <c r="BD174" s="51">
        <f t="shared" si="195"/>
        <v>0.14661929007317256</v>
      </c>
      <c r="BE174" s="63">
        <f t="shared" si="196"/>
        <v>108.56410441594235</v>
      </c>
      <c r="BF174" s="60" t="str">
        <f t="shared" si="197"/>
        <v>12.4572604565711+21.4644991089828i</v>
      </c>
      <c r="BG174" s="66">
        <f t="shared" si="198"/>
        <v>27.895158875232692</v>
      </c>
      <c r="BH174" s="63">
        <f t="shared" si="199"/>
        <v>59.870587791100775</v>
      </c>
      <c r="BI174" s="60" t="str">
        <f t="shared" si="152"/>
        <v>-5.22702365575798+41.7188149024002i</v>
      </c>
      <c r="BJ174" s="66">
        <f t="shared" si="200"/>
        <v>32.474285338389791</v>
      </c>
      <c r="BK174" s="63">
        <f t="shared" si="153"/>
        <v>97.141475075707135</v>
      </c>
      <c r="BL174" s="51">
        <f t="shared" si="201"/>
        <v>27.895158875232692</v>
      </c>
      <c r="BM174" s="63">
        <f t="shared" si="202"/>
        <v>59.870587791100775</v>
      </c>
    </row>
    <row r="175" spans="14:65" x14ac:dyDescent="0.35">
      <c r="N175" s="11">
        <v>57</v>
      </c>
      <c r="O175" s="52">
        <f t="shared" si="154"/>
        <v>371.53522909717265</v>
      </c>
      <c r="P175" s="50" t="str">
        <f t="shared" si="155"/>
        <v>36.531007751938</v>
      </c>
      <c r="Q175" s="18" t="str">
        <f t="shared" si="156"/>
        <v>1+1.14006787311214i</v>
      </c>
      <c r="R175" s="18">
        <f t="shared" si="167"/>
        <v>1.5164942318724588</v>
      </c>
      <c r="S175" s="18">
        <f t="shared" si="168"/>
        <v>0.85075514720955003</v>
      </c>
      <c r="T175" s="18" t="str">
        <f t="shared" si="157"/>
        <v>1+0.000466884938512592i</v>
      </c>
      <c r="U175" s="18">
        <f t="shared" si="169"/>
        <v>1.0000001089907669</v>
      </c>
      <c r="V175" s="18">
        <f t="shared" si="170"/>
        <v>4.6688490458849622E-4</v>
      </c>
      <c r="W175" s="32" t="str">
        <f t="shared" si="158"/>
        <v>1-0.00773537176233881i</v>
      </c>
      <c r="X175" s="18">
        <f t="shared" si="171"/>
        <v>1.0000299175406211</v>
      </c>
      <c r="Y175" s="18">
        <f t="shared" si="172"/>
        <v>-7.7352174833704799E-3</v>
      </c>
      <c r="Z175" s="32" t="str">
        <f t="shared" si="159"/>
        <v>0.999997147966395+0.00351502713718923i</v>
      </c>
      <c r="AA175" s="18">
        <f t="shared" si="173"/>
        <v>1.0000033256728196</v>
      </c>
      <c r="AB175" s="18">
        <f t="shared" si="174"/>
        <v>3.5150226856362145E-3</v>
      </c>
      <c r="AC175" s="68" t="str">
        <f t="shared" si="175"/>
        <v>15.6889566142017-18.2804051168981i</v>
      </c>
      <c r="AD175" s="66">
        <f t="shared" si="176"/>
        <v>27.636649719760214</v>
      </c>
      <c r="AE175" s="63">
        <f t="shared" si="177"/>
        <v>-49.362520079779543</v>
      </c>
      <c r="AF175" s="51" t="str">
        <f t="shared" si="178"/>
        <v>42.1703962805665</v>
      </c>
      <c r="AG175" s="51" t="str">
        <f t="shared" si="160"/>
        <v>1+0.205978649343791i</v>
      </c>
      <c r="AH175" s="51">
        <f t="shared" si="179"/>
        <v>1.0209932438490925</v>
      </c>
      <c r="AI175" s="51">
        <f t="shared" si="180"/>
        <v>0.20313759611148741</v>
      </c>
      <c r="AJ175" s="51" t="str">
        <f t="shared" si="161"/>
        <v>1+0.000466884938512592i</v>
      </c>
      <c r="AK175" s="51">
        <f t="shared" si="181"/>
        <v>1.0000001089907669</v>
      </c>
      <c r="AL175" s="51">
        <f t="shared" si="182"/>
        <v>4.6688490458849622E-4</v>
      </c>
      <c r="AM175" s="51" t="str">
        <f t="shared" si="162"/>
        <v>1-0.00121066831281288i</v>
      </c>
      <c r="AN175" s="51">
        <f t="shared" si="183"/>
        <v>1.0000007328586134</v>
      </c>
      <c r="AO175" s="51">
        <f t="shared" si="184"/>
        <v>-1.2106677213140496E-3</v>
      </c>
      <c r="AP175" s="60" t="str">
        <f t="shared" si="185"/>
        <v>40.4478694567694-8.36276315918048i</v>
      </c>
      <c r="AQ175" s="51">
        <f t="shared" si="186"/>
        <v>32.319703589929944</v>
      </c>
      <c r="AR175" s="63">
        <f t="shared" si="187"/>
        <v>-11.681542533894078</v>
      </c>
      <c r="AS175" s="32" t="str">
        <f t="shared" si="163"/>
        <v>-0.000133283554228113</v>
      </c>
      <c r="AT175" s="32" t="str">
        <f t="shared" si="164"/>
        <v>0.000142633348715597i</v>
      </c>
      <c r="AU175" s="32">
        <f t="shared" si="188"/>
        <v>1.4263334871559701E-4</v>
      </c>
      <c r="AV175" s="32">
        <f t="shared" si="189"/>
        <v>1.5707963267948966</v>
      </c>
      <c r="AW175" s="32" t="str">
        <f t="shared" si="165"/>
        <v>1+0.0249383839029613i</v>
      </c>
      <c r="AX175" s="32">
        <f t="shared" si="190"/>
        <v>1.0003109131623484</v>
      </c>
      <c r="AY175" s="32">
        <f t="shared" si="191"/>
        <v>2.4933215913170985E-2</v>
      </c>
      <c r="AZ175" s="32" t="str">
        <f t="shared" si="166"/>
        <v>1+0.371642745480716i</v>
      </c>
      <c r="BA175" s="32">
        <f t="shared" si="192"/>
        <v>1.0668262887032942</v>
      </c>
      <c r="BB175" s="32">
        <f t="shared" si="193"/>
        <v>0.35582408004771526</v>
      </c>
      <c r="BC175" s="60" t="str">
        <f t="shared" si="194"/>
        <v>-0.323776093043716+0.942523201192431i</v>
      </c>
      <c r="BD175" s="51">
        <f t="shared" si="195"/>
        <v>-2.9716221188585121E-2</v>
      </c>
      <c r="BE175" s="63">
        <f t="shared" si="196"/>
        <v>108.95864999434612</v>
      </c>
      <c r="BF175" s="60" t="str">
        <f t="shared" si="197"/>
        <v>12.1499968733947+20.7059637593922i</v>
      </c>
      <c r="BG175" s="66">
        <f t="shared" si="198"/>
        <v>27.606933498571635</v>
      </c>
      <c r="BH175" s="63">
        <f t="shared" si="199"/>
        <v>59.59612991456661</v>
      </c>
      <c r="BI175" s="60" t="str">
        <f t="shared" si="152"/>
        <v>-5.21395484105014+40.8307181845372i</v>
      </c>
      <c r="BJ175" s="66">
        <f t="shared" si="200"/>
        <v>32.28998736874135</v>
      </c>
      <c r="BK175" s="63">
        <f t="shared" si="153"/>
        <v>97.277107460452044</v>
      </c>
      <c r="BL175" s="51">
        <f t="shared" si="201"/>
        <v>27.606933498571635</v>
      </c>
      <c r="BM175" s="63">
        <f t="shared" si="202"/>
        <v>59.59612991456661</v>
      </c>
    </row>
    <row r="176" spans="14:65" x14ac:dyDescent="0.35">
      <c r="N176" s="11">
        <v>58</v>
      </c>
      <c r="O176" s="52">
        <f t="shared" si="154"/>
        <v>380.18939632056163</v>
      </c>
      <c r="P176" s="50" t="str">
        <f t="shared" si="155"/>
        <v>36.531007751938</v>
      </c>
      <c r="Q176" s="18" t="str">
        <f t="shared" si="156"/>
        <v>1+1.16662346528008i</v>
      </c>
      <c r="R176" s="18">
        <f t="shared" si="167"/>
        <v>1.5365579422013678</v>
      </c>
      <c r="S176" s="18">
        <f t="shared" si="168"/>
        <v>0.86215175721879223</v>
      </c>
      <c r="T176" s="18" t="str">
        <f t="shared" si="157"/>
        <v>1+0.000477760085781366i</v>
      </c>
      <c r="U176" s="18">
        <f t="shared" si="169"/>
        <v>1.0000001141273434</v>
      </c>
      <c r="V176" s="18">
        <f t="shared" si="170"/>
        <v>4.7776004943104268E-4</v>
      </c>
      <c r="W176" s="32" t="str">
        <f t="shared" si="158"/>
        <v>1-0.00791555171708773i</v>
      </c>
      <c r="X176" s="18">
        <f t="shared" si="171"/>
        <v>1.0000313274887871</v>
      </c>
      <c r="Y176" s="18">
        <f t="shared" si="172"/>
        <v>-7.9153864044744643E-3</v>
      </c>
      <c r="Z176" s="32" t="str">
        <f t="shared" si="159"/>
        <v>0.999997013554193+0.00359690263716241i</v>
      </c>
      <c r="AA176" s="18">
        <f t="shared" si="173"/>
        <v>1.0000034824068795</v>
      </c>
      <c r="AB176" s="18">
        <f t="shared" si="174"/>
        <v>3.5968978672380209E-3</v>
      </c>
      <c r="AC176" s="68" t="str">
        <f t="shared" si="175"/>
        <v>15.2729247823211-18.2208578142833i</v>
      </c>
      <c r="AD176" s="66">
        <f t="shared" si="176"/>
        <v>27.522497069672692</v>
      </c>
      <c r="AE176" s="63">
        <f t="shared" si="177"/>
        <v>-50.029888655296027</v>
      </c>
      <c r="AF176" s="51" t="str">
        <f t="shared" si="178"/>
        <v>42.1703962805665</v>
      </c>
      <c r="AG176" s="51" t="str">
        <f t="shared" si="160"/>
        <v>1+0.210776508432956i</v>
      </c>
      <c r="AH176" s="51">
        <f t="shared" si="179"/>
        <v>1.0219719842085633</v>
      </c>
      <c r="AI176" s="51">
        <f t="shared" si="180"/>
        <v>0.20773578873594054</v>
      </c>
      <c r="AJ176" s="51" t="str">
        <f t="shared" si="161"/>
        <v>1+0.000477760085781366i</v>
      </c>
      <c r="AK176" s="51">
        <f t="shared" si="181"/>
        <v>1.0000001141273434</v>
      </c>
      <c r="AL176" s="51">
        <f t="shared" si="182"/>
        <v>4.7776004943104268E-4</v>
      </c>
      <c r="AM176" s="51" t="str">
        <f t="shared" si="162"/>
        <v>1-0.00123886840047779i</v>
      </c>
      <c r="AN176" s="51">
        <f t="shared" si="183"/>
        <v>1.0000007673971623</v>
      </c>
      <c r="AO176" s="51">
        <f t="shared" si="184"/>
        <v>-1.2388677666754003E-3</v>
      </c>
      <c r="AP176" s="60" t="str">
        <f t="shared" si="185"/>
        <v>40.3701424268622-8.54117390491835i</v>
      </c>
      <c r="AQ176" s="51">
        <f t="shared" si="186"/>
        <v>32.311381490989035</v>
      </c>
      <c r="AR176" s="63">
        <f t="shared" si="187"/>
        <v>-11.945992208343656</v>
      </c>
      <c r="AS176" s="32" t="str">
        <f t="shared" si="163"/>
        <v>-0.000133283554228113</v>
      </c>
      <c r="AT176" s="32" t="str">
        <f t="shared" si="164"/>
        <v>0.000145955706206207i</v>
      </c>
      <c r="AU176" s="32">
        <f t="shared" si="188"/>
        <v>1.4595570620620701E-4</v>
      </c>
      <c r="AV176" s="32">
        <f t="shared" si="189"/>
        <v>1.5707963267948966</v>
      </c>
      <c r="AW176" s="32" t="str">
        <f t="shared" si="165"/>
        <v>1+0.0255192734867074i</v>
      </c>
      <c r="AX176" s="32">
        <f t="shared" si="190"/>
        <v>1.0003255636637951</v>
      </c>
      <c r="AY176" s="32">
        <f t="shared" si="191"/>
        <v>2.5513735983210949E-2</v>
      </c>
      <c r="AZ176" s="32" t="str">
        <f t="shared" si="166"/>
        <v>1+0.380299417082396i</v>
      </c>
      <c r="BA176" s="32">
        <f t="shared" si="192"/>
        <v>1.0698727245019428</v>
      </c>
      <c r="BB176" s="32">
        <f t="shared" si="193"/>
        <v>0.36340862066785756</v>
      </c>
      <c r="BC176" s="60" t="str">
        <f t="shared" si="194"/>
        <v>-0.323766609236533+0.921440386938032i</v>
      </c>
      <c r="BD176" s="51">
        <f t="shared" si="195"/>
        <v>-0.20507529997224325</v>
      </c>
      <c r="BE176" s="63">
        <f t="shared" si="196"/>
        <v>109.35995081148992</v>
      </c>
      <c r="BF176" s="60" t="str">
        <f t="shared" si="197"/>
        <v>11.8445712048394+19.9723950730089i</v>
      </c>
      <c r="BG176" s="66">
        <f t="shared" si="198"/>
        <v>27.317421769700459</v>
      </c>
      <c r="BH176" s="63">
        <f t="shared" si="199"/>
        <v>59.330062156193797</v>
      </c>
      <c r="BI176" s="60" t="str">
        <f t="shared" si="152"/>
        <v>-5.20032154008809+39.9640265726463i</v>
      </c>
      <c r="BJ176" s="66">
        <f t="shared" si="200"/>
        <v>32.106306191016785</v>
      </c>
      <c r="BK176" s="63">
        <f t="shared" si="153"/>
        <v>97.413958603146284</v>
      </c>
      <c r="BL176" s="51">
        <f t="shared" si="201"/>
        <v>27.317421769700459</v>
      </c>
      <c r="BM176" s="63">
        <f t="shared" si="202"/>
        <v>59.330062156193797</v>
      </c>
    </row>
    <row r="177" spans="14:65" x14ac:dyDescent="0.35">
      <c r="N177" s="11">
        <v>59</v>
      </c>
      <c r="O177" s="52">
        <f t="shared" si="154"/>
        <v>389.04514499428063</v>
      </c>
      <c r="P177" s="50" t="str">
        <f t="shared" si="155"/>
        <v>36.531007751938</v>
      </c>
      <c r="Q177" s="18" t="str">
        <f t="shared" si="156"/>
        <v>1+1.19379761665139i</v>
      </c>
      <c r="R177" s="18">
        <f t="shared" si="167"/>
        <v>1.5572901943833524</v>
      </c>
      <c r="S177" s="18">
        <f t="shared" si="168"/>
        <v>0.87350831813525698</v>
      </c>
      <c r="T177" s="18" t="str">
        <f t="shared" si="157"/>
        <v>1+0.000488888547771524i</v>
      </c>
      <c r="U177" s="18">
        <f t="shared" si="169"/>
        <v>1.0000001195059989</v>
      </c>
      <c r="V177" s="18">
        <f t="shared" si="170"/>
        <v>4.8888850882145116E-4</v>
      </c>
      <c r="W177" s="32" t="str">
        <f t="shared" si="158"/>
        <v>1-0.00809992860213177i</v>
      </c>
      <c r="X177" s="18">
        <f t="shared" si="171"/>
        <v>1.0000328038836324</v>
      </c>
      <c r="Y177" s="18">
        <f t="shared" si="172"/>
        <v>-8.0997514667890784E-3</v>
      </c>
      <c r="Z177" s="32" t="str">
        <f t="shared" si="159"/>
        <v>0.999996872807338+0.00368068526252446i</v>
      </c>
      <c r="AA177" s="18">
        <f t="shared" si="173"/>
        <v>1.0000036465275799</v>
      </c>
      <c r="AB177" s="18">
        <f t="shared" si="174"/>
        <v>3.6806801514590766E-3</v>
      </c>
      <c r="AC177" s="68" t="str">
        <f t="shared" si="175"/>
        <v>14.8598116681974-18.1521025130857i</v>
      </c>
      <c r="AD177" s="66">
        <f t="shared" si="176"/>
        <v>27.406096368605738</v>
      </c>
      <c r="AE177" s="63">
        <f t="shared" si="177"/>
        <v>-50.695297763081307</v>
      </c>
      <c r="AF177" s="51" t="str">
        <f t="shared" si="178"/>
        <v>42.1703962805665</v>
      </c>
      <c r="AG177" s="51" t="str">
        <f t="shared" si="160"/>
        <v>1+0.215686124016849i</v>
      </c>
      <c r="AH177" s="51">
        <f t="shared" si="179"/>
        <v>1.0229958475445595</v>
      </c>
      <c r="AI177" s="51">
        <f t="shared" si="180"/>
        <v>0.21243187670558716</v>
      </c>
      <c r="AJ177" s="51" t="str">
        <f t="shared" si="161"/>
        <v>1+0.000488888547771524i</v>
      </c>
      <c r="AK177" s="51">
        <f t="shared" si="181"/>
        <v>1.0000001195059989</v>
      </c>
      <c r="AL177" s="51">
        <f t="shared" si="182"/>
        <v>4.8888850882145116E-4</v>
      </c>
      <c r="AM177" s="51" t="str">
        <f t="shared" si="162"/>
        <v>1-0.00126772535256698i</v>
      </c>
      <c r="AN177" s="51">
        <f t="shared" si="183"/>
        <v>1.0000008035634618</v>
      </c>
      <c r="AO177" s="51">
        <f t="shared" si="184"/>
        <v>-1.2677246734355133E-3</v>
      </c>
      <c r="AP177" s="60" t="str">
        <f t="shared" si="185"/>
        <v>40.289070579807-8.72263733029595i</v>
      </c>
      <c r="AQ177" s="51">
        <f t="shared" si="186"/>
        <v>32.302684243455019</v>
      </c>
      <c r="AR177" s="63">
        <f t="shared" si="187"/>
        <v>-12.216073994438151</v>
      </c>
      <c r="AS177" s="32" t="str">
        <f t="shared" si="163"/>
        <v>-0.000133283554228113</v>
      </c>
      <c r="AT177" s="32" t="str">
        <f t="shared" si="164"/>
        <v>0.0001493554513442i</v>
      </c>
      <c r="AU177" s="32">
        <f t="shared" si="188"/>
        <v>1.4935545134419999E-4</v>
      </c>
      <c r="AV177" s="32">
        <f t="shared" si="189"/>
        <v>1.5707963267948966</v>
      </c>
      <c r="AW177" s="32" t="str">
        <f t="shared" si="165"/>
        <v>1+0.0261136937270438i</v>
      </c>
      <c r="AX177" s="32">
        <f t="shared" si="190"/>
        <v>1.0003409043921325</v>
      </c>
      <c r="AY177" s="32">
        <f t="shared" si="191"/>
        <v>2.6107760294349441E-2</v>
      </c>
      <c r="AZ177" s="32" t="str">
        <f t="shared" si="166"/>
        <v>1+0.389157728468872i</v>
      </c>
      <c r="BA177" s="32">
        <f t="shared" si="192"/>
        <v>1.0730534644774474</v>
      </c>
      <c r="BB177" s="32">
        <f t="shared" si="193"/>
        <v>0.37112479045541447</v>
      </c>
      <c r="BC177" s="60" t="str">
        <f t="shared" si="194"/>
        <v>-0.323756679066746+0.900846109770904i</v>
      </c>
      <c r="BD177" s="51">
        <f t="shared" si="195"/>
        <v>-0.379423596048439</v>
      </c>
      <c r="BE177" s="63">
        <f t="shared" si="196"/>
        <v>109.76801968836685</v>
      </c>
      <c r="BF177" s="60" t="str">
        <f t="shared" si="197"/>
        <v>11.541287655823+19.2632679609397i</v>
      </c>
      <c r="BG177" s="66">
        <f t="shared" si="198"/>
        <v>27.026672772557298</v>
      </c>
      <c r="BH177" s="63">
        <f t="shared" si="199"/>
        <v>59.072721925285641</v>
      </c>
      <c r="BI177" s="60" t="str">
        <f t="shared" si="152"/>
        <v>-5.18610178766448+39.1182645928648i</v>
      </c>
      <c r="BJ177" s="66">
        <f t="shared" si="200"/>
        <v>31.92326064740659</v>
      </c>
      <c r="BK177" s="63">
        <f t="shared" si="153"/>
        <v>97.551945693928687</v>
      </c>
      <c r="BL177" s="51">
        <f t="shared" si="201"/>
        <v>27.026672772557298</v>
      </c>
      <c r="BM177" s="63">
        <f t="shared" si="202"/>
        <v>59.072721925285641</v>
      </c>
    </row>
    <row r="178" spans="14:65" x14ac:dyDescent="0.35">
      <c r="N178" s="11">
        <v>60</v>
      </c>
      <c r="O178" s="52">
        <f t="shared" si="154"/>
        <v>398.10717055349761</v>
      </c>
      <c r="P178" s="50" t="str">
        <f t="shared" si="155"/>
        <v>36.531007751938</v>
      </c>
      <c r="Q178" s="18" t="str">
        <f t="shared" si="156"/>
        <v>1+1.22160473532084i</v>
      </c>
      <c r="R178" s="18">
        <f t="shared" si="167"/>
        <v>1.5787077403238066</v>
      </c>
      <c r="S178" s="18">
        <f t="shared" si="168"/>
        <v>0.88481913480429397</v>
      </c>
      <c r="T178" s="18" t="str">
        <f t="shared" si="157"/>
        <v>1+0.000500276224940914i</v>
      </c>
      <c r="U178" s="18">
        <f t="shared" si="169"/>
        <v>1.0000001251381427</v>
      </c>
      <c r="V178" s="18">
        <f t="shared" si="170"/>
        <v>5.0027618320515918E-4</v>
      </c>
      <c r="W178" s="32" t="str">
        <f t="shared" si="158"/>
        <v>1-0.00828860017653586i</v>
      </c>
      <c r="X178" s="18">
        <f t="shared" si="171"/>
        <v>1.000034349856487</v>
      </c>
      <c r="Y178" s="18">
        <f t="shared" si="172"/>
        <v>-8.288410372948635E-3</v>
      </c>
      <c r="Z178" s="32" t="str">
        <f t="shared" si="159"/>
        <v>0.999996725427288+0.00376641943593232i</v>
      </c>
      <c r="AA178" s="18">
        <f t="shared" si="173"/>
        <v>1.0000038183830431</v>
      </c>
      <c r="AB178" s="18">
        <f t="shared" si="174"/>
        <v>3.7664139593278586E-3</v>
      </c>
      <c r="AC178" s="68" t="str">
        <f t="shared" si="175"/>
        <v>14.4500197574368-18.0743153967868i</v>
      </c>
      <c r="AD178" s="66">
        <f t="shared" si="176"/>
        <v>27.28746456724247</v>
      </c>
      <c r="AE178" s="63">
        <f t="shared" si="177"/>
        <v>-51.358428899825526</v>
      </c>
      <c r="AF178" s="51" t="str">
        <f t="shared" si="178"/>
        <v>42.1703962805665</v>
      </c>
      <c r="AG178" s="51" t="str">
        <f t="shared" si="160"/>
        <v>1+0.220710099238639i</v>
      </c>
      <c r="AH178" s="51">
        <f t="shared" si="179"/>
        <v>1.024066866911497</v>
      </c>
      <c r="AI178" s="51">
        <f t="shared" si="180"/>
        <v>0.21722752105215468</v>
      </c>
      <c r="AJ178" s="51" t="str">
        <f t="shared" si="161"/>
        <v>1+0.000500276224940914i</v>
      </c>
      <c r="AK178" s="51">
        <f t="shared" si="181"/>
        <v>1.0000001251381427</v>
      </c>
      <c r="AL178" s="51">
        <f t="shared" si="182"/>
        <v>5.0027618320515918E-4</v>
      </c>
      <c r="AM178" s="51" t="str">
        <f t="shared" si="162"/>
        <v>1-0.00129725446941844i</v>
      </c>
      <c r="AN178" s="51">
        <f t="shared" si="183"/>
        <v>1.0000008414342252</v>
      </c>
      <c r="AO178" s="51">
        <f t="shared" si="184"/>
        <v>-1.2972537417159956E-3</v>
      </c>
      <c r="AP178" s="60" t="str">
        <f t="shared" si="185"/>
        <v>40.2045249003961-8.90715356900537i</v>
      </c>
      <c r="AQ178" s="51">
        <f t="shared" si="186"/>
        <v>32.293595738201276</v>
      </c>
      <c r="AR178" s="63">
        <f t="shared" si="187"/>
        <v>-12.491883600847023</v>
      </c>
      <c r="AS178" s="32" t="str">
        <f t="shared" si="163"/>
        <v>-0.000133283554228113</v>
      </c>
      <c r="AT178" s="32" t="str">
        <f t="shared" si="164"/>
        <v>0.000152834386719449i</v>
      </c>
      <c r="AU178" s="32">
        <f t="shared" si="188"/>
        <v>1.5283438671944899E-4</v>
      </c>
      <c r="AV178" s="32">
        <f t="shared" si="189"/>
        <v>1.5707963267948966</v>
      </c>
      <c r="AW178" s="32" t="str">
        <f t="shared" si="165"/>
        <v>1+0.0267219597934497i</v>
      </c>
      <c r="AX178" s="32">
        <f t="shared" si="190"/>
        <v>1.0003569678545767</v>
      </c>
      <c r="AY178" s="32">
        <f t="shared" si="191"/>
        <v>2.6715602128295789E-2</v>
      </c>
      <c r="AZ178" s="32" t="str">
        <f t="shared" si="166"/>
        <v>1+0.398222376434092i</v>
      </c>
      <c r="BA178" s="32">
        <f t="shared" si="192"/>
        <v>1.0763740340108616</v>
      </c>
      <c r="BB178" s="32">
        <f t="shared" si="193"/>
        <v>0.37897300428773278</v>
      </c>
      <c r="BC178" s="60" t="str">
        <f t="shared" si="194"/>
        <v>-0.323746281555322+0.880729448704119i</v>
      </c>
      <c r="BD178" s="51">
        <f t="shared" si="195"/>
        <v>-0.55272604440723827</v>
      </c>
      <c r="BE178" s="63">
        <f t="shared" si="196"/>
        <v>110.18286244597823</v>
      </c>
      <c r="BF178" s="60" t="str">
        <f t="shared" si="197"/>
        <v>11.2404416702453+18.5780503360988i</v>
      </c>
      <c r="BG178" s="66">
        <f t="shared" si="198"/>
        <v>26.734738522835244</v>
      </c>
      <c r="BH178" s="63">
        <f t="shared" si="199"/>
        <v>58.824433546152768</v>
      </c>
      <c r="BI178" s="60" t="str">
        <f t="shared" ref="BI178:BI241" si="203">IMPRODUCT(AP178,BC178)</f>
        <v>-5.17127298584856+38.2929668981446i</v>
      </c>
      <c r="BJ178" s="66">
        <f t="shared" si="200"/>
        <v>31.740869693794039</v>
      </c>
      <c r="BK178" s="63">
        <f t="shared" ref="BK178:BK241" si="204">(180/PI())*IMARGUMENT(BI178)</f>
        <v>97.690978845131198</v>
      </c>
      <c r="BL178" s="51">
        <f t="shared" si="201"/>
        <v>26.734738522835244</v>
      </c>
      <c r="BM178" s="63">
        <f t="shared" si="202"/>
        <v>58.824433546152768</v>
      </c>
    </row>
    <row r="179" spans="14:65" x14ac:dyDescent="0.35">
      <c r="N179" s="11">
        <v>61</v>
      </c>
      <c r="O179" s="52">
        <f t="shared" si="154"/>
        <v>407.38027780411272</v>
      </c>
      <c r="P179" s="50" t="str">
        <f t="shared" si="155"/>
        <v>36.531007751938</v>
      </c>
      <c r="Q179" s="18" t="str">
        <f t="shared" si="156"/>
        <v>1+1.2500595649908i</v>
      </c>
      <c r="R179" s="18">
        <f t="shared" si="167"/>
        <v>1.6008275722341203</v>
      </c>
      <c r="S179" s="18">
        <f t="shared" si="168"/>
        <v>0.89607862877041267</v>
      </c>
      <c r="T179" s="18" t="str">
        <f t="shared" si="157"/>
        <v>1+0.000511929155186708i</v>
      </c>
      <c r="U179" s="18">
        <f t="shared" si="169"/>
        <v>1.0000001310357214</v>
      </c>
      <c r="V179" s="18">
        <f t="shared" si="170"/>
        <v>5.1192911046604142E-4</v>
      </c>
      <c r="W179" s="32" t="str">
        <f t="shared" si="158"/>
        <v>1-0.00848166647646617i</v>
      </c>
      <c r="X179" s="18">
        <f t="shared" si="171"/>
        <v>1.0000359686862359</v>
      </c>
      <c r="Y179" s="18">
        <f t="shared" si="172"/>
        <v>-8.4814630986533267E-3</v>
      </c>
      <c r="Z179" s="32" t="str">
        <f t="shared" si="159"/>
        <v>0.999996571101431+0.00385415061477958i</v>
      </c>
      <c r="AA179" s="18">
        <f t="shared" si="173"/>
        <v>1.0000039983377971</v>
      </c>
      <c r="AB179" s="18">
        <f t="shared" si="174"/>
        <v>3.8541447464930296E-3</v>
      </c>
      <c r="AC179" s="68" t="str">
        <f t="shared" si="175"/>
        <v>14.043938112523-17.9876938685397i</v>
      </c>
      <c r="AD179" s="66">
        <f t="shared" si="176"/>
        <v>27.166620764487025</v>
      </c>
      <c r="AE179" s="63">
        <f t="shared" si="177"/>
        <v>-52.018970430230596</v>
      </c>
      <c r="AF179" s="51" t="str">
        <f t="shared" si="178"/>
        <v>42.1703962805665</v>
      </c>
      <c r="AG179" s="51" t="str">
        <f t="shared" si="160"/>
        <v>1+0.225851097876489i</v>
      </c>
      <c r="AH179" s="51">
        <f t="shared" si="179"/>
        <v>1.0251871626254474</v>
      </c>
      <c r="AI179" s="51">
        <f t="shared" si="180"/>
        <v>0.22212438175471302</v>
      </c>
      <c r="AJ179" s="51" t="str">
        <f t="shared" si="161"/>
        <v>1+0.000511929155186708i</v>
      </c>
      <c r="AK179" s="51">
        <f t="shared" si="181"/>
        <v>1.0000001310357214</v>
      </c>
      <c r="AL179" s="51">
        <f t="shared" si="182"/>
        <v>5.1192911046604142E-4</v>
      </c>
      <c r="AM179" s="51" t="str">
        <f t="shared" si="162"/>
        <v>1-0.00132747140776078i</v>
      </c>
      <c r="AN179" s="51">
        <f t="shared" si="183"/>
        <v>1.0000008810897809</v>
      </c>
      <c r="AO179" s="51">
        <f t="shared" si="184"/>
        <v>-1.3274706280135995E-3</v>
      </c>
      <c r="AP179" s="60" t="str">
        <f t="shared" si="185"/>
        <v>40.116372764092-9.09471857156726i</v>
      </c>
      <c r="AQ179" s="51">
        <f t="shared" si="186"/>
        <v>32.284099247918306</v>
      </c>
      <c r="AR179" s="63">
        <f t="shared" si="187"/>
        <v>-12.77351668847094</v>
      </c>
      <c r="AS179" s="32" t="str">
        <f t="shared" si="163"/>
        <v>-0.000133283554228113</v>
      </c>
      <c r="AT179" s="32" t="str">
        <f t="shared" si="164"/>
        <v>0.000156394356909539i</v>
      </c>
      <c r="AU179" s="32">
        <f t="shared" si="188"/>
        <v>1.56394356909539E-4</v>
      </c>
      <c r="AV179" s="32">
        <f t="shared" si="189"/>
        <v>1.5707963267948966</v>
      </c>
      <c r="AW179" s="32" t="str">
        <f t="shared" si="165"/>
        <v>1+0.0273443941966452i</v>
      </c>
      <c r="AX179" s="32">
        <f t="shared" si="190"/>
        <v>1.0003737880882233</v>
      </c>
      <c r="AY179" s="32">
        <f t="shared" si="191"/>
        <v>2.733758197316476E-2</v>
      </c>
      <c r="AZ179" s="32" t="str">
        <f t="shared" si="166"/>
        <v>1+0.407498167174395i</v>
      </c>
      <c r="BA179" s="32">
        <f t="shared" si="192"/>
        <v>1.079840153101602</v>
      </c>
      <c r="BB179" s="32">
        <f t="shared" si="193"/>
        <v>0.38695355510966706</v>
      </c>
      <c r="BC179" s="60" t="str">
        <f t="shared" si="194"/>
        <v>-0.323735394740049+0.86107973587293i</v>
      </c>
      <c r="BD179" s="51">
        <f t="shared" si="195"/>
        <v>-0.72494689194820583</v>
      </c>
      <c r="BE179" s="63">
        <f t="shared" si="196"/>
        <v>110.60447750621157</v>
      </c>
      <c r="BF179" s="60" t="str">
        <f t="shared" si="197"/>
        <v>10.9423188367228+17.9162036955419i</v>
      </c>
      <c r="BG179" s="66">
        <f t="shared" si="198"/>
        <v>26.441673872538797</v>
      </c>
      <c r="BH179" s="63">
        <f t="shared" si="199"/>
        <v>58.585507075981013</v>
      </c>
      <c r="BI179" s="60" t="str">
        <f t="shared" si="203"/>
        <v>-5.15581190687851+37.4876779707003i</v>
      </c>
      <c r="BJ179" s="66">
        <f t="shared" si="200"/>
        <v>31.559152355970092</v>
      </c>
      <c r="BK179" s="63">
        <f t="shared" si="204"/>
        <v>97.830960817740646</v>
      </c>
      <c r="BL179" s="51">
        <f t="shared" si="201"/>
        <v>26.441673872538797</v>
      </c>
      <c r="BM179" s="63">
        <f t="shared" si="202"/>
        <v>58.585507075981013</v>
      </c>
    </row>
    <row r="180" spans="14:65" x14ac:dyDescent="0.35">
      <c r="N180" s="11">
        <v>62</v>
      </c>
      <c r="O180" s="52">
        <f t="shared" si="154"/>
        <v>416.86938347033572</v>
      </c>
      <c r="P180" s="50" t="str">
        <f t="shared" si="155"/>
        <v>36.531007751938</v>
      </c>
      <c r="Q180" s="18" t="str">
        <f t="shared" si="156"/>
        <v>1+1.27917719278861i</v>
      </c>
      <c r="R180" s="18">
        <f t="shared" si="167"/>
        <v>1.6236669272207735</v>
      </c>
      <c r="S180" s="18">
        <f t="shared" si="168"/>
        <v>0.90728135115861663</v>
      </c>
      <c r="T180" s="18" t="str">
        <f t="shared" si="157"/>
        <v>1+0.000523853517046766i</v>
      </c>
      <c r="U180" s="18">
        <f t="shared" si="169"/>
        <v>1.0000001372112444</v>
      </c>
      <c r="V180" s="18">
        <f t="shared" si="170"/>
        <v>5.238534691277087E-4</v>
      </c>
      <c r="W180" s="32" t="str">
        <f t="shared" si="158"/>
        <v>1-0.00867922986823045i</v>
      </c>
      <c r="X180" s="18">
        <f t="shared" si="171"/>
        <v>1.0000376638062716</v>
      </c>
      <c r="Y180" s="18">
        <f t="shared" si="172"/>
        <v>-8.6790119454210075E-3</v>
      </c>
      <c r="Z180" s="32" t="str">
        <f t="shared" si="159"/>
        <v>0.99999640950242+0.00394392531529851i</v>
      </c>
      <c r="AA180" s="18">
        <f t="shared" si="173"/>
        <v>1.0000041867735476</v>
      </c>
      <c r="AB180" s="18">
        <f t="shared" si="174"/>
        <v>3.9439190273171474E-3</v>
      </c>
      <c r="AC180" s="68" t="str">
        <f t="shared" si="175"/>
        <v>13.6419409954423-17.8924553539952i</v>
      </c>
      <c r="AD180" s="66">
        <f t="shared" si="176"/>
        <v>27.043586130931008</v>
      </c>
      <c r="AE180" s="63">
        <f t="shared" si="177"/>
        <v>-52.676618329274021</v>
      </c>
      <c r="AF180" s="51" t="str">
        <f t="shared" si="178"/>
        <v>42.1703962805665</v>
      </c>
      <c r="AG180" s="51" t="str">
        <f t="shared" si="160"/>
        <v>1+0.231111845755927i</v>
      </c>
      <c r="AH180" s="51">
        <f t="shared" si="179"/>
        <v>1.026358945617327</v>
      </c>
      <c r="AI180" s="51">
        <f t="shared" si="180"/>
        <v>0.22712411538249644</v>
      </c>
      <c r="AJ180" s="51" t="str">
        <f t="shared" si="161"/>
        <v>1+0.000523853517046766i</v>
      </c>
      <c r="AK180" s="51">
        <f t="shared" si="181"/>
        <v>1.0000001372112444</v>
      </c>
      <c r="AL180" s="51">
        <f t="shared" si="182"/>
        <v>5.238534691277087E-4</v>
      </c>
      <c r="AM180" s="51" t="str">
        <f t="shared" si="162"/>
        <v>1-0.00135839218901468i</v>
      </c>
      <c r="AN180" s="51">
        <f t="shared" si="183"/>
        <v>1.0000009226142439</v>
      </c>
      <c r="AO180" s="51">
        <f t="shared" si="184"/>
        <v>-1.3583913535005646E-3</v>
      </c>
      <c r="AP180" s="60" t="str">
        <f t="shared" si="185"/>
        <v>40.0244779660234-9.28532380465344i</v>
      </c>
      <c r="AQ180" s="51">
        <f t="shared" si="186"/>
        <v>32.274177410121474</v>
      </c>
      <c r="AR180" s="63">
        <f t="shared" si="187"/>
        <v>-13.061068735677724</v>
      </c>
      <c r="AS180" s="32" t="str">
        <f t="shared" si="163"/>
        <v>-0.000133283554228113</v>
      </c>
      <c r="AT180" s="32" t="str">
        <f t="shared" si="164"/>
        <v>0.000160037249457787i</v>
      </c>
      <c r="AU180" s="32">
        <f t="shared" si="188"/>
        <v>1.60037249457787E-4</v>
      </c>
      <c r="AV180" s="32">
        <f t="shared" si="189"/>
        <v>1.5707963267948966</v>
      </c>
      <c r="AW180" s="32" t="str">
        <f t="shared" si="165"/>
        <v>1+0.0279813269595896i</v>
      </c>
      <c r="AX180" s="32">
        <f t="shared" si="190"/>
        <v>1.0003914007319432</v>
      </c>
      <c r="AY180" s="32">
        <f t="shared" si="191"/>
        <v>2.7974027684852999E-2</v>
      </c>
      <c r="AZ180" s="32" t="str">
        <f t="shared" si="166"/>
        <v>1+0.416990018836811i</v>
      </c>
      <c r="BA180" s="32">
        <f t="shared" si="192"/>
        <v>1.083457740666208</v>
      </c>
      <c r="BB180" s="32">
        <f t="shared" si="193"/>
        <v>0.39506660707583491</v>
      </c>
      <c r="BC180" s="60" t="str">
        <f t="shared" si="194"/>
        <v>-0.32372399562972+0.841886550870242i</v>
      </c>
      <c r="BD180" s="51">
        <f t="shared" si="195"/>
        <v>-0.89604972827010365</v>
      </c>
      <c r="BE180" s="63">
        <f t="shared" si="196"/>
        <v>111.03285548967438</v>
      </c>
      <c r="BF180" s="60" t="str">
        <f t="shared" si="197"/>
        <v>10.6471938773854+17.27718379065i</v>
      </c>
      <c r="BG180" s="66">
        <f t="shared" si="198"/>
        <v>26.147536402660926</v>
      </c>
      <c r="BH180" s="63">
        <f t="shared" si="199"/>
        <v>58.356237160400283</v>
      </c>
      <c r="BI180" s="60" t="str">
        <f t="shared" si="203"/>
        <v>-5.13969469854174+36.7019518279556i</v>
      </c>
      <c r="BJ180" s="66">
        <f t="shared" si="200"/>
        <v>31.378127681851371</v>
      </c>
      <c r="BK180" s="63">
        <f t="shared" si="204"/>
        <v>97.971786753996639</v>
      </c>
      <c r="BL180" s="51">
        <f t="shared" si="201"/>
        <v>26.147536402660926</v>
      </c>
      <c r="BM180" s="63">
        <f t="shared" si="202"/>
        <v>58.356237160400283</v>
      </c>
    </row>
    <row r="181" spans="14:65" x14ac:dyDescent="0.35">
      <c r="N181" s="11">
        <v>63</v>
      </c>
      <c r="O181" s="52">
        <f t="shared" si="154"/>
        <v>426.57951880159294</v>
      </c>
      <c r="P181" s="50" t="str">
        <f t="shared" si="155"/>
        <v>36.531007751938</v>
      </c>
      <c r="Q181" s="18" t="str">
        <f t="shared" si="156"/>
        <v>1+1.30897305726595i</v>
      </c>
      <c r="R181" s="18">
        <f t="shared" si="167"/>
        <v>1.6472432924884435</v>
      </c>
      <c r="S181" s="18">
        <f t="shared" si="168"/>
        <v>0.91842199477632347</v>
      </c>
      <c r="T181" s="18" t="str">
        <f t="shared" si="157"/>
        <v>1+0.000536055632975582i</v>
      </c>
      <c r="U181" s="18">
        <f t="shared" si="169"/>
        <v>1.0000001436778105</v>
      </c>
      <c r="V181" s="18">
        <f t="shared" si="170"/>
        <v>5.3605558162938736E-4</v>
      </c>
      <c r="W181" s="32" t="str">
        <f t="shared" si="158"/>
        <v>1-0.00888139510255403i</v>
      </c>
      <c r="X181" s="18">
        <f t="shared" si="171"/>
        <v>1.0000394388117739</v>
      </c>
      <c r="Y181" s="18">
        <f t="shared" si="172"/>
        <v>-8.8811615945540226E-3</v>
      </c>
      <c r="Z181" s="32" t="str">
        <f t="shared" si="159"/>
        <v>0.999996240287482+0.00403579113722363i</v>
      </c>
      <c r="AA181" s="18">
        <f t="shared" si="173"/>
        <v>1.0000043840899913</v>
      </c>
      <c r="AB181" s="18">
        <f t="shared" si="174"/>
        <v>4.0357843995312915E-3</v>
      </c>
      <c r="AC181" s="68" t="str">
        <f t="shared" si="175"/>
        <v>13.2443866128038-17.7888360042834i</v>
      </c>
      <c r="AD181" s="66">
        <f t="shared" si="176"/>
        <v>26.918383825181039</v>
      </c>
      <c r="AE181" s="63">
        <f t="shared" si="177"/>
        <v>-53.331076879916999</v>
      </c>
      <c r="AF181" s="51" t="str">
        <f t="shared" si="178"/>
        <v>42.1703962805665</v>
      </c>
      <c r="AG181" s="51" t="str">
        <f t="shared" si="160"/>
        <v>1+0.23649513219511i</v>
      </c>
      <c r="AH181" s="51">
        <f t="shared" si="179"/>
        <v>1.0275845208799044</v>
      </c>
      <c r="AI181" s="51">
        <f t="shared" si="180"/>
        <v>0.2322283725709221</v>
      </c>
      <c r="AJ181" s="51" t="str">
        <f t="shared" si="161"/>
        <v>1+0.000536055632975582i</v>
      </c>
      <c r="AK181" s="51">
        <f t="shared" si="181"/>
        <v>1.0000001436778105</v>
      </c>
      <c r="AL181" s="51">
        <f t="shared" si="182"/>
        <v>5.3605558162938736E-4</v>
      </c>
      <c r="AM181" s="51" t="str">
        <f t="shared" si="162"/>
        <v>1-0.00139003320778763i</v>
      </c>
      <c r="AN181" s="51">
        <f t="shared" si="183"/>
        <v>1.0000009660956928</v>
      </c>
      <c r="AO181" s="51">
        <f t="shared" si="184"/>
        <v>-1.3900323125181722E-3</v>
      </c>
      <c r="AP181" s="60" t="str">
        <f t="shared" si="185"/>
        <v>39.9287007654291-9.4789559386437i</v>
      </c>
      <c r="AQ181" s="51">
        <f t="shared" si="186"/>
        <v>32.263812210332063</v>
      </c>
      <c r="AR181" s="63">
        <f t="shared" si="187"/>
        <v>-13.354634893987814</v>
      </c>
      <c r="AS181" s="32" t="str">
        <f t="shared" si="163"/>
        <v>-0.000133283554228113</v>
      </c>
      <c r="AT181" s="32" t="str">
        <f t="shared" si="164"/>
        <v>0.00016376499587404i</v>
      </c>
      <c r="AU181" s="32">
        <f t="shared" si="188"/>
        <v>1.6376499587404E-4</v>
      </c>
      <c r="AV181" s="32">
        <f t="shared" si="189"/>
        <v>1.5707963267948966</v>
      </c>
      <c r="AW181" s="32" t="str">
        <f t="shared" si="165"/>
        <v>1+0.0286330957924646i</v>
      </c>
      <c r="AX181" s="32">
        <f t="shared" si="190"/>
        <v>1.0004098431016462</v>
      </c>
      <c r="AY181" s="32">
        <f t="shared" si="191"/>
        <v>2.8625274651714903E-2</v>
      </c>
      <c r="AZ181" s="32" t="str">
        <f t="shared" si="166"/>
        <v>1+0.426702964126728i</v>
      </c>
      <c r="BA181" s="32">
        <f t="shared" si="192"/>
        <v>1.0872329187412124</v>
      </c>
      <c r="BB181" s="32">
        <f t="shared" si="193"/>
        <v>0.40331218867293117</v>
      </c>
      <c r="BC181" s="60" t="str">
        <f t="shared" si="194"/>
        <v>-0.323712060156233+0.823139715212727i</v>
      </c>
      <c r="BD181" s="51">
        <f t="shared" si="195"/>
        <v>-1.0659975207404977</v>
      </c>
      <c r="BE181" s="63">
        <f t="shared" si="196"/>
        <v>111.4679788121968</v>
      </c>
      <c r="BF181" s="60" t="str">
        <f t="shared" si="197"/>
        <v>10.3553297265954+16.6604413753585i</v>
      </c>
      <c r="BG181" s="66">
        <f t="shared" si="198"/>
        <v>25.852386304440532</v>
      </c>
      <c r="BH181" s="63">
        <f t="shared" si="199"/>
        <v>58.136901932279756</v>
      </c>
      <c r="BI181" s="60" t="str">
        <f t="shared" si="203"/>
        <v>-5.12289689228965+35.935351731898i</v>
      </c>
      <c r="BJ181" s="66">
        <f t="shared" si="200"/>
        <v>31.19781468959156</v>
      </c>
      <c r="BK181" s="63">
        <f t="shared" si="204"/>
        <v>98.113343918208997</v>
      </c>
      <c r="BL181" s="51">
        <f t="shared" si="201"/>
        <v>25.852386304440532</v>
      </c>
      <c r="BM181" s="63">
        <f t="shared" si="202"/>
        <v>58.136901932279756</v>
      </c>
    </row>
    <row r="182" spans="14:65" x14ac:dyDescent="0.35">
      <c r="N182" s="11">
        <v>64</v>
      </c>
      <c r="O182" s="52">
        <f t="shared" si="154"/>
        <v>436.51583224016622</v>
      </c>
      <c r="P182" s="50" t="str">
        <f t="shared" si="155"/>
        <v>36.531007751938</v>
      </c>
      <c r="Q182" s="18" t="str">
        <f t="shared" si="156"/>
        <v>1+1.33946295658456i</v>
      </c>
      <c r="R182" s="18">
        <f t="shared" si="167"/>
        <v>1.6715744111651898</v>
      </c>
      <c r="S182" s="18">
        <f t="shared" si="168"/>
        <v>0.92949540537790565</v>
      </c>
      <c r="T182" s="18" t="str">
        <f t="shared" si="157"/>
        <v>1+0.000548541972696536i</v>
      </c>
      <c r="U182" s="18">
        <f t="shared" si="169"/>
        <v>1.0000001504491367</v>
      </c>
      <c r="V182" s="18">
        <f t="shared" si="170"/>
        <v>5.4854191767809762E-4</v>
      </c>
      <c r="W182" s="32" t="str">
        <f t="shared" si="158"/>
        <v>1-0.00908826937012013i</v>
      </c>
      <c r="X182" s="18">
        <f t="shared" si="171"/>
        <v>1.0000412974673316</v>
      </c>
      <c r="Y182" s="18">
        <f t="shared" si="172"/>
        <v>-9.0880191623482418E-3</v>
      </c>
      <c r="Z182" s="32" t="str">
        <f t="shared" si="159"/>
        <v>0.99999606309769+0.00412979678902971i</v>
      </c>
      <c r="AA182" s="18">
        <f t="shared" si="173"/>
        <v>1.0000045907056616</v>
      </c>
      <c r="AB182" s="18">
        <f t="shared" si="174"/>
        <v>4.1297895694635111E-3</v>
      </c>
      <c r="AC182" s="68" t="str">
        <f t="shared" si="175"/>
        <v>12.8516159911082-17.6770893131394i</v>
      </c>
      <c r="AD182" s="66">
        <f t="shared" si="176"/>
        <v>26.79103890373332</v>
      </c>
      <c r="AE182" s="63">
        <f t="shared" si="177"/>
        <v>-53.98205932293061</v>
      </c>
      <c r="AF182" s="51" t="str">
        <f t="shared" si="178"/>
        <v>42.1703962805665</v>
      </c>
      <c r="AG182" s="51" t="str">
        <f t="shared" si="160"/>
        <v>1+0.242003811483767i</v>
      </c>
      <c r="AH182" s="51">
        <f t="shared" si="179"/>
        <v>1.0288662910080546</v>
      </c>
      <c r="AI182" s="51">
        <f t="shared" si="180"/>
        <v>0.2374387953244933</v>
      </c>
      <c r="AJ182" s="51" t="str">
        <f t="shared" si="161"/>
        <v>1+0.000548541972696536i</v>
      </c>
      <c r="AK182" s="51">
        <f t="shared" si="181"/>
        <v>1.0000001504491367</v>
      </c>
      <c r="AL182" s="51">
        <f t="shared" si="182"/>
        <v>5.4854191767809762E-4</v>
      </c>
      <c r="AM182" s="51" t="str">
        <f t="shared" si="162"/>
        <v>1-0.00142241124056662i</v>
      </c>
      <c r="AN182" s="51">
        <f t="shared" si="183"/>
        <v>1.0000010116263569</v>
      </c>
      <c r="AO182" s="51">
        <f t="shared" si="184"/>
        <v>-1.422410281268165E-3</v>
      </c>
      <c r="AP182" s="60" t="str">
        <f t="shared" si="185"/>
        <v>39.8288979470004-9.67559652369557i</v>
      </c>
      <c r="AQ182" s="51">
        <f t="shared" si="186"/>
        <v>32.252984965507665</v>
      </c>
      <c r="AR182" s="63">
        <f t="shared" si="187"/>
        <v>-13.654309833847766</v>
      </c>
      <c r="AS182" s="32" t="str">
        <f t="shared" si="163"/>
        <v>-0.000133283554228113</v>
      </c>
      <c r="AT182" s="32" t="str">
        <f t="shared" si="164"/>
        <v>0.000167579572658792i</v>
      </c>
      <c r="AU182" s="32">
        <f t="shared" si="188"/>
        <v>1.67579572658792E-4</v>
      </c>
      <c r="AV182" s="32">
        <f t="shared" si="189"/>
        <v>1.5707963267948966</v>
      </c>
      <c r="AW182" s="32" t="str">
        <f t="shared" si="165"/>
        <v>1+0.0293000462717325i</v>
      </c>
      <c r="AX182" s="32">
        <f t="shared" si="190"/>
        <v>1.0004291542690695</v>
      </c>
      <c r="AY182" s="32">
        <f t="shared" si="191"/>
        <v>2.9291665962579212E-2</v>
      </c>
      <c r="AZ182" s="32" t="str">
        <f t="shared" si="166"/>
        <v>1+0.436642152976306i</v>
      </c>
      <c r="BA182" s="32">
        <f t="shared" si="192"/>
        <v>1.0911720165747396</v>
      </c>
      <c r="BB182" s="32">
        <f t="shared" si="193"/>
        <v>0.41169018585494227</v>
      </c>
      <c r="BC182" s="60" t="str">
        <f t="shared" si="194"/>
        <v>-0.323699563124473+0.804829286934534i</v>
      </c>
      <c r="BD182" s="51">
        <f t="shared" si="195"/>
        <v>-1.2347526540137652</v>
      </c>
      <c r="BE182" s="63">
        <f t="shared" si="196"/>
        <v>111.90982128188185</v>
      </c>
      <c r="BF182" s="60" t="str">
        <f t="shared" si="197"/>
        <v>10.0669767052068+16.0654230220556i</v>
      </c>
      <c r="BG182" s="66">
        <f t="shared" si="198"/>
        <v>25.556286249719552</v>
      </c>
      <c r="BH182" s="63">
        <f t="shared" si="199"/>
        <v>57.927761958951393</v>
      </c>
      <c r="BI182" s="60" t="str">
        <f t="shared" si="203"/>
        <v>-5.10539341434109+35.1874499017616i</v>
      </c>
      <c r="BJ182" s="66">
        <f t="shared" si="200"/>
        <v>31.018232311493907</v>
      </c>
      <c r="BK182" s="63">
        <f t="shared" si="204"/>
        <v>98.255511448034099</v>
      </c>
      <c r="BL182" s="51">
        <f t="shared" si="201"/>
        <v>25.556286249719552</v>
      </c>
      <c r="BM182" s="63">
        <f t="shared" si="202"/>
        <v>57.927761958951393</v>
      </c>
    </row>
    <row r="183" spans="14:65" x14ac:dyDescent="0.35">
      <c r="N183" s="11">
        <v>65</v>
      </c>
      <c r="O183" s="52">
        <f t="shared" si="154"/>
        <v>446.68359215096331</v>
      </c>
      <c r="P183" s="50" t="str">
        <f t="shared" si="155"/>
        <v>36.531007751938</v>
      </c>
      <c r="Q183" s="18" t="str">
        <f t="shared" si="156"/>
        <v>1+1.37066305689264i</v>
      </c>
      <c r="R183" s="18">
        <f t="shared" si="167"/>
        <v>1.6966782887543166</v>
      </c>
      <c r="S183" s="18">
        <f t="shared" si="168"/>
        <v>0.9404965920427566</v>
      </c>
      <c r="T183" s="18" t="str">
        <f t="shared" si="157"/>
        <v>1+0.000561319156632226i</v>
      </c>
      <c r="U183" s="18">
        <f t="shared" si="169"/>
        <v>1.0000001575395854</v>
      </c>
      <c r="V183" s="18">
        <f t="shared" si="170"/>
        <v>5.6131909767890762E-4</v>
      </c>
      <c r="W183" s="32" t="str">
        <f t="shared" si="158"/>
        <v>1-0.00929996235840375i</v>
      </c>
      <c r="X183" s="18">
        <f t="shared" si="171"/>
        <v>1.0000432437149245</v>
      </c>
      <c r="Y183" s="18">
        <f t="shared" si="172"/>
        <v>-9.2996942565719849E-3</v>
      </c>
      <c r="Z183" s="32" t="str">
        <f t="shared" si="159"/>
        <v>0.9999958775572+0.00422599211375766i</v>
      </c>
      <c r="AA183" s="18">
        <f t="shared" si="173"/>
        <v>1.0000048070588163</v>
      </c>
      <c r="AB183" s="18">
        <f t="shared" si="174"/>
        <v>4.2259843778544651E-3</v>
      </c>
      <c r="AC183" s="68" t="str">
        <f t="shared" si="175"/>
        <v>12.4639519880653-17.5574846627085i</v>
      </c>
      <c r="AD183" s="66">
        <f t="shared" si="176"/>
        <v>26.661578225117889</v>
      </c>
      <c r="AE183" s="63">
        <f t="shared" si="177"/>
        <v>-54.629288456033073</v>
      </c>
      <c r="AF183" s="51" t="str">
        <f t="shared" si="178"/>
        <v>42.1703962805665</v>
      </c>
      <c r="AG183" s="51" t="str">
        <f t="shared" si="160"/>
        <v>1+0.247640804396571i</v>
      </c>
      <c r="AH183" s="51">
        <f t="shared" si="179"/>
        <v>1.0302067598313362</v>
      </c>
      <c r="AI183" s="51">
        <f t="shared" si="180"/>
        <v>0.24275701414040604</v>
      </c>
      <c r="AJ183" s="51" t="str">
        <f t="shared" si="161"/>
        <v>1+0.000561319156632226i</v>
      </c>
      <c r="AK183" s="51">
        <f t="shared" si="181"/>
        <v>1.0000001575395854</v>
      </c>
      <c r="AL183" s="51">
        <f t="shared" si="182"/>
        <v>5.6131909767890762E-4</v>
      </c>
      <c r="AM183" s="51" t="str">
        <f t="shared" si="162"/>
        <v>1-0.00145554345461319i</v>
      </c>
      <c r="AN183" s="51">
        <f t="shared" si="183"/>
        <v>1.000001059302813</v>
      </c>
      <c r="AO183" s="51">
        <f t="shared" si="184"/>
        <v>-1.4555424267064349E-3</v>
      </c>
      <c r="AP183" s="60" t="str">
        <f t="shared" si="185"/>
        <v>39.7249229006418-9.87522165471627i</v>
      </c>
      <c r="AQ183" s="51">
        <f t="shared" si="186"/>
        <v>32.241676307805562</v>
      </c>
      <c r="AR183" s="63">
        <f t="shared" si="187"/>
        <v>-13.960187580138331</v>
      </c>
      <c r="AS183" s="32" t="str">
        <f t="shared" si="163"/>
        <v>-0.000133283554228113</v>
      </c>
      <c r="AT183" s="32" t="str">
        <f t="shared" si="164"/>
        <v>0.000171483002351145i</v>
      </c>
      <c r="AU183" s="32">
        <f t="shared" si="188"/>
        <v>1.7148300235114499E-4</v>
      </c>
      <c r="AV183" s="32">
        <f t="shared" si="189"/>
        <v>1.5707963267948966</v>
      </c>
      <c r="AW183" s="32" t="str">
        <f t="shared" si="165"/>
        <v>1+0.0299825320233657i</v>
      </c>
      <c r="AX183" s="32">
        <f t="shared" si="190"/>
        <v>1.000449375144256</v>
      </c>
      <c r="AY183" s="32">
        <f t="shared" si="191"/>
        <v>2.9973552578150549E-2</v>
      </c>
      <c r="AZ183" s="32" t="str">
        <f t="shared" si="166"/>
        <v>1+0.446812855275035i</v>
      </c>
      <c r="BA183" s="32">
        <f t="shared" si="192"/>
        <v>1.0952815745912232</v>
      </c>
      <c r="BB183" s="32">
        <f t="shared" si="193"/>
        <v>0.42020033522701949</v>
      </c>
      <c r="BC183" s="60" t="str">
        <f t="shared" si="194"/>
        <v>-0.3236864781599+0.786945555305791i</v>
      </c>
      <c r="BD183" s="51">
        <f t="shared" si="195"/>
        <v>-1.4022769741482359</v>
      </c>
      <c r="BE183" s="63">
        <f t="shared" si="196"/>
        <v>112.35834769874907</v>
      </c>
      <c r="BF183" s="60" t="str">
        <f t="shared" si="197"/>
        <v>9.78237179469711+15.4915719943713i</v>
      </c>
      <c r="BG183" s="66">
        <f t="shared" si="198"/>
        <v>25.259301250969635</v>
      </c>
      <c r="BH183" s="63">
        <f t="shared" si="199"/>
        <v>57.729059242715941</v>
      </c>
      <c r="BI183" s="60" t="str">
        <f t="shared" si="203"/>
        <v>-5.08715860004384+34.4578272299888i</v>
      </c>
      <c r="BJ183" s="66">
        <f t="shared" si="200"/>
        <v>30.839399333657333</v>
      </c>
      <c r="BK183" s="63">
        <f t="shared" si="204"/>
        <v>98.398160118610747</v>
      </c>
      <c r="BL183" s="51">
        <f t="shared" si="201"/>
        <v>25.259301250969635</v>
      </c>
      <c r="BM183" s="63">
        <f t="shared" si="202"/>
        <v>57.729059242715941</v>
      </c>
    </row>
    <row r="184" spans="14:65" x14ac:dyDescent="0.35">
      <c r="N184" s="11">
        <v>66</v>
      </c>
      <c r="O184" s="52">
        <f t="shared" ref="O184:O218" si="205">10^(2+(N184/100))</f>
        <v>457.0881896148756</v>
      </c>
      <c r="P184" s="50" t="str">
        <f t="shared" si="155"/>
        <v>36.531007751938</v>
      </c>
      <c r="Q184" s="18" t="str">
        <f t="shared" si="156"/>
        <v>1+1.40258990089636i</v>
      </c>
      <c r="R184" s="18">
        <f t="shared" si="167"/>
        <v>1.7225732002142786</v>
      </c>
      <c r="S184" s="18">
        <f t="shared" si="168"/>
        <v>0.95142073662696935</v>
      </c>
      <c r="T184" s="18" t="str">
        <f t="shared" si="157"/>
        <v>1+0.0005743939594147i</v>
      </c>
      <c r="U184" s="18">
        <f t="shared" si="169"/>
        <v>1.0000001649641967</v>
      </c>
      <c r="V184" s="18">
        <f t="shared" si="170"/>
        <v>5.7439389624508192E-4</v>
      </c>
      <c r="W184" s="32" t="str">
        <f t="shared" si="158"/>
        <v>1-0.00951658630982936i</v>
      </c>
      <c r="X184" s="18">
        <f t="shared" si="171"/>
        <v>1.0000452816822809</v>
      </c>
      <c r="Y184" s="18">
        <f t="shared" si="172"/>
        <v>-9.5162990342433848E-3</v>
      </c>
      <c r="Z184" s="32" t="str">
        <f t="shared" si="159"/>
        <v>0.999995683272457+0.00432442811544195i</v>
      </c>
      <c r="AA184" s="18">
        <f t="shared" si="173"/>
        <v>1.0000050336083683</v>
      </c>
      <c r="AB184" s="18">
        <f t="shared" si="174"/>
        <v>4.3244198262738587E-3</v>
      </c>
      <c r="AC184" s="68" t="str">
        <f t="shared" si="175"/>
        <v>12.0816984440893-17.4303058128754i</v>
      </c>
      <c r="AD184" s="66">
        <f t="shared" si="176"/>
        <v>26.530030349062017</v>
      </c>
      <c r="AE184" s="63">
        <f t="shared" si="177"/>
        <v>-55.272497180055097</v>
      </c>
      <c r="AF184" s="51" t="str">
        <f t="shared" si="178"/>
        <v>42.1703962805665</v>
      </c>
      <c r="AG184" s="51" t="str">
        <f t="shared" si="160"/>
        <v>1+0.25340909974178i</v>
      </c>
      <c r="AH184" s="51">
        <f t="shared" si="179"/>
        <v>1.0316085361375891</v>
      </c>
      <c r="AI184" s="51">
        <f t="shared" si="180"/>
        <v>0.24818464494699075</v>
      </c>
      <c r="AJ184" s="51" t="str">
        <f t="shared" si="161"/>
        <v>1+0.0005743939594147i</v>
      </c>
      <c r="AK184" s="51">
        <f t="shared" si="181"/>
        <v>1.0000001649641967</v>
      </c>
      <c r="AL184" s="51">
        <f t="shared" si="182"/>
        <v>5.7439389624508192E-4</v>
      </c>
      <c r="AM184" s="51" t="str">
        <f t="shared" si="162"/>
        <v>1-0.0014894474170658i</v>
      </c>
      <c r="AN184" s="51">
        <f t="shared" si="183"/>
        <v>1.0000011092261889</v>
      </c>
      <c r="AO184" s="51">
        <f t="shared" si="184"/>
        <v>-1.4894463156439339E-3</v>
      </c>
      <c r="AP184" s="60" t="str">
        <f t="shared" si="185"/>
        <v>39.6166257212308-10.0778016257512i</v>
      </c>
      <c r="AQ184" s="51">
        <f t="shared" si="186"/>
        <v>32.229866168769632</v>
      </c>
      <c r="AR184" s="63">
        <f t="shared" si="187"/>
        <v>-14.272361337080202</v>
      </c>
      <c r="AS184" s="32" t="str">
        <f t="shared" si="163"/>
        <v>-0.000133283554228113</v>
      </c>
      <c r="AT184" s="32" t="str">
        <f t="shared" si="164"/>
        <v>0.000175477354601191i</v>
      </c>
      <c r="AU184" s="32">
        <f t="shared" si="188"/>
        <v>1.7547735460119099E-4</v>
      </c>
      <c r="AV184" s="32">
        <f t="shared" si="189"/>
        <v>1.5707963267948966</v>
      </c>
      <c r="AW184" s="32" t="str">
        <f t="shared" si="165"/>
        <v>1+0.0306809149103434i</v>
      </c>
      <c r="AX184" s="32">
        <f t="shared" si="190"/>
        <v>1.0004705485618934</v>
      </c>
      <c r="AY184" s="32">
        <f t="shared" si="191"/>
        <v>3.06712935058359E-2</v>
      </c>
      <c r="AZ184" s="32" t="str">
        <f t="shared" si="166"/>
        <v>1+0.457220463663898i</v>
      </c>
      <c r="BA184" s="32">
        <f t="shared" si="192"/>
        <v>1.0995683482135297</v>
      </c>
      <c r="BB184" s="32">
        <f t="shared" si="193"/>
        <v>0.42884221731669503</v>
      </c>
      <c r="BC184" s="60" t="str">
        <f t="shared" si="194"/>
        <v>-0.323672777653727+0.769479035672926i</v>
      </c>
      <c r="BD184" s="51">
        <f t="shared" si="195"/>
        <v>-1.5685318374563153</v>
      </c>
      <c r="BE184" s="63">
        <f t="shared" si="196"/>
        <v>112.81351345918732</v>
      </c>
      <c r="BF184" s="60" t="str">
        <f t="shared" si="197"/>
        <v>9.50173801420246+14.9383291658562i</v>
      </c>
      <c r="BG184" s="66">
        <f t="shared" si="198"/>
        <v>24.961498511605697</v>
      </c>
      <c r="BH184" s="63">
        <f t="shared" si="199"/>
        <v>57.541016279132215</v>
      </c>
      <c r="BI184" s="60" t="str">
        <f t="shared" si="203"/>
        <v>-5.06816621177278+33.746073001438i</v>
      </c>
      <c r="BJ184" s="66">
        <f t="shared" si="200"/>
        <v>30.661334331313309</v>
      </c>
      <c r="BK184" s="63">
        <f t="shared" si="204"/>
        <v>98.541152122107135</v>
      </c>
      <c r="BL184" s="51">
        <f t="shared" si="201"/>
        <v>24.961498511605697</v>
      </c>
      <c r="BM184" s="63">
        <f t="shared" si="202"/>
        <v>57.541016279132215</v>
      </c>
    </row>
    <row r="185" spans="14:65" x14ac:dyDescent="0.35">
      <c r="N185" s="11">
        <v>67</v>
      </c>
      <c r="O185" s="52">
        <f t="shared" si="205"/>
        <v>467.7351412871983</v>
      </c>
      <c r="P185" s="50" t="str">
        <f t="shared" si="155"/>
        <v>36.531007751938</v>
      </c>
      <c r="Q185" s="18" t="str">
        <f t="shared" si="156"/>
        <v>1+1.435260416631i</v>
      </c>
      <c r="R185" s="18">
        <f t="shared" si="167"/>
        <v>1.7492776976648936</v>
      </c>
      <c r="S185" s="18">
        <f t="shared" si="168"/>
        <v>0.9622632022580182</v>
      </c>
      <c r="T185" s="18" t="str">
        <f t="shared" si="157"/>
        <v>1+0.000587773313477458i</v>
      </c>
      <c r="U185" s="18">
        <f t="shared" si="169"/>
        <v>1.0000001727387191</v>
      </c>
      <c r="V185" s="18">
        <f t="shared" si="170"/>
        <v>5.8777324578999327E-4</v>
      </c>
      <c r="W185" s="32" t="str">
        <f t="shared" si="158"/>
        <v>1-0.00973825608128334i</v>
      </c>
      <c r="X185" s="18">
        <f t="shared" si="171"/>
        <v>1.0000474156916284</v>
      </c>
      <c r="Y185" s="18">
        <f t="shared" si="172"/>
        <v>-9.7379482607352907E-3</v>
      </c>
      <c r="Z185" s="32" t="str">
        <f t="shared" si="159"/>
        <v>0.999995479831356+0.00442515698615361i</v>
      </c>
      <c r="AA185" s="18">
        <f t="shared" si="173"/>
        <v>1.000005270834857</v>
      </c>
      <c r="AB185" s="18">
        <f t="shared" si="174"/>
        <v>4.4251481041516884E-3</v>
      </c>
      <c r="AC185" s="68" t="str">
        <f t="shared" si="175"/>
        <v>11.7051394763452-17.2958493490428i</v>
      </c>
      <c r="AD185" s="66">
        <f t="shared" si="176"/>
        <v>26.396425431441173</v>
      </c>
      <c r="AE185" s="63">
        <f t="shared" si="177"/>
        <v>-55.911428990378511</v>
      </c>
      <c r="AF185" s="51" t="str">
        <f t="shared" si="178"/>
        <v>42.1703962805665</v>
      </c>
      <c r="AG185" s="51" t="str">
        <f t="shared" si="160"/>
        <v>1+0.259311755945938i</v>
      </c>
      <c r="AH185" s="51">
        <f t="shared" si="179"/>
        <v>1.0330743374858198</v>
      </c>
      <c r="AI185" s="51">
        <f t="shared" si="180"/>
        <v>0.2537232858513726</v>
      </c>
      <c r="AJ185" s="51" t="str">
        <f t="shared" si="161"/>
        <v>1+0.000587773313477458i</v>
      </c>
      <c r="AK185" s="51">
        <f t="shared" si="181"/>
        <v>1.0000001727387191</v>
      </c>
      <c r="AL185" s="51">
        <f t="shared" si="182"/>
        <v>5.8777324578999327E-4</v>
      </c>
      <c r="AM185" s="51" t="str">
        <f t="shared" si="162"/>
        <v>1-0.0015241411042541i</v>
      </c>
      <c r="AN185" s="51">
        <f t="shared" si="183"/>
        <v>1.0000011615023783</v>
      </c>
      <c r="AO185" s="51">
        <f t="shared" si="184"/>
        <v>-1.5241399240593814E-3</v>
      </c>
      <c r="AP185" s="60" t="str">
        <f t="shared" si="185"/>
        <v>39.5038533300159-10.2833005744386i</v>
      </c>
      <c r="AQ185" s="51">
        <f t="shared" si="186"/>
        <v>32.217533764039302</v>
      </c>
      <c r="AR185" s="63">
        <f t="shared" si="187"/>
        <v>-14.59092330221649</v>
      </c>
      <c r="AS185" s="32" t="str">
        <f t="shared" si="163"/>
        <v>-0.000133283554228113</v>
      </c>
      <c r="AT185" s="32" t="str">
        <f t="shared" si="164"/>
        <v>0.000179564747267364i</v>
      </c>
      <c r="AU185" s="32">
        <f t="shared" si="188"/>
        <v>1.7956474726736401E-4</v>
      </c>
      <c r="AV185" s="32">
        <f t="shared" si="189"/>
        <v>1.5707963267948966</v>
      </c>
      <c r="AW185" s="32" t="str">
        <f t="shared" si="165"/>
        <v>1+0.0313955652245165i</v>
      </c>
      <c r="AX185" s="32">
        <f t="shared" si="190"/>
        <v>1.0004927193716939</v>
      </c>
      <c r="AY185" s="32">
        <f t="shared" si="191"/>
        <v>3.1385255978037291E-2</v>
      </c>
      <c r="AZ185" s="32" t="str">
        <f t="shared" si="166"/>
        <v>1+0.467870496394624i</v>
      </c>
      <c r="BA185" s="32">
        <f t="shared" si="192"/>
        <v>1.1040393115267915</v>
      </c>
      <c r="BB185" s="32">
        <f t="shared" si="193"/>
        <v>0.43761524997393741</v>
      </c>
      <c r="BC185" s="60" t="str">
        <f t="shared" si="194"/>
        <v>-0.3236584327056+0.752420464418145i</v>
      </c>
      <c r="BD185" s="51">
        <f t="shared" si="195"/>
        <v>-1.7334781641966623</v>
      </c>
      <c r="BE185" s="63">
        <f t="shared" si="196"/>
        <v>113.27526416758991</v>
      </c>
      <c r="BF185" s="60" t="str">
        <f t="shared" si="197"/>
        <v>9.22528390219872+14.4051339734942i</v>
      </c>
      <c r="BG185" s="66">
        <f t="shared" si="198"/>
        <v>24.662947267244522</v>
      </c>
      <c r="BH185" s="63">
        <f t="shared" si="199"/>
        <v>57.363835177211413</v>
      </c>
      <c r="BI185" s="60" t="str">
        <f t="shared" si="203"/>
        <v>-5.04838946065437+33.0517846158402i</v>
      </c>
      <c r="BJ185" s="66">
        <f t="shared" si="200"/>
        <v>30.484055599842623</v>
      </c>
      <c r="BK185" s="63">
        <f t="shared" si="204"/>
        <v>98.684340865373414</v>
      </c>
      <c r="BL185" s="51">
        <f t="shared" si="201"/>
        <v>24.662947267244522</v>
      </c>
      <c r="BM185" s="63">
        <f t="shared" si="202"/>
        <v>57.363835177211413</v>
      </c>
    </row>
    <row r="186" spans="14:65" x14ac:dyDescent="0.35">
      <c r="N186" s="11">
        <v>68</v>
      </c>
      <c r="O186" s="52">
        <f t="shared" si="205"/>
        <v>478.63009232263886</v>
      </c>
      <c r="P186" s="50" t="str">
        <f t="shared" si="155"/>
        <v>36.531007751938</v>
      </c>
      <c r="Q186" s="18" t="str">
        <f t="shared" si="156"/>
        <v>1+1.46869192643646i</v>
      </c>
      <c r="R186" s="18">
        <f t="shared" si="167"/>
        <v>1.7768106187153541</v>
      </c>
      <c r="S186" s="18">
        <f t="shared" si="168"/>
        <v>0.97301954085115894</v>
      </c>
      <c r="T186" s="18" t="str">
        <f t="shared" si="157"/>
        <v>1+0.000601464312731122i</v>
      </c>
      <c r="U186" s="18">
        <f t="shared" si="169"/>
        <v>1.0000001808796433</v>
      </c>
      <c r="V186" s="18">
        <f t="shared" si="170"/>
        <v>6.0146424020269759E-4</v>
      </c>
      <c r="W186" s="32" t="str">
        <f t="shared" si="158"/>
        <v>1-0.00996508920501268i</v>
      </c>
      <c r="X186" s="18">
        <f t="shared" si="171"/>
        <v>1.0000496502688572</v>
      </c>
      <c r="Y186" s="18">
        <f t="shared" si="172"/>
        <v>-9.9647593702373201E-3</v>
      </c>
      <c r="Z186" s="32" t="str">
        <f t="shared" si="159"/>
        <v>0.99999526680237+0.00452823213367321i</v>
      </c>
      <c r="AA186" s="18">
        <f t="shared" si="173"/>
        <v>1.0000055192414687</v>
      </c>
      <c r="AB186" s="18">
        <f t="shared" si="174"/>
        <v>4.5282226164386095E-3</v>
      </c>
      <c r="AC186" s="68" t="str">
        <f t="shared" si="175"/>
        <v>11.3345389159989-17.1544231031404i</v>
      </c>
      <c r="AD186" s="66">
        <f t="shared" si="176"/>
        <v>26.260795115792405</v>
      </c>
      <c r="AE186" s="63">
        <f t="shared" si="177"/>
        <v>-56.545838412432673</v>
      </c>
      <c r="AF186" s="51" t="str">
        <f t="shared" si="178"/>
        <v>42.1703962805665</v>
      </c>
      <c r="AG186" s="51" t="str">
        <f t="shared" si="160"/>
        <v>1+0.265351902675496i</v>
      </c>
      <c r="AH186" s="51">
        <f t="shared" si="179"/>
        <v>1.034606994106219</v>
      </c>
      <c r="AI186" s="51">
        <f t="shared" si="180"/>
        <v>0.25937451369117537</v>
      </c>
      <c r="AJ186" s="51" t="str">
        <f t="shared" si="161"/>
        <v>1+0.000601464312731122i</v>
      </c>
      <c r="AK186" s="51">
        <f t="shared" si="181"/>
        <v>1.0000001808796433</v>
      </c>
      <c r="AL186" s="51">
        <f t="shared" si="182"/>
        <v>6.0146424020269759E-4</v>
      </c>
      <c r="AM186" s="51" t="str">
        <f t="shared" si="162"/>
        <v>1-0.00155964291123027i</v>
      </c>
      <c r="AN186" s="51">
        <f t="shared" si="183"/>
        <v>1.0000012162422658</v>
      </c>
      <c r="AO186" s="51">
        <f t="shared" si="184"/>
        <v>-1.559641646628928E-3</v>
      </c>
      <c r="AP186" s="60" t="str">
        <f t="shared" si="185"/>
        <v>39.3864496193423-10.4916761173313i</v>
      </c>
      <c r="AQ186" s="51">
        <f t="shared" si="186"/>
        <v>32.204657578686714</v>
      </c>
      <c r="AR186" s="63">
        <f t="shared" si="187"/>
        <v>-14.915964469175535</v>
      </c>
      <c r="AS186" s="32" t="str">
        <f t="shared" si="163"/>
        <v>-0.000133283554228113</v>
      </c>
      <c r="AT186" s="32" t="str">
        <f t="shared" si="164"/>
        <v>0.000183747347539358i</v>
      </c>
      <c r="AU186" s="32">
        <f t="shared" si="188"/>
        <v>1.83747347539358E-4</v>
      </c>
      <c r="AV186" s="32">
        <f t="shared" si="189"/>
        <v>1.5707963267948966</v>
      </c>
      <c r="AW186" s="32" t="str">
        <f t="shared" si="165"/>
        <v>1+0.0321268618829411i</v>
      </c>
      <c r="AX186" s="32">
        <f t="shared" si="190"/>
        <v>1.0005159345330017</v>
      </c>
      <c r="AY186" s="32">
        <f t="shared" si="191"/>
        <v>3.2115815633947054E-2</v>
      </c>
      <c r="AZ186" s="32" t="str">
        <f t="shared" si="166"/>
        <v>1+0.478768600255536i</v>
      </c>
      <c r="BA186" s="32">
        <f t="shared" si="192"/>
        <v>1.1087016607684166</v>
      </c>
      <c r="BB186" s="32">
        <f t="shared" si="193"/>
        <v>0.44651868194423572</v>
      </c>
      <c r="BC186" s="60" t="str">
        <f t="shared" si="194"/>
        <v>-0.323643413063647+0.735760794035233i</v>
      </c>
      <c r="BD186" s="51">
        <f t="shared" si="195"/>
        <v>-1.897076497194095</v>
      </c>
      <c r="BE186" s="63">
        <f t="shared" si="196"/>
        <v>113.74353525770364</v>
      </c>
      <c r="BF186" s="60" t="str">
        <f t="shared" si="197"/>
        <v>8.95320310330631+13.8914253950968i</v>
      </c>
      <c r="BG186" s="66">
        <f t="shared" si="198"/>
        <v>24.363718618598295</v>
      </c>
      <c r="BH186" s="63">
        <f t="shared" si="199"/>
        <v>57.197696845270904</v>
      </c>
      <c r="BI186" s="60" t="str">
        <f t="shared" si="203"/>
        <v>-5.02780103241516+32.3745673135274i</v>
      </c>
      <c r="BJ186" s="66">
        <f t="shared" si="200"/>
        <v>30.307581081492611</v>
      </c>
      <c r="BK186" s="63">
        <f t="shared" si="204"/>
        <v>98.827570788528107</v>
      </c>
      <c r="BL186" s="51">
        <f t="shared" si="201"/>
        <v>24.363718618598295</v>
      </c>
      <c r="BM186" s="63">
        <f t="shared" si="202"/>
        <v>57.197696845270904</v>
      </c>
    </row>
    <row r="187" spans="14:65" x14ac:dyDescent="0.35">
      <c r="N187" s="11">
        <v>69</v>
      </c>
      <c r="O187" s="52">
        <f t="shared" si="205"/>
        <v>489.77881936844625</v>
      </c>
      <c r="P187" s="50" t="str">
        <f t="shared" si="155"/>
        <v>36.531007751938</v>
      </c>
      <c r="Q187" s="18" t="str">
        <f t="shared" si="156"/>
        <v>1+1.50290215614175i</v>
      </c>
      <c r="R187" s="18">
        <f t="shared" si="167"/>
        <v>1.8051910954066663</v>
      </c>
      <c r="S187" s="18">
        <f t="shared" si="168"/>
        <v>0.9836854996353106</v>
      </c>
      <c r="T187" s="18" t="str">
        <f t="shared" si="157"/>
        <v>1+0.000615474216324718i</v>
      </c>
      <c r="U187" s="18">
        <f t="shared" si="169"/>
        <v>1.0000001894042376</v>
      </c>
      <c r="V187" s="18">
        <f t="shared" si="170"/>
        <v>6.1547413860911179E-4</v>
      </c>
      <c r="W187" s="32" t="str">
        <f t="shared" si="158"/>
        <v>1-0.0101972059509421i</v>
      </c>
      <c r="X187" s="18">
        <f t="shared" si="171"/>
        <v>1.0000519901531151</v>
      </c>
      <c r="Y187" s="18">
        <f t="shared" si="172"/>
        <v>-1.0196852527605094E-2</v>
      </c>
      <c r="Z187" s="32" t="str">
        <f t="shared" si="159"/>
        <v>0.999995043733638+0.00463370820980833i</v>
      </c>
      <c r="AA187" s="18">
        <f t="shared" si="173"/>
        <v>1.0000057793551067</v>
      </c>
      <c r="AB187" s="18">
        <f t="shared" si="174"/>
        <v>4.6336980119098814E-3</v>
      </c>
      <c r="AC187" s="68" t="str">
        <f t="shared" si="175"/>
        <v>10.9701398876866-17.0063445622994i</v>
      </c>
      <c r="AD187" s="66">
        <f t="shared" si="176"/>
        <v>26.123172422166419</v>
      </c>
      <c r="AE187" s="63">
        <f t="shared" si="177"/>
        <v>-57.175491380548934</v>
      </c>
      <c r="AF187" s="51" t="str">
        <f t="shared" si="178"/>
        <v>42.1703962805665</v>
      </c>
      <c r="AG187" s="51" t="str">
        <f t="shared" si="160"/>
        <v>1+0.2715327424962i</v>
      </c>
      <c r="AH187" s="51">
        <f t="shared" si="179"/>
        <v>1.036209452884651</v>
      </c>
      <c r="AI187" s="51">
        <f t="shared" si="180"/>
        <v>0.26513988038554243</v>
      </c>
      <c r="AJ187" s="51" t="str">
        <f t="shared" si="161"/>
        <v>1+0.000615474216324718i</v>
      </c>
      <c r="AK187" s="51">
        <f t="shared" si="181"/>
        <v>1.0000001894042376</v>
      </c>
      <c r="AL187" s="51">
        <f t="shared" si="182"/>
        <v>6.1547413860911179E-4</v>
      </c>
      <c r="AM187" s="51" t="str">
        <f t="shared" si="162"/>
        <v>1-0.0015959716615223i</v>
      </c>
      <c r="AN187" s="51">
        <f t="shared" si="183"/>
        <v>1.0000012735619612</v>
      </c>
      <c r="AO187" s="51">
        <f t="shared" si="184"/>
        <v>-1.5959703064776418E-3</v>
      </c>
      <c r="AP187" s="60" t="str">
        <f t="shared" si="185"/>
        <v>39.2642556224357-10.7028789770479i</v>
      </c>
      <c r="AQ187" s="51">
        <f t="shared" si="186"/>
        <v>32.191215353296485</v>
      </c>
      <c r="AR187" s="63">
        <f t="shared" si="187"/>
        <v>-15.247574418942715</v>
      </c>
      <c r="AS187" s="32" t="str">
        <f t="shared" si="163"/>
        <v>-0.000133283554228113</v>
      </c>
      <c r="AT187" s="32" t="str">
        <f t="shared" si="164"/>
        <v>0.000188027373087201i</v>
      </c>
      <c r="AU187" s="32">
        <f t="shared" si="188"/>
        <v>1.8802737308720101E-4</v>
      </c>
      <c r="AV187" s="32">
        <f t="shared" si="189"/>
        <v>1.5707963267948966</v>
      </c>
      <c r="AW187" s="32" t="str">
        <f t="shared" si="165"/>
        <v>1+0.0328751926287853i</v>
      </c>
      <c r="AX187" s="32">
        <f t="shared" si="190"/>
        <v>1.0005402432138248</v>
      </c>
      <c r="AY187" s="32">
        <f t="shared" si="191"/>
        <v>3.2863356704881816E-2</v>
      </c>
      <c r="AZ187" s="32" t="str">
        <f t="shared" si="166"/>
        <v>1+0.489920553565557i</v>
      </c>
      <c r="BA187" s="32">
        <f t="shared" si="192"/>
        <v>1.1135628176290648</v>
      </c>
      <c r="BB187" s="32">
        <f t="shared" si="193"/>
        <v>0.45555158666145823</v>
      </c>
      <c r="BC187" s="60" t="str">
        <f t="shared" si="194"/>
        <v>-0.323627687061799+0.719491188319073i</v>
      </c>
      <c r="BD187" s="51">
        <f t="shared" si="195"/>
        <v>-2.0592870654419952</v>
      </c>
      <c r="BE187" s="63">
        <f t="shared" si="196"/>
        <v>114.21825162636708</v>
      </c>
      <c r="BF187" s="60" t="str">
        <f t="shared" si="197"/>
        <v>8.685674059496+13.3966429398911i</v>
      </c>
      <c r="BG187" s="66">
        <f t="shared" si="198"/>
        <v>24.063885356724448</v>
      </c>
      <c r="BH187" s="63">
        <f t="shared" si="199"/>
        <v>57.042760245818251</v>
      </c>
      <c r="BI187" s="60" t="str">
        <f t="shared" si="203"/>
        <v>-5.00637311766068+31.7140339044945i</v>
      </c>
      <c r="BJ187" s="66">
        <f t="shared" si="200"/>
        <v>30.131928287854496</v>
      </c>
      <c r="BK187" s="63">
        <f t="shared" si="204"/>
        <v>98.970677207424345</v>
      </c>
      <c r="BL187" s="51">
        <f t="shared" si="201"/>
        <v>24.063885356724448</v>
      </c>
      <c r="BM187" s="63">
        <f t="shared" si="202"/>
        <v>57.042760245818251</v>
      </c>
    </row>
    <row r="188" spans="14:65" x14ac:dyDescent="0.35">
      <c r="N188" s="11">
        <v>70</v>
      </c>
      <c r="O188" s="52">
        <f t="shared" si="205"/>
        <v>501.18723362727269</v>
      </c>
      <c r="P188" s="50" t="str">
        <f t="shared" si="155"/>
        <v>36.531007751938</v>
      </c>
      <c r="Q188" s="18" t="str">
        <f t="shared" si="156"/>
        <v>1+1.53790924446349i</v>
      </c>
      <c r="R188" s="18">
        <f t="shared" si="167"/>
        <v>1.8344385637590219</v>
      </c>
      <c r="S188" s="18">
        <f t="shared" si="168"/>
        <v>0.99425702668514138</v>
      </c>
      <c r="T188" s="18" t="str">
        <f t="shared" si="157"/>
        <v>1+0.000629810452494572i</v>
      </c>
      <c r="U188" s="18">
        <f t="shared" si="169"/>
        <v>1.0000001983305833</v>
      </c>
      <c r="V188" s="18">
        <f t="shared" si="170"/>
        <v>6.298103692208006E-4</v>
      </c>
      <c r="W188" s="32" t="str">
        <f t="shared" si="158"/>
        <v>1-0.0104347293904426i</v>
      </c>
      <c r="X188" s="18">
        <f t="shared" si="171"/>
        <v>1.0000544403068525</v>
      </c>
      <c r="Y188" s="18">
        <f t="shared" si="172"/>
        <v>-1.0434350691627485E-2</v>
      </c>
      <c r="Z188" s="32" t="str">
        <f t="shared" si="159"/>
        <v>0.999994810152001+0.00474164113937066i</v>
      </c>
      <c r="AA188" s="18">
        <f t="shared" si="173"/>
        <v>1.0000060517275038</v>
      </c>
      <c r="AB188" s="18">
        <f t="shared" si="174"/>
        <v>4.7416302121280202E-3</v>
      </c>
      <c r="AC188" s="68" t="str">
        <f t="shared" si="175"/>
        <v>10.6121645286658-16.8519392790827i</v>
      </c>
      <c r="AD188" s="66">
        <f t="shared" si="176"/>
        <v>25.983591634081669</v>
      </c>
      <c r="AE188" s="63">
        <f t="shared" si="177"/>
        <v>-57.80016555999115</v>
      </c>
      <c r="AF188" s="51" t="str">
        <f t="shared" si="178"/>
        <v>42.1703962805665</v>
      </c>
      <c r="AG188" s="51" t="str">
        <f t="shared" si="160"/>
        <v>1+0.277857552571136i</v>
      </c>
      <c r="AH188" s="51">
        <f t="shared" si="179"/>
        <v>1.0378847814284693</v>
      </c>
      <c r="AI188" s="51">
        <f t="shared" si="180"/>
        <v>0.27102090908134008</v>
      </c>
      <c r="AJ188" s="51" t="str">
        <f t="shared" si="161"/>
        <v>1+0.000629810452494572i</v>
      </c>
      <c r="AK188" s="51">
        <f t="shared" si="181"/>
        <v>1.0000001983305833</v>
      </c>
      <c r="AL188" s="51">
        <f t="shared" si="182"/>
        <v>6.298103692208006E-4</v>
      </c>
      <c r="AM188" s="51" t="str">
        <f t="shared" si="162"/>
        <v>1-0.00163314661711444i</v>
      </c>
      <c r="AN188" s="51">
        <f t="shared" si="183"/>
        <v>1.0000013335830473</v>
      </c>
      <c r="AO188" s="51">
        <f t="shared" si="184"/>
        <v>-1.6331451651580341E-3</v>
      </c>
      <c r="AP188" s="60" t="str">
        <f t="shared" si="185"/>
        <v>39.137109710008-10.9168526023955i</v>
      </c>
      <c r="AQ188" s="51">
        <f t="shared" si="186"/>
        <v>32.177184070910499</v>
      </c>
      <c r="AR188" s="63">
        <f t="shared" si="187"/>
        <v>-15.585841099405405</v>
      </c>
      <c r="AS188" s="32" t="str">
        <f t="shared" si="163"/>
        <v>-0.000133283554228113</v>
      </c>
      <c r="AT188" s="32" t="str">
        <f t="shared" si="164"/>
        <v>0.000192407093237092i</v>
      </c>
      <c r="AU188" s="32">
        <f t="shared" si="188"/>
        <v>1.92407093237092E-4</v>
      </c>
      <c r="AV188" s="32">
        <f t="shared" si="189"/>
        <v>1.5707963267948966</v>
      </c>
      <c r="AW188" s="32" t="str">
        <f t="shared" si="165"/>
        <v>1+0.0336409542369159i</v>
      </c>
      <c r="AX188" s="32">
        <f t="shared" si="190"/>
        <v>1.0005656968944969</v>
      </c>
      <c r="AY188" s="32">
        <f t="shared" si="191"/>
        <v>3.3628272203188522E-2</v>
      </c>
      <c r="AZ188" s="32" t="str">
        <f t="shared" si="166"/>
        <v>1+0.501332269237941i</v>
      </c>
      <c r="BA188" s="32">
        <f t="shared" si="192"/>
        <v>1.1186304323498728</v>
      </c>
      <c r="BB188" s="32">
        <f t="shared" si="193"/>
        <v>0.46471285630952552</v>
      </c>
      <c r="BC188" s="60" t="str">
        <f t="shared" si="194"/>
        <v>-0.323611221554234+0.703603017666253i</v>
      </c>
      <c r="BD188" s="51">
        <f t="shared" si="195"/>
        <v>-2.2200698527103855</v>
      </c>
      <c r="BE188" s="63">
        <f t="shared" si="196"/>
        <v>114.69932728244547</v>
      </c>
      <c r="BF188" s="60" t="str">
        <f t="shared" si="197"/>
        <v>8.422859803835+12.9202276420018i</v>
      </c>
      <c r="BG188" s="66">
        <f t="shared" si="198"/>
        <v>23.763521781371303</v>
      </c>
      <c r="BH188" s="63">
        <f t="shared" si="199"/>
        <v>56.899161722454387</v>
      </c>
      <c r="BI188" s="60" t="str">
        <f t="shared" si="203"/>
        <v>-4.9840774468946+31.0698045008856i</v>
      </c>
      <c r="BJ188" s="66">
        <f t="shared" si="200"/>
        <v>29.957114218200122</v>
      </c>
      <c r="BK188" s="63">
        <f t="shared" si="204"/>
        <v>99.113486183040038</v>
      </c>
      <c r="BL188" s="51">
        <f t="shared" si="201"/>
        <v>23.763521781371303</v>
      </c>
      <c r="BM188" s="63">
        <f t="shared" si="202"/>
        <v>56.899161722454387</v>
      </c>
    </row>
    <row r="189" spans="14:65" x14ac:dyDescent="0.35">
      <c r="N189" s="11">
        <v>71</v>
      </c>
      <c r="O189" s="52">
        <f t="shared" si="205"/>
        <v>512.86138399136519</v>
      </c>
      <c r="P189" s="50" t="str">
        <f t="shared" si="155"/>
        <v>36.531007751938</v>
      </c>
      <c r="Q189" s="18" t="str">
        <f t="shared" si="156"/>
        <v>1+1.57373175262328i</v>
      </c>
      <c r="R189" s="18">
        <f t="shared" si="167"/>
        <v>1.864572773912228</v>
      </c>
      <c r="S189" s="18">
        <f t="shared" si="168"/>
        <v>1.0047302754644478</v>
      </c>
      <c r="T189" s="18" t="str">
        <f t="shared" si="157"/>
        <v>1+0.000644480622502866i</v>
      </c>
      <c r="U189" s="18">
        <f t="shared" si="169"/>
        <v>1.0000002076776149</v>
      </c>
      <c r="V189" s="18">
        <f t="shared" si="170"/>
        <v>6.4448053327341328E-4</v>
      </c>
      <c r="W189" s="32" t="str">
        <f t="shared" si="158"/>
        <v>1-0.010677785461586i</v>
      </c>
      <c r="X189" s="18">
        <f t="shared" si="171"/>
        <v>1.0000570059263441</v>
      </c>
      <c r="Y189" s="18">
        <f t="shared" si="172"/>
        <v>-1.0677379679743988E-2</v>
      </c>
      <c r="Z189" s="32" t="str">
        <f t="shared" si="159"/>
        <v>0.999994565562+0.00485208814982812i</v>
      </c>
      <c r="AA189" s="18">
        <f t="shared" si="173"/>
        <v>1.000006336936395</v>
      </c>
      <c r="AB189" s="18">
        <f t="shared" si="174"/>
        <v>4.8520764410793973E-3</v>
      </c>
      <c r="AC189" s="68" t="str">
        <f t="shared" si="175"/>
        <v>10.260813843695-16.6915392964577i</v>
      </c>
      <c r="AD189" s="66">
        <f t="shared" si="176"/>
        <v>25.842088184329835</v>
      </c>
      <c r="AE189" s="63">
        <f t="shared" si="177"/>
        <v>-58.419650612451356</v>
      </c>
      <c r="AF189" s="51" t="str">
        <f t="shared" si="178"/>
        <v>42.1703962805665</v>
      </c>
      <c r="AG189" s="51" t="str">
        <f t="shared" si="160"/>
        <v>1+0.284329686398324i</v>
      </c>
      <c r="AH189" s="51">
        <f t="shared" si="179"/>
        <v>1.0396361722099561</v>
      </c>
      <c r="AI189" s="51">
        <f t="shared" si="180"/>
        <v>0.27701909009106696</v>
      </c>
      <c r="AJ189" s="51" t="str">
        <f t="shared" si="161"/>
        <v>1+0.000644480622502866i</v>
      </c>
      <c r="AK189" s="51">
        <f t="shared" si="181"/>
        <v>1.0000002076776149</v>
      </c>
      <c r="AL189" s="51">
        <f t="shared" si="182"/>
        <v>6.4448053327341328E-4</v>
      </c>
      <c r="AM189" s="51" t="str">
        <f t="shared" si="162"/>
        <v>1-0.00167118748866022i</v>
      </c>
      <c r="AN189" s="51">
        <f t="shared" si="183"/>
        <v>1.000001396432836</v>
      </c>
      <c r="AO189" s="51">
        <f t="shared" si="184"/>
        <v>-1.6711859328610178E-3</v>
      </c>
      <c r="AP189" s="60" t="str">
        <f t="shared" si="185"/>
        <v>39.0048478154676-11.1335327827961i</v>
      </c>
      <c r="AQ189" s="51">
        <f t="shared" si="186"/>
        <v>32.162539944969026</v>
      </c>
      <c r="AR189" s="63">
        <f t="shared" si="187"/>
        <v>-15.930850592972138</v>
      </c>
      <c r="AS189" s="32" t="str">
        <f t="shared" si="163"/>
        <v>-0.000133283554228113</v>
      </c>
      <c r="AT189" s="32" t="str">
        <f t="shared" si="164"/>
        <v>0.000196888830174626i</v>
      </c>
      <c r="AU189" s="32">
        <f t="shared" si="188"/>
        <v>1.96888830174626E-4</v>
      </c>
      <c r="AV189" s="32">
        <f t="shared" si="189"/>
        <v>1.5707963267948966</v>
      </c>
      <c r="AW189" s="32" t="str">
        <f t="shared" si="165"/>
        <v>1+0.0344245527242736i</v>
      </c>
      <c r="AX189" s="32">
        <f t="shared" si="190"/>
        <v>1.0005923494761821</v>
      </c>
      <c r="AY189" s="32">
        <f t="shared" si="191"/>
        <v>3.4410964114752515E-2</v>
      </c>
      <c r="AZ189" s="32" t="str">
        <f t="shared" si="166"/>
        <v>1+0.513009797915393i</v>
      </c>
      <c r="BA189" s="32">
        <f t="shared" si="192"/>
        <v>1.1239123866019061</v>
      </c>
      <c r="BB189" s="32">
        <f t="shared" si="193"/>
        <v>0.4740011962040338</v>
      </c>
      <c r="BC189" s="60" t="str">
        <f t="shared" si="194"/>
        <v>-0.323593981846875+0.688087854484204i</v>
      </c>
      <c r="BD189" s="51">
        <f t="shared" si="195"/>
        <v>-2.3793846711463651</v>
      </c>
      <c r="BE189" s="63">
        <f t="shared" si="196"/>
        <v>115.18666501389205</v>
      </c>
      <c r="BF189" s="60" t="str">
        <f t="shared" si="197"/>
        <v>8.16490785386755+12.4616230470642i</v>
      </c>
      <c r="BG189" s="66">
        <f t="shared" si="198"/>
        <v>23.462703513183442</v>
      </c>
      <c r="BH189" s="63">
        <f t="shared" si="199"/>
        <v>56.767014401440626</v>
      </c>
      <c r="BI189" s="60" t="str">
        <f t="shared" si="203"/>
        <v>-4.96088533059483+30.4415062530357i</v>
      </c>
      <c r="BJ189" s="66">
        <f t="shared" si="200"/>
        <v>29.783155273822665</v>
      </c>
      <c r="BK189" s="63">
        <f t="shared" si="204"/>
        <v>99.255814420919933</v>
      </c>
      <c r="BL189" s="51">
        <f t="shared" si="201"/>
        <v>23.462703513183442</v>
      </c>
      <c r="BM189" s="63">
        <f t="shared" si="202"/>
        <v>56.767014401440626</v>
      </c>
    </row>
    <row r="190" spans="14:65" x14ac:dyDescent="0.35">
      <c r="N190" s="11">
        <v>72</v>
      </c>
      <c r="O190" s="52">
        <f t="shared" si="205"/>
        <v>524.80746024977248</v>
      </c>
      <c r="P190" s="50" t="str">
        <f t="shared" si="155"/>
        <v>36.531007751938</v>
      </c>
      <c r="Q190" s="18" t="str">
        <f t="shared" si="156"/>
        <v>1+1.61038867418911i</v>
      </c>
      <c r="R190" s="18">
        <f t="shared" si="167"/>
        <v>1.8956138008456678</v>
      </c>
      <c r="S190" s="18">
        <f t="shared" si="168"/>
        <v>1.0151016083939508</v>
      </c>
      <c r="T190" s="18" t="str">
        <f t="shared" si="157"/>
        <v>1+0.000659492504667922i</v>
      </c>
      <c r="U190" s="18">
        <f t="shared" si="169"/>
        <v>1.0000002174651583</v>
      </c>
      <c r="V190" s="18">
        <f t="shared" si="170"/>
        <v>6.5949240905684191E-4</v>
      </c>
      <c r="W190" s="32" t="str">
        <f t="shared" si="158"/>
        <v>1-0.0109265030359182i</v>
      </c>
      <c r="X190" s="18">
        <f t="shared" si="171"/>
        <v>1.0000596924527025</v>
      </c>
      <c r="Y190" s="18">
        <f t="shared" si="172"/>
        <v>-1.0926068234242444E-2</v>
      </c>
      <c r="Z190" s="32" t="str">
        <f t="shared" si="159"/>
        <v>0.999994309444828+0.00496510780164762i</v>
      </c>
      <c r="AA190" s="18">
        <f t="shared" si="173"/>
        <v>1.0000066355867447</v>
      </c>
      <c r="AB190" s="18">
        <f t="shared" si="174"/>
        <v>4.9650952555003692E-3</v>
      </c>
      <c r="AC190" s="68" t="str">
        <f t="shared" si="175"/>
        <v>9.91626769039405-16.5254815998404i</v>
      </c>
      <c r="AD190" s="66">
        <f t="shared" si="176"/>
        <v>25.698698540354275</v>
      </c>
      <c r="AE190" s="63">
        <f t="shared" si="177"/>
        <v>-59.033748405769764</v>
      </c>
      <c r="AF190" s="51" t="str">
        <f t="shared" si="178"/>
        <v>42.1703962805665</v>
      </c>
      <c r="AG190" s="51" t="str">
        <f t="shared" si="160"/>
        <v>1+0.29095257558879i</v>
      </c>
      <c r="AH190" s="51">
        <f t="shared" si="179"/>
        <v>1.0414669467831184</v>
      </c>
      <c r="AI190" s="51">
        <f t="shared" si="180"/>
        <v>0.28313587661978323</v>
      </c>
      <c r="AJ190" s="51" t="str">
        <f t="shared" si="161"/>
        <v>1+0.000659492504667922i</v>
      </c>
      <c r="AK190" s="51">
        <f t="shared" si="181"/>
        <v>1.0000002174651583</v>
      </c>
      <c r="AL190" s="51">
        <f t="shared" si="182"/>
        <v>6.5949240905684191E-4</v>
      </c>
      <c r="AM190" s="51" t="str">
        <f t="shared" si="162"/>
        <v>1-0.00171011444593328i</v>
      </c>
      <c r="AN190" s="51">
        <f t="shared" si="183"/>
        <v>1.00000146224464</v>
      </c>
      <c r="AO190" s="51">
        <f t="shared" si="184"/>
        <v>-1.7101127788645316E-3</v>
      </c>
      <c r="AP190" s="60" t="str">
        <f t="shared" si="185"/>
        <v>38.8673036905203-11.3528472585528i</v>
      </c>
      <c r="AQ190" s="51">
        <f t="shared" si="186"/>
        <v>32.147258408386925</v>
      </c>
      <c r="AR190" s="63">
        <f t="shared" si="187"/>
        <v>-16.282686872110858</v>
      </c>
      <c r="AS190" s="32" t="str">
        <f t="shared" si="163"/>
        <v>-0.000133283554228113</v>
      </c>
      <c r="AT190" s="32" t="str">
        <f t="shared" si="164"/>
        <v>0.00020147496017605i</v>
      </c>
      <c r="AU190" s="32">
        <f t="shared" si="188"/>
        <v>2.0147496017605001E-4</v>
      </c>
      <c r="AV190" s="32">
        <f t="shared" si="189"/>
        <v>1.5707963267948966</v>
      </c>
      <c r="AW190" s="32" t="str">
        <f t="shared" si="165"/>
        <v>1+0.0352264035651485i</v>
      </c>
      <c r="AX190" s="32">
        <f t="shared" si="190"/>
        <v>1.0006202573944496</v>
      </c>
      <c r="AY190" s="32">
        <f t="shared" si="191"/>
        <v>3.5211843595135441E-2</v>
      </c>
      <c r="AZ190" s="32" t="str">
        <f t="shared" si="166"/>
        <v>1+0.524959331178189i</v>
      </c>
      <c r="BA190" s="32">
        <f t="shared" si="192"/>
        <v>1.1294167961346473</v>
      </c>
      <c r="BB190" s="32">
        <f t="shared" si="193"/>
        <v>0.48341511954660954</v>
      </c>
      <c r="BC190" s="60" t="str">
        <f t="shared" si="194"/>
        <v>-0.323575931625741+0.672937468706355i</v>
      </c>
      <c r="BD190" s="51">
        <f t="shared" si="195"/>
        <v>-2.5371912398149981</v>
      </c>
      <c r="BE190" s="63">
        <f t="shared" si="196"/>
        <v>115.68015607595682</v>
      </c>
      <c r="BF190" s="60" t="str">
        <f t="shared" si="197"/>
        <v>7.91195020078055+12.0202761828208i</v>
      </c>
      <c r="BG190" s="66">
        <f t="shared" si="198"/>
        <v>23.161507300539284</v>
      </c>
      <c r="BH190" s="63">
        <f t="shared" si="199"/>
        <v>56.646407670187109</v>
      </c>
      <c r="BI190" s="60" t="str">
        <f t="shared" si="203"/>
        <v>-4.93676770466031+29.8287730892309i</v>
      </c>
      <c r="BJ190" s="66">
        <f t="shared" si="200"/>
        <v>29.610067168571938</v>
      </c>
      <c r="BK190" s="63">
        <f t="shared" si="204"/>
        <v>99.397469203845958</v>
      </c>
      <c r="BL190" s="51">
        <f t="shared" si="201"/>
        <v>23.161507300539284</v>
      </c>
      <c r="BM190" s="63">
        <f t="shared" si="202"/>
        <v>56.646407670187109</v>
      </c>
    </row>
    <row r="191" spans="14:65" x14ac:dyDescent="0.35">
      <c r="N191" s="11">
        <v>73</v>
      </c>
      <c r="O191" s="52">
        <f t="shared" si="205"/>
        <v>537.03179637025301</v>
      </c>
      <c r="P191" s="50" t="str">
        <f t="shared" si="155"/>
        <v>36.531007751938</v>
      </c>
      <c r="Q191" s="18" t="str">
        <f t="shared" si="156"/>
        <v>1+1.64789944514601i</v>
      </c>
      <c r="R191" s="18">
        <f t="shared" si="167"/>
        <v>1.9275820556626191</v>
      </c>
      <c r="S191" s="18">
        <f t="shared" si="168"/>
        <v>1.0253675994640046</v>
      </c>
      <c r="T191" s="18" t="str">
        <f t="shared" si="157"/>
        <v>1+0.000674854058488366i</v>
      </c>
      <c r="U191" s="18">
        <f t="shared" si="169"/>
        <v>1.0000002277139741</v>
      </c>
      <c r="V191" s="18">
        <f t="shared" si="170"/>
        <v>6.7485395603924918E-4</v>
      </c>
      <c r="W191" s="32" t="str">
        <f t="shared" si="158"/>
        <v>1-0.0111810139867895i</v>
      </c>
      <c r="X191" s="18">
        <f t="shared" si="171"/>
        <v>1.0000625055834125</v>
      </c>
      <c r="Y191" s="18">
        <f t="shared" si="172"/>
        <v>-1.118054808997267E-2</v>
      </c>
      <c r="Z191" s="32" t="str">
        <f t="shared" si="159"/>
        <v>0.999994041257225+0.0050807600193445i</v>
      </c>
      <c r="AA191" s="18">
        <f t="shared" si="173"/>
        <v>1.000006948312026</v>
      </c>
      <c r="AB191" s="18">
        <f t="shared" si="174"/>
        <v>5.0807465759089366E-3</v>
      </c>
      <c r="AC191" s="68" t="str">
        <f t="shared" si="175"/>
        <v>9.57868488870598-16.3541066075638i</v>
      </c>
      <c r="AD191" s="66">
        <f t="shared" si="176"/>
        <v>25.553460089892699</v>
      </c>
      <c r="AE191" s="63">
        <f t="shared" si="177"/>
        <v>-59.642273169052928</v>
      </c>
      <c r="AF191" s="51" t="str">
        <f t="shared" si="178"/>
        <v>42.1703962805665</v>
      </c>
      <c r="AG191" s="51" t="str">
        <f t="shared" si="160"/>
        <v>1+0.297729731686045i</v>
      </c>
      <c r="AH191" s="51">
        <f t="shared" si="179"/>
        <v>1.0433805600689732</v>
      </c>
      <c r="AI191" s="51">
        <f t="shared" si="180"/>
        <v>0.28937268027925422</v>
      </c>
      <c r="AJ191" s="51" t="str">
        <f t="shared" si="161"/>
        <v>1+0.000674854058488366i</v>
      </c>
      <c r="AK191" s="51">
        <f t="shared" si="181"/>
        <v>1.0000002277139741</v>
      </c>
      <c r="AL191" s="51">
        <f t="shared" si="182"/>
        <v>6.7485395603924918E-4</v>
      </c>
      <c r="AM191" s="51" t="str">
        <f t="shared" si="162"/>
        <v>1-0.00174994812852161i</v>
      </c>
      <c r="AN191" s="51">
        <f t="shared" si="183"/>
        <v>1.0000015311580541</v>
      </c>
      <c r="AO191" s="51">
        <f t="shared" si="184"/>
        <v>-1.7499463422254106E-3</v>
      </c>
      <c r="AP191" s="60" t="str">
        <f t="shared" si="185"/>
        <v>38.7243091929404-11.5747153287138i</v>
      </c>
      <c r="AQ191" s="51">
        <f t="shared" si="186"/>
        <v>32.131314103913624</v>
      </c>
      <c r="AR191" s="63">
        <f t="shared" si="187"/>
        <v>-16.641431542704957</v>
      </c>
      <c r="AS191" s="32" t="str">
        <f t="shared" si="163"/>
        <v>-0.000133283554228113</v>
      </c>
      <c r="AT191" s="32" t="str">
        <f t="shared" si="164"/>
        <v>0.000206167914868196i</v>
      </c>
      <c r="AU191" s="32">
        <f t="shared" si="188"/>
        <v>2.06167914868196E-4</v>
      </c>
      <c r="AV191" s="32">
        <f t="shared" si="189"/>
        <v>1.5707963267948966</v>
      </c>
      <c r="AW191" s="32" t="str">
        <f t="shared" si="165"/>
        <v>1+0.0360469319114702i</v>
      </c>
      <c r="AX191" s="32">
        <f t="shared" si="190"/>
        <v>1.00064947973815</v>
      </c>
      <c r="AY191" s="32">
        <f t="shared" si="191"/>
        <v>3.6031331169367277E-2</v>
      </c>
      <c r="AZ191" s="32" t="str">
        <f t="shared" si="166"/>
        <v>1+0.537187204827031i</v>
      </c>
      <c r="BA191" s="32">
        <f t="shared" si="192"/>
        <v>1.135152013181441</v>
      </c>
      <c r="BB191" s="32">
        <f t="shared" si="193"/>
        <v>0.49295294260617778</v>
      </c>
      <c r="BC191" s="60" t="str">
        <f t="shared" si="194"/>
        <v>-0.323557032882054+0.658143823410857i</v>
      </c>
      <c r="BD191" s="51">
        <f t="shared" si="195"/>
        <v>-2.6934492680859261</v>
      </c>
      <c r="BE191" s="63">
        <f t="shared" si="196"/>
        <v>116.17967990364573</v>
      </c>
      <c r="BF191" s="60" t="str">
        <f t="shared" si="197"/>
        <v>7.66410338966892+11.5956385052809i</v>
      </c>
      <c r="BG191" s="66">
        <f t="shared" si="198"/>
        <v>22.860010821806782</v>
      </c>
      <c r="BH191" s="63">
        <f t="shared" si="199"/>
        <v>56.537406734592849</v>
      </c>
      <c r="BI191" s="60" t="str">
        <f t="shared" si="203"/>
        <v>-4.91169518154309+29.2312454593991i</v>
      </c>
      <c r="BJ191" s="66">
        <f t="shared" si="200"/>
        <v>29.43786483582771</v>
      </c>
      <c r="BK191" s="63">
        <f t="shared" si="204"/>
        <v>99.53824836094077</v>
      </c>
      <c r="BL191" s="51">
        <f t="shared" si="201"/>
        <v>22.860010821806782</v>
      </c>
      <c r="BM191" s="63">
        <f t="shared" si="202"/>
        <v>56.537406734592849</v>
      </c>
    </row>
    <row r="192" spans="14:65" x14ac:dyDescent="0.35">
      <c r="N192" s="11">
        <v>74</v>
      </c>
      <c r="O192" s="52">
        <f t="shared" si="205"/>
        <v>549.54087385762534</v>
      </c>
      <c r="P192" s="50" t="str">
        <f t="shared" si="155"/>
        <v>36.531007751938</v>
      </c>
      <c r="Q192" s="18" t="str">
        <f t="shared" si="156"/>
        <v>1+1.68628395420126i</v>
      </c>
      <c r="R192" s="18">
        <f t="shared" si="167"/>
        <v>1.9604982974225293</v>
      </c>
      <c r="S192" s="18">
        <f t="shared" si="168"/>
        <v>1.035525035919471</v>
      </c>
      <c r="T192" s="18" t="str">
        <f t="shared" si="157"/>
        <v>1+0.000690573428863372i</v>
      </c>
      <c r="U192" s="18">
        <f t="shared" si="169"/>
        <v>1.0000002384458018</v>
      </c>
      <c r="V192" s="18">
        <f t="shared" si="170"/>
        <v>6.9057331908716694E-4</v>
      </c>
      <c r="W192" s="32" t="str">
        <f t="shared" si="158"/>
        <v>1-0.0114414532592748i</v>
      </c>
      <c r="X192" s="18">
        <f t="shared" si="171"/>
        <v>1.0000654512844067</v>
      </c>
      <c r="Y192" s="18">
        <f t="shared" si="172"/>
        <v>-1.1440954043605896E-2</v>
      </c>
      <c r="Z192" s="32" t="str">
        <f t="shared" si="159"/>
        <v>0.99999376043033+0.00519910612325546i</v>
      </c>
      <c r="AA192" s="18">
        <f t="shared" si="173"/>
        <v>1.000007275775568</v>
      </c>
      <c r="AB192" s="18">
        <f t="shared" si="174"/>
        <v>5.199091718358563E-3</v>
      </c>
      <c r="AC192" s="68" t="str">
        <f t="shared" si="175"/>
        <v>9.24820344710476-16.1777567100512i</v>
      </c>
      <c r="AD192" s="66">
        <f t="shared" si="176"/>
        <v>25.406411027537693</v>
      </c>
      <c r="AE192" s="63">
        <f t="shared" si="177"/>
        <v>-60.245051594755665</v>
      </c>
      <c r="AF192" s="51" t="str">
        <f t="shared" si="178"/>
        <v>42.1703962805665</v>
      </c>
      <c r="AG192" s="51" t="str">
        <f t="shared" si="160"/>
        <v>1+0.304664748027959i</v>
      </c>
      <c r="AH192" s="51">
        <f t="shared" si="179"/>
        <v>1.0453806047038274</v>
      </c>
      <c r="AI192" s="51">
        <f t="shared" si="180"/>
        <v>0.29573086638855028</v>
      </c>
      <c r="AJ192" s="51" t="str">
        <f t="shared" si="161"/>
        <v>1+0.000690573428863372i</v>
      </c>
      <c r="AK192" s="51">
        <f t="shared" si="181"/>
        <v>1.0000002384458018</v>
      </c>
      <c r="AL192" s="51">
        <f t="shared" si="182"/>
        <v>6.9057331908716694E-4</v>
      </c>
      <c r="AM192" s="51" t="str">
        <f t="shared" si="162"/>
        <v>1-0.00179070965677098i</v>
      </c>
      <c r="AN192" s="51">
        <f t="shared" si="183"/>
        <v>1.000001603319252</v>
      </c>
      <c r="AO192" s="51">
        <f t="shared" si="184"/>
        <v>-1.7907077427202832E-3</v>
      </c>
      <c r="AP192" s="60" t="str">
        <f t="shared" si="185"/>
        <v>38.5756946082545-11.7990474585208i</v>
      </c>
      <c r="AQ192" s="51">
        <f t="shared" si="186"/>
        <v>32.114680875932208</v>
      </c>
      <c r="AR192" s="63">
        <f t="shared" si="187"/>
        <v>-17.007163575182386</v>
      </c>
      <c r="AS192" s="32" t="str">
        <f t="shared" si="163"/>
        <v>-0.000133283554228113</v>
      </c>
      <c r="AT192" s="32" t="str">
        <f t="shared" si="164"/>
        <v>0.00021097018251776i</v>
      </c>
      <c r="AU192" s="32">
        <f t="shared" si="188"/>
        <v>2.1097018251775999E-4</v>
      </c>
      <c r="AV192" s="32">
        <f t="shared" si="189"/>
        <v>1.5707963267948966</v>
      </c>
      <c r="AW192" s="32" t="str">
        <f t="shared" si="165"/>
        <v>1+0.036886572818229i</v>
      </c>
      <c r="AX192" s="32">
        <f t="shared" si="190"/>
        <v>1.0006800783738401</v>
      </c>
      <c r="AY192" s="32">
        <f t="shared" si="191"/>
        <v>3.6869856935412781E-2</v>
      </c>
      <c r="AZ192" s="32" t="str">
        <f t="shared" si="166"/>
        <v>1+0.549699902242388i</v>
      </c>
      <c r="BA192" s="32">
        <f t="shared" si="192"/>
        <v>1.1411266286110804</v>
      </c>
      <c r="BB192" s="32">
        <f t="shared" si="193"/>
        <v>0.50261278038219481</v>
      </c>
      <c r="BC192" s="60" t="str">
        <f t="shared" si="194"/>
        <v>-0.323537245833983+0.643699070540477i</v>
      </c>
      <c r="BD192" s="51">
        <f t="shared" si="195"/>
        <v>-2.8481185437257004</v>
      </c>
      <c r="BE192" s="63">
        <f t="shared" si="196"/>
        <v>116.68510385158517</v>
      </c>
      <c r="BF192" s="60" t="str">
        <f t="shared" si="197"/>
        <v>7.4214686855013+11.1871668128128i</v>
      </c>
      <c r="BG192" s="66">
        <f t="shared" si="198"/>
        <v>22.558292483812007</v>
      </c>
      <c r="BH192" s="63">
        <f t="shared" si="199"/>
        <v>56.440052256829567</v>
      </c>
      <c r="BI192" s="60" t="str">
        <f t="shared" si="203"/>
        <v>-4.88563810737467+28.648570082981i</v>
      </c>
      <c r="BJ192" s="66">
        <f t="shared" si="200"/>
        <v>29.266562332206512</v>
      </c>
      <c r="BK192" s="63">
        <f t="shared" si="204"/>
        <v>99.677940276402779</v>
      </c>
      <c r="BL192" s="51">
        <f t="shared" si="201"/>
        <v>22.558292483812007</v>
      </c>
      <c r="BM192" s="63">
        <f t="shared" si="202"/>
        <v>56.440052256829567</v>
      </c>
    </row>
    <row r="193" spans="14:65" x14ac:dyDescent="0.35">
      <c r="N193" s="11">
        <v>75</v>
      </c>
      <c r="O193" s="52">
        <f t="shared" si="205"/>
        <v>562.34132519034927</v>
      </c>
      <c r="P193" s="50" t="str">
        <f t="shared" si="155"/>
        <v>36.531007751938</v>
      </c>
      <c r="Q193" s="18" t="str">
        <f t="shared" si="156"/>
        <v>1+1.72556255332962i</v>
      </c>
      <c r="R193" s="18">
        <f t="shared" si="167"/>
        <v>1.9943836455039028</v>
      </c>
      <c r="S193" s="18">
        <f t="shared" si="168"/>
        <v>1.0455709190500868</v>
      </c>
      <c r="T193" s="18" t="str">
        <f t="shared" si="157"/>
        <v>1+0.00070665895041118i</v>
      </c>
      <c r="U193" s="18">
        <f t="shared" si="169"/>
        <v>1.0000002496834051</v>
      </c>
      <c r="V193" s="18">
        <f t="shared" si="170"/>
        <v>7.0665883278385867E-4</v>
      </c>
      <c r="W193" s="32" t="str">
        <f t="shared" si="158"/>
        <v>1-0.0117079589417237i</v>
      </c>
      <c r="X193" s="18">
        <f t="shared" si="171"/>
        <v>1.0000685358027124</v>
      </c>
      <c r="Y193" s="18">
        <f t="shared" si="172"/>
        <v>-1.1707424024476864E-2</v>
      </c>
      <c r="Z193" s="32" t="str">
        <f t="shared" si="159"/>
        <v>0.999993466368471+0.00532020886205127i</v>
      </c>
      <c r="AA193" s="18">
        <f t="shared" si="173"/>
        <v>1.0000076186719609</v>
      </c>
      <c r="AB193" s="18">
        <f t="shared" si="174"/>
        <v>5.3201934269304614E-3</v>
      </c>
      <c r="AC193" s="68" t="str">
        <f t="shared" si="175"/>
        <v>8.92494089738552-15.9967748668326i</v>
      </c>
      <c r="AD193" s="66">
        <f t="shared" si="176"/>
        <v>25.257590242827423</v>
      </c>
      <c r="AE193" s="63">
        <f t="shared" si="177"/>
        <v>-60.841922889639434</v>
      </c>
      <c r="AF193" s="51" t="str">
        <f t="shared" si="178"/>
        <v>42.1703962805665</v>
      </c>
      <c r="AG193" s="51" t="str">
        <f t="shared" si="160"/>
        <v>1+0.311761301651992i</v>
      </c>
      <c r="AH193" s="51">
        <f t="shared" si="179"/>
        <v>1.0474708154443944</v>
      </c>
      <c r="AI193" s="51">
        <f t="shared" si="180"/>
        <v>0.30221174906145087</v>
      </c>
      <c r="AJ193" s="51" t="str">
        <f t="shared" si="161"/>
        <v>1+0.00070665895041118i</v>
      </c>
      <c r="AK193" s="51">
        <f t="shared" si="181"/>
        <v>1.0000002496834051</v>
      </c>
      <c r="AL193" s="51">
        <f t="shared" si="182"/>
        <v>7.0665883278385867E-4</v>
      </c>
      <c r="AM193" s="51" t="str">
        <f t="shared" si="162"/>
        <v>1-0.00183242064298322i</v>
      </c>
      <c r="AN193" s="51">
        <f t="shared" si="183"/>
        <v>1.0000016788812971</v>
      </c>
      <c r="AO193" s="51">
        <f t="shared" si="184"/>
        <v>-1.8324185920411331E-3</v>
      </c>
      <c r="AP193" s="60" t="str">
        <f t="shared" si="185"/>
        <v>38.4212890070351-12.0257448886739i</v>
      </c>
      <c r="AQ193" s="51">
        <f t="shared" si="186"/>
        <v>32.097331763862663</v>
      </c>
      <c r="AR193" s="63">
        <f t="shared" si="187"/>
        <v>-17.379959023438985</v>
      </c>
      <c r="AS193" s="32" t="str">
        <f t="shared" si="163"/>
        <v>-0.000133283554228113</v>
      </c>
      <c r="AT193" s="32" t="str">
        <f t="shared" si="164"/>
        <v>0.000215884309350615i</v>
      </c>
      <c r="AU193" s="32">
        <f t="shared" si="188"/>
        <v>2.1588430935061501E-4</v>
      </c>
      <c r="AV193" s="32">
        <f t="shared" si="189"/>
        <v>1.5707963267948966</v>
      </c>
      <c r="AW193" s="32" t="str">
        <f t="shared" si="165"/>
        <v>1+0.0377457714741475i</v>
      </c>
      <c r="AX193" s="32">
        <f t="shared" si="190"/>
        <v>1.0007121180760121</v>
      </c>
      <c r="AY193" s="32">
        <f t="shared" si="191"/>
        <v>3.7727860771328524E-2</v>
      </c>
      <c r="AZ193" s="32" t="str">
        <f t="shared" si="166"/>
        <v>1+0.562504057822051i</v>
      </c>
      <c r="BA193" s="32">
        <f t="shared" si="192"/>
        <v>1.1473494738161836</v>
      </c>
      <c r="BB193" s="32">
        <f t="shared" si="193"/>
        <v>0.51239254280522994</v>
      </c>
      <c r="BC193" s="60" t="str">
        <f t="shared" si="194"/>
        <v>-0.323516528844819+0.629595546721299i</v>
      </c>
      <c r="BD193" s="51">
        <f t="shared" si="195"/>
        <v>-3.0011590255088292</v>
      </c>
      <c r="BE193" s="63">
        <f t="shared" si="196"/>
        <v>117.19628296446177</v>
      </c>
      <c r="BF193" s="60" t="str">
        <f t="shared" si="197"/>
        <v>7.18413231879368+10.7943241213744i</v>
      </c>
      <c r="BG193" s="66">
        <f t="shared" si="198"/>
        <v>22.256431217318571</v>
      </c>
      <c r="BH193" s="63">
        <f t="shared" si="199"/>
        <v>56.354360074822246</v>
      </c>
      <c r="BI193" s="60" t="str">
        <f t="shared" si="203"/>
        <v>-4.85856662538409+28.0803997012784i</v>
      </c>
      <c r="BJ193" s="66">
        <f t="shared" si="200"/>
        <v>29.096172738353829</v>
      </c>
      <c r="BK193" s="63">
        <f t="shared" si="204"/>
        <v>99.816323941022787</v>
      </c>
      <c r="BL193" s="51">
        <f t="shared" si="201"/>
        <v>22.256431217318571</v>
      </c>
      <c r="BM193" s="63">
        <f t="shared" si="202"/>
        <v>56.354360074822246</v>
      </c>
    </row>
    <row r="194" spans="14:65" x14ac:dyDescent="0.35">
      <c r="N194" s="11">
        <v>76</v>
      </c>
      <c r="O194" s="52">
        <f t="shared" si="205"/>
        <v>575.43993733715706</v>
      </c>
      <c r="P194" s="50" t="str">
        <f t="shared" si="155"/>
        <v>36.531007751938</v>
      </c>
      <c r="Q194" s="18" t="str">
        <f t="shared" si="156"/>
        <v>1+1.76575606856429i</v>
      </c>
      <c r="R194" s="18">
        <f t="shared" si="167"/>
        <v>2.0292595924798822</v>
      </c>
      <c r="S194" s="18">
        <f t="shared" si="168"/>
        <v>1.0555024641250081</v>
      </c>
      <c r="T194" s="18" t="str">
        <f t="shared" si="157"/>
        <v>1+0.000723119151888234i</v>
      </c>
      <c r="U194" s="18">
        <f t="shared" si="169"/>
        <v>1.0000002614506198</v>
      </c>
      <c r="V194" s="18">
        <f t="shared" si="170"/>
        <v>7.2311902584829013E-4</v>
      </c>
      <c r="W194" s="32" t="str">
        <f t="shared" si="158"/>
        <v>1-0.0119806723389767i</v>
      </c>
      <c r="X194" s="18">
        <f t="shared" si="171"/>
        <v>1.0000717656796907</v>
      </c>
      <c r="Y194" s="18">
        <f t="shared" si="172"/>
        <v>-1.1980099167041442E-2</v>
      </c>
      <c r="Z194" s="32" t="str">
        <f t="shared" si="159"/>
        <v>0.999993158447903+0.00544413244600703i</v>
      </c>
      <c r="AA194" s="18">
        <f t="shared" si="173"/>
        <v>1.0000079777285291</v>
      </c>
      <c r="AB194" s="18">
        <f t="shared" si="174"/>
        <v>5.4441159069819394E-3</v>
      </c>
      <c r="AC194" s="68" t="str">
        <f t="shared" si="175"/>
        <v>8.60899472923017-15.8115032693474i</v>
      </c>
      <c r="AD194" s="66">
        <f t="shared" si="176"/>
        <v>25.107037210429954</v>
      </c>
      <c r="AE194" s="63">
        <f t="shared" si="177"/>
        <v>-61.43273877682455</v>
      </c>
      <c r="AF194" s="51" t="str">
        <f t="shared" si="178"/>
        <v>42.1703962805665</v>
      </c>
      <c r="AG194" s="51" t="str">
        <f t="shared" si="160"/>
        <v>1+0.31902315524481i</v>
      </c>
      <c r="AH194" s="51">
        <f t="shared" si="179"/>
        <v>1.0496550736229278</v>
      </c>
      <c r="AI194" s="51">
        <f t="shared" si="180"/>
        <v>0.30881658608232115</v>
      </c>
      <c r="AJ194" s="51" t="str">
        <f t="shared" si="161"/>
        <v>1+0.000723119151888234i</v>
      </c>
      <c r="AK194" s="51">
        <f t="shared" si="181"/>
        <v>1.0000002614506198</v>
      </c>
      <c r="AL194" s="51">
        <f t="shared" si="182"/>
        <v>7.2311902584829013E-4</v>
      </c>
      <c r="AM194" s="51" t="str">
        <f t="shared" si="162"/>
        <v>1-0.00187510320287532i</v>
      </c>
      <c r="AN194" s="51">
        <f t="shared" si="183"/>
        <v>1.0000017580044656</v>
      </c>
      <c r="AO194" s="51">
        <f t="shared" si="184"/>
        <v>-1.8751010052514886E-3</v>
      </c>
      <c r="AP194" s="60" t="str">
        <f t="shared" si="185"/>
        <v>38.2609206394188-12.2546992488977i</v>
      </c>
      <c r="AQ194" s="51">
        <f t="shared" si="186"/>
        <v>32.079238997340703</v>
      </c>
      <c r="AR194" s="63">
        <f t="shared" si="187"/>
        <v>-17.75989073165044</v>
      </c>
      <c r="AS194" s="32" t="str">
        <f t="shared" si="163"/>
        <v>-0.000133283554228113</v>
      </c>
      <c r="AT194" s="32" t="str">
        <f t="shared" si="164"/>
        <v>0.000220912900901855i</v>
      </c>
      <c r="AU194" s="32">
        <f t="shared" si="188"/>
        <v>2.2091290090185499E-4</v>
      </c>
      <c r="AV194" s="32">
        <f t="shared" si="189"/>
        <v>1.5707963267948966</v>
      </c>
      <c r="AW194" s="32" t="str">
        <f t="shared" si="165"/>
        <v>1+0.0386249834377259i</v>
      </c>
      <c r="AX194" s="32">
        <f t="shared" si="190"/>
        <v>1.0007456666633958</v>
      </c>
      <c r="AY194" s="32">
        <f t="shared" si="191"/>
        <v>3.8605792546123424E-2</v>
      </c>
      <c r="AZ194" s="32" t="str">
        <f t="shared" si="166"/>
        <v>1+0.575606460498793i</v>
      </c>
      <c r="BA194" s="32">
        <f t="shared" si="192"/>
        <v>1.1538296223307618</v>
      </c>
      <c r="BB194" s="32">
        <f t="shared" si="193"/>
        <v>0.52228993153020664</v>
      </c>
      <c r="BC194" s="60" t="str">
        <f t="shared" si="194"/>
        <v>-0.32349483833748+0.615825769177916i</v>
      </c>
      <c r="BD194" s="51">
        <f t="shared" si="195"/>
        <v>-3.1525309401100636</v>
      </c>
      <c r="BE194" s="63">
        <f t="shared" si="196"/>
        <v>117.71305978120712</v>
      </c>
      <c r="BF194" s="60" t="str">
        <f t="shared" si="197"/>
        <v>6.95216580452446+10.4165804949669i</v>
      </c>
      <c r="BG194" s="66">
        <f t="shared" si="198"/>
        <v>21.954506270319904</v>
      </c>
      <c r="BH194" s="63">
        <f t="shared" si="199"/>
        <v>56.280321004382678</v>
      </c>
      <c r="BI194" s="60" t="str">
        <f t="shared" si="203"/>
        <v>-4.83045074589548+27.5263928346219i</v>
      </c>
      <c r="BJ194" s="66">
        <f t="shared" si="200"/>
        <v>28.926708057230641</v>
      </c>
      <c r="BK194" s="63">
        <f t="shared" si="204"/>
        <v>99.953169049556678</v>
      </c>
      <c r="BL194" s="51">
        <f t="shared" si="201"/>
        <v>21.954506270319904</v>
      </c>
      <c r="BM194" s="63">
        <f t="shared" si="202"/>
        <v>56.280321004382678</v>
      </c>
    </row>
    <row r="195" spans="14:65" x14ac:dyDescent="0.35">
      <c r="N195" s="11">
        <v>77</v>
      </c>
      <c r="O195" s="52">
        <f t="shared" si="205"/>
        <v>588.84365535558959</v>
      </c>
      <c r="P195" s="50" t="str">
        <f t="shared" si="155"/>
        <v>36.531007751938</v>
      </c>
      <c r="Q195" s="18" t="str">
        <f t="shared" si="156"/>
        <v>1+1.80688581103905i</v>
      </c>
      <c r="R195" s="18">
        <f t="shared" si="167"/>
        <v>2.06514801748791</v>
      </c>
      <c r="S195" s="18">
        <f t="shared" si="168"/>
        <v>1.0653170995147132</v>
      </c>
      <c r="T195" s="18" t="str">
        <f t="shared" si="157"/>
        <v>1+0.000739962760711232i</v>
      </c>
      <c r="U195" s="18">
        <f t="shared" si="169"/>
        <v>1.0000002737724061</v>
      </c>
      <c r="V195" s="18">
        <f t="shared" si="170"/>
        <v>7.3996262565700097E-4</v>
      </c>
      <c r="W195" s="32" t="str">
        <f t="shared" si="158"/>
        <v>1-0.0122597380472867i</v>
      </c>
      <c r="X195" s="18">
        <f t="shared" si="171"/>
        <v>1.0000751477649008</v>
      </c>
      <c r="Y195" s="18">
        <f t="shared" si="172"/>
        <v>-1.2259123884985314E-2</v>
      </c>
      <c r="Z195" s="32" t="str">
        <f t="shared" si="159"/>
        <v>0.999992836015486+0.00557094258104728i</v>
      </c>
      <c r="AA195" s="18">
        <f t="shared" si="173"/>
        <v>1.0000083537068758</v>
      </c>
      <c r="AB195" s="18">
        <f t="shared" si="174"/>
        <v>5.5709248591680298E-3</v>
      </c>
      <c r="AC195" s="68" t="str">
        <f t="shared" si="175"/>
        <v>8.30044291527065-15.6222820762736i</v>
      </c>
      <c r="AD195" s="66">
        <f t="shared" si="176"/>
        <v>24.95479188294032</v>
      </c>
      <c r="AE195" s="63">
        <f t="shared" si="177"/>
        <v>-62.017363451416308</v>
      </c>
      <c r="AF195" s="51" t="str">
        <f t="shared" si="178"/>
        <v>42.1703962805665</v>
      </c>
      <c r="AG195" s="51" t="str">
        <f t="shared" si="160"/>
        <v>1+0.326454159137309i</v>
      </c>
      <c r="AH195" s="51">
        <f t="shared" si="179"/>
        <v>1.051937411644841</v>
      </c>
      <c r="AI195" s="51">
        <f t="shared" si="180"/>
        <v>0.31554657357352772</v>
      </c>
      <c r="AJ195" s="51" t="str">
        <f t="shared" si="161"/>
        <v>1+0.000739962760711232i</v>
      </c>
      <c r="AK195" s="51">
        <f t="shared" si="181"/>
        <v>1.0000002737724061</v>
      </c>
      <c r="AL195" s="51">
        <f t="shared" si="182"/>
        <v>7.3996262565700097E-4</v>
      </c>
      <c r="AM195" s="51" t="str">
        <f t="shared" si="162"/>
        <v>1-0.00191877996730552i</v>
      </c>
      <c r="AN195" s="51">
        <f t="shared" si="183"/>
        <v>1.0000018408565872</v>
      </c>
      <c r="AO195" s="51">
        <f t="shared" si="184"/>
        <v>-1.918777612509393E-3</v>
      </c>
      <c r="AP195" s="60" t="str">
        <f t="shared" si="185"/>
        <v>38.0944173683649-12.4857921785597i</v>
      </c>
      <c r="AQ195" s="51">
        <f t="shared" si="186"/>
        <v>32.060373993352314</v>
      </c>
      <c r="AR195" s="63">
        <f t="shared" si="187"/>
        <v>-18.147028029150871</v>
      </c>
      <c r="AS195" s="32" t="str">
        <f t="shared" si="163"/>
        <v>-0.000133283554228113</v>
      </c>
      <c r="AT195" s="32" t="str">
        <f t="shared" si="164"/>
        <v>0.000226058623397281i</v>
      </c>
      <c r="AU195" s="32">
        <f t="shared" si="188"/>
        <v>2.2605862339728099E-4</v>
      </c>
      <c r="AV195" s="32">
        <f t="shared" si="189"/>
        <v>1.5707963267948966</v>
      </c>
      <c r="AW195" s="32" t="str">
        <f t="shared" si="165"/>
        <v>1+0.0395246748787851i</v>
      </c>
      <c r="AX195" s="32">
        <f t="shared" si="190"/>
        <v>1.0007807951416103</v>
      </c>
      <c r="AY195" s="32">
        <f t="shared" si="191"/>
        <v>3.9504112334329156E-2</v>
      </c>
      <c r="AZ195" s="32" t="str">
        <f t="shared" si="166"/>
        <v>1+0.589014057339944i</v>
      </c>
      <c r="BA195" s="32">
        <f t="shared" si="192"/>
        <v>1.1605763911712417</v>
      </c>
      <c r="BB195" s="32">
        <f t="shared" si="193"/>
        <v>0.53230243737673466</v>
      </c>
      <c r="BC195" s="60" t="str">
        <f t="shared" si="194"/>
        <v>-0.323472128705172+0.602382431742869i</v>
      </c>
      <c r="BD195" s="51">
        <f t="shared" si="195"/>
        <v>-3.3021948829890695</v>
      </c>
      <c r="BE195" s="63">
        <f t="shared" si="196"/>
        <v>118.23526417604586</v>
      </c>
      <c r="BF195" s="60" t="str">
        <f t="shared" si="197"/>
        <v>6.72562632748037+10.0534138262885i</v>
      </c>
      <c r="BG195" s="66">
        <f t="shared" si="198"/>
        <v>21.65259699995126</v>
      </c>
      <c r="BH195" s="63">
        <f t="shared" si="199"/>
        <v>56.217900724629615</v>
      </c>
      <c r="BI195" s="60" t="str">
        <f t="shared" si="203"/>
        <v>-4.80126042317139+26.9862135447525i</v>
      </c>
      <c r="BJ195" s="66">
        <f t="shared" si="200"/>
        <v>28.758179110363233</v>
      </c>
      <c r="BK195" s="63">
        <f t="shared" si="204"/>
        <v>100.08823614689501</v>
      </c>
      <c r="BL195" s="51">
        <f t="shared" si="201"/>
        <v>21.65259699995126</v>
      </c>
      <c r="BM195" s="63">
        <f t="shared" si="202"/>
        <v>56.217900724629615</v>
      </c>
    </row>
    <row r="196" spans="14:65" x14ac:dyDescent="0.35">
      <c r="N196" s="11">
        <v>78</v>
      </c>
      <c r="O196" s="52">
        <f t="shared" si="205"/>
        <v>602.55958607435832</v>
      </c>
      <c r="P196" s="50" t="str">
        <f t="shared" si="155"/>
        <v>36.531007751938</v>
      </c>
      <c r="Q196" s="18" t="str">
        <f t="shared" si="156"/>
        <v>1+1.84897358828779i</v>
      </c>
      <c r="R196" s="18">
        <f t="shared" si="167"/>
        <v>2.1020712000752555</v>
      </c>
      <c r="S196" s="18">
        <f t="shared" si="168"/>
        <v>1.0750124650474164</v>
      </c>
      <c r="T196" s="18" t="str">
        <f t="shared" si="157"/>
        <v>1+0.000757198707584524i</v>
      </c>
      <c r="U196" s="18">
        <f t="shared" si="169"/>
        <v>1.0000002866749003</v>
      </c>
      <c r="V196" s="18">
        <f t="shared" si="170"/>
        <v>7.5719856287131038E-4</v>
      </c>
      <c r="W196" s="32" t="str">
        <f t="shared" si="158"/>
        <v>1-0.0125453040309862i</v>
      </c>
      <c r="X196" s="18">
        <f t="shared" si="171"/>
        <v>1.0000786892306175</v>
      </c>
      <c r="Y196" s="18">
        <f t="shared" si="172"/>
        <v>-1.2544645947020278E-2</v>
      </c>
      <c r="Z196" s="32" t="str">
        <f t="shared" si="159"/>
        <v>0.999992498387298+0.00570070650358413i</v>
      </c>
      <c r="AA196" s="18">
        <f t="shared" si="173"/>
        <v>1.0000087474044965</v>
      </c>
      <c r="AB196" s="18">
        <f t="shared" si="174"/>
        <v>5.70068751425447E-3</v>
      </c>
      <c r="AC196" s="68" t="str">
        <f t="shared" si="175"/>
        <v>7.99934451705017-15.429448226902i</v>
      </c>
      <c r="AD196" s="66">
        <f t="shared" si="176"/>
        <v>24.800894586753085</v>
      </c>
      <c r="AE196" s="63">
        <f t="shared" si="177"/>
        <v>-62.595673492405894</v>
      </c>
      <c r="AF196" s="51" t="str">
        <f t="shared" si="178"/>
        <v>42.1703962805665</v>
      </c>
      <c r="AG196" s="51" t="str">
        <f t="shared" si="160"/>
        <v>1+0.334058253346114i</v>
      </c>
      <c r="AH196" s="51">
        <f t="shared" si="179"/>
        <v>1.0543220175205754</v>
      </c>
      <c r="AI196" s="51">
        <f t="shared" si="180"/>
        <v>0.32240284045904755</v>
      </c>
      <c r="AJ196" s="51" t="str">
        <f t="shared" si="161"/>
        <v>1+0.000757198707584524i</v>
      </c>
      <c r="AK196" s="51">
        <f t="shared" si="181"/>
        <v>1.0000002866749003</v>
      </c>
      <c r="AL196" s="51">
        <f t="shared" si="182"/>
        <v>7.5719856287131038E-4</v>
      </c>
      <c r="AM196" s="51" t="str">
        <f t="shared" si="162"/>
        <v>1-0.00196347409427243i</v>
      </c>
      <c r="AN196" s="51">
        <f t="shared" si="183"/>
        <v>1.0000019276134016</v>
      </c>
      <c r="AO196" s="51">
        <f t="shared" si="184"/>
        <v>-1.9634715710631825E-3</v>
      </c>
      <c r="AP196" s="60" t="str">
        <f t="shared" si="185"/>
        <v>37.921607143035-12.7188949573599i</v>
      </c>
      <c r="AQ196" s="51">
        <f t="shared" si="186"/>
        <v>32.040707355510122</v>
      </c>
      <c r="AR196" s="63">
        <f t="shared" si="187"/>
        <v>-18.541436413642966</v>
      </c>
      <c r="AS196" s="32" t="str">
        <f t="shared" si="163"/>
        <v>-0.000133283554228113</v>
      </c>
      <c r="AT196" s="32" t="str">
        <f t="shared" si="164"/>
        <v>0.000231324205167072i</v>
      </c>
      <c r="AU196" s="32">
        <f t="shared" si="188"/>
        <v>2.3132420516707201E-4</v>
      </c>
      <c r="AV196" s="32">
        <f t="shared" si="189"/>
        <v>1.5707963267948966</v>
      </c>
      <c r="AW196" s="32" t="str">
        <f t="shared" si="165"/>
        <v>1+0.040445322825636i</v>
      </c>
      <c r="AX196" s="32">
        <f t="shared" si="190"/>
        <v>1.0008175778524626</v>
      </c>
      <c r="AY196" s="32">
        <f t="shared" si="191"/>
        <v>4.0423290634282127E-2</v>
      </c>
      <c r="AZ196" s="32" t="str">
        <f t="shared" si="166"/>
        <v>1+0.602733957230819i</v>
      </c>
      <c r="BA196" s="32">
        <f t="shared" si="192"/>
        <v>1.1675993418973492</v>
      </c>
      <c r="BB196" s="32">
        <f t="shared" si="193"/>
        <v>0.54242733846959579</v>
      </c>
      <c r="BC196" s="60" t="str">
        <f t="shared" si="194"/>
        <v>-0.323448352218034+0.589258400958079i</v>
      </c>
      <c r="BD196" s="51">
        <f t="shared" si="195"/>
        <v>-3.4501119229266712</v>
      </c>
      <c r="BE196" s="63">
        <f t="shared" si="196"/>
        <v>118.76271323944697</v>
      </c>
      <c r="BF196" s="60" t="str">
        <f t="shared" si="197"/>
        <v>6.5045571869855+9.70431056345468i</v>
      </c>
      <c r="BG196" s="66">
        <f t="shared" si="198"/>
        <v>21.350782663826415</v>
      </c>
      <c r="BH196" s="63">
        <f t="shared" si="199"/>
        <v>56.16703974704108</v>
      </c>
      <c r="BI196" s="60" t="str">
        <f t="shared" si="203"/>
        <v>-4.77096563934663+26.4595312028576i</v>
      </c>
      <c r="BJ196" s="66">
        <f t="shared" si="200"/>
        <v>28.590595432583452</v>
      </c>
      <c r="BK196" s="63">
        <f t="shared" si="204"/>
        <v>100.22127682580401</v>
      </c>
      <c r="BL196" s="51">
        <f t="shared" si="201"/>
        <v>21.350782663826415</v>
      </c>
      <c r="BM196" s="63">
        <f t="shared" si="202"/>
        <v>56.16703974704108</v>
      </c>
    </row>
    <row r="197" spans="14:65" x14ac:dyDescent="0.35">
      <c r="N197" s="11">
        <v>79</v>
      </c>
      <c r="O197" s="52">
        <f t="shared" si="205"/>
        <v>616.59500186148273</v>
      </c>
      <c r="P197" s="50" t="str">
        <f t="shared" si="155"/>
        <v>36.531007751938</v>
      </c>
      <c r="Q197" s="18" t="str">
        <f t="shared" si="156"/>
        <v>1+1.8920417158071i</v>
      </c>
      <c r="R197" s="18">
        <f t="shared" si="167"/>
        <v>2.140051834501743</v>
      </c>
      <c r="S197" s="18">
        <f t="shared" si="168"/>
        <v>1.0845864096500657</v>
      </c>
      <c r="T197" s="18" t="str">
        <f t="shared" si="157"/>
        <v>1+0.000774836131235288i</v>
      </c>
      <c r="U197" s="18">
        <f t="shared" si="169"/>
        <v>1.00000030018547</v>
      </c>
      <c r="V197" s="18">
        <f t="shared" si="170"/>
        <v>7.7483597617228838E-4</v>
      </c>
      <c r="W197" s="32" t="str">
        <f t="shared" si="158"/>
        <v>1-0.0128375217009397i</v>
      </c>
      <c r="X197" s="18">
        <f t="shared" si="171"/>
        <v>1.0000823975870299</v>
      </c>
      <c r="Y197" s="18">
        <f t="shared" si="172"/>
        <v>-1.283681655440351E-2</v>
      </c>
      <c r="Z197" s="32" t="str">
        <f t="shared" si="159"/>
        <v>0.999992144847183+0.00583349301616697i</v>
      </c>
      <c r="AA197" s="18">
        <f t="shared" si="173"/>
        <v>1.00000915965647</v>
      </c>
      <c r="AB197" s="18">
        <f t="shared" si="174"/>
        <v>5.8334726687404729E-3</v>
      </c>
      <c r="AC197" s="68" t="str">
        <f t="shared" si="175"/>
        <v>7.70574036212343-15.2333343368883i</v>
      </c>
      <c r="AD197" s="66">
        <f t="shared" si="176"/>
        <v>24.645385921424172</v>
      </c>
      <c r="AE197" s="63">
        <f t="shared" si="177"/>
        <v>-63.167557733720848</v>
      </c>
      <c r="AF197" s="51" t="str">
        <f t="shared" si="178"/>
        <v>42.1703962805665</v>
      </c>
      <c r="AG197" s="51" t="str">
        <f t="shared" si="160"/>
        <v>1+0.341839469662628i</v>
      </c>
      <c r="AH197" s="51">
        <f t="shared" si="179"/>
        <v>1.0568132394227596</v>
      </c>
      <c r="AI197" s="51">
        <f t="shared" si="180"/>
        <v>0.32938644273062673</v>
      </c>
      <c r="AJ197" s="51" t="str">
        <f t="shared" si="161"/>
        <v>1+0.000774836131235288i</v>
      </c>
      <c r="AK197" s="51">
        <f t="shared" si="181"/>
        <v>1.00000030018547</v>
      </c>
      <c r="AL197" s="51">
        <f t="shared" si="182"/>
        <v>7.7483597617228838E-4</v>
      </c>
      <c r="AM197" s="51" t="str">
        <f t="shared" si="162"/>
        <v>1-0.00200920928119378i</v>
      </c>
      <c r="AN197" s="51">
        <f t="shared" si="183"/>
        <v>1.0000020184589307</v>
      </c>
      <c r="AO197" s="51">
        <f t="shared" si="184"/>
        <v>-2.0092065775266553E-3</v>
      </c>
      <c r="AP197" s="60" t="str">
        <f t="shared" si="185"/>
        <v>37.7423185135083-12.9538681493875i</v>
      </c>
      <c r="AQ197" s="51">
        <f t="shared" si="186"/>
        <v>32.020208875664139</v>
      </c>
      <c r="AR197" s="63">
        <f t="shared" si="187"/>
        <v>-18.943177223105128</v>
      </c>
      <c r="AS197" s="32" t="str">
        <f t="shared" si="163"/>
        <v>-0.000133283554228113</v>
      </c>
      <c r="AT197" s="32" t="str">
        <f t="shared" si="164"/>
        <v>0.00023671243809238i</v>
      </c>
      <c r="AU197" s="32">
        <f t="shared" si="188"/>
        <v>2.3671243809238001E-4</v>
      </c>
      <c r="AV197" s="32">
        <f t="shared" si="189"/>
        <v>1.5707963267948966</v>
      </c>
      <c r="AW197" s="32" t="str">
        <f t="shared" si="165"/>
        <v>1+0.0413874154180062i</v>
      </c>
      <c r="AX197" s="32">
        <f t="shared" si="190"/>
        <v>1.0008560926301955</v>
      </c>
      <c r="AY197" s="32">
        <f t="shared" si="191"/>
        <v>4.1363808590113467E-2</v>
      </c>
      <c r="AZ197" s="32" t="str">
        <f t="shared" si="166"/>
        <v>1+0.616773434643945i</v>
      </c>
      <c r="BA197" s="32">
        <f t="shared" si="192"/>
        <v>1.1749082813915683</v>
      </c>
      <c r="BB197" s="32">
        <f t="shared" si="193"/>
        <v>0.55266169913028607</v>
      </c>
      <c r="BC197" s="60" t="str">
        <f t="shared" si="194"/>
        <v>-0.3234234589256+0.576446712266124i</v>
      </c>
      <c r="BD197" s="51">
        <f t="shared" si="195"/>
        <v>-3.5962437098180851</v>
      </c>
      <c r="BE197" s="63">
        <f t="shared" si="196"/>
        <v>119.29521120189385</v>
      </c>
      <c r="BF197" s="60" t="str">
        <f t="shared" si="197"/>
        <v>6.28898829384935+9.36876637952895i</v>
      </c>
      <c r="BG197" s="66">
        <f t="shared" si="198"/>
        <v>21.049142211606085</v>
      </c>
      <c r="BH197" s="63">
        <f t="shared" si="199"/>
        <v>56.12765346817303</v>
      </c>
      <c r="BI197" s="60" t="str">
        <f t="shared" si="203"/>
        <v>-4.73953649566728+25.9460202637538i</v>
      </c>
      <c r="BJ197" s="66">
        <f t="shared" si="200"/>
        <v>28.423965165846063</v>
      </c>
      <c r="BK197" s="63">
        <f t="shared" si="204"/>
        <v>100.35203397878873</v>
      </c>
      <c r="BL197" s="51">
        <f t="shared" si="201"/>
        <v>21.049142211606085</v>
      </c>
      <c r="BM197" s="63">
        <f t="shared" si="202"/>
        <v>56.12765346817303</v>
      </c>
    </row>
    <row r="198" spans="14:65" x14ac:dyDescent="0.35">
      <c r="N198" s="11">
        <v>80</v>
      </c>
      <c r="O198" s="52">
        <f t="shared" si="205"/>
        <v>630.95734448019323</v>
      </c>
      <c r="P198" s="50" t="str">
        <f t="shared" si="155"/>
        <v>36.531007751938</v>
      </c>
      <c r="Q198" s="18" t="str">
        <f t="shared" si="156"/>
        <v>1+1.93611302888825i</v>
      </c>
      <c r="R198" s="18">
        <f t="shared" si="167"/>
        <v>2.1791130444818219</v>
      </c>
      <c r="S198" s="18">
        <f t="shared" si="168"/>
        <v>1.0940369883264522</v>
      </c>
      <c r="T198" s="18" t="str">
        <f t="shared" si="157"/>
        <v>1+0.000792884383259i</v>
      </c>
      <c r="U198" s="18">
        <f t="shared" si="169"/>
        <v>1.0000003143327734</v>
      </c>
      <c r="V198" s="18">
        <f t="shared" si="170"/>
        <v>7.9288421710600526E-4</v>
      </c>
      <c r="W198" s="32" t="str">
        <f t="shared" si="158"/>
        <v>1-0.0131365459948237i</v>
      </c>
      <c r="X198" s="18">
        <f t="shared" si="171"/>
        <v>1.0000862806981576</v>
      </c>
      <c r="Y198" s="18">
        <f t="shared" si="172"/>
        <v>-1.3135790420217742E-2</v>
      </c>
      <c r="Z198" s="32" t="str">
        <f t="shared" si="159"/>
        <v>0.999991774645236+0.00596937252396237i</v>
      </c>
      <c r="AA198" s="18">
        <f t="shared" si="173"/>
        <v>1.0000095913372322</v>
      </c>
      <c r="AB198" s="18">
        <f t="shared" si="174"/>
        <v>5.9693507213097255E-3</v>
      </c>
      <c r="AC198" s="68" t="str">
        <f t="shared" si="175"/>
        <v>7.4196537825113-15.0342676795589i</v>
      </c>
      <c r="AD198" s="66">
        <f t="shared" si="176"/>
        <v>24.488306662881037</v>
      </c>
      <c r="AE198" s="63">
        <f t="shared" si="177"/>
        <v>-63.7329170974376</v>
      </c>
      <c r="AF198" s="51" t="str">
        <f t="shared" si="178"/>
        <v>42.1703962805665</v>
      </c>
      <c r="AG198" s="51" t="str">
        <f t="shared" si="160"/>
        <v>1+0.349801933790736i</v>
      </c>
      <c r="AH198" s="51">
        <f t="shared" si="179"/>
        <v>1.059415590258959</v>
      </c>
      <c r="AI198" s="51">
        <f t="shared" si="180"/>
        <v>0.33649835752471879</v>
      </c>
      <c r="AJ198" s="51" t="str">
        <f t="shared" si="161"/>
        <v>1+0.000792884383259i</v>
      </c>
      <c r="AK198" s="51">
        <f t="shared" si="181"/>
        <v>1.0000003143327734</v>
      </c>
      <c r="AL198" s="51">
        <f t="shared" si="182"/>
        <v>7.9288421710600526E-4</v>
      </c>
      <c r="AM198" s="51" t="str">
        <f t="shared" si="162"/>
        <v>1-0.00205600977747104i</v>
      </c>
      <c r="AN198" s="51">
        <f t="shared" si="183"/>
        <v>1.000002113585869</v>
      </c>
      <c r="AO198" s="51">
        <f t="shared" si="184"/>
        <v>-2.0560068804398516E-3</v>
      </c>
      <c r="AP198" s="60" t="str">
        <f t="shared" si="185"/>
        <v>37.5563811878473-13.190561264117i</v>
      </c>
      <c r="AQ198" s="51">
        <f t="shared" si="186"/>
        <v>31.998847538044725</v>
      </c>
      <c r="AR198" s="63">
        <f t="shared" si="187"/>
        <v>-19.352307296867025</v>
      </c>
      <c r="AS198" s="32" t="str">
        <f t="shared" si="163"/>
        <v>-0.000133283554228113</v>
      </c>
      <c r="AT198" s="32" t="str">
        <f t="shared" si="164"/>
        <v>0.000242226179085624i</v>
      </c>
      <c r="AU198" s="32">
        <f t="shared" si="188"/>
        <v>2.42226179085624E-4</v>
      </c>
      <c r="AV198" s="32">
        <f t="shared" si="189"/>
        <v>1.5707963267948966</v>
      </c>
      <c r="AW198" s="32" t="str">
        <f t="shared" si="165"/>
        <v>1+0.0423514521658581i</v>
      </c>
      <c r="AX198" s="32">
        <f t="shared" si="190"/>
        <v>1.0008964209650053</v>
      </c>
      <c r="AY198" s="32">
        <f t="shared" si="191"/>
        <v>4.2326158217436176E-2</v>
      </c>
      <c r="AZ198" s="32" t="str">
        <f t="shared" si="166"/>
        <v>1+0.63113993349608i</v>
      </c>
      <c r="BA198" s="32">
        <f t="shared" si="192"/>
        <v>1.1825132623583705</v>
      </c>
      <c r="BB198" s="32">
        <f t="shared" si="193"/>
        <v>0.56300236956766447</v>
      </c>
      <c r="BC198" s="60" t="str">
        <f t="shared" si="194"/>
        <v>-0.323397396554918+0.56394056628919i</v>
      </c>
      <c r="BD198" s="51">
        <f t="shared" si="195"/>
        <v>-3.7405525852764838</v>
      </c>
      <c r="BE198" s="63">
        <f t="shared" si="196"/>
        <v>119.83254940322976</v>
      </c>
      <c r="BF198" s="60" t="str">
        <f t="shared" si="197"/>
        <v>6.07893671235071+9.04628678245825i</v>
      </c>
      <c r="BG198" s="66">
        <f t="shared" si="198"/>
        <v>20.747754077604558</v>
      </c>
      <c r="BH198" s="63">
        <f t="shared" si="199"/>
        <v>56.099632305792142</v>
      </c>
      <c r="BI198" s="60" t="str">
        <f t="shared" si="203"/>
        <v>-4.70694331121552+25.4453600467609i</v>
      </c>
      <c r="BJ198" s="66">
        <f t="shared" si="200"/>
        <v>28.258294952768249</v>
      </c>
      <c r="BK198" s="63">
        <f t="shared" si="204"/>
        <v>100.4802421063627</v>
      </c>
      <c r="BL198" s="51">
        <f t="shared" si="201"/>
        <v>20.747754077604558</v>
      </c>
      <c r="BM198" s="63">
        <f t="shared" si="202"/>
        <v>56.099632305792142</v>
      </c>
    </row>
    <row r="199" spans="14:65" x14ac:dyDescent="0.35">
      <c r="N199" s="11">
        <v>81</v>
      </c>
      <c r="O199" s="52">
        <f t="shared" si="205"/>
        <v>645.65422903465594</v>
      </c>
      <c r="P199" s="50" t="str">
        <f t="shared" si="155"/>
        <v>36.531007751938</v>
      </c>
      <c r="Q199" s="18" t="str">
        <f t="shared" si="156"/>
        <v>1+1.98121089472481i</v>
      </c>
      <c r="R199" s="18">
        <f t="shared" si="167"/>
        <v>2.2192783983484996</v>
      </c>
      <c r="S199" s="18">
        <f t="shared" si="168"/>
        <v>1.1033624585265516</v>
      </c>
      <c r="T199" s="18" t="str">
        <f t="shared" si="157"/>
        <v>1+0.000811353033077782i</v>
      </c>
      <c r="U199" s="18">
        <f t="shared" si="169"/>
        <v>1.000000329146818</v>
      </c>
      <c r="V199" s="18">
        <f t="shared" si="170"/>
        <v>8.113528550416436E-4</v>
      </c>
      <c r="W199" s="32" t="str">
        <f t="shared" si="158"/>
        <v>1-0.0134425354592769i</v>
      </c>
      <c r="X199" s="18">
        <f t="shared" si="171"/>
        <v>1.0000903467985149</v>
      </c>
      <c r="Y199" s="18">
        <f t="shared" si="172"/>
        <v>-1.3441725850450189E-2</v>
      </c>
      <c r="Z199" s="32" t="str">
        <f t="shared" si="159"/>
        <v>0.999991386996209+0.00610841707208397i</v>
      </c>
      <c r="AA199" s="18">
        <f t="shared" si="173"/>
        <v>1.0000100433624297</v>
      </c>
      <c r="AB199" s="18">
        <f t="shared" si="174"/>
        <v>6.1083937101293478E-3</v>
      </c>
      <c r="AC199" s="68" t="str">
        <f t="shared" si="175"/>
        <v>7.14109140483409-14.8325692548458i</v>
      </c>
      <c r="AD199" s="66">
        <f t="shared" si="176"/>
        <v>24.329697670788327</v>
      </c>
      <c r="AE199" s="63">
        <f t="shared" si="177"/>
        <v>-64.291664392257331</v>
      </c>
      <c r="AF199" s="51" t="str">
        <f t="shared" si="178"/>
        <v>42.1703962805665</v>
      </c>
      <c r="AG199" s="51" t="str">
        <f t="shared" si="160"/>
        <v>1+0.357949867534317i</v>
      </c>
      <c r="AH199" s="51">
        <f t="shared" si="179"/>
        <v>1.0621337522496097</v>
      </c>
      <c r="AI199" s="51">
        <f t="shared" si="180"/>
        <v>0.34373947702047031</v>
      </c>
      <c r="AJ199" s="51" t="str">
        <f t="shared" si="161"/>
        <v>1+0.000811353033077782i</v>
      </c>
      <c r="AK199" s="51">
        <f t="shared" si="181"/>
        <v>1.000000329146818</v>
      </c>
      <c r="AL199" s="51">
        <f t="shared" si="182"/>
        <v>8.113528550416436E-4</v>
      </c>
      <c r="AM199" s="51" t="str">
        <f t="shared" si="162"/>
        <v>1-0.00210390039734683i</v>
      </c>
      <c r="AN199" s="51">
        <f t="shared" si="183"/>
        <v>1.0000022131959918</v>
      </c>
      <c r="AO199" s="51">
        <f t="shared" si="184"/>
        <v>-2.1038972931223549E-3</v>
      </c>
      <c r="AP199" s="60" t="str">
        <f t="shared" si="185"/>
        <v>37.3636266322904-13.4288124381927i</v>
      </c>
      <c r="AQ199" s="51">
        <f t="shared" si="186"/>
        <v>31.976591526140098</v>
      </c>
      <c r="AR199" s="63">
        <f t="shared" si="187"/>
        <v>-19.768878626442291</v>
      </c>
      <c r="AS199" s="32" t="str">
        <f t="shared" si="163"/>
        <v>-0.000133283554228113</v>
      </c>
      <c r="AT199" s="32" t="str">
        <f t="shared" si="164"/>
        <v>0.000247868351605263i</v>
      </c>
      <c r="AU199" s="32">
        <f t="shared" si="188"/>
        <v>2.4786835160526302E-4</v>
      </c>
      <c r="AV199" s="32">
        <f t="shared" si="189"/>
        <v>1.5707963267948966</v>
      </c>
      <c r="AW199" s="32" t="str">
        <f t="shared" si="165"/>
        <v>1+0.0433379442142361i</v>
      </c>
      <c r="AX199" s="32">
        <f t="shared" si="190"/>
        <v>1.0009386481741607</v>
      </c>
      <c r="AY199" s="32">
        <f t="shared" si="191"/>
        <v>4.3310842632712572E-2</v>
      </c>
      <c r="AZ199" s="32" t="str">
        <f t="shared" si="166"/>
        <v>1+0.645841071095079i</v>
      </c>
      <c r="BA199" s="32">
        <f t="shared" si="192"/>
        <v>1.1904245835470801</v>
      </c>
      <c r="BB199" s="32">
        <f t="shared" si="193"/>
        <v>0.57344598641216238</v>
      </c>
      <c r="BC199" s="60" t="str">
        <f t="shared" si="194"/>
        <v>-0.323370110404124+0.551733325193618i</v>
      </c>
      <c r="BD199" s="51">
        <f t="shared" si="195"/>
        <v>-3.8830016955483231</v>
      </c>
      <c r="BE199" s="63">
        <f t="shared" si="196"/>
        <v>120.37450631012355</v>
      </c>
      <c r="BF199" s="60" t="str">
        <f t="shared" si="197"/>
        <v>5.87440724015356+8.73638766381698i</v>
      </c>
      <c r="BG199" s="66">
        <f t="shared" si="198"/>
        <v>20.446695975240008</v>
      </c>
      <c r="BH199" s="63">
        <f t="shared" si="199"/>
        <v>56.082841917866212</v>
      </c>
      <c r="BI199" s="60" t="str">
        <f t="shared" si="203"/>
        <v>-4.67315672925674+24.957234523861i</v>
      </c>
      <c r="BJ199" s="66">
        <f t="shared" si="200"/>
        <v>28.093589830591753</v>
      </c>
      <c r="BK199" s="63">
        <f t="shared" si="204"/>
        <v>100.60562768368128</v>
      </c>
      <c r="BL199" s="51">
        <f t="shared" si="201"/>
        <v>20.446695975240008</v>
      </c>
      <c r="BM199" s="63">
        <f t="shared" si="202"/>
        <v>56.082841917866212</v>
      </c>
    </row>
    <row r="200" spans="14:65" x14ac:dyDescent="0.35">
      <c r="N200" s="11">
        <v>82</v>
      </c>
      <c r="O200" s="52">
        <f t="shared" si="205"/>
        <v>660.69344800759643</v>
      </c>
      <c r="P200" s="50" t="str">
        <f t="shared" si="155"/>
        <v>36.531007751938</v>
      </c>
      <c r="Q200" s="18" t="str">
        <f t="shared" si="156"/>
        <v>1+2.02735922480219i</v>
      </c>
      <c r="R200" s="18">
        <f t="shared" si="167"/>
        <v>2.2605719246222926</v>
      </c>
      <c r="S200" s="18">
        <f t="shared" si="168"/>
        <v>1.1125612759621546</v>
      </c>
      <c r="T200" s="18" t="str">
        <f t="shared" si="157"/>
        <v>1+0.00083025187301423i</v>
      </c>
      <c r="U200" s="18">
        <f t="shared" si="169"/>
        <v>1.0000003446590269</v>
      </c>
      <c r="V200" s="18">
        <f t="shared" si="170"/>
        <v>8.3025168224507419E-4</v>
      </c>
      <c r="W200" s="32" t="str">
        <f t="shared" si="158"/>
        <v>1-0.0137556523339636i</v>
      </c>
      <c r="X200" s="18">
        <f t="shared" si="171"/>
        <v>1.0000946045105596</v>
      </c>
      <c r="Y200" s="18">
        <f t="shared" si="172"/>
        <v>-1.3754784826908145E-2</v>
      </c>
      <c r="Z200" s="32" t="str">
        <f t="shared" si="159"/>
        <v>0.999990981077846+0.00625070038379165i</v>
      </c>
      <c r="AA200" s="18">
        <f t="shared" si="173"/>
        <v>1.0000105166908602</v>
      </c>
      <c r="AB200" s="18">
        <f t="shared" si="174"/>
        <v>6.2506753510159063E-3</v>
      </c>
      <c r="AC200" s="68" t="str">
        <f t="shared" si="175"/>
        <v>6.87004398266727-14.6285529468898i</v>
      </c>
      <c r="AD200" s="66">
        <f t="shared" si="176"/>
        <v>24.169599800322924</v>
      </c>
      <c r="AE200" s="63">
        <f t="shared" si="177"/>
        <v>-64.843724080406915</v>
      </c>
      <c r="AF200" s="51" t="str">
        <f t="shared" si="178"/>
        <v>42.1703962805665</v>
      </c>
      <c r="AG200" s="51" t="str">
        <f t="shared" si="160"/>
        <v>1+0.366287591035691i</v>
      </c>
      <c r="AH200" s="51">
        <f t="shared" si="179"/>
        <v>1.0649725814999791</v>
      </c>
      <c r="AI200" s="51">
        <f t="shared" si="180"/>
        <v>0.35111060217114193</v>
      </c>
      <c r="AJ200" s="51" t="str">
        <f t="shared" si="161"/>
        <v>1+0.00083025187301423i</v>
      </c>
      <c r="AK200" s="51">
        <f t="shared" si="181"/>
        <v>1.0000003446590269</v>
      </c>
      <c r="AL200" s="51">
        <f t="shared" si="182"/>
        <v>8.3025168224507419E-4</v>
      </c>
      <c r="AM200" s="51" t="str">
        <f t="shared" si="162"/>
        <v>1-0.00215290653306171i</v>
      </c>
      <c r="AN200" s="51">
        <f t="shared" si="183"/>
        <v>1.0000023175005848</v>
      </c>
      <c r="AO200" s="51">
        <f t="shared" si="184"/>
        <v>-2.1529032068256732E-3</v>
      </c>
      <c r="AP200" s="60" t="str">
        <f t="shared" si="185"/>
        <v>37.1638887150666-13.6684481421168i</v>
      </c>
      <c r="AQ200" s="51">
        <f t="shared" si="186"/>
        <v>31.953408232513002</v>
      </c>
      <c r="AR200" s="63">
        <f t="shared" si="187"/>
        <v>-20.192937996828341</v>
      </c>
      <c r="AS200" s="32" t="str">
        <f t="shared" si="163"/>
        <v>-0.000133283554228113</v>
      </c>
      <c r="AT200" s="32" t="str">
        <f t="shared" si="164"/>
        <v>0.000253641947205847i</v>
      </c>
      <c r="AU200" s="32">
        <f t="shared" si="188"/>
        <v>2.5364194720584699E-4</v>
      </c>
      <c r="AV200" s="32">
        <f t="shared" si="189"/>
        <v>1.5707963267948966</v>
      </c>
      <c r="AW200" s="32" t="str">
        <f t="shared" si="165"/>
        <v>1+0.0443474146142821i</v>
      </c>
      <c r="AX200" s="32">
        <f t="shared" si="190"/>
        <v>1.000982863581076</v>
      </c>
      <c r="AY200" s="32">
        <f t="shared" si="191"/>
        <v>4.4318376286275711E-2</v>
      </c>
      <c r="AZ200" s="32" t="str">
        <f t="shared" si="166"/>
        <v>1+0.660884642178692i</v>
      </c>
      <c r="BA200" s="32">
        <f t="shared" si="192"/>
        <v>1.1986527897050328</v>
      </c>
      <c r="BB200" s="32">
        <f t="shared" si="193"/>
        <v>0.58398897413363826</v>
      </c>
      <c r="BC200" s="60" t="str">
        <f t="shared" si="194"/>
        <v>-0.323341543231296+0.539818509137973i</v>
      </c>
      <c r="BD200" s="51">
        <f t="shared" si="195"/>
        <v>-4.0235551061921067</v>
      </c>
      <c r="BE200" s="63">
        <f t="shared" si="196"/>
        <v>120.92084758395576</v>
      </c>
      <c r="BF200" s="60" t="str">
        <f t="shared" si="197"/>
        <v>5.67539301921344+8.43859578552382i</v>
      </c>
      <c r="BG200" s="66">
        <f t="shared" si="198"/>
        <v>20.146044694130822</v>
      </c>
      <c r="BH200" s="63">
        <f t="shared" si="199"/>
        <v>56.077123503548854</v>
      </c>
      <c r="BI200" s="60" t="str">
        <f t="shared" si="203"/>
        <v>-4.63814783129859+24.4813321157858i</v>
      </c>
      <c r="BJ200" s="66">
        <f t="shared" si="200"/>
        <v>27.929853126320907</v>
      </c>
      <c r="BK200" s="63">
        <f t="shared" si="204"/>
        <v>100.72790958712741</v>
      </c>
      <c r="BL200" s="51">
        <f t="shared" si="201"/>
        <v>20.146044694130822</v>
      </c>
      <c r="BM200" s="63">
        <f t="shared" si="202"/>
        <v>56.077123503548854</v>
      </c>
    </row>
    <row r="201" spans="14:65" x14ac:dyDescent="0.35">
      <c r="N201" s="11">
        <v>83</v>
      </c>
      <c r="O201" s="52">
        <f t="shared" si="205"/>
        <v>676.08297539198213</v>
      </c>
      <c r="P201" s="50" t="str">
        <f t="shared" si="155"/>
        <v>36.531007751938</v>
      </c>
      <c r="Q201" s="18" t="str">
        <f t="shared" si="156"/>
        <v>1+2.07458248757582i</v>
      </c>
      <c r="R201" s="18">
        <f t="shared" si="167"/>
        <v>2.3030181279695299</v>
      </c>
      <c r="S201" s="18">
        <f t="shared" si="168"/>
        <v>1.1216320899242636</v>
      </c>
      <c r="T201" s="18" t="str">
        <f t="shared" si="157"/>
        <v>1+0.000849590923483432i</v>
      </c>
      <c r="U201" s="18">
        <f t="shared" si="169"/>
        <v>1.0000003609023036</v>
      </c>
      <c r="V201" s="18">
        <f t="shared" si="170"/>
        <v>8.4959071907060276E-4</v>
      </c>
      <c r="W201" s="32" t="str">
        <f t="shared" si="158"/>
        <v>1-0.0140760626375953i</v>
      </c>
      <c r="X201" s="18">
        <f t="shared" si="171"/>
        <v>1.0000990628629634</v>
      </c>
      <c r="Y201" s="18">
        <f t="shared" si="172"/>
        <v>-1.4075133092010736E-2</v>
      </c>
      <c r="Z201" s="32" t="str">
        <f t="shared" si="159"/>
        <v>0.99999055602914+0.00639629789958062i</v>
      </c>
      <c r="AA201" s="18">
        <f t="shared" si="173"/>
        <v>1.0000110123265087</v>
      </c>
      <c r="AB201" s="18">
        <f t="shared" si="174"/>
        <v>6.3962710764889638E-3</v>
      </c>
      <c r="AC201" s="68" t="str">
        <f t="shared" si="175"/>
        <v>6.60648726198871-14.4225247703947i</v>
      </c>
      <c r="AD201" s="66">
        <f t="shared" si="176"/>
        <v>24.008053818563823</v>
      </c>
      <c r="AE201" s="63">
        <f t="shared" si="177"/>
        <v>-65.389032016143616</v>
      </c>
      <c r="AF201" s="51" t="str">
        <f t="shared" si="178"/>
        <v>42.1703962805665</v>
      </c>
      <c r="AG201" s="51" t="str">
        <f t="shared" si="160"/>
        <v>1+0.374819525066221i</v>
      </c>
      <c r="AH201" s="51">
        <f t="shared" si="179"/>
        <v>1.0679371125543242</v>
      </c>
      <c r="AI201" s="51">
        <f t="shared" si="180"/>
        <v>0.35861243628372436</v>
      </c>
      <c r="AJ201" s="51" t="str">
        <f t="shared" si="161"/>
        <v>1+0.000849590923483432i</v>
      </c>
      <c r="AK201" s="51">
        <f t="shared" si="181"/>
        <v>1.0000003609023036</v>
      </c>
      <c r="AL201" s="51">
        <f t="shared" si="182"/>
        <v>8.4959071907060276E-4</v>
      </c>
      <c r="AM201" s="51" t="str">
        <f t="shared" si="162"/>
        <v>1-0.0022030541683175i</v>
      </c>
      <c r="AN201" s="51">
        <f t="shared" si="183"/>
        <v>1.0000024267208898</v>
      </c>
      <c r="AO201" s="51">
        <f t="shared" si="184"/>
        <v>-2.20305060419184E-3</v>
      </c>
      <c r="AP201" s="60" t="str">
        <f t="shared" si="185"/>
        <v>36.9570043940101-13.9092829162189i</v>
      </c>
      <c r="AQ201" s="51">
        <f t="shared" si="186"/>
        <v>31.929264271763714</v>
      </c>
      <c r="AR201" s="63">
        <f t="shared" si="187"/>
        <v>-20.624526619119202</v>
      </c>
      <c r="AS201" s="32" t="str">
        <f t="shared" si="163"/>
        <v>-0.000133283554228113</v>
      </c>
      <c r="AT201" s="32" t="str">
        <f t="shared" si="164"/>
        <v>0.000259550027124188i</v>
      </c>
      <c r="AU201" s="32">
        <f t="shared" si="188"/>
        <v>2.5955002712418798E-4</v>
      </c>
      <c r="AV201" s="32">
        <f t="shared" si="189"/>
        <v>1.5707963267948966</v>
      </c>
      <c r="AW201" s="32" t="str">
        <f t="shared" si="165"/>
        <v>1+0.045380398600564i</v>
      </c>
      <c r="AX201" s="32">
        <f t="shared" si="190"/>
        <v>1.0010291607026971</v>
      </c>
      <c r="AY201" s="32">
        <f t="shared" si="191"/>
        <v>4.5349285198972515E-2</v>
      </c>
      <c r="AZ201" s="32" t="str">
        <f t="shared" si="166"/>
        <v>1+0.676278623047429i</v>
      </c>
      <c r="BA201" s="32">
        <f t="shared" si="192"/>
        <v>1.2072086712705996</v>
      </c>
      <c r="BB201" s="32">
        <f t="shared" si="193"/>
        <v>0.59462754737784218</v>
      </c>
      <c r="BC201" s="60" t="str">
        <f t="shared" si="194"/>
        <v>-0.323311635138371+0.528189792802578i</v>
      </c>
      <c r="BD201" s="51">
        <f t="shared" si="195"/>
        <v>-4.162177917925959</v>
      </c>
      <c r="BE201" s="63">
        <f t="shared" si="196"/>
        <v>121.4713262011295</v>
      </c>
      <c r="BF201" s="60" t="str">
        <f t="shared" si="197"/>
        <v>5.48187617097044+8.15244920440266i</v>
      </c>
      <c r="BG201" s="66">
        <f t="shared" si="198"/>
        <v>19.845875900637864</v>
      </c>
      <c r="BH201" s="63">
        <f t="shared" si="199"/>
        <v>56.082294184985898</v>
      </c>
      <c r="BI201" s="60" t="str">
        <f t="shared" si="203"/>
        <v>-4.60188825889327+24.0173454967211i</v>
      </c>
      <c r="BJ201" s="66">
        <f t="shared" si="200"/>
        <v>27.767086353837751</v>
      </c>
      <c r="BK201" s="63">
        <f t="shared" si="204"/>
        <v>100.84679958201031</v>
      </c>
      <c r="BL201" s="51">
        <f t="shared" si="201"/>
        <v>19.845875900637864</v>
      </c>
      <c r="BM201" s="63">
        <f t="shared" si="202"/>
        <v>56.082294184985898</v>
      </c>
    </row>
    <row r="202" spans="14:65" x14ac:dyDescent="0.35">
      <c r="N202" s="11">
        <v>84</v>
      </c>
      <c r="O202" s="52">
        <f t="shared" si="205"/>
        <v>691.83097091893671</v>
      </c>
      <c r="P202" s="50" t="str">
        <f t="shared" si="155"/>
        <v>36.531007751938</v>
      </c>
      <c r="Q202" s="18" t="str">
        <f t="shared" si="156"/>
        <v>1+2.12290572144471i</v>
      </c>
      <c r="R202" s="18">
        <f t="shared" si="167"/>
        <v>2.3466420055352892</v>
      </c>
      <c r="S202" s="18">
        <f t="shared" si="168"/>
        <v>1.1305737381574585</v>
      </c>
      <c r="T202" s="18" t="str">
        <f t="shared" si="157"/>
        <v>1+0.00086938043830593i</v>
      </c>
      <c r="U202" s="18">
        <f t="shared" si="169"/>
        <v>1.0000003779111017</v>
      </c>
      <c r="V202" s="18">
        <f t="shared" si="170"/>
        <v>8.6938021927364167E-4</v>
      </c>
      <c r="W202" s="32" t="str">
        <f t="shared" si="158"/>
        <v>1-0.0144039362559562i</v>
      </c>
      <c r="X202" s="18">
        <f t="shared" si="171"/>
        <v>1.0001037313097405</v>
      </c>
      <c r="Y202" s="18">
        <f t="shared" si="172"/>
        <v>-1.4402940235496728E-2</v>
      </c>
      <c r="Z202" s="32" t="str">
        <f t="shared" si="159"/>
        <v>0.999990110948506+0.00654528681718095i</v>
      </c>
      <c r="AA202" s="18">
        <f t="shared" si="173"/>
        <v>1.0000115313206763</v>
      </c>
      <c r="AB202" s="18">
        <f t="shared" si="174"/>
        <v>6.5452580757325496E-3</v>
      </c>
      <c r="AC202" s="68" t="str">
        <f t="shared" si="175"/>
        <v>6.35038287099429-14.2147822049379i</v>
      </c>
      <c r="AD202" s="66">
        <f t="shared" si="176"/>
        <v>23.845100325651906</v>
      </c>
      <c r="AE202" s="63">
        <f t="shared" si="177"/>
        <v>-65.927535159030953</v>
      </c>
      <c r="AF202" s="51" t="str">
        <f t="shared" si="178"/>
        <v>42.1703962805665</v>
      </c>
      <c r="AG202" s="51" t="str">
        <f t="shared" si="160"/>
        <v>1+0.383550193370264i</v>
      </c>
      <c r="AH202" s="51">
        <f t="shared" si="179"/>
        <v>1.0710325629197122</v>
      </c>
      <c r="AI202" s="51">
        <f t="shared" si="180"/>
        <v>0.36624557846390526</v>
      </c>
      <c r="AJ202" s="51" t="str">
        <f t="shared" si="161"/>
        <v>1+0.00086938043830593i</v>
      </c>
      <c r="AK202" s="51">
        <f t="shared" si="181"/>
        <v>1.0000003779111017</v>
      </c>
      <c r="AL202" s="51">
        <f t="shared" si="182"/>
        <v>8.6938021927364167E-4</v>
      </c>
      <c r="AM202" s="51" t="str">
        <f t="shared" si="162"/>
        <v>1-0.0022543698920542i</v>
      </c>
      <c r="AN202" s="51">
        <f t="shared" si="183"/>
        <v>1.0000025410885764</v>
      </c>
      <c r="AO202" s="51">
        <f t="shared" si="184"/>
        <v>-2.2543660730252732E-3</v>
      </c>
      <c r="AP202" s="60" t="str">
        <f t="shared" si="185"/>
        <v>36.7428144477865-14.1511191405252i</v>
      </c>
      <c r="AQ202" s="51">
        <f t="shared" si="186"/>
        <v>31.904125496845893</v>
      </c>
      <c r="AR202" s="63">
        <f t="shared" si="187"/>
        <v>-21.063679755414483</v>
      </c>
      <c r="AS202" s="32" t="str">
        <f t="shared" si="163"/>
        <v>-0.000133283554228113</v>
      </c>
      <c r="AT202" s="32" t="str">
        <f t="shared" si="164"/>
        <v>0.000265595723902462i</v>
      </c>
      <c r="AU202" s="32">
        <f t="shared" si="188"/>
        <v>2.6559572390246199E-4</v>
      </c>
      <c r="AV202" s="32">
        <f t="shared" si="189"/>
        <v>1.5707963267948966</v>
      </c>
      <c r="AW202" s="32" t="str">
        <f t="shared" si="165"/>
        <v>1+0.0464374438748645i</v>
      </c>
      <c r="AX202" s="32">
        <f t="shared" si="190"/>
        <v>1.0010776374455836</v>
      </c>
      <c r="AY202" s="32">
        <f t="shared" si="191"/>
        <v>4.640410720238651E-2</v>
      </c>
      <c r="AZ202" s="32" t="str">
        <f t="shared" si="166"/>
        <v>1+0.692031175793711i</v>
      </c>
      <c r="BA202" s="32">
        <f t="shared" si="192"/>
        <v>1.2161032638186717</v>
      </c>
      <c r="BB202" s="32">
        <f t="shared" si="193"/>
        <v>0.60535771425063112</v>
      </c>
      <c r="BC202" s="60" t="str">
        <f t="shared" si="194"/>
        <v>-0.323280323449963+0.516841001998568i</v>
      </c>
      <c r="BD202" s="51">
        <f t="shared" si="195"/>
        <v>-4.2988363830046135</v>
      </c>
      <c r="BE202" s="63">
        <f t="shared" si="196"/>
        <v>122.02568262747829</v>
      </c>
      <c r="BF202" s="60" t="str">
        <f t="shared" si="197"/>
        <v>5.29382844942538+7.87749763510233i</v>
      </c>
      <c r="BG202" s="66">
        <f t="shared" si="198"/>
        <v>19.54626394264729</v>
      </c>
      <c r="BH202" s="63">
        <f t="shared" si="199"/>
        <v>56.098147468447323</v>
      </c>
      <c r="BI202" s="60" t="str">
        <f t="shared" si="203"/>
        <v>-4.56435034315224+23.5649714083694i</v>
      </c>
      <c r="BJ202" s="66">
        <f t="shared" si="200"/>
        <v>27.605289113841284</v>
      </c>
      <c r="BK202" s="63">
        <f t="shared" si="204"/>
        <v>100.96200287206382</v>
      </c>
      <c r="BL202" s="51">
        <f t="shared" si="201"/>
        <v>19.54626394264729</v>
      </c>
      <c r="BM202" s="63">
        <f t="shared" si="202"/>
        <v>56.098147468447323</v>
      </c>
    </row>
    <row r="203" spans="14:65" x14ac:dyDescent="0.35">
      <c r="N203" s="11">
        <v>85</v>
      </c>
      <c r="O203" s="52">
        <f t="shared" si="205"/>
        <v>707.94578438413873</v>
      </c>
      <c r="P203" s="50" t="str">
        <f t="shared" si="155"/>
        <v>36.531007751938</v>
      </c>
      <c r="Q203" s="18" t="str">
        <f t="shared" si="156"/>
        <v>1+2.17235454802709i</v>
      </c>
      <c r="R203" s="18">
        <f t="shared" si="167"/>
        <v>2.3914690636372411</v>
      </c>
      <c r="S203" s="18">
        <f t="shared" si="168"/>
        <v>1.1393852413456711</v>
      </c>
      <c r="T203" s="18" t="str">
        <f t="shared" si="157"/>
        <v>1+0.00088963091014443i</v>
      </c>
      <c r="U203" s="18">
        <f t="shared" si="169"/>
        <v>1.0000003957214998</v>
      </c>
      <c r="V203" s="18">
        <f t="shared" si="170"/>
        <v>8.8963067544710957E-4</v>
      </c>
      <c r="W203" s="32" t="str">
        <f t="shared" si="158"/>
        <v>1-0.0147394470319787i</v>
      </c>
      <c r="X203" s="18">
        <f t="shared" si="171"/>
        <v>1.0001086197502793</v>
      </c>
      <c r="Y203" s="18">
        <f t="shared" si="172"/>
        <v>-1.4738379783088165E-2</v>
      </c>
      <c r="Z203" s="32" t="str">
        <f t="shared" si="159"/>
        <v>0.999989644891867+0.00669774613248888i</v>
      </c>
      <c r="AA203" s="18">
        <f t="shared" si="173"/>
        <v>1.0000120747742087</v>
      </c>
      <c r="AB203" s="18">
        <f t="shared" si="174"/>
        <v>6.6977153354856808E-3</v>
      </c>
      <c r="AC203" s="68" t="str">
        <f t="shared" si="175"/>
        <v>6.10167922604059-14.0056136156588i</v>
      </c>
      <c r="AD203" s="66">
        <f t="shared" si="176"/>
        <v>23.680779680830035</v>
      </c>
      <c r="AE203" s="63">
        <f t="shared" si="177"/>
        <v>-66.459191265108473</v>
      </c>
      <c r="AF203" s="51" t="str">
        <f t="shared" si="178"/>
        <v>42.1703962805665</v>
      </c>
      <c r="AG203" s="51" t="str">
        <f t="shared" si="160"/>
        <v>1+0.39248422506372i</v>
      </c>
      <c r="AH203" s="51">
        <f t="shared" si="179"/>
        <v>1.0742643375463363</v>
      </c>
      <c r="AI203" s="51">
        <f t="shared" si="180"/>
        <v>0.37401051694614562</v>
      </c>
      <c r="AJ203" s="51" t="str">
        <f t="shared" si="161"/>
        <v>1+0.00088963091014443i</v>
      </c>
      <c r="AK203" s="51">
        <f t="shared" si="181"/>
        <v>1.0000003957214998</v>
      </c>
      <c r="AL203" s="51">
        <f t="shared" si="182"/>
        <v>8.8963067544710957E-4</v>
      </c>
      <c r="AM203" s="51" t="str">
        <f t="shared" si="162"/>
        <v>1-0.00230688091254779i</v>
      </c>
      <c r="AN203" s="51">
        <f t="shared" si="183"/>
        <v>1.0000026608462322</v>
      </c>
      <c r="AO203" s="51">
        <f t="shared" si="184"/>
        <v>-2.3068768203851554E-3</v>
      </c>
      <c r="AP203" s="60" t="str">
        <f t="shared" si="185"/>
        <v>36.5211642501314-14.3937468433676i</v>
      </c>
      <c r="AQ203" s="51">
        <f t="shared" si="186"/>
        <v>31.877957018939934</v>
      </c>
      <c r="AR203" s="63">
        <f t="shared" si="187"/>
        <v>-21.510426337156382</v>
      </c>
      <c r="AS203" s="32" t="str">
        <f t="shared" si="163"/>
        <v>-0.000133283554228113</v>
      </c>
      <c r="AT203" s="32" t="str">
        <f t="shared" si="164"/>
        <v>0.000271782243049123i</v>
      </c>
      <c r="AU203" s="32">
        <f t="shared" si="188"/>
        <v>2.7178224304912302E-4</v>
      </c>
      <c r="AV203" s="32">
        <f t="shared" si="189"/>
        <v>1.5707963267948966</v>
      </c>
      <c r="AW203" s="32" t="str">
        <f t="shared" si="165"/>
        <v>1+0.0475191108965797i</v>
      </c>
      <c r="AX203" s="32">
        <f t="shared" si="190"/>
        <v>1.0011283963110833</v>
      </c>
      <c r="AY203" s="32">
        <f t="shared" si="191"/>
        <v>4.7483392182587264E-2</v>
      </c>
      <c r="AZ203" s="32" t="str">
        <f t="shared" si="166"/>
        <v>1+0.708150652629516i</v>
      </c>
      <c r="BA203" s="32">
        <f t="shared" si="192"/>
        <v>1.2253478472742381</v>
      </c>
      <c r="BB203" s="32">
        <f t="shared" si="193"/>
        <v>0.61617528057246884</v>
      </c>
      <c r="BC203" s="60" t="str">
        <f t="shared" si="194"/>
        <v>-0.323247542586836+0.50576611035445i</v>
      </c>
      <c r="BD203" s="51">
        <f t="shared" si="195"/>
        <v>-4.4334980214494282</v>
      </c>
      <c r="BE203" s="63">
        <f t="shared" si="196"/>
        <v>122.58364504806507</v>
      </c>
      <c r="BF203" s="60" t="str">
        <f t="shared" si="197"/>
        <v>5.11121190604831+7.61330275246754i</v>
      </c>
      <c r="BG203" s="66">
        <f t="shared" si="198"/>
        <v>19.247281659380604</v>
      </c>
      <c r="BH203" s="63">
        <f t="shared" si="199"/>
        <v>56.124453782956586</v>
      </c>
      <c r="BI203" s="60" t="str">
        <f t="shared" si="203"/>
        <v>-4.52550724186851+23.1239104841406i</v>
      </c>
      <c r="BJ203" s="66">
        <f t="shared" si="200"/>
        <v>27.444458997490521</v>
      </c>
      <c r="BK203" s="63">
        <f t="shared" si="204"/>
        <v>101.07321871090866</v>
      </c>
      <c r="BL203" s="51">
        <f t="shared" si="201"/>
        <v>19.247281659380604</v>
      </c>
      <c r="BM203" s="63">
        <f t="shared" si="202"/>
        <v>56.124453782956586</v>
      </c>
    </row>
    <row r="204" spans="14:65" x14ac:dyDescent="0.35">
      <c r="N204" s="11">
        <v>86</v>
      </c>
      <c r="O204" s="52">
        <f t="shared" si="205"/>
        <v>724.43596007499025</v>
      </c>
      <c r="P204" s="50" t="str">
        <f t="shared" si="155"/>
        <v>36.531007751938</v>
      </c>
      <c r="Q204" s="18" t="str">
        <f t="shared" si="156"/>
        <v>1+2.22295518574535i</v>
      </c>
      <c r="R204" s="18">
        <f t="shared" si="167"/>
        <v>2.4375253348082646</v>
      </c>
      <c r="S204" s="18">
        <f t="shared" si="168"/>
        <v>1.1480657972626518</v>
      </c>
      <c r="T204" s="18" t="str">
        <f t="shared" si="157"/>
        <v>1+0.000910353076067144i</v>
      </c>
      <c r="U204" s="18">
        <f t="shared" si="169"/>
        <v>1.0000004143712757</v>
      </c>
      <c r="V204" s="18">
        <f t="shared" si="170"/>
        <v>9.1035282458444002E-4</v>
      </c>
      <c r="W204" s="32" t="str">
        <f t="shared" si="158"/>
        <v>1-0.0150827728579172i</v>
      </c>
      <c r="X204" s="18">
        <f t="shared" si="171"/>
        <v>1.0001137385503129</v>
      </c>
      <c r="Y204" s="18">
        <f t="shared" si="172"/>
        <v>-1.508162928715146E-2</v>
      </c>
      <c r="Z204" s="32" t="str">
        <f t="shared" si="159"/>
        <v>0.999989156870656+0.00685375668145139i</v>
      </c>
      <c r="AA204" s="18">
        <f t="shared" si="173"/>
        <v>1.0000126438398338</v>
      </c>
      <c r="AB204" s="18">
        <f t="shared" si="174"/>
        <v>6.8537236818831983E-3</v>
      </c>
      <c r="AC204" s="68" t="str">
        <f t="shared" si="175"/>
        <v>5.86031244600959-13.7952977580514i</v>
      </c>
      <c r="AD204" s="66">
        <f t="shared" si="176"/>
        <v>23.515131933429178</v>
      </c>
      <c r="AE204" s="63">
        <f t="shared" si="177"/>
        <v>-66.983968559010947</v>
      </c>
      <c r="AF204" s="51" t="str">
        <f t="shared" si="178"/>
        <v>42.1703962805665</v>
      </c>
      <c r="AG204" s="51" t="str">
        <f t="shared" si="160"/>
        <v>1+0.401626357088447i</v>
      </c>
      <c r="AH204" s="51">
        <f t="shared" si="179"/>
        <v>1.0776380332505608</v>
      </c>
      <c r="AI204" s="51">
        <f t="shared" si="180"/>
        <v>0.38190762233130005</v>
      </c>
      <c r="AJ204" s="51" t="str">
        <f t="shared" si="161"/>
        <v>1+0.000910353076067144i</v>
      </c>
      <c r="AK204" s="51">
        <f t="shared" si="181"/>
        <v>1.0000004143712757</v>
      </c>
      <c r="AL204" s="51">
        <f t="shared" si="182"/>
        <v>9.1035282458444002E-4</v>
      </c>
      <c r="AM204" s="51" t="str">
        <f t="shared" si="162"/>
        <v>1-0.00236061507183638i</v>
      </c>
      <c r="AN204" s="51">
        <f t="shared" si="183"/>
        <v>1.0000027862478771</v>
      </c>
      <c r="AO204" s="51">
        <f t="shared" si="184"/>
        <v>-2.3606106870057773E-3</v>
      </c>
      <c r="AP204" s="60" t="str">
        <f t="shared" si="185"/>
        <v>36.2919045860513-14.6369435537695i</v>
      </c>
      <c r="AQ204" s="51">
        <f t="shared" si="186"/>
        <v>31.850723231085226</v>
      </c>
      <c r="AR204" s="63">
        <f t="shared" si="187"/>
        <v>-21.964788578182059</v>
      </c>
      <c r="AS204" s="32" t="str">
        <f t="shared" si="163"/>
        <v>-0.000133283554228113</v>
      </c>
      <c r="AT204" s="32" t="str">
        <f t="shared" si="164"/>
        <v>0.000278112864738512i</v>
      </c>
      <c r="AU204" s="32">
        <f t="shared" si="188"/>
        <v>2.7811286473851198E-4</v>
      </c>
      <c r="AV204" s="32">
        <f t="shared" si="189"/>
        <v>1.5707963267948966</v>
      </c>
      <c r="AW204" s="32" t="str">
        <f t="shared" si="165"/>
        <v>1+0.048625973179882i</v>
      </c>
      <c r="AX204" s="32">
        <f t="shared" si="190"/>
        <v>1.0011815446100125</v>
      </c>
      <c r="AY204" s="32">
        <f t="shared" si="191"/>
        <v>4.8587702327344419E-2</v>
      </c>
      <c r="AZ204" s="32" t="str">
        <f t="shared" si="166"/>
        <v>1+0.724645600314826i</v>
      </c>
      <c r="BA204" s="32">
        <f t="shared" si="192"/>
        <v>1.2349539449127789</v>
      </c>
      <c r="BB204" s="32">
        <f t="shared" si="193"/>
        <v>0.62707585511856256</v>
      </c>
      <c r="BC204" s="60" t="str">
        <f t="shared" si="194"/>
        <v>-0.323213223933826+0.494959236078239i</v>
      </c>
      <c r="BD204" s="51">
        <f t="shared" si="195"/>
        <v>-4.5661317364209593</v>
      </c>
      <c r="BE204" s="63">
        <f t="shared" si="196"/>
        <v>123.1449296532559</v>
      </c>
      <c r="BF204" s="60" t="str">
        <f t="shared" si="197"/>
        <v>4.93397956086268+7.35943843496358i</v>
      </c>
      <c r="BG204" s="66">
        <f t="shared" si="198"/>
        <v>18.949000197008221</v>
      </c>
      <c r="BH204" s="63">
        <f t="shared" si="199"/>
        <v>56.160961094244961</v>
      </c>
      <c r="BI204" s="60" t="str">
        <f t="shared" si="203"/>
        <v>-4.48533308406239+22.6938670842876i</v>
      </c>
      <c r="BJ204" s="66">
        <f t="shared" si="200"/>
        <v>27.284591494664276</v>
      </c>
      <c r="BK204" s="63">
        <f t="shared" si="204"/>
        <v>101.18014107507382</v>
      </c>
      <c r="BL204" s="51">
        <f t="shared" si="201"/>
        <v>18.949000197008221</v>
      </c>
      <c r="BM204" s="63">
        <f t="shared" si="202"/>
        <v>56.160961094244961</v>
      </c>
    </row>
    <row r="205" spans="14:65" x14ac:dyDescent="0.35">
      <c r="N205" s="11">
        <v>87</v>
      </c>
      <c r="O205" s="52">
        <f t="shared" si="205"/>
        <v>741.31024130091828</v>
      </c>
      <c r="P205" s="50" t="str">
        <f t="shared" si="155"/>
        <v>36.531007751938</v>
      </c>
      <c r="Q205" s="18" t="str">
        <f t="shared" si="156"/>
        <v>1+2.27473446372738i</v>
      </c>
      <c r="R205" s="18">
        <f t="shared" si="167"/>
        <v>2.4848373951768132</v>
      </c>
      <c r="S205" s="18">
        <f t="shared" si="168"/>
        <v>1.1566147746387647</v>
      </c>
      <c r="T205" s="18" t="str">
        <f t="shared" si="157"/>
        <v>1+0.000931557923240736i</v>
      </c>
      <c r="U205" s="18">
        <f t="shared" si="169"/>
        <v>1.0000004338999882</v>
      </c>
      <c r="V205" s="18">
        <f t="shared" si="170"/>
        <v>9.3155765377217004E-4</v>
      </c>
      <c r="W205" s="32" t="str">
        <f t="shared" si="158"/>
        <v>1-0.015434095769669i</v>
      </c>
      <c r="X205" s="18">
        <f t="shared" si="171"/>
        <v>1.0001190985638797</v>
      </c>
      <c r="Y205" s="18">
        <f t="shared" si="172"/>
        <v>-1.5432870419397499E-2</v>
      </c>
      <c r="Z205" s="32" t="str">
        <f t="shared" si="159"/>
        <v>0.999988645849714+0.0070134011829266i</v>
      </c>
      <c r="AA205" s="18">
        <f t="shared" si="173"/>
        <v>1.0000132397246035</v>
      </c>
      <c r="AB205" s="18">
        <f t="shared" si="174"/>
        <v>7.0133658232693604E-3</v>
      </c>
      <c r="AC205" s="68" t="str">
        <f t="shared" si="175"/>
        <v>5.62620726797221-13.5841033639916i</v>
      </c>
      <c r="AD205" s="66">
        <f t="shared" si="176"/>
        <v>23.348196758828941</v>
      </c>
      <c r="AE205" s="63">
        <f t="shared" si="177"/>
        <v>-67.501845390000085</v>
      </c>
      <c r="AF205" s="51" t="str">
        <f t="shared" si="178"/>
        <v>42.1703962805665</v>
      </c>
      <c r="AG205" s="51" t="str">
        <f t="shared" si="160"/>
        <v>1+0.410981436723855i</v>
      </c>
      <c r="AH205" s="51">
        <f t="shared" si="179"/>
        <v>1.0811594430663796</v>
      </c>
      <c r="AI205" s="51">
        <f t="shared" si="180"/>
        <v>0.38993714075701463</v>
      </c>
      <c r="AJ205" s="51" t="str">
        <f t="shared" si="161"/>
        <v>1+0.000931557923240736i</v>
      </c>
      <c r="AK205" s="51">
        <f t="shared" si="181"/>
        <v>1.0000004338999882</v>
      </c>
      <c r="AL205" s="51">
        <f t="shared" si="182"/>
        <v>9.3155765377217004E-4</v>
      </c>
      <c r="AM205" s="51" t="str">
        <f t="shared" si="162"/>
        <v>1-0.00241560086048249i</v>
      </c>
      <c r="AN205" s="51">
        <f t="shared" si="183"/>
        <v>1.0000029175595024</v>
      </c>
      <c r="AO205" s="51">
        <f t="shared" si="184"/>
        <v>-2.4155961620525891E-3</v>
      </c>
      <c r="AP205" s="60" t="str">
        <f t="shared" si="185"/>
        <v>36.0548925084341-14.8804742028013i</v>
      </c>
      <c r="AQ205" s="51">
        <f t="shared" si="186"/>
        <v>31.82238783576588</v>
      </c>
      <c r="AR205" s="63">
        <f t="shared" si="187"/>
        <v>-22.426781583935064</v>
      </c>
      <c r="AS205" s="32" t="str">
        <f t="shared" si="163"/>
        <v>-0.000133283554228113</v>
      </c>
      <c r="AT205" s="32" t="str">
        <f t="shared" si="164"/>
        <v>0.000284590945550045i</v>
      </c>
      <c r="AU205" s="32">
        <f t="shared" si="188"/>
        <v>2.8459094555004498E-4</v>
      </c>
      <c r="AV205" s="32">
        <f t="shared" si="189"/>
        <v>1.5707963267948966</v>
      </c>
      <c r="AW205" s="32" t="str">
        <f t="shared" si="165"/>
        <v>1+0.0497586175978051i</v>
      </c>
      <c r="AX205" s="32">
        <f t="shared" si="190"/>
        <v>1.0012371946872751</v>
      </c>
      <c r="AY205" s="32">
        <f t="shared" si="191"/>
        <v>4.9717612376732619E-2</v>
      </c>
      <c r="AZ205" s="32" t="str">
        <f t="shared" si="166"/>
        <v>1+0.741524764689242i</v>
      </c>
      <c r="BA205" s="32">
        <f t="shared" si="192"/>
        <v>1.2449333221692782</v>
      </c>
      <c r="BB205" s="32">
        <f t="shared" si="193"/>
        <v>0.63805485585218158</v>
      </c>
      <c r="BC205" s="60" t="str">
        <f t="shared" si="194"/>
        <v>-0.323177295702007+0.484414638793285i</v>
      </c>
      <c r="BD205" s="51">
        <f t="shared" si="195"/>
        <v>-4.6967079279962505</v>
      </c>
      <c r="BE205" s="63">
        <f t="shared" si="196"/>
        <v>123.70924098150394</v>
      </c>
      <c r="BF205" s="60" t="str">
        <f t="shared" si="197"/>
        <v>4.7620760744764+7.11549095120225i</v>
      </c>
      <c r="BG205" s="66">
        <f t="shared" si="198"/>
        <v>18.651488830832687</v>
      </c>
      <c r="BH205" s="63">
        <f t="shared" si="199"/>
        <v>56.207395591503847</v>
      </c>
      <c r="BI205" s="60" t="str">
        <f t="shared" si="203"/>
        <v>-4.4438031216795+22.2745491428286i</v>
      </c>
      <c r="BJ205" s="66">
        <f t="shared" si="200"/>
        <v>27.125679907769623</v>
      </c>
      <c r="BK205" s="63">
        <f t="shared" si="204"/>
        <v>101.28245939756889</v>
      </c>
      <c r="BL205" s="51">
        <f t="shared" si="201"/>
        <v>18.651488830832687</v>
      </c>
      <c r="BM205" s="63">
        <f t="shared" si="202"/>
        <v>56.207395591503847</v>
      </c>
    </row>
    <row r="206" spans="14:65" x14ac:dyDescent="0.35">
      <c r="N206" s="11">
        <v>88</v>
      </c>
      <c r="O206" s="52">
        <f t="shared" si="205"/>
        <v>758.57757502918378</v>
      </c>
      <c r="P206" s="50" t="str">
        <f t="shared" si="155"/>
        <v>36.531007751938</v>
      </c>
      <c r="Q206" s="18" t="str">
        <f t="shared" si="156"/>
        <v>1+2.32771983603174i</v>
      </c>
      <c r="R206" s="18">
        <f t="shared" si="167"/>
        <v>2.5334323821755396</v>
      </c>
      <c r="S206" s="18">
        <f t="shared" si="168"/>
        <v>1.1650317067938045</v>
      </c>
      <c r="T206" s="18" t="str">
        <f t="shared" si="157"/>
        <v>1+0.000953256694755858i</v>
      </c>
      <c r="U206" s="18">
        <f t="shared" si="169"/>
        <v>1.0000004543490599</v>
      </c>
      <c r="V206" s="18">
        <f t="shared" si="170"/>
        <v>9.5325640601509447E-4</v>
      </c>
      <c r="W206" s="32" t="str">
        <f t="shared" si="158"/>
        <v>1-0.0157936020432923i</v>
      </c>
      <c r="X206" s="18">
        <f t="shared" si="171"/>
        <v>1.0001247111563147</v>
      </c>
      <c r="Y206" s="18">
        <f t="shared" si="172"/>
        <v>-1.579228906566308E-2</v>
      </c>
      <c r="Z206" s="32" t="str">
        <f t="shared" si="159"/>
        <v>0.999988110745096+0.00717676428254234i</v>
      </c>
      <c r="AA206" s="18">
        <f t="shared" si="173"/>
        <v>1.0000138636924558</v>
      </c>
      <c r="AB206" s="18">
        <f t="shared" si="174"/>
        <v>7.1767263940062248E-3</v>
      </c>
      <c r="AC206" s="68" t="str">
        <f t="shared" si="175"/>
        <v>5.39927795763433-13.3722888056152i</v>
      </c>
      <c r="AD206" s="66">
        <f t="shared" si="176"/>
        <v>23.180013399379519</v>
      </c>
      <c r="AE206" s="63">
        <f t="shared" si="177"/>
        <v>-68.012809874759199</v>
      </c>
      <c r="AF206" s="51" t="str">
        <f t="shared" si="178"/>
        <v>42.1703962805665</v>
      </c>
      <c r="AG206" s="51" t="str">
        <f t="shared" si="160"/>
        <v>1+0.420554424156997i</v>
      </c>
      <c r="AH206" s="51">
        <f t="shared" si="179"/>
        <v>1.0848345605105063</v>
      </c>
      <c r="AI206" s="51">
        <f t="shared" si="180"/>
        <v>0.39809918702897468</v>
      </c>
      <c r="AJ206" s="51" t="str">
        <f t="shared" si="161"/>
        <v>1+0.000953256694755858i</v>
      </c>
      <c r="AK206" s="51">
        <f t="shared" si="181"/>
        <v>1.0000004543490599</v>
      </c>
      <c r="AL206" s="51">
        <f t="shared" si="182"/>
        <v>9.5325640601509447E-4</v>
      </c>
      <c r="AM206" s="51" t="str">
        <f t="shared" si="162"/>
        <v>1-0.0024718674326791i</v>
      </c>
      <c r="AN206" s="51">
        <f t="shared" si="183"/>
        <v>1.0000030550596357</v>
      </c>
      <c r="AO206" s="51">
        <f t="shared" si="184"/>
        <v>-2.4718623982215877E-3</v>
      </c>
      <c r="AP206" s="60" t="str">
        <f t="shared" si="185"/>
        <v>35.8099922329723-15.1240910792183i</v>
      </c>
      <c r="AQ206" s="51">
        <f t="shared" si="186"/>
        <v>31.792913876636071</v>
      </c>
      <c r="AR206" s="63">
        <f t="shared" si="187"/>
        <v>-22.896412958446096</v>
      </c>
      <c r="AS206" s="32" t="str">
        <f t="shared" si="163"/>
        <v>-0.000133283554228113</v>
      </c>
      <c r="AT206" s="32" t="str">
        <f t="shared" si="164"/>
        <v>0.000291219920247914i</v>
      </c>
      <c r="AU206" s="32">
        <f t="shared" si="188"/>
        <v>2.9121992024791401E-4</v>
      </c>
      <c r="AV206" s="32">
        <f t="shared" si="189"/>
        <v>1.5707963267948966</v>
      </c>
      <c r="AW206" s="32" t="str">
        <f t="shared" si="165"/>
        <v>1+0.0509176446934118i</v>
      </c>
      <c r="AX206" s="32">
        <f t="shared" si="190"/>
        <v>1.0012954641568714</v>
      </c>
      <c r="AY206" s="32">
        <f t="shared" si="191"/>
        <v>5.0873709877040367E-2</v>
      </c>
      <c r="AZ206" s="32" t="str">
        <f t="shared" si="166"/>
        <v>1+0.758797095309136i</v>
      </c>
      <c r="BA206" s="32">
        <f t="shared" si="192"/>
        <v>1.2552979852806194</v>
      </c>
      <c r="BB206" s="32">
        <f t="shared" si="193"/>
        <v>0.64910751715033543</v>
      </c>
      <c r="BC206" s="60" t="str">
        <f t="shared" si="194"/>
        <v>-0.323139682784856+0.474126716445892i</v>
      </c>
      <c r="BD206" s="51">
        <f t="shared" si="195"/>
        <v>-4.8251986045941528</v>
      </c>
      <c r="BE206" s="63">
        <f t="shared" si="196"/>
        <v>124.27627231880254</v>
      </c>
      <c r="BF206" s="60" t="str">
        <f t="shared" si="197"/>
        <v>4.59543841627527+6.88105909198582i</v>
      </c>
      <c r="BG206" s="66">
        <f t="shared" si="198"/>
        <v>18.354814794785362</v>
      </c>
      <c r="BH206" s="63">
        <f t="shared" si="199"/>
        <v>56.263462444043334</v>
      </c>
      <c r="BI206" s="60" t="str">
        <f t="shared" si="203"/>
        <v>-4.40089388807245+21.8656680271199i</v>
      </c>
      <c r="BJ206" s="66">
        <f t="shared" si="200"/>
        <v>26.967715272041911</v>
      </c>
      <c r="BK206" s="63">
        <f t="shared" si="204"/>
        <v>101.37985936035645</v>
      </c>
      <c r="BL206" s="51">
        <f t="shared" si="201"/>
        <v>18.354814794785362</v>
      </c>
      <c r="BM206" s="63">
        <f t="shared" si="202"/>
        <v>56.263462444043334</v>
      </c>
    </row>
    <row r="207" spans="14:65" x14ac:dyDescent="0.35">
      <c r="N207" s="11">
        <v>89</v>
      </c>
      <c r="O207" s="52">
        <f t="shared" si="205"/>
        <v>776.24711662869231</v>
      </c>
      <c r="P207" s="50" t="str">
        <f t="shared" si="155"/>
        <v>36.531007751938</v>
      </c>
      <c r="Q207" s="18" t="str">
        <f t="shared" si="156"/>
        <v>1+2.38193939620419i</v>
      </c>
      <c r="R207" s="18">
        <f t="shared" si="167"/>
        <v>2.5833380125700898</v>
      </c>
      <c r="S207" s="18">
        <f t="shared" si="168"/>
        <v>1.1733162850832795</v>
      </c>
      <c r="T207" s="18" t="str">
        <f t="shared" si="157"/>
        <v>1+0.000975460895588384i</v>
      </c>
      <c r="U207" s="18">
        <f t="shared" si="169"/>
        <v>1.0000004757618661</v>
      </c>
      <c r="V207" s="18">
        <f t="shared" si="170"/>
        <v>9.7546058619708961E-4</v>
      </c>
      <c r="W207" s="32" t="str">
        <f t="shared" si="158"/>
        <v>1-0.0161614822937721i</v>
      </c>
      <c r="X207" s="18">
        <f t="shared" si="171"/>
        <v>1.0001305882283233</v>
      </c>
      <c r="Y207" s="18">
        <f t="shared" si="172"/>
        <v>-1.6160075422816188E-2</v>
      </c>
      <c r="Z207" s="32" t="str">
        <f t="shared" si="159"/>
        <v>0.999987550421775+0.00734393259757639i</v>
      </c>
      <c r="AA207" s="18">
        <f t="shared" si="173"/>
        <v>1.0000145170668975</v>
      </c>
      <c r="AB207" s="18">
        <f t="shared" si="174"/>
        <v>7.3438919993000801E-3</v>
      </c>
      <c r="AC207" s="68" t="str">
        <f t="shared" si="175"/>
        <v>5.17942920867894-13.160101833251i</v>
      </c>
      <c r="AD207" s="66">
        <f t="shared" si="176"/>
        <v>23.010620610242366</v>
      </c>
      <c r="AE207" s="63">
        <f t="shared" si="177"/>
        <v>-68.516859529670214</v>
      </c>
      <c r="AF207" s="51" t="str">
        <f t="shared" si="178"/>
        <v>42.1703962805665</v>
      </c>
      <c r="AG207" s="51" t="str">
        <f t="shared" si="160"/>
        <v>1+0.430350395112524i</v>
      </c>
      <c r="AH207" s="51">
        <f t="shared" si="179"/>
        <v>1.0886695837459157</v>
      </c>
      <c r="AI207" s="51">
        <f t="shared" si="180"/>
        <v>0.40639373774400067</v>
      </c>
      <c r="AJ207" s="51" t="str">
        <f t="shared" si="161"/>
        <v>1+0.000975460895588384i</v>
      </c>
      <c r="AK207" s="51">
        <f t="shared" si="181"/>
        <v>1.0000004757618661</v>
      </c>
      <c r="AL207" s="51">
        <f t="shared" si="182"/>
        <v>9.7546058619708961E-4</v>
      </c>
      <c r="AM207" s="51" t="str">
        <f t="shared" si="162"/>
        <v>1-0.00252944462170754i</v>
      </c>
      <c r="AN207" s="51">
        <f t="shared" si="183"/>
        <v>1.0000031990399303</v>
      </c>
      <c r="AO207" s="51">
        <f t="shared" si="184"/>
        <v>-2.5294392271900559E-3</v>
      </c>
      <c r="AP207" s="60" t="str">
        <f t="shared" si="185"/>
        <v>35.55707606872-15.3675338447637i</v>
      </c>
      <c r="AQ207" s="51">
        <f t="shared" si="186"/>
        <v>31.762263774560378</v>
      </c>
      <c r="AR207" s="63">
        <f t="shared" si="187"/>
        <v>-23.373682410860013</v>
      </c>
      <c r="AS207" s="32" t="str">
        <f t="shared" si="163"/>
        <v>-0.000133283554228113</v>
      </c>
      <c r="AT207" s="32" t="str">
        <f t="shared" si="164"/>
        <v>0.000298003303602251i</v>
      </c>
      <c r="AU207" s="32">
        <f t="shared" si="188"/>
        <v>2.98003303602251E-4</v>
      </c>
      <c r="AV207" s="32">
        <f t="shared" si="189"/>
        <v>1.5707963267948966</v>
      </c>
      <c r="AW207" s="32" t="str">
        <f t="shared" si="165"/>
        <v>1+0.0521036689982097i</v>
      </c>
      <c r="AX207" s="32">
        <f t="shared" si="190"/>
        <v>1.0013564761477678</v>
      </c>
      <c r="AY207" s="32">
        <f t="shared" si="191"/>
        <v>5.2056595437883366E-2</v>
      </c>
      <c r="AZ207" s="32" t="str">
        <f t="shared" si="166"/>
        <v>1+0.776471750192831i</v>
      </c>
      <c r="BA207" s="32">
        <f t="shared" si="192"/>
        <v>1.2660601797890645</v>
      </c>
      <c r="BB207" s="32">
        <f t="shared" si="193"/>
        <v>0.66022889801229223</v>
      </c>
      <c r="BC207" s="60" t="str">
        <f t="shared" si="194"/>
        <v>-0.323100306608178+0.464090002282852i</v>
      </c>
      <c r="BD207" s="51">
        <f t="shared" si="195"/>
        <v>-4.9515774912799211</v>
      </c>
      <c r="BE207" s="63">
        <f t="shared" si="196"/>
        <v>124.84570615426694</v>
      </c>
      <c r="BF207" s="60" t="str">
        <f t="shared" si="197"/>
        <v>4.4339965244565+6.65575425059792i</v>
      </c>
      <c r="BG207" s="66">
        <f t="shared" si="198"/>
        <v>18.059043118962435</v>
      </c>
      <c r="BH207" s="63">
        <f t="shared" si="199"/>
        <v>56.32884662459675</v>
      </c>
      <c r="BI207" s="60" t="str">
        <f t="shared" si="203"/>
        <v>-4.35658336279555+21.4669384109585i</v>
      </c>
      <c r="BJ207" s="66">
        <f t="shared" si="200"/>
        <v>26.81068628328045</v>
      </c>
      <c r="BK207" s="63">
        <f t="shared" si="204"/>
        <v>101.47202374340694</v>
      </c>
      <c r="BL207" s="51">
        <f t="shared" si="201"/>
        <v>18.059043118962435</v>
      </c>
      <c r="BM207" s="63">
        <f t="shared" si="202"/>
        <v>56.32884662459675</v>
      </c>
    </row>
    <row r="208" spans="14:65" x14ac:dyDescent="0.35">
      <c r="N208" s="11">
        <v>90</v>
      </c>
      <c r="O208" s="52">
        <f t="shared" si="205"/>
        <v>794.32823472428208</v>
      </c>
      <c r="P208" s="50" t="str">
        <f t="shared" si="155"/>
        <v>36.531007751938</v>
      </c>
      <c r="Q208" s="18" t="str">
        <f t="shared" si="156"/>
        <v>1+2.4374218921732i</v>
      </c>
      <c r="R208" s="18">
        <f t="shared" si="167"/>
        <v>2.6345826008013455</v>
      </c>
      <c r="S208" s="18">
        <f t="shared" si="168"/>
        <v>1.1814683522031111</v>
      </c>
      <c r="T208" s="18" t="str">
        <f t="shared" si="157"/>
        <v>1+0.000998182298699502i</v>
      </c>
      <c r="U208" s="18">
        <f t="shared" si="169"/>
        <v>1.0000004981838266</v>
      </c>
      <c r="V208" s="18">
        <f t="shared" si="170"/>
        <v>9.9818196718076614E-4</v>
      </c>
      <c r="W208" s="32" t="str">
        <f t="shared" si="158"/>
        <v>1-0.0165379315760864i</v>
      </c>
      <c r="X208" s="18">
        <f t="shared" si="171"/>
        <v>1.0001367422411875</v>
      </c>
      <c r="Y208" s="18">
        <f t="shared" si="172"/>
        <v>-1.6536424097828673E-2</v>
      </c>
      <c r="Z208" s="32" t="str">
        <f t="shared" si="159"/>
        <v>0.99998696369123+0.00751499476288212i</v>
      </c>
      <c r="AA208" s="18">
        <f t="shared" si="173"/>
        <v>1.0000152012338068</v>
      </c>
      <c r="AB208" s="18">
        <f t="shared" si="174"/>
        <v>7.5149512610695095E-3</v>
      </c>
      <c r="AC208" s="68" t="str">
        <f t="shared" si="175"/>
        <v>4.96655702574855-12.9477793832809i</v>
      </c>
      <c r="AD208" s="66">
        <f t="shared" si="176"/>
        <v>22.840056610075784</v>
      </c>
      <c r="AE208" s="63">
        <f t="shared" si="177"/>
        <v>-69.014000895158389</v>
      </c>
      <c r="AF208" s="51" t="str">
        <f t="shared" si="178"/>
        <v>42.1703962805665</v>
      </c>
      <c r="AG208" s="51" t="str">
        <f t="shared" si="160"/>
        <v>1+0.440374543543899i</v>
      </c>
      <c r="AH208" s="51">
        <f t="shared" si="179"/>
        <v>1.0926709196283653</v>
      </c>
      <c r="AI208" s="51">
        <f t="shared" si="180"/>
        <v>0.41482062443892209</v>
      </c>
      <c r="AJ208" s="51" t="str">
        <f t="shared" si="161"/>
        <v>1+0.000998182298699502i</v>
      </c>
      <c r="AK208" s="51">
        <f t="shared" si="181"/>
        <v>1.0000004981838266</v>
      </c>
      <c r="AL208" s="51">
        <f t="shared" si="182"/>
        <v>9.9818196718076614E-4</v>
      </c>
      <c r="AM208" s="51" t="str">
        <f t="shared" si="162"/>
        <v>1-0.00258836295575557i</v>
      </c>
      <c r="AN208" s="51">
        <f t="shared" si="183"/>
        <v>1.0000033498057848</v>
      </c>
      <c r="AO208" s="51">
        <f t="shared" si="184"/>
        <v>-2.5883571754269892E-3</v>
      </c>
      <c r="AP208" s="60" t="str">
        <f t="shared" si="185"/>
        <v>35.296025380976-15.6105296145269i</v>
      </c>
      <c r="AQ208" s="51">
        <f t="shared" si="186"/>
        <v>31.730399368129572</v>
      </c>
      <c r="AR208" s="63">
        <f t="shared" si="187"/>
        <v>-23.858581363450419</v>
      </c>
      <c r="AS208" s="32" t="str">
        <f t="shared" si="163"/>
        <v>-0.000133283554228113</v>
      </c>
      <c r="AT208" s="32" t="str">
        <f t="shared" si="164"/>
        <v>0.000304944692252698i</v>
      </c>
      <c r="AU208" s="32">
        <f t="shared" si="188"/>
        <v>3.0494469225269801E-4</v>
      </c>
      <c r="AV208" s="32">
        <f t="shared" si="189"/>
        <v>1.5707963267948966</v>
      </c>
      <c r="AW208" s="32" t="str">
        <f t="shared" si="165"/>
        <v>1+0.0533173193579839i</v>
      </c>
      <c r="AX208" s="32">
        <f t="shared" si="190"/>
        <v>1.0014203595611193</v>
      </c>
      <c r="AY208" s="32">
        <f t="shared" si="191"/>
        <v>5.3266882992408372E-2</v>
      </c>
      <c r="AZ208" s="32" t="str">
        <f t="shared" si="166"/>
        <v>1+0.794558100676297i</v>
      </c>
      <c r="BA208" s="32">
        <f t="shared" si="192"/>
        <v>1.2772323889372381</v>
      </c>
      <c r="BB208" s="32">
        <f t="shared" si="193"/>
        <v>0.67141389123230977</v>
      </c>
      <c r="BC208" s="60" t="str">
        <f t="shared" si="194"/>
        <v>-0.323059084973569+0.454299161897094i</v>
      </c>
      <c r="BD208" s="51">
        <f t="shared" si="195"/>
        <v>-5.0758201341760945</v>
      </c>
      <c r="BE208" s="63">
        <f t="shared" si="196"/>
        <v>125.41721469078492</v>
      </c>
      <c r="BF208" s="60" t="str">
        <f t="shared" si="197"/>
        <v>4.27767395404561+6.43920045431406i</v>
      </c>
      <c r="BG208" s="66">
        <f t="shared" si="198"/>
        <v>17.76423647589969</v>
      </c>
      <c r="BH208" s="63">
        <f t="shared" si="199"/>
        <v>56.403213795626527</v>
      </c>
      <c r="BI208" s="60" t="str">
        <f t="shared" si="203"/>
        <v>-4.31085114213264+21.0780781620978i</v>
      </c>
      <c r="BJ208" s="66">
        <f t="shared" si="200"/>
        <v>26.65457923395347</v>
      </c>
      <c r="BK208" s="63">
        <f t="shared" si="204"/>
        <v>101.55863332733452</v>
      </c>
      <c r="BL208" s="51">
        <f t="shared" si="201"/>
        <v>17.76423647589969</v>
      </c>
      <c r="BM208" s="63">
        <f t="shared" si="202"/>
        <v>56.403213795626527</v>
      </c>
    </row>
    <row r="209" spans="14:65" x14ac:dyDescent="0.35">
      <c r="N209" s="11">
        <v>91</v>
      </c>
      <c r="O209" s="52">
        <f t="shared" si="205"/>
        <v>812.83051616409978</v>
      </c>
      <c r="P209" s="50" t="str">
        <f t="shared" si="155"/>
        <v>36.531007751938</v>
      </c>
      <c r="Q209" s="18" t="str">
        <f t="shared" si="156"/>
        <v>1+2.49419674149253i</v>
      </c>
      <c r="R209" s="18">
        <f t="shared" si="167"/>
        <v>2.6871950776361504</v>
      </c>
      <c r="S209" s="18">
        <f t="shared" si="168"/>
        <v>1.1894878953950845</v>
      </c>
      <c r="T209" s="18" t="str">
        <f t="shared" si="157"/>
        <v>1+0.00102143295127789i</v>
      </c>
      <c r="U209" s="18">
        <f t="shared" si="169"/>
        <v>1.000000521662501</v>
      </c>
      <c r="V209" s="18">
        <f t="shared" si="170"/>
        <v>1.0214325960491745E-3</v>
      </c>
      <c r="W209" s="32" t="str">
        <f t="shared" si="158"/>
        <v>1-0.0169231494886278i</v>
      </c>
      <c r="X209" s="18">
        <f t="shared" si="171"/>
        <v>1.0001431862431571</v>
      </c>
      <c r="Y209" s="18">
        <f t="shared" si="172"/>
        <v>-1.6921534209061957E-2</v>
      </c>
      <c r="Z209" s="32" t="str">
        <f t="shared" si="159"/>
        <v>0.999986349308925+0.00769004147788384i</v>
      </c>
      <c r="AA209" s="18">
        <f t="shared" si="173"/>
        <v>1.0000159176443759</v>
      </c>
      <c r="AB209" s="18">
        <f t="shared" si="174"/>
        <v>7.6899948648789934E-3</v>
      </c>
      <c r="AC209" s="68" t="str">
        <f t="shared" si="175"/>
        <v>4.7605495864422-12.7355474515437i</v>
      </c>
      <c r="AD209" s="66">
        <f t="shared" si="176"/>
        <v>22.668359036461982</v>
      </c>
      <c r="AE209" s="63">
        <f t="shared" si="177"/>
        <v>-69.504249154526789</v>
      </c>
      <c r="AF209" s="51" t="str">
        <f t="shared" si="178"/>
        <v>42.1703962805665</v>
      </c>
      <c r="AG209" s="51" t="str">
        <f t="shared" si="160"/>
        <v>1+0.450632184387308i</v>
      </c>
      <c r="AH209" s="51">
        <f t="shared" si="179"/>
        <v>1.0968451876202387</v>
      </c>
      <c r="AI209" s="51">
        <f t="shared" si="180"/>
        <v>0.42337952680208951</v>
      </c>
      <c r="AJ209" s="51" t="str">
        <f t="shared" si="161"/>
        <v>1+0.00102143295127789i</v>
      </c>
      <c r="AK209" s="51">
        <f t="shared" si="181"/>
        <v>1.000000521662501</v>
      </c>
      <c r="AL209" s="51">
        <f t="shared" si="182"/>
        <v>1.0214325960491745E-3</v>
      </c>
      <c r="AM209" s="51" t="str">
        <f t="shared" si="162"/>
        <v>1-0.00264865367410377i</v>
      </c>
      <c r="AN209" s="51">
        <f t="shared" si="183"/>
        <v>1.0000035076769909</v>
      </c>
      <c r="AO209" s="51">
        <f t="shared" si="184"/>
        <v>-2.6486474803712784E-3</v>
      </c>
      <c r="AP209" s="60" t="str">
        <f t="shared" si="185"/>
        <v>35.0267315825274-15.8527931076997i</v>
      </c>
      <c r="AQ209" s="51">
        <f t="shared" si="186"/>
        <v>31.697281958795543</v>
      </c>
      <c r="AR209" s="63">
        <f t="shared" si="187"/>
        <v>-24.351092563238108</v>
      </c>
      <c r="AS209" s="32" t="str">
        <f t="shared" si="163"/>
        <v>-0.000133283554228113</v>
      </c>
      <c r="AT209" s="32" t="str">
        <f t="shared" si="164"/>
        <v>0.000312047766615397i</v>
      </c>
      <c r="AU209" s="32">
        <f t="shared" si="188"/>
        <v>3.1204776661539701E-4</v>
      </c>
      <c r="AV209" s="32">
        <f t="shared" si="189"/>
        <v>1.5707963267948966</v>
      </c>
      <c r="AW209" s="32" t="str">
        <f t="shared" si="165"/>
        <v>1+0.0545592392662199i</v>
      </c>
      <c r="AX209" s="32">
        <f t="shared" si="190"/>
        <v>1.0014872493393556</v>
      </c>
      <c r="AY209" s="32">
        <f t="shared" si="191"/>
        <v>5.4505200060458468E-2</v>
      </c>
      <c r="AZ209" s="32" t="str">
        <f t="shared" si="166"/>
        <v>1+0.813065736381959i</v>
      </c>
      <c r="BA209" s="32">
        <f t="shared" si="192"/>
        <v>1.288827331987624</v>
      </c>
      <c r="BB209" s="32">
        <f t="shared" si="193"/>
        <v>0.6826572335087352</v>
      </c>
      <c r="BC209" s="60" t="str">
        <f t="shared" si="194"/>
        <v>-0.323015931895151+0.444748990339612i</v>
      </c>
      <c r="BD209" s="51">
        <f t="shared" si="195"/>
        <v>-5.197904000213307</v>
      </c>
      <c r="BE209" s="63">
        <f t="shared" si="196"/>
        <v>125.99046040914672</v>
      </c>
      <c r="BF209" s="60" t="str">
        <f t="shared" si="197"/>
        <v>4.12638850949858+6.23103435028713i</v>
      </c>
      <c r="BG209" s="66">
        <f t="shared" si="198"/>
        <v>17.470455036248676</v>
      </c>
      <c r="BH209" s="63">
        <f t="shared" si="199"/>
        <v>56.486211254619931</v>
      </c>
      <c r="BI209" s="60" t="str">
        <f t="shared" si="203"/>
        <v>-4.2636786146592+20.6988082450503i</v>
      </c>
      <c r="BJ209" s="66">
        <f t="shared" si="200"/>
        <v>26.499377958582233</v>
      </c>
      <c r="BK209" s="63">
        <f t="shared" si="204"/>
        <v>101.63936784590861</v>
      </c>
      <c r="BL209" s="51">
        <f t="shared" si="201"/>
        <v>17.470455036248676</v>
      </c>
      <c r="BM209" s="63">
        <f t="shared" si="202"/>
        <v>56.486211254619931</v>
      </c>
    </row>
    <row r="210" spans="14:65" x14ac:dyDescent="0.35">
      <c r="N210" s="11">
        <v>92</v>
      </c>
      <c r="O210" s="52">
        <f t="shared" si="205"/>
        <v>831.7637711026714</v>
      </c>
      <c r="P210" s="50" t="str">
        <f t="shared" si="155"/>
        <v>36.531007751938</v>
      </c>
      <c r="Q210" s="18" t="str">
        <f t="shared" si="156"/>
        <v>1+2.5522940469388i</v>
      </c>
      <c r="R210" s="18">
        <f t="shared" si="167"/>
        <v>2.7412050091226732</v>
      </c>
      <c r="S210" s="18">
        <f t="shared" si="168"/>
        <v>1.1973750395925342</v>
      </c>
      <c r="T210" s="18" t="str">
        <f t="shared" si="157"/>
        <v>1+0.00104522518112732i</v>
      </c>
      <c r="U210" s="18">
        <f t="shared" si="169"/>
        <v>1.0000005462476904</v>
      </c>
      <c r="V210" s="18">
        <f t="shared" si="170"/>
        <v>1.0452248004929048E-3</v>
      </c>
      <c r="W210" s="32" t="str">
        <f t="shared" si="158"/>
        <v>1-0.0173173402790325i</v>
      </c>
      <c r="X210" s="18">
        <f t="shared" si="171"/>
        <v>1.0001499338970832</v>
      </c>
      <c r="Y210" s="18">
        <f t="shared" si="172"/>
        <v>-1.7315609489807569E-2</v>
      </c>
      <c r="Z210" s="32" t="str">
        <f t="shared" si="159"/>
        <v>0.999985705971675+0.00786916555466687i</v>
      </c>
      <c r="AA210" s="18">
        <f t="shared" si="173"/>
        <v>1.0000166678181901</v>
      </c>
      <c r="AB210" s="18">
        <f t="shared" si="174"/>
        <v>7.8691156079627889E-3</v>
      </c>
      <c r="AC210" s="68" t="str">
        <f t="shared" si="175"/>
        <v>4.56128807831961-12.5236210277332i</v>
      </c>
      <c r="AD210" s="66">
        <f t="shared" si="176"/>
        <v>22.495564905953643</v>
      </c>
      <c r="AE210" s="63">
        <f t="shared" si="177"/>
        <v>-69.987627749550811</v>
      </c>
      <c r="AF210" s="51" t="str">
        <f t="shared" si="178"/>
        <v>42.1703962805665</v>
      </c>
      <c r="AG210" s="51" t="str">
        <f t="shared" si="160"/>
        <v>1+0.4611287563797i</v>
      </c>
      <c r="AH210" s="51">
        <f t="shared" si="179"/>
        <v>1.101199223555978</v>
      </c>
      <c r="AI210" s="51">
        <f t="shared" si="180"/>
        <v>0.43206996598722774</v>
      </c>
      <c r="AJ210" s="51" t="str">
        <f t="shared" si="161"/>
        <v>1+0.00104522518112732i</v>
      </c>
      <c r="AK210" s="51">
        <f t="shared" si="181"/>
        <v>1.0000005462476904</v>
      </c>
      <c r="AL210" s="51">
        <f t="shared" si="182"/>
        <v>1.0452248004929048E-3</v>
      </c>
      <c r="AM210" s="51" t="str">
        <f t="shared" si="162"/>
        <v>1-0.00271034874368906i</v>
      </c>
      <c r="AN210" s="51">
        <f t="shared" si="183"/>
        <v>1.0000036729884108</v>
      </c>
      <c r="AO210" s="51">
        <f t="shared" si="184"/>
        <v>-2.7103421069864402E-3</v>
      </c>
      <c r="AP210" s="60" t="str">
        <f t="shared" si="185"/>
        <v>34.7490971486036-16.0940268739423i</v>
      </c>
      <c r="AQ210" s="51">
        <f t="shared" si="186"/>
        <v>31.662872360749109</v>
      </c>
      <c r="AR210" s="63">
        <f t="shared" si="187"/>
        <v>-24.851189699485456</v>
      </c>
      <c r="AS210" s="32" t="str">
        <f t="shared" si="163"/>
        <v>-0.000133283554228113</v>
      </c>
      <c r="AT210" s="32" t="str">
        <f t="shared" si="164"/>
        <v>0.000319316292834396i</v>
      </c>
      <c r="AU210" s="32">
        <f t="shared" si="188"/>
        <v>3.1931629283439599E-4</v>
      </c>
      <c r="AV210" s="32">
        <f t="shared" si="189"/>
        <v>1.5707963267948966</v>
      </c>
      <c r="AW210" s="32" t="str">
        <f t="shared" si="165"/>
        <v>1+0.0558300872052918i</v>
      </c>
      <c r="AX210" s="32">
        <f t="shared" si="190"/>
        <v>1.0015572867476681</v>
      </c>
      <c r="AY210" s="32">
        <f t="shared" si="191"/>
        <v>5.5772188014551471E-2</v>
      </c>
      <c r="AZ210" s="32" t="str">
        <f t="shared" si="166"/>
        <v>1+0.83200447030325i</v>
      </c>
      <c r="BA210" s="32">
        <f t="shared" si="192"/>
        <v>1.3008579625018988</v>
      </c>
      <c r="BB210" s="32">
        <f t="shared" si="193"/>
        <v>0.69395351645229619</v>
      </c>
      <c r="BC210" s="60" t="str">
        <f t="shared" si="194"/>
        <v>-0.322970757429329+0.435434409295853i</v>
      </c>
      <c r="BD210" s="51">
        <f t="shared" si="195"/>
        <v>-5.3178085714694472</v>
      </c>
      <c r="BE210" s="63">
        <f t="shared" si="196"/>
        <v>126.56509668353507</v>
      </c>
      <c r="BF210" s="60" t="str">
        <f t="shared" si="197"/>
        <v>3.98005285894788+6.03090514909618i</v>
      </c>
      <c r="BG210" s="66">
        <f t="shared" si="198"/>
        <v>17.177756334484201</v>
      </c>
      <c r="BH210" s="63">
        <f t="shared" si="199"/>
        <v>56.57746893398425</v>
      </c>
      <c r="BI210" s="60" t="str">
        <f t="shared" si="203"/>
        <v>-4.21504914102319+20.3288526400315i</v>
      </c>
      <c r="BJ210" s="66">
        <f t="shared" si="200"/>
        <v>26.345063789279642</v>
      </c>
      <c r="BK210" s="63">
        <f t="shared" si="204"/>
        <v>101.71390698404963</v>
      </c>
      <c r="BL210" s="51">
        <f t="shared" si="201"/>
        <v>17.177756334484201</v>
      </c>
      <c r="BM210" s="63">
        <f t="shared" si="202"/>
        <v>56.57746893398425</v>
      </c>
    </row>
    <row r="211" spans="14:65" x14ac:dyDescent="0.35">
      <c r="N211" s="11">
        <v>93</v>
      </c>
      <c r="O211" s="52">
        <f t="shared" si="205"/>
        <v>851.13803820237763</v>
      </c>
      <c r="P211" s="50" t="str">
        <f t="shared" ref="P211:P274" si="206">COMPLEX(Adc,0)</f>
        <v>36.531007751938</v>
      </c>
      <c r="Q211" s="18" t="str">
        <f t="shared" ref="Q211:Q274" si="207">IMSUM(COMPLEX(1,0),IMDIV(COMPLEX(0,2*PI()*O211),COMPLEX(wp_lf,0)))</f>
        <v>1+2.61174461247236i</v>
      </c>
      <c r="R211" s="18">
        <f t="shared" si="167"/>
        <v>2.7966426158482234</v>
      </c>
      <c r="S211" s="18">
        <f t="shared" si="168"/>
        <v>1.20513004054291</v>
      </c>
      <c r="T211" s="18" t="str">
        <f t="shared" ref="T211:T274" si="208">IMSUM(COMPLEX(1,0),IMDIV(COMPLEX(0,2*PI()*O211),COMPLEX(wz_esr,0)))</f>
        <v>1+0.00106957160320297i</v>
      </c>
      <c r="U211" s="18">
        <f t="shared" si="169"/>
        <v>1.0000005719915437</v>
      </c>
      <c r="V211" s="18">
        <f t="shared" si="170"/>
        <v>1.0695711953458585E-3</v>
      </c>
      <c r="W211" s="32" t="str">
        <f t="shared" ref="W211:W274" si="209">IMSUB(COMPLEX(1,0),IMDIV(COMPLEX(0,2*PI()*O211),COMPLEX(wz_rhp,0)))</f>
        <v>1-0.0177207129524752i</v>
      </c>
      <c r="X211" s="18">
        <f t="shared" si="171"/>
        <v>1.0001569995093491</v>
      </c>
      <c r="Y211" s="18">
        <f t="shared" si="172"/>
        <v>-1.7718858394130177E-2</v>
      </c>
      <c r="Z211" s="32" t="str">
        <f t="shared" ref="Z211:Z274" si="210">IMSUM(COMPLEX(1,0),IMDIV(COMPLEX(0,2*PI()*O211),COMPLEX(Q*(wsl/2),0)),IMDIV(IMPOWER(COMPLEX(0,2*PI()*O211),2),IMPOWER(COMPLEX(wsl/2,0),2)))</f>
        <v>0.999985032314874+0.00805246196718771i</v>
      </c>
      <c r="AA211" s="18">
        <f t="shared" si="173"/>
        <v>1.0000174533464465</v>
      </c>
      <c r="AB211" s="18">
        <f t="shared" si="174"/>
        <v>8.0524084483642663E-3</v>
      </c>
      <c r="AC211" s="68" t="str">
        <f t="shared" si="175"/>
        <v>4.3686475075007-12.3122040861302i</v>
      </c>
      <c r="AD211" s="66">
        <f t="shared" si="176"/>
        <v>22.321710578594104</v>
      </c>
      <c r="AE211" s="63">
        <f t="shared" si="177"/>
        <v>-70.464167994936773</v>
      </c>
      <c r="AF211" s="51" t="str">
        <f t="shared" si="178"/>
        <v>42.1703962805665</v>
      </c>
      <c r="AG211" s="51" t="str">
        <f t="shared" ref="AG211:AG274" si="211">IMSUM(COMPLEX(1,0),IMDIV(COMPLEX(0,2*PI()*O211),COMPLEX(wp_lf_DCM,0)))</f>
        <v>1+0.471869824942487i</v>
      </c>
      <c r="AH211" s="51">
        <f t="shared" si="179"/>
        <v>1.1057400832434598</v>
      </c>
      <c r="AI211" s="51">
        <f t="shared" si="180"/>
        <v>0.44089129807217048</v>
      </c>
      <c r="AJ211" s="51" t="str">
        <f t="shared" ref="AJ211:AJ274" si="212">IMSUM(COMPLEX(1,0),IMDIV(COMPLEX(0,2*PI()*O211),COMPLEX(wz1_dcm,0)))</f>
        <v>1+0.00106957160320297i</v>
      </c>
      <c r="AK211" s="51">
        <f t="shared" si="181"/>
        <v>1.0000005719915437</v>
      </c>
      <c r="AL211" s="51">
        <f t="shared" si="182"/>
        <v>1.0695711953458585E-3</v>
      </c>
      <c r="AM211" s="51" t="str">
        <f t="shared" ref="AM211:AM274" si="213">IMSUB(COMPLEX(1,0),IMDIV(COMPLEX(0,2*PI()*O211),COMPLEX(wz2_dcm,0)))</f>
        <v>1-0.00277348087605397i</v>
      </c>
      <c r="AN211" s="51">
        <f t="shared" si="183"/>
        <v>1.0000038460906886</v>
      </c>
      <c r="AO211" s="51">
        <f t="shared" si="184"/>
        <v>-2.7734737647004668E-3</v>
      </c>
      <c r="AP211" s="60" t="str">
        <f t="shared" si="185"/>
        <v>34.4630366501751-16.3339216003669i</v>
      </c>
      <c r="AQ211" s="51">
        <f t="shared" si="186"/>
        <v>31.62713095563976</v>
      </c>
      <c r="AR211" s="63">
        <f t="shared" si="187"/>
        <v>-25.358837029505256</v>
      </c>
      <c r="AS211" s="32" t="str">
        <f t="shared" ref="AS211:AS274" si="214">COMPLEX(Adc_ea,0)</f>
        <v>-0.000133283554228113</v>
      </c>
      <c r="AT211" s="32" t="str">
        <f t="shared" ref="AT211:AT274" si="215">COMPLEX(0,2*PI()*O211*wp0_ea)</f>
        <v>0.000326754124778506i</v>
      </c>
      <c r="AU211" s="32">
        <f t="shared" si="188"/>
        <v>3.26754124778506E-4</v>
      </c>
      <c r="AV211" s="32">
        <f t="shared" si="189"/>
        <v>1.5707963267948966</v>
      </c>
      <c r="AW211" s="32" t="str">
        <f t="shared" ref="AW211:AW274" si="216">IMSUM(COMPLEX(1,0),IMDIV(COMPLEX(0,2*PI()*O211),COMPLEX(wp1_ea,0)))</f>
        <v>1+0.0571305369955986i</v>
      </c>
      <c r="AX211" s="32">
        <f t="shared" si="190"/>
        <v>1.001630619668451</v>
      </c>
      <c r="AY211" s="32">
        <f t="shared" si="191"/>
        <v>5.7068502348509187E-2</v>
      </c>
      <c r="AZ211" s="32" t="str">
        <f t="shared" ref="AZ211:AZ274" si="217">IMSUM(COMPLEX(1,0),IMDIV(COMPLEX(0,2*PI()*O211),COMPLEX(wz_ea,0)))</f>
        <v>1+0.851384344007578i</v>
      </c>
      <c r="BA211" s="32">
        <f t="shared" si="192"/>
        <v>1.3133374666174775</v>
      </c>
      <c r="BB211" s="32">
        <f t="shared" si="193"/>
        <v>0.70529719844715966</v>
      </c>
      <c r="BC211" s="60" t="str">
        <f t="shared" si="194"/>
        <v>-0.322923467497301+0.426350464324838i</v>
      </c>
      <c r="BD211" s="51">
        <f t="shared" si="195"/>
        <v>-5.4355154333693232</v>
      </c>
      <c r="BE211" s="63">
        <f t="shared" si="196"/>
        <v>127.14076844572112</v>
      </c>
      <c r="BF211" s="60" t="str">
        <f t="shared" si="197"/>
        <v>3.83857512758821+5.83847452932207i</v>
      </c>
      <c r="BG211" s="66">
        <f t="shared" si="198"/>
        <v>16.886195145224779</v>
      </c>
      <c r="BH211" s="63">
        <f t="shared" si="199"/>
        <v>56.676600450784356</v>
      </c>
      <c r="BI211" s="60" t="str">
        <f t="shared" si="203"/>
        <v>-4.16494823699918+19.9679382788656i</v>
      </c>
      <c r="BJ211" s="66">
        <f t="shared" si="200"/>
        <v>26.191615522270432</v>
      </c>
      <c r="BK211" s="63">
        <f t="shared" si="204"/>
        <v>101.78193141621587</v>
      </c>
      <c r="BL211" s="51">
        <f t="shared" si="201"/>
        <v>16.886195145224779</v>
      </c>
      <c r="BM211" s="63">
        <f t="shared" si="202"/>
        <v>56.676600450784356</v>
      </c>
    </row>
    <row r="212" spans="14:65" x14ac:dyDescent="0.35">
      <c r="N212" s="11">
        <v>94</v>
      </c>
      <c r="O212" s="52">
        <f t="shared" si="205"/>
        <v>870.96358995608091</v>
      </c>
      <c r="P212" s="50" t="str">
        <f t="shared" si="206"/>
        <v>36.531007751938</v>
      </c>
      <c r="Q212" s="18" t="str">
        <f t="shared" si="207"/>
        <v>1+2.67257995956997i</v>
      </c>
      <c r="R212" s="18">
        <f t="shared" ref="R212:R275" si="218">IMABS(Q212)</f>
        <v>2.8535387924987146</v>
      </c>
      <c r="S212" s="18">
        <f t="shared" ref="S212:S275" si="219">IMARGUMENT(Q212)</f>
        <v>1.2127532779409305</v>
      </c>
      <c r="T212" s="18" t="str">
        <f t="shared" si="208"/>
        <v>1+0.00109448512630009i</v>
      </c>
      <c r="U212" s="18">
        <f t="shared" ref="U212:U275" si="220">IMABS(T212)</f>
        <v>1.0000005989486664</v>
      </c>
      <c r="V212" s="18">
        <f t="shared" ref="V212:V275" si="221">IMARGUMENT(T212)</f>
        <v>1.0944846892733354E-3</v>
      </c>
      <c r="W212" s="32" t="str">
        <f t="shared" si="209"/>
        <v>1-0.0181334813824866i</v>
      </c>
      <c r="X212" s="18">
        <f t="shared" ref="X212:X275" si="222">IMABS(W212)</f>
        <v>1.0001643980601636</v>
      </c>
      <c r="Y212" s="18">
        <f t="shared" ref="Y212:Y275" si="223">IMARGUMENT(W212)</f>
        <v>-1.8131494205058118E-2</v>
      </c>
      <c r="Z212" s="32" t="str">
        <f t="shared" si="210"/>
        <v>0.999984326909607+0.00824002790163046i</v>
      </c>
      <c r="AA212" s="18">
        <f t="shared" ref="AA212:AA275" si="224">IMABS(Z212)</f>
        <v>1.0000182758953355</v>
      </c>
      <c r="AB212" s="18">
        <f t="shared" ref="AB212:AB275" si="225">IMARGUMENT(Z212)</f>
        <v>8.2399705552163235E-3</v>
      </c>
      <c r="AC212" s="68" t="str">
        <f t="shared" ref="AC212:AC275" si="226">(IMDIV(IMPRODUCT(P212,T212,W212),IMPRODUCT(Q212,Z212)))</f>
        <v>4.18249747602257-12.1014896279674i</v>
      </c>
      <c r="AD212" s="66">
        <f t="shared" ref="AD212:AD275" si="227">20*LOG(IMABS(AC212))</f>
        <v>22.146831726749191</v>
      </c>
      <c r="AE212" s="63">
        <f t="shared" ref="AE212:AE275" si="228">(180/PI())*IMARGUMENT(AC212)</f>
        <v>-70.9339086935761</v>
      </c>
      <c r="AF212" s="51" t="str">
        <f t="shared" ref="AF212:AF275" si="229">COMPLEX($B$68,0)</f>
        <v>42.1703962805665</v>
      </c>
      <c r="AG212" s="51" t="str">
        <f t="shared" si="211"/>
        <v>1+0.482861085132392i</v>
      </c>
      <c r="AH212" s="51">
        <f t="shared" ref="AH212:AH275" si="230">IMABS(AG212)</f>
        <v>1.1104750458858728</v>
      </c>
      <c r="AI212" s="51">
        <f t="shared" ref="AI212:AI275" si="231">IMARGUMENT(AG212)</f>
        <v>0.44984270770760143</v>
      </c>
      <c r="AJ212" s="51" t="str">
        <f t="shared" si="212"/>
        <v>1+0.00109448512630009i</v>
      </c>
      <c r="AK212" s="51">
        <f t="shared" ref="AK212:AK275" si="232">IMABS(AJ212)</f>
        <v>1.0000005989486664</v>
      </c>
      <c r="AL212" s="51">
        <f t="shared" ref="AL212:AL275" si="233">IMARGUMENT(AJ212)</f>
        <v>1.0944846892733354E-3</v>
      </c>
      <c r="AM212" s="51" t="str">
        <f t="shared" si="213"/>
        <v>1-0.0028380835446907i</v>
      </c>
      <c r="AN212" s="51">
        <f t="shared" ref="AN212:AN275" si="234">IMABS(AM212)</f>
        <v>1.0000040273509936</v>
      </c>
      <c r="AO212" s="51">
        <f t="shared" ref="AO212:AO275" si="235">IMARGUMENT(AM212)</f>
        <v>-2.8380759247397928E-3</v>
      </c>
      <c r="AP212" s="60" t="str">
        <f t="shared" ref="AP212:AP275" si="236">(IMDIV(IMPRODUCT(AF212,AJ212,AM212),IMPRODUCT(AG212)))</f>
        <v>34.1684777995136-16.5721565038529i</v>
      </c>
      <c r="AQ212" s="51">
        <f t="shared" ref="AQ212:AQ275" si="237">20*LOG(IMABS(AP212))</f>
        <v>31.590017752210464</v>
      </c>
      <c r="AR212" s="63">
        <f t="shared" ref="AR212:AR275" si="238">(180/PI())*IMARGUMENT(AP212)</f>
        <v>-25.873989015370913</v>
      </c>
      <c r="AS212" s="32" t="str">
        <f t="shared" si="214"/>
        <v>-0.000133283554228113</v>
      </c>
      <c r="AT212" s="32" t="str">
        <f t="shared" si="215"/>
        <v>0.000334365206084676i</v>
      </c>
      <c r="AU212" s="32">
        <f t="shared" ref="AU212:AU275" si="239">IMABS(AT212)</f>
        <v>3.34365206084676E-4</v>
      </c>
      <c r="AV212" s="32">
        <f t="shared" ref="AV212:AV275" si="240">IMARGUMENT(AT212)</f>
        <v>1.5707963267948966</v>
      </c>
      <c r="AW212" s="32" t="str">
        <f t="shared" si="216"/>
        <v>1+0.0584612781528323i</v>
      </c>
      <c r="AX212" s="32">
        <f t="shared" ref="AX212:AX275" si="241">IMABS(AW212)</f>
        <v>1.0017074029092841</v>
      </c>
      <c r="AY212" s="32">
        <f t="shared" ref="AY212:AY275" si="242">IMARGUMENT(AW212)</f>
        <v>5.8394812948551839E-2</v>
      </c>
      <c r="AZ212" s="32" t="str">
        <f t="shared" si="217"/>
        <v>1+0.871215632960499i</v>
      </c>
      <c r="BA212" s="32">
        <f t="shared" ref="BA212:BA275" si="243">IMABS(AZ212)</f>
        <v>1.3262792613604282</v>
      </c>
      <c r="BB212" s="32">
        <f t="shared" ref="BB212:BB275" si="244">IMARGUMENT(AZ212)</f>
        <v>0.71668261730935601</v>
      </c>
      <c r="BC212" s="60" t="str">
        <f t="shared" ref="BC212:BC275" si="245">IMPRODUCT(AS212,IMDIV(AZ212,IMPRODUCT(AT212,AW212)))</f>
        <v>-0.322873963700081+0.417492322159193i</v>
      </c>
      <c r="BD212" s="51">
        <f t="shared" ref="BD212:BD275" si="246">20*LOG(IMABS(BC212))</f>
        <v>-5.5510083560521526</v>
      </c>
      <c r="BE212" s="63">
        <f t="shared" ref="BE212:BE275" si="247">(180/PI())*IMARGUMENT(BC212)</f>
        <v>127.71711289480774</v>
      </c>
      <c r="BF212" s="60" t="str">
        <f t="shared" ref="BF212:BF275" si="248">IMPRODUCT(AC212,BC212)</f>
        <v>3.70185946811651+5.65341650654688i</v>
      </c>
      <c r="BG212" s="66">
        <f t="shared" ref="BG212:BG275" si="249">20*LOG(IMABS(BF212))</f>
        <v>16.595823370697044</v>
      </c>
      <c r="BH212" s="63">
        <f t="shared" ref="BH212:BH275" si="250">(180/PI())*IMARGUMENT(BF212)</f>
        <v>56.783204201231619</v>
      </c>
      <c r="BI212" s="60" t="str">
        <f t="shared" si="203"/>
        <v>-4.11336375874806+19.6157949986208i</v>
      </c>
      <c r="BJ212" s="66">
        <f t="shared" ref="BJ212:BJ275" si="251">20*LOG(IMABS(BI212))</f>
        <v>26.039009396158299</v>
      </c>
      <c r="BK212" s="63">
        <f t="shared" si="204"/>
        <v>101.84312387943685</v>
      </c>
      <c r="BL212" s="51">
        <f t="shared" ref="BL212:BL275" si="252">IF($B$31=0,BJ212,BG212)</f>
        <v>16.595823370697044</v>
      </c>
      <c r="BM212" s="63">
        <f t="shared" ref="BM212:BM275" si="253">IF($B$31=0,BK212,BH212)</f>
        <v>56.783204201231619</v>
      </c>
    </row>
    <row r="213" spans="14:65" x14ac:dyDescent="0.35">
      <c r="N213" s="11">
        <v>95</v>
      </c>
      <c r="O213" s="52">
        <f t="shared" si="205"/>
        <v>891.25093813374656</v>
      </c>
      <c r="P213" s="50" t="str">
        <f t="shared" si="206"/>
        <v>36.531007751938</v>
      </c>
      <c r="Q213" s="18" t="str">
        <f t="shared" si="207"/>
        <v>1+2.73483234393794i</v>
      </c>
      <c r="R213" s="18">
        <f t="shared" si="218"/>
        <v>2.9119251277203344</v>
      </c>
      <c r="S213" s="18">
        <f t="shared" si="219"/>
        <v>1.2202452486031012</v>
      </c>
      <c r="T213" s="18" t="str">
        <f t="shared" si="208"/>
        <v>1+0.0011199789598984i</v>
      </c>
      <c r="U213" s="18">
        <f t="shared" si="220"/>
        <v>1.0000006271762387</v>
      </c>
      <c r="V213" s="18">
        <f t="shared" si="221"/>
        <v>1.1199784916158112E-3</v>
      </c>
      <c r="W213" s="32" t="str">
        <f t="shared" si="209"/>
        <v>1-0.0185558644243521i</v>
      </c>
      <c r="X213" s="18">
        <f t="shared" si="222"/>
        <v>1.0001721452352765</v>
      </c>
      <c r="Y213" s="18">
        <f t="shared" si="223"/>
        <v>-1.8553735145167529E-2</v>
      </c>
      <c r="Z213" s="32" t="str">
        <f t="shared" si="210"/>
        <v>0.999983588259613+0.00843196280793635i</v>
      </c>
      <c r="AA213" s="18">
        <f t="shared" si="224"/>
        <v>1.0000191372095664</v>
      </c>
      <c r="AB213" s="18">
        <f t="shared" si="225"/>
        <v>8.4319013601895868E-3</v>
      </c>
      <c r="AC213" s="68" t="str">
        <f t="shared" si="226"/>
        <v>4.0027029256569-11.8916597707428i</v>
      </c>
      <c r="AD213" s="66">
        <f t="shared" si="227"/>
        <v>21.970963308076321</v>
      </c>
      <c r="AE213" s="63">
        <f t="shared" si="228"/>
        <v>-71.396895754365815</v>
      </c>
      <c r="AF213" s="51" t="str">
        <f t="shared" si="229"/>
        <v>42.1703962805665</v>
      </c>
      <c r="AG213" s="51" t="str">
        <f t="shared" si="211"/>
        <v>1+0.494108364661059i</v>
      </c>
      <c r="AH213" s="51">
        <f t="shared" si="230"/>
        <v>1.115411617309066</v>
      </c>
      <c r="AI213" s="51">
        <f t="shared" si="231"/>
        <v>0.45892320200346437</v>
      </c>
      <c r="AJ213" s="51" t="str">
        <f t="shared" si="212"/>
        <v>1+0.0011199789598984i</v>
      </c>
      <c r="AK213" s="51">
        <f t="shared" si="232"/>
        <v>1.0000006271762387</v>
      </c>
      <c r="AL213" s="51">
        <f t="shared" si="233"/>
        <v>1.1199784916158112E-3</v>
      </c>
      <c r="AM213" s="51" t="str">
        <f t="shared" si="213"/>
        <v>1-0.00290419100278932i</v>
      </c>
      <c r="AN213" s="51">
        <f t="shared" si="234"/>
        <v>1.0000042171537982</v>
      </c>
      <c r="AO213" s="51">
        <f t="shared" si="235"/>
        <v>-2.9041828378666775E-3</v>
      </c>
      <c r="AP213" s="60" t="str">
        <f t="shared" si="236"/>
        <v>33.865362501201-16.8083998130197i</v>
      </c>
      <c r="AQ213" s="51">
        <f t="shared" si="237"/>
        <v>31.551492450889441</v>
      </c>
      <c r="AR213" s="63">
        <f t="shared" si="238"/>
        <v>-26.396589974257381</v>
      </c>
      <c r="AS213" s="32" t="str">
        <f t="shared" si="214"/>
        <v>-0.000133283554228113</v>
      </c>
      <c r="AT213" s="32" t="str">
        <f t="shared" si="215"/>
        <v>0.00034215357224896i</v>
      </c>
      <c r="AU213" s="32">
        <f t="shared" si="239"/>
        <v>3.4215357224896001E-4</v>
      </c>
      <c r="AV213" s="32">
        <f t="shared" si="240"/>
        <v>1.5707963267948966</v>
      </c>
      <c r="AW213" s="32" t="str">
        <f t="shared" si="216"/>
        <v>1+0.0598230162535693i</v>
      </c>
      <c r="AX213" s="32">
        <f t="shared" si="241"/>
        <v>1.0017877985250543</v>
      </c>
      <c r="AY213" s="32">
        <f t="shared" si="242"/>
        <v>5.9751804366655246E-2</v>
      </c>
      <c r="AZ213" s="32" t="str">
        <f t="shared" si="217"/>
        <v>1+0.891508851973922i</v>
      </c>
      <c r="BA213" s="32">
        <f t="shared" si="243"/>
        <v>1.3396969930353133</v>
      </c>
      <c r="BB213" s="32">
        <f t="shared" si="244"/>
        <v>0.72810400367851125</v>
      </c>
      <c r="BC213" s="60" t="str">
        <f t="shared" si="245"/>
        <v>-0.322822143125728+0.408855268064377i</v>
      </c>
      <c r="BD213" s="51">
        <f t="shared" si="246"/>
        <v>-5.6642733682571151</v>
      </c>
      <c r="BE213" s="63">
        <f t="shared" si="247"/>
        <v>128.29376024885568</v>
      </c>
      <c r="BF213" s="60" t="str">
        <f t="shared" si="248"/>
        <v>3.56980660654123+5.47541727016471i</v>
      </c>
      <c r="BG213" s="66">
        <f t="shared" si="249"/>
        <v>16.306689939819201</v>
      </c>
      <c r="BH213" s="63">
        <f t="shared" si="250"/>
        <v>56.896864494489883</v>
      </c>
      <c r="BI213" s="60" t="str">
        <f t="shared" si="203"/>
        <v>-4.06028608908198+19.2721555136789i</v>
      </c>
      <c r="BJ213" s="66">
        <f t="shared" si="251"/>
        <v>25.88721908263231</v>
      </c>
      <c r="BK213" s="63">
        <f t="shared" si="204"/>
        <v>101.89717027459832</v>
      </c>
      <c r="BL213" s="51">
        <f t="shared" si="252"/>
        <v>16.306689939819201</v>
      </c>
      <c r="BM213" s="63">
        <f t="shared" si="253"/>
        <v>56.896864494489883</v>
      </c>
    </row>
    <row r="214" spans="14:65" x14ac:dyDescent="0.35">
      <c r="N214" s="11">
        <v>96</v>
      </c>
      <c r="O214" s="52">
        <f t="shared" si="205"/>
        <v>912.01083935590987</v>
      </c>
      <c r="P214" s="50" t="str">
        <f t="shared" si="206"/>
        <v>36.531007751938</v>
      </c>
      <c r="Q214" s="18" t="str">
        <f t="shared" si="207"/>
        <v>1+2.79853477261444i</v>
      </c>
      <c r="R214" s="18">
        <f t="shared" si="218"/>
        <v>2.9718339242851632</v>
      </c>
      <c r="S214" s="18">
        <f t="shared" si="219"/>
        <v>1.2276065597114467</v>
      </c>
      <c r="T214" s="18" t="str">
        <f t="shared" si="208"/>
        <v>1+0.00114606662116591i</v>
      </c>
      <c r="U214" s="18">
        <f t="shared" si="220"/>
        <v>1.0000006567341344</v>
      </c>
      <c r="V214" s="18">
        <f t="shared" si="221"/>
        <v>1.1460661193920937E-3</v>
      </c>
      <c r="W214" s="32" t="str">
        <f t="shared" si="209"/>
        <v>1-0.0189880860311513i</v>
      </c>
      <c r="X214" s="18">
        <f t="shared" si="222"/>
        <v>1.0001802574591874</v>
      </c>
      <c r="Y214" s="18">
        <f t="shared" si="223"/>
        <v>-1.8985804489606382E-2</v>
      </c>
      <c r="Z214" s="32" t="str">
        <f t="shared" si="210"/>
        <v>0.999982814798118+0.0086283684525332i</v>
      </c>
      <c r="AA214" s="18">
        <f t="shared" si="224"/>
        <v>1.0000200391160767</v>
      </c>
      <c r="AB214" s="18">
        <f t="shared" si="225"/>
        <v>8.6283026101345982E-3</v>
      </c>
      <c r="AC214" s="68" t="str">
        <f t="shared" si="226"/>
        <v>3.82912484639911-11.6828858798586i</v>
      </c>
      <c r="AD214" s="66">
        <f t="shared" si="227"/>
        <v>21.79413954244432</v>
      </c>
      <c r="AE214" s="63">
        <f t="shared" si="228"/>
        <v>-71.853181814193917</v>
      </c>
      <c r="AF214" s="51" t="str">
        <f t="shared" si="229"/>
        <v>42.1703962805665</v>
      </c>
      <c r="AG214" s="51" t="str">
        <f t="shared" si="211"/>
        <v>1+0.505617626984964i</v>
      </c>
      <c r="AH214" s="51">
        <f t="shared" si="230"/>
        <v>1.1205575329798583</v>
      </c>
      <c r="AI214" s="51">
        <f t="shared" si="231"/>
        <v>0.46813160470283988</v>
      </c>
      <c r="AJ214" s="51" t="str">
        <f t="shared" si="212"/>
        <v>1+0.00114606662116591i</v>
      </c>
      <c r="AK214" s="51">
        <f t="shared" si="232"/>
        <v>1.0000006567341344</v>
      </c>
      <c r="AL214" s="51">
        <f t="shared" si="233"/>
        <v>1.1460661193920937E-3</v>
      </c>
      <c r="AM214" s="51" t="str">
        <f t="shared" si="213"/>
        <v>1-0.00297183830139913i</v>
      </c>
      <c r="AN214" s="51">
        <f t="shared" si="234"/>
        <v>1.0000044159016948</v>
      </c>
      <c r="AO214" s="51">
        <f t="shared" si="235"/>
        <v>-2.9718295525289797E-3</v>
      </c>
      <c r="AP214" s="60" t="str">
        <f t="shared" si="236"/>
        <v>33.5536479010573-17.0423093436949i</v>
      </c>
      <c r="AQ214" s="51">
        <f t="shared" si="237"/>
        <v>31.511514513347215</v>
      </c>
      <c r="AR214" s="63">
        <f t="shared" si="238"/>
        <v>-26.926573745267408</v>
      </c>
      <c r="AS214" s="32" t="str">
        <f t="shared" si="214"/>
        <v>-0.000133283554228113</v>
      </c>
      <c r="AT214" s="32" t="str">
        <f t="shared" si="215"/>
        <v>0.000350123352766187i</v>
      </c>
      <c r="AU214" s="32">
        <f t="shared" si="239"/>
        <v>3.5012335276618701E-4</v>
      </c>
      <c r="AV214" s="32">
        <f t="shared" si="240"/>
        <v>1.5707963267948966</v>
      </c>
      <c r="AW214" s="32" t="str">
        <f t="shared" si="216"/>
        <v>1+0.061216473309375i</v>
      </c>
      <c r="AX214" s="32">
        <f t="shared" si="241"/>
        <v>1.0018719761548565</v>
      </c>
      <c r="AY214" s="32">
        <f t="shared" si="242"/>
        <v>6.1140176095939483E-2</v>
      </c>
      <c r="AZ214" s="32" t="str">
        <f t="shared" si="217"/>
        <v>1+0.912274760781173i</v>
      </c>
      <c r="BA214" s="32">
        <f t="shared" si="243"/>
        <v>1.3536045357335156</v>
      </c>
      <c r="BB214" s="32">
        <f t="shared" si="244"/>
        <v>0.73955549507066287</v>
      </c>
      <c r="BC214" s="60" t="str">
        <f t="shared" si="245"/>
        <v>-0.322767898148522+0.40043470325534i</v>
      </c>
      <c r="BD214" s="51">
        <f t="shared" si="246"/>
        <v>-5.7752988231302247</v>
      </c>
      <c r="BE214" s="63">
        <f t="shared" si="247"/>
        <v>128.8703345342731</v>
      </c>
      <c r="BF214" s="60" t="str">
        <f t="shared" si="248"/>
        <v>3.44231436204666+5.30417499134648i</v>
      </c>
      <c r="BG214" s="66">
        <f t="shared" si="249"/>
        <v>16.018840719314092</v>
      </c>
      <c r="BH214" s="63">
        <f t="shared" si="250"/>
        <v>57.017152720079174</v>
      </c>
      <c r="BI214" s="60" t="str">
        <f t="shared" si="203"/>
        <v>-4.00570832341166+18.9367554068554i</v>
      </c>
      <c r="BJ214" s="66">
        <f t="shared" si="251"/>
        <v>25.736215690217009</v>
      </c>
      <c r="BK214" s="63">
        <f t="shared" si="204"/>
        <v>101.94376078900568</v>
      </c>
      <c r="BL214" s="51">
        <f t="shared" si="252"/>
        <v>16.018840719314092</v>
      </c>
      <c r="BM214" s="63">
        <f t="shared" si="253"/>
        <v>57.017152720079174</v>
      </c>
    </row>
    <row r="215" spans="14:65" x14ac:dyDescent="0.35">
      <c r="N215" s="11">
        <v>97</v>
      </c>
      <c r="O215" s="52">
        <f t="shared" si="205"/>
        <v>933.25430079699106</v>
      </c>
      <c r="P215" s="50" t="str">
        <f t="shared" si="206"/>
        <v>36.531007751938</v>
      </c>
      <c r="Q215" s="18" t="str">
        <f t="shared" si="207"/>
        <v>1+2.86372102147037i</v>
      </c>
      <c r="R215" s="18">
        <f t="shared" si="218"/>
        <v>3.0332982195641924</v>
      </c>
      <c r="S215" s="18">
        <f t="shared" si="219"/>
        <v>1.2348379221515005</v>
      </c>
      <c r="T215" s="18" t="str">
        <f t="shared" si="208"/>
        <v>1+0.00117276194212596i</v>
      </c>
      <c r="U215" s="18">
        <f t="shared" si="220"/>
        <v>1.00000068768505</v>
      </c>
      <c r="V215" s="18">
        <f t="shared" si="221"/>
        <v>1.1727614044656489E-3</v>
      </c>
      <c r="W215" s="32" t="str">
        <f t="shared" si="209"/>
        <v>1-0.0194303753725012i</v>
      </c>
      <c r="X215" s="18">
        <f t="shared" si="222"/>
        <v>1.0001887519299126</v>
      </c>
      <c r="Y215" s="18">
        <f t="shared" si="223"/>
        <v>-1.9427930681606847E-2</v>
      </c>
      <c r="Z215" s="32" t="str">
        <f t="shared" si="210"/>
        <v>0.999982004884505+0.00882934897229356i</v>
      </c>
      <c r="AA215" s="18">
        <f t="shared" si="224"/>
        <v>1.0000209835279001</v>
      </c>
      <c r="AB215" s="18">
        <f t="shared" si="225"/>
        <v>8.8292784209465791E-3</v>
      </c>
      <c r="AC215" s="68" t="str">
        <f t="shared" si="226"/>
        <v>3.66162094831019-11.4753287380669i</v>
      </c>
      <c r="AD215" s="66">
        <f t="shared" si="227"/>
        <v>21.616393892607867</v>
      </c>
      <c r="AE215" s="63">
        <f t="shared" si="228"/>
        <v>-72.302825865528277</v>
      </c>
      <c r="AF215" s="51" t="str">
        <f t="shared" si="229"/>
        <v>42.1703962805665</v>
      </c>
      <c r="AG215" s="51" t="str">
        <f t="shared" si="211"/>
        <v>1+0.517394974467338i</v>
      </c>
      <c r="AH215" s="51">
        <f t="shared" si="230"/>
        <v>1.1259207608016015</v>
      </c>
      <c r="AI215" s="51">
        <f t="shared" si="231"/>
        <v>0.47746655069512756</v>
      </c>
      <c r="AJ215" s="51" t="str">
        <f t="shared" si="212"/>
        <v>1+0.00117276194212596i</v>
      </c>
      <c r="AK215" s="51">
        <f t="shared" si="232"/>
        <v>1.00000068768505</v>
      </c>
      <c r="AL215" s="51">
        <f t="shared" si="233"/>
        <v>1.1727614044656489E-3</v>
      </c>
      <c r="AM215" s="51" t="str">
        <f t="shared" si="213"/>
        <v>1-0.00304106130801327i</v>
      </c>
      <c r="AN215" s="51">
        <f t="shared" si="234"/>
        <v>1.0000046240162488</v>
      </c>
      <c r="AO215" s="51">
        <f t="shared" si="235"/>
        <v>-3.0410519334323461E-3</v>
      </c>
      <c r="AP215" s="60" t="str">
        <f t="shared" si="236"/>
        <v>33.2333074247586-17.2735331711284i</v>
      </c>
      <c r="AQ215" s="51">
        <f t="shared" si="237"/>
        <v>31.470043236989827</v>
      </c>
      <c r="AR215" s="63">
        <f t="shared" si="238"/>
        <v>-27.463863375714073</v>
      </c>
      <c r="AS215" s="32" t="str">
        <f t="shared" si="214"/>
        <v>-0.000133283554228113</v>
      </c>
      <c r="AT215" s="32" t="str">
        <f t="shared" si="215"/>
        <v>0.000358278773319481i</v>
      </c>
      <c r="AU215" s="32">
        <f t="shared" si="239"/>
        <v>3.58278773319481E-4</v>
      </c>
      <c r="AV215" s="32">
        <f t="shared" si="240"/>
        <v>1.5707963267948966</v>
      </c>
      <c r="AW215" s="32" t="str">
        <f t="shared" si="216"/>
        <v>1+0.0626423881496253i</v>
      </c>
      <c r="AX215" s="32">
        <f t="shared" si="241"/>
        <v>1.0019601133743241</v>
      </c>
      <c r="AY215" s="32">
        <f t="shared" si="242"/>
        <v>6.2560642847842851E-2</v>
      </c>
      <c r="AZ215" s="32" t="str">
        <f t="shared" si="217"/>
        <v>1+0.933524369741976i</v>
      </c>
      <c r="BA215" s="32">
        <f t="shared" si="243"/>
        <v>1.3680159900023658</v>
      </c>
      <c r="BB215" s="32">
        <f t="shared" si="244"/>
        <v>0.75103115051257319</v>
      </c>
      <c r="BC215" s="60" t="str">
        <f t="shared" si="245"/>
        <v>-0.3227111162198+0.392226142368883i</v>
      </c>
      <c r="BD215" s="51">
        <f t="shared" si="246"/>
        <v>-5.8840754554167853</v>
      </c>
      <c r="BE215" s="63">
        <f t="shared" si="247"/>
        <v>129.44645440841833</v>
      </c>
      <c r="BF215" s="60" t="str">
        <f t="shared" si="248"/>
        <v>3.31927813994378+5.13939960542351i</v>
      </c>
      <c r="BG215" s="66">
        <f t="shared" si="249"/>
        <v>15.732318437191083</v>
      </c>
      <c r="BH215" s="63">
        <f t="shared" si="250"/>
        <v>57.143628542890021</v>
      </c>
      <c r="BI215" s="60" t="str">
        <f t="shared" si="203"/>
        <v>-3.94962645392698+18.6093331400868i</v>
      </c>
      <c r="BJ215" s="66">
        <f t="shared" si="251"/>
        <v>25.585967781573036</v>
      </c>
      <c r="BK215" s="63">
        <f t="shared" si="204"/>
        <v>101.98259103270425</v>
      </c>
      <c r="BL215" s="51">
        <f t="shared" si="252"/>
        <v>15.732318437191083</v>
      </c>
      <c r="BM215" s="63">
        <f t="shared" si="253"/>
        <v>57.143628542890021</v>
      </c>
    </row>
    <row r="216" spans="14:65" x14ac:dyDescent="0.35">
      <c r="N216" s="11">
        <v>98</v>
      </c>
      <c r="O216" s="52">
        <f t="shared" si="205"/>
        <v>954.99258602143675</v>
      </c>
      <c r="P216" s="50" t="str">
        <f t="shared" si="206"/>
        <v>36.531007751938</v>
      </c>
      <c r="Q216" s="18" t="str">
        <f t="shared" si="207"/>
        <v>1+2.93042565311772i</v>
      </c>
      <c r="R216" s="18">
        <f t="shared" si="218"/>
        <v>3.0963518063118114</v>
      </c>
      <c r="S216" s="18">
        <f t="shared" si="219"/>
        <v>1.2419401439667499</v>
      </c>
      <c r="T216" s="18" t="str">
        <f t="shared" si="208"/>
        <v>1+0.00120007907699107i</v>
      </c>
      <c r="U216" s="18">
        <f t="shared" si="220"/>
        <v>1.0000007200946361</v>
      </c>
      <c r="V216" s="18">
        <f t="shared" si="221"/>
        <v>1.2000785008776894E-3</v>
      </c>
      <c r="W216" s="32" t="str">
        <f t="shared" si="209"/>
        <v>1-0.019882966956065i</v>
      </c>
      <c r="X216" s="18">
        <f t="shared" si="222"/>
        <v>1.0001976466553877</v>
      </c>
      <c r="Y216" s="18">
        <f t="shared" si="223"/>
        <v>-1.9880347450532701E-2</v>
      </c>
      <c r="Z216" s="32" t="str">
        <f t="shared" si="210"/>
        <v>0.99998115680084+0.00903501092974929i</v>
      </c>
      <c r="AA216" s="18">
        <f t="shared" si="224"/>
        <v>1.0000219724482293</v>
      </c>
      <c r="AB216" s="18">
        <f t="shared" si="225"/>
        <v>9.0349353326798186E-3</v>
      </c>
      <c r="AC216" s="68" t="str">
        <f t="shared" si="226"/>
        <v>3.50004629582696-11.2691387483493i</v>
      </c>
      <c r="AD216" s="66">
        <f t="shared" si="227"/>
        <v>21.437759048437712</v>
      </c>
      <c r="AE216" s="63">
        <f t="shared" si="228"/>
        <v>-72.74589289088523</v>
      </c>
      <c r="AF216" s="51" t="str">
        <f t="shared" si="229"/>
        <v>42.1703962805665</v>
      </c>
      <c r="AG216" s="51" t="str">
        <f t="shared" si="211"/>
        <v>1+0.529446651613707i</v>
      </c>
      <c r="AH216" s="51">
        <f t="shared" si="230"/>
        <v>1.1315095036741698</v>
      </c>
      <c r="AI216" s="51">
        <f t="shared" si="231"/>
        <v>0.48692648092184015</v>
      </c>
      <c r="AJ216" s="51" t="str">
        <f t="shared" si="212"/>
        <v>1+0.00120007907699107i</v>
      </c>
      <c r="AK216" s="51">
        <f t="shared" si="232"/>
        <v>1.0000007200946361</v>
      </c>
      <c r="AL216" s="51">
        <f t="shared" si="233"/>
        <v>1.2000785008776894E-3</v>
      </c>
      <c r="AM216" s="51" t="str">
        <f t="shared" si="213"/>
        <v>1-0.00311189672558612i</v>
      </c>
      <c r="AN216" s="51">
        <f t="shared" si="234"/>
        <v>1.0000048419388932</v>
      </c>
      <c r="AO216" s="51">
        <f t="shared" si="235"/>
        <v>-3.1118866805443083E-3</v>
      </c>
      <c r="AP216" s="60" t="str">
        <f t="shared" si="236"/>
        <v>32.9043317972575-17.5017104015019i</v>
      </c>
      <c r="AQ216" s="51">
        <f t="shared" si="237"/>
        <v>31.427037834319073</v>
      </c>
      <c r="AR216" s="63">
        <f t="shared" si="238"/>
        <v>-28.008370829912401</v>
      </c>
      <c r="AS216" s="32" t="str">
        <f t="shared" si="214"/>
        <v>-0.000133283554228113</v>
      </c>
      <c r="AT216" s="32" t="str">
        <f t="shared" si="215"/>
        <v>0.000366624158020771i</v>
      </c>
      <c r="AU216" s="32">
        <f t="shared" si="239"/>
        <v>3.6662415802077102E-4</v>
      </c>
      <c r="AV216" s="32">
        <f t="shared" si="240"/>
        <v>1.5707963267948966</v>
      </c>
      <c r="AW216" s="32" t="str">
        <f t="shared" si="216"/>
        <v>1+0.0641015168132426i</v>
      </c>
      <c r="AX216" s="32">
        <f t="shared" si="241"/>
        <v>1.0020523960640773</v>
      </c>
      <c r="AY216" s="32">
        <f t="shared" si="242"/>
        <v>6.4013934830798772E-2</v>
      </c>
      <c r="AZ216" s="32" t="str">
        <f t="shared" si="217"/>
        <v>1+0.955268945680273i</v>
      </c>
      <c r="BA216" s="32">
        <f t="shared" si="243"/>
        <v>1.382945681717507</v>
      </c>
      <c r="BB216" s="32">
        <f t="shared" si="244"/>
        <v>0.76252496567115113</v>
      </c>
      <c r="BC216" s="60" t="str">
        <f t="shared" si="245"/>
        <v>-0.322651679650154+0.384225210989993i</v>
      </c>
      <c r="BD216" s="51">
        <f t="shared" si="246"/>
        <v>-5.990596429573003</v>
      </c>
      <c r="BE216" s="63">
        <f t="shared" si="247"/>
        <v>130.02173401048464</v>
      </c>
      <c r="BF216" s="60" t="str">
        <f t="shared" si="248"/>
        <v>3.20059139705815+4.98081257185439i</v>
      </c>
      <c r="BG216" s="66">
        <f t="shared" si="249"/>
        <v>15.447162618864709</v>
      </c>
      <c r="BH216" s="63">
        <f t="shared" si="250"/>
        <v>57.275841119599356</v>
      </c>
      <c r="BI216" s="60" t="str">
        <f t="shared" si="203"/>
        <v>-3.89203955044828+18.2896300850812i</v>
      </c>
      <c r="BJ216" s="66">
        <f t="shared" si="251"/>
        <v>25.436441404746088</v>
      </c>
      <c r="BK216" s="63">
        <f t="shared" si="204"/>
        <v>102.0133631805722</v>
      </c>
      <c r="BL216" s="51">
        <f t="shared" si="252"/>
        <v>15.447162618864709</v>
      </c>
      <c r="BM216" s="63">
        <f t="shared" si="253"/>
        <v>57.275841119599356</v>
      </c>
    </row>
    <row r="217" spans="14:65" x14ac:dyDescent="0.35">
      <c r="N217" s="11">
        <v>99</v>
      </c>
      <c r="O217" s="52">
        <f t="shared" si="205"/>
        <v>977.23722095581138</v>
      </c>
      <c r="P217" s="50" t="str">
        <f t="shared" si="206"/>
        <v>36.531007751938</v>
      </c>
      <c r="Q217" s="18" t="str">
        <f t="shared" si="207"/>
        <v>1+2.99868403523511i</v>
      </c>
      <c r="R217" s="18">
        <f t="shared" si="218"/>
        <v>3.1610292537675004</v>
      </c>
      <c r="S217" s="18">
        <f t="shared" si="219"/>
        <v>1.2489141239491095</v>
      </c>
      <c r="T217" s="18" t="str">
        <f t="shared" si="208"/>
        <v>1+0.00122803250966771i</v>
      </c>
      <c r="U217" s="18">
        <f t="shared" si="220"/>
        <v>1.000000754031638</v>
      </c>
      <c r="V217" s="18">
        <f t="shared" si="221"/>
        <v>1.2280318923511258E-3</v>
      </c>
      <c r="W217" s="32" t="str">
        <f t="shared" si="209"/>
        <v>1-0.0203461007518911i</v>
      </c>
      <c r="X217" s="18">
        <f t="shared" si="222"/>
        <v>1.0002069604915804</v>
      </c>
      <c r="Y217" s="18">
        <f t="shared" si="223"/>
        <v>-2.034329393250978E-2</v>
      </c>
      <c r="Z217" s="32" t="str">
        <f t="shared" si="210"/>
        <v>0.999980268748223+0.00924546336959248i</v>
      </c>
      <c r="AA217" s="18">
        <f t="shared" si="224"/>
        <v>1.0000230079746599</v>
      </c>
      <c r="AB217" s="18">
        <f t="shared" si="225"/>
        <v>9.2453823659413778E-3</v>
      </c>
      <c r="AC217" s="68" t="str">
        <f t="shared" si="226"/>
        <v>3.34425390404707-11.0644561660234i</v>
      </c>
      <c r="AD217" s="66">
        <f t="shared" si="227"/>
        <v>21.258266914500169</v>
      </c>
      <c r="AE217" s="63">
        <f t="shared" si="228"/>
        <v>-73.182453505303343</v>
      </c>
      <c r="AF217" s="51" t="str">
        <f t="shared" si="229"/>
        <v>42.1703962805665</v>
      </c>
      <c r="AG217" s="51" t="str">
        <f t="shared" si="211"/>
        <v>1+0.541779048382817i</v>
      </c>
      <c r="AH217" s="51">
        <f t="shared" si="230"/>
        <v>1.1373322018067504</v>
      </c>
      <c r="AI217" s="51">
        <f t="shared" si="231"/>
        <v>0.49650963772958839</v>
      </c>
      <c r="AJ217" s="51" t="str">
        <f t="shared" si="212"/>
        <v>1+0.00122803250966771i</v>
      </c>
      <c r="AK217" s="51">
        <f t="shared" si="232"/>
        <v>1.000000754031638</v>
      </c>
      <c r="AL217" s="51">
        <f t="shared" si="233"/>
        <v>1.2280318923511258E-3</v>
      </c>
      <c r="AM217" s="51" t="str">
        <f t="shared" si="213"/>
        <v>1-0.00318438211199371i</v>
      </c>
      <c r="AN217" s="51">
        <f t="shared" si="234"/>
        <v>1.0000050701318646</v>
      </c>
      <c r="AO217" s="51">
        <f t="shared" si="235"/>
        <v>-3.184371348540434E-3</v>
      </c>
      <c r="AP217" s="60" t="str">
        <f t="shared" si="236"/>
        <v>32.5667300335004-17.7264720444834i</v>
      </c>
      <c r="AQ217" s="51">
        <f t="shared" si="237"/>
        <v>31.382457517046465</v>
      </c>
      <c r="AR217" s="63">
        <f t="shared" si="238"/>
        <v>-28.55999672360949</v>
      </c>
      <c r="AS217" s="32" t="str">
        <f t="shared" si="214"/>
        <v>-0.000133283554228113</v>
      </c>
      <c r="AT217" s="32" t="str">
        <f t="shared" si="215"/>
        <v>0.000375163931703486i</v>
      </c>
      <c r="AU217" s="32">
        <f t="shared" si="239"/>
        <v>3.7516393170348598E-4</v>
      </c>
      <c r="AV217" s="32">
        <f t="shared" si="240"/>
        <v>1.5707963267948966</v>
      </c>
      <c r="AW217" s="32" t="str">
        <f t="shared" si="216"/>
        <v>1+0.0655946329495581i</v>
      </c>
      <c r="AX217" s="32">
        <f t="shared" si="241"/>
        <v>1.0021490187950031</v>
      </c>
      <c r="AY217" s="32">
        <f t="shared" si="242"/>
        <v>6.5500798030114604E-2</v>
      </c>
      <c r="AZ217" s="32" t="str">
        <f t="shared" si="217"/>
        <v>1+0.977520017858048i</v>
      </c>
      <c r="BA217" s="32">
        <f t="shared" si="243"/>
        <v>1.3984081612008701</v>
      </c>
      <c r="BB217" s="32">
        <f t="shared" si="244"/>
        <v>0.77403088838594047</v>
      </c>
      <c r="BC217" s="60" t="str">
        <f t="shared" si="245"/>
        <v>-0.322589465382735+0.376427643230422i</v>
      </c>
      <c r="BD217" s="51">
        <f t="shared" si="246"/>
        <v>-6.0948573784059406</v>
      </c>
      <c r="BE217" s="63">
        <f t="shared" si="247"/>
        <v>130.59578383541171</v>
      </c>
      <c r="BF217" s="60" t="str">
        <f t="shared" si="248"/>
        <v>3.08614607919183+4.82814661481277i</v>
      </c>
      <c r="BG217" s="66">
        <f t="shared" si="249"/>
        <v>15.163409536094225</v>
      </c>
      <c r="BH217" s="63">
        <f t="shared" si="250"/>
        <v>57.413330330108373</v>
      </c>
      <c r="BI217" s="60" t="str">
        <f t="shared" si="203"/>
        <v>-3.8329499362759+17.9773905741839i</v>
      </c>
      <c r="BJ217" s="66">
        <f t="shared" si="251"/>
        <v>25.287600138640546</v>
      </c>
      <c r="BK217" s="63">
        <f t="shared" si="204"/>
        <v>102.03578711180218</v>
      </c>
      <c r="BL217" s="51">
        <f t="shared" si="252"/>
        <v>15.163409536094225</v>
      </c>
      <c r="BM217" s="63">
        <f t="shared" si="253"/>
        <v>57.413330330108373</v>
      </c>
    </row>
    <row r="218" spans="14:65" x14ac:dyDescent="0.35">
      <c r="N218" s="11">
        <v>100</v>
      </c>
      <c r="O218" s="52">
        <f t="shared" si="205"/>
        <v>1000</v>
      </c>
      <c r="P218" s="50" t="str">
        <f t="shared" si="206"/>
        <v>36.531007751938</v>
      </c>
      <c r="Q218" s="18" t="str">
        <f t="shared" si="207"/>
        <v>1+3.06853235932026i</v>
      </c>
      <c r="R218" s="18">
        <f t="shared" si="218"/>
        <v>3.2273659290814178</v>
      </c>
      <c r="S218" s="18">
        <f t="shared" si="219"/>
        <v>1.2557608453824136</v>
      </c>
      <c r="T218" s="18" t="str">
        <f t="shared" si="208"/>
        <v>1+0.00125663706143592i</v>
      </c>
      <c r="U218" s="18">
        <f t="shared" si="220"/>
        <v>1.0000007895680403</v>
      </c>
      <c r="V218" s="18">
        <f t="shared" si="221"/>
        <v>1.2566363999693109E-3</v>
      </c>
      <c r="W218" s="32" t="str">
        <f t="shared" si="209"/>
        <v>1-0.0208200223196484i</v>
      </c>
      <c r="X218" s="18">
        <f t="shared" si="222"/>
        <v>1.0002167131823936</v>
      </c>
      <c r="Y218" s="18">
        <f t="shared" si="223"/>
        <v>-2.0817014793688068E-2</v>
      </c>
      <c r="Z218" s="32" t="str">
        <f t="shared" si="210"/>
        <v>0.999979338842975+0.00946081787649238i</v>
      </c>
      <c r="AA218" s="18">
        <f t="shared" si="224"/>
        <v>1.0000240923036432</v>
      </c>
      <c r="AB218" s="18">
        <f t="shared" si="225"/>
        <v>9.4607310795930197E-3</v>
      </c>
      <c r="AC218" s="68" t="str">
        <f t="shared" si="226"/>
        <v>3.19409529685073-10.8614113560689i</v>
      </c>
      <c r="AD218" s="66">
        <f t="shared" si="227"/>
        <v>21.077948600781426</v>
      </c>
      <c r="AE218" s="63">
        <f t="shared" si="228"/>
        <v>-73.612583607800488</v>
      </c>
      <c r="AF218" s="51" t="str">
        <f t="shared" si="229"/>
        <v>42.1703962805665</v>
      </c>
      <c r="AG218" s="51" t="str">
        <f t="shared" si="211"/>
        <v>1+0.554398703574671i</v>
      </c>
      <c r="AH218" s="51">
        <f t="shared" si="230"/>
        <v>1.143397534773132</v>
      </c>
      <c r="AI218" s="51">
        <f t="shared" si="231"/>
        <v>0.50621406072548114</v>
      </c>
      <c r="AJ218" s="51" t="str">
        <f t="shared" si="212"/>
        <v>1+0.00125663706143592i</v>
      </c>
      <c r="AK218" s="51">
        <f t="shared" si="232"/>
        <v>1.0000007895680403</v>
      </c>
      <c r="AL218" s="51">
        <f t="shared" si="233"/>
        <v>1.2566363999693109E-3</v>
      </c>
      <c r="AM218" s="51" t="str">
        <f t="shared" si="213"/>
        <v>1-0.00325855589994735i</v>
      </c>
      <c r="AN218" s="51">
        <f t="shared" si="234"/>
        <v>1.0000053090791834</v>
      </c>
      <c r="AO218" s="51">
        <f t="shared" si="235"/>
        <v>-3.2585443667026807E-3</v>
      </c>
      <c r="AP218" s="60" t="str">
        <f t="shared" si="236"/>
        <v>32.2205303903947-17.9474419876647i</v>
      </c>
      <c r="AQ218" s="51">
        <f t="shared" si="237"/>
        <v>31.336261584801946</v>
      </c>
      <c r="AR218" s="63">
        <f t="shared" si="238"/>
        <v>-29.118630087216715</v>
      </c>
      <c r="AS218" s="32" t="str">
        <f t="shared" si="214"/>
        <v>-0.000133283554228113</v>
      </c>
      <c r="AT218" s="32" t="str">
        <f t="shared" si="215"/>
        <v>0.000383902622268673i</v>
      </c>
      <c r="AU218" s="32">
        <f t="shared" si="239"/>
        <v>3.8390262226867299E-4</v>
      </c>
      <c r="AV218" s="32">
        <f t="shared" si="240"/>
        <v>1.5707963267948966</v>
      </c>
      <c r="AW218" s="32" t="str">
        <f t="shared" si="216"/>
        <v>1+0.067122528228511i</v>
      </c>
      <c r="AX218" s="32">
        <f t="shared" si="241"/>
        <v>1.0022501852311065</v>
      </c>
      <c r="AY218" s="32">
        <f t="shared" si="242"/>
        <v>6.7021994488715569E-2</v>
      </c>
      <c r="AZ218" s="32" t="str">
        <f t="shared" si="217"/>
        <v>1+1.0002893840883i</v>
      </c>
      <c r="BA218" s="32">
        <f t="shared" si="243"/>
        <v>1.414418202625995</v>
      </c>
      <c r="BB218" s="32">
        <f t="shared" si="244"/>
        <v>0.78554283450783013</v>
      </c>
      <c r="BC218" s="60" t="str">
        <f t="shared" si="245"/>
        <v>-0.322524344757307+0.368829279357791i</v>
      </c>
      <c r="BD218" s="51">
        <f t="shared" si="246"/>
        <v>-6.1968564319338979</v>
      </c>
      <c r="BE218" s="63">
        <f t="shared" si="247"/>
        <v>131.16821162528984</v>
      </c>
      <c r="BF218" s="60" t="str">
        <f t="shared" si="248"/>
        <v>2.97583303055824+4.68114544729326i</v>
      </c>
      <c r="BG218" s="66">
        <f t="shared" si="249"/>
        <v>14.881092168847532</v>
      </c>
      <c r="BH218" s="63">
        <f t="shared" si="250"/>
        <v>57.555628017489383</v>
      </c>
      <c r="BI218" s="60" t="str">
        <f t="shared" si="203"/>
        <v>-3.77236335726882+17.6723619715564i</v>
      </c>
      <c r="BJ218" s="66">
        <f t="shared" si="251"/>
        <v>25.139405152868044</v>
      </c>
      <c r="BK218" s="63">
        <f t="shared" si="204"/>
        <v>102.04958153807316</v>
      </c>
      <c r="BL218" s="51">
        <f t="shared" si="252"/>
        <v>14.881092168847532</v>
      </c>
      <c r="BM218" s="63">
        <f t="shared" si="253"/>
        <v>57.555628017489383</v>
      </c>
    </row>
    <row r="219" spans="14:65" x14ac:dyDescent="0.35">
      <c r="N219" s="11">
        <v>1</v>
      </c>
      <c r="O219" s="52">
        <f>10^(3+(N219/100))</f>
        <v>1023.2929922807547</v>
      </c>
      <c r="P219" s="50" t="str">
        <f t="shared" si="206"/>
        <v>36.531007751938</v>
      </c>
      <c r="Q219" s="18" t="str">
        <f t="shared" si="207"/>
        <v>1+3.14000765987915i</v>
      </c>
      <c r="R219" s="18">
        <f t="shared" si="218"/>
        <v>3.2953980190714049</v>
      </c>
      <c r="S219" s="18">
        <f t="shared" si="219"/>
        <v>1.2624813699534576</v>
      </c>
      <c r="T219" s="18" t="str">
        <f t="shared" si="208"/>
        <v>1+0.00128590789880765i</v>
      </c>
      <c r="U219" s="18">
        <f t="shared" si="220"/>
        <v>1.0000008267792204</v>
      </c>
      <c r="V219" s="18">
        <f t="shared" si="221"/>
        <v>1.2859071900334401E-3</v>
      </c>
      <c r="W219" s="32" t="str">
        <f t="shared" si="209"/>
        <v>1-0.0213049829388251i</v>
      </c>
      <c r="X219" s="18">
        <f t="shared" si="222"/>
        <v>1.0002269254014429</v>
      </c>
      <c r="Y219" s="18">
        <f t="shared" si="223"/>
        <v>-2.1301760356183756E-2</v>
      </c>
      <c r="Z219" s="32" t="str">
        <f t="shared" si="210"/>
        <v>0.999978365112644+0.00968118863425914i</v>
      </c>
      <c r="AA219" s="18">
        <f t="shared" si="224"/>
        <v>1.0000252277351449</v>
      </c>
      <c r="AB219" s="18">
        <f t="shared" si="225"/>
        <v>9.6810956297917646E-3</v>
      </c>
      <c r="AC219" s="68" t="str">
        <f t="shared" si="226"/>
        <v>3.04942102703485-10.6601250718757i</v>
      </c>
      <c r="AD219" s="66">
        <f t="shared" si="227"/>
        <v>20.896834416349943</v>
      </c>
      <c r="AE219" s="63">
        <f t="shared" si="228"/>
        <v>-74.036364042651073</v>
      </c>
      <c r="AF219" s="51" t="str">
        <f t="shared" si="229"/>
        <v>42.1703962805665</v>
      </c>
      <c r="AG219" s="51" t="str">
        <f t="shared" si="211"/>
        <v>1+0.567312308297496i</v>
      </c>
      <c r="AH219" s="51">
        <f t="shared" si="230"/>
        <v>1.1497144233007748</v>
      </c>
      <c r="AI219" s="51">
        <f t="shared" si="231"/>
        <v>0.51603758319038906</v>
      </c>
      <c r="AJ219" s="51" t="str">
        <f t="shared" si="212"/>
        <v>1+0.00128590789880765i</v>
      </c>
      <c r="AK219" s="51">
        <f t="shared" si="232"/>
        <v>1.0000008267792204</v>
      </c>
      <c r="AL219" s="51">
        <f t="shared" si="233"/>
        <v>1.2859071900334401E-3</v>
      </c>
      <c r="AM219" s="51" t="str">
        <f t="shared" si="213"/>
        <v>1-0.00333445741737122i</v>
      </c>
      <c r="AN219" s="51">
        <f t="shared" si="234"/>
        <v>1.0000055592876813</v>
      </c>
      <c r="AO219" s="51">
        <f t="shared" si="235"/>
        <v>-3.3344450592806153E-3</v>
      </c>
      <c r="AP219" s="60" t="str">
        <f t="shared" si="236"/>
        <v>31.8657812695141-18.1642380727093i</v>
      </c>
      <c r="AQ219" s="51">
        <f t="shared" si="237"/>
        <v>31.28840951822972</v>
      </c>
      <c r="AR219" s="63">
        <f t="shared" si="238"/>
        <v>-29.684148161020932</v>
      </c>
      <c r="AS219" s="32" t="str">
        <f t="shared" si="214"/>
        <v>-0.000133283554228113</v>
      </c>
      <c r="AT219" s="32" t="str">
        <f t="shared" si="215"/>
        <v>0.000392844863085738i</v>
      </c>
      <c r="AU219" s="32">
        <f t="shared" si="239"/>
        <v>3.9284486308573802E-4</v>
      </c>
      <c r="AV219" s="32">
        <f t="shared" si="240"/>
        <v>1.5707963267948966</v>
      </c>
      <c r="AW219" s="32" t="str">
        <f t="shared" si="216"/>
        <v>1+0.0686860127604024i</v>
      </c>
      <c r="AX219" s="32">
        <f t="shared" si="241"/>
        <v>1.0023561085507098</v>
      </c>
      <c r="AY219" s="32">
        <f t="shared" si="242"/>
        <v>6.8578302588387791E-2</v>
      </c>
      <c r="AZ219" s="32" t="str">
        <f t="shared" si="217"/>
        <v>1+1.02358911699039i</v>
      </c>
      <c r="BA219" s="32">
        <f t="shared" si="243"/>
        <v>1.430990803751431</v>
      </c>
      <c r="BB219" s="32">
        <f t="shared" si="244"/>
        <v>0.79705470394351596</v>
      </c>
      <c r="BC219" s="60" t="str">
        <f t="shared" si="245"/>
        <v>-0.32245618326482+0.361426063473487i</v>
      </c>
      <c r="BD219" s="51">
        <f t="shared" si="246"/>
        <v>-6.2965942362449656</v>
      </c>
      <c r="BE219" s="63">
        <f t="shared" si="247"/>
        <v>131.73862327252709</v>
      </c>
      <c r="BF219" s="60" t="str">
        <f t="shared" si="248"/>
        <v>2.86954237531791+4.53956348147714i</v>
      </c>
      <c r="BG219" s="66">
        <f t="shared" si="249"/>
        <v>14.600240180104977</v>
      </c>
      <c r="BH219" s="63">
        <f t="shared" si="250"/>
        <v>57.702259229876077</v>
      </c>
      <c r="BI219" s="60" t="str">
        <f t="shared" si="203"/>
        <v>-3.71028914230455+17.374294764587i</v>
      </c>
      <c r="BJ219" s="66">
        <f t="shared" si="251"/>
        <v>24.991815281984742</v>
      </c>
      <c r="BK219" s="63">
        <f t="shared" si="204"/>
        <v>102.05447511150621</v>
      </c>
      <c r="BL219" s="51">
        <f t="shared" si="252"/>
        <v>14.600240180104977</v>
      </c>
      <c r="BM219" s="63">
        <f t="shared" si="253"/>
        <v>57.702259229876077</v>
      </c>
    </row>
    <row r="220" spans="14:65" x14ac:dyDescent="0.35">
      <c r="N220" s="11">
        <v>2</v>
      </c>
      <c r="O220" s="52">
        <f t="shared" ref="O220:O283" si="254">10^(3+(N220/100))</f>
        <v>1047.1285480509</v>
      </c>
      <c r="P220" s="50" t="str">
        <f t="shared" si="206"/>
        <v>36.531007751938</v>
      </c>
      <c r="Q220" s="18" t="str">
        <f t="shared" si="207"/>
        <v>1+3.21314783406223i</v>
      </c>
      <c r="R220" s="18">
        <f t="shared" si="218"/>
        <v>3.3651625523202888</v>
      </c>
      <c r="S220" s="18">
        <f t="shared" si="219"/>
        <v>1.2690768318428605</v>
      </c>
      <c r="T220" s="18" t="str">
        <f t="shared" si="208"/>
        <v>1+0.00131586054156834i</v>
      </c>
      <c r="U220" s="18">
        <f t="shared" si="220"/>
        <v>1.0000008657441077</v>
      </c>
      <c r="V220" s="18">
        <f t="shared" si="221"/>
        <v>1.3158597821031266E-3</v>
      </c>
      <c r="W220" s="32" t="str">
        <f t="shared" si="209"/>
        <v>1-0.0218012397419607i</v>
      </c>
      <c r="X220" s="18">
        <f t="shared" si="222"/>
        <v>1.0002376187957971</v>
      </c>
      <c r="Y220" s="18">
        <f t="shared" si="223"/>
        <v>-2.1797786726750642E-2</v>
      </c>
      <c r="Z220" s="32" t="str">
        <f t="shared" si="210"/>
        <v>0.999977345491815+0.00990669248638546i</v>
      </c>
      <c r="AA220" s="18">
        <f t="shared" si="224"/>
        <v>1.0000264166775179</v>
      </c>
      <c r="AB220" s="18">
        <f t="shared" si="225"/>
        <v>9.9065928303996124E-3</v>
      </c>
      <c r="AC220" s="68" t="str">
        <f t="shared" si="226"/>
        <v>2.91008115891215-10.4607087518437i</v>
      </c>
      <c r="AD220" s="66">
        <f t="shared" si="227"/>
        <v>20.714953865752278</v>
      </c>
      <c r="AE220" s="63">
        <f t="shared" si="228"/>
        <v>-74.453880271189647</v>
      </c>
      <c r="AF220" s="51" t="str">
        <f t="shared" si="229"/>
        <v>42.1703962805665</v>
      </c>
      <c r="AG220" s="51" t="str">
        <f t="shared" si="211"/>
        <v>1+0.580526709515447i</v>
      </c>
      <c r="AH220" s="51">
        <f t="shared" si="230"/>
        <v>1.1562920307867006</v>
      </c>
      <c r="AI220" s="51">
        <f t="shared" si="231"/>
        <v>0.52597782910508795</v>
      </c>
      <c r="AJ220" s="51" t="str">
        <f t="shared" si="212"/>
        <v>1+0.00131586054156834i</v>
      </c>
      <c r="AK220" s="51">
        <f t="shared" si="232"/>
        <v>1.0000008657441077</v>
      </c>
      <c r="AL220" s="51">
        <f t="shared" si="233"/>
        <v>1.3158597821031266E-3</v>
      </c>
      <c r="AM220" s="51" t="str">
        <f t="shared" si="213"/>
        <v>1-0.00341212690825456i</v>
      </c>
      <c r="AN220" s="51">
        <f t="shared" si="234"/>
        <v>1.0000058212880754</v>
      </c>
      <c r="AO220" s="51">
        <f t="shared" si="235"/>
        <v>-3.4121136663260642E-3</v>
      </c>
      <c r="AP220" s="60" t="str">
        <f t="shared" si="236"/>
        <v>31.5025520596666-18.3764732719301i</v>
      </c>
      <c r="AQ220" s="51">
        <f t="shared" si="237"/>
        <v>31.238861076212476</v>
      </c>
      <c r="AR220" s="63">
        <f t="shared" si="238"/>
        <v>-30.256416225528689</v>
      </c>
      <c r="AS220" s="32" t="str">
        <f t="shared" si="214"/>
        <v>-0.000133283554228113</v>
      </c>
      <c r="AT220" s="32" t="str">
        <f t="shared" si="215"/>
        <v>0.000401995395449128i</v>
      </c>
      <c r="AU220" s="32">
        <f t="shared" si="239"/>
        <v>4.0199539544912802E-4</v>
      </c>
      <c r="AV220" s="32">
        <f t="shared" si="240"/>
        <v>1.5707963267948966</v>
      </c>
      <c r="AW220" s="32" t="str">
        <f t="shared" si="216"/>
        <v>1+0.0702859155254262i</v>
      </c>
      <c r="AX220" s="32">
        <f t="shared" si="241"/>
        <v>1.0024670118867989</v>
      </c>
      <c r="AY220" s="32">
        <f t="shared" si="242"/>
        <v>7.0170517331119259E-2</v>
      </c>
      <c r="AZ220" s="32" t="str">
        <f t="shared" si="217"/>
        <v>1+1.04743157039111i</v>
      </c>
      <c r="BA220" s="32">
        <f t="shared" si="243"/>
        <v>1.4481411860215796</v>
      </c>
      <c r="BB220" s="32">
        <f t="shared" si="244"/>
        <v>0.80856039680281167</v>
      </c>
      <c r="BC220" s="60" t="str">
        <f t="shared" si="245"/>
        <v>-0.322384840292155+0.354214041237631i</v>
      </c>
      <c r="BD220" s="51">
        <f t="shared" si="246"/>
        <v>-6.3940739622226079</v>
      </c>
      <c r="BE220" s="63">
        <f t="shared" si="247"/>
        <v>132.30662372890163</v>
      </c>
      <c r="BF220" s="60" t="str">
        <f t="shared" si="248"/>
        <v>2.76716387154731+4.40316552793364i</v>
      </c>
      <c r="BG220" s="66">
        <f t="shared" si="249"/>
        <v>14.32087990352967</v>
      </c>
      <c r="BH220" s="63">
        <f t="shared" si="250"/>
        <v>57.852743457711966</v>
      </c>
      <c r="BI220" s="60" t="str">
        <f t="shared" si="203"/>
        <v>-3.64674035320524+17.0829426752576i</v>
      </c>
      <c r="BJ220" s="66">
        <f t="shared" si="251"/>
        <v>24.844787113989867</v>
      </c>
      <c r="BK220" s="63">
        <f t="shared" si="204"/>
        <v>102.05020750337292</v>
      </c>
      <c r="BL220" s="51">
        <f t="shared" si="252"/>
        <v>14.32087990352967</v>
      </c>
      <c r="BM220" s="63">
        <f t="shared" si="253"/>
        <v>57.852743457711966</v>
      </c>
    </row>
    <row r="221" spans="14:65" x14ac:dyDescent="0.35">
      <c r="N221" s="11">
        <v>3</v>
      </c>
      <c r="O221" s="52">
        <f t="shared" si="254"/>
        <v>1071.5193052376069</v>
      </c>
      <c r="P221" s="50" t="str">
        <f t="shared" si="206"/>
        <v>36.531007751938</v>
      </c>
      <c r="Q221" s="18" t="str">
        <f t="shared" si="207"/>
        <v>1+3.28799166175796i</v>
      </c>
      <c r="R221" s="18">
        <f t="shared" si="218"/>
        <v>3.4366974216229553</v>
      </c>
      <c r="S221" s="18">
        <f t="shared" si="219"/>
        <v>1.275548432005823</v>
      </c>
      <c r="T221" s="18" t="str">
        <f t="shared" si="208"/>
        <v>1+0.00134651087100564i</v>
      </c>
      <c r="U221" s="18">
        <f t="shared" si="220"/>
        <v>1.0000009065453519</v>
      </c>
      <c r="V221" s="18">
        <f t="shared" si="221"/>
        <v>1.3465100572240421E-3</v>
      </c>
      <c r="W221" s="32" t="str">
        <f t="shared" si="209"/>
        <v>1-0.0223090558509811i</v>
      </c>
      <c r="X221" s="18">
        <f t="shared" si="222"/>
        <v>1.0002488160317722</v>
      </c>
      <c r="Y221" s="18">
        <f t="shared" si="223"/>
        <v>-2.2305355928229322E-2</v>
      </c>
      <c r="Z221" s="32" t="str">
        <f t="shared" si="210"/>
        <v>0.999976277817738+0.0101374489979986i</v>
      </c>
      <c r="AA221" s="18">
        <f t="shared" si="224"/>
        <v>1.0000276616526189</v>
      </c>
      <c r="AB221" s="18">
        <f t="shared" si="225"/>
        <v>1.0137342214794056E-2</v>
      </c>
      <c r="AC221" s="68" t="str">
        <f t="shared" si="226"/>
        <v>2.77592571406813-10.2632648305006i</v>
      </c>
      <c r="AD221" s="66">
        <f t="shared" si="227"/>
        <v>20.532335647942467</v>
      </c>
      <c r="AE221" s="63">
        <f t="shared" si="228"/>
        <v>-74.865222054724768</v>
      </c>
      <c r="AF221" s="51" t="str">
        <f t="shared" si="229"/>
        <v>42.1703962805665</v>
      </c>
      <c r="AG221" s="51" t="str">
        <f t="shared" si="211"/>
        <v>1+0.594048913678962i</v>
      </c>
      <c r="AH221" s="51">
        <f t="shared" si="230"/>
        <v>1.1631397645352664</v>
      </c>
      <c r="AI221" s="51">
        <f t="shared" si="231"/>
        <v>0.53603221084333019</v>
      </c>
      <c r="AJ221" s="51" t="str">
        <f t="shared" si="212"/>
        <v>1+0.00134651087100564i</v>
      </c>
      <c r="AK221" s="51">
        <f t="shared" si="232"/>
        <v>1.0000009065453519</v>
      </c>
      <c r="AL221" s="51">
        <f t="shared" si="233"/>
        <v>1.3465100572240421E-3</v>
      </c>
      <c r="AM221" s="51" t="str">
        <f t="shared" si="213"/>
        <v>1-0.00349160555398948i</v>
      </c>
      <c r="AN221" s="51">
        <f t="shared" si="234"/>
        <v>1.0000060956360939</v>
      </c>
      <c r="AO221" s="51">
        <f t="shared" si="235"/>
        <v>-3.4915913650121299E-3</v>
      </c>
      <c r="AP221" s="60" t="str">
        <f t="shared" si="236"/>
        <v>31.1309339082066-18.5837569628224i</v>
      </c>
      <c r="AQ221" s="51">
        <f t="shared" si="237"/>
        <v>31.187576396913926</v>
      </c>
      <c r="AR221" s="63">
        <f t="shared" si="238"/>
        <v>-30.835287470038082</v>
      </c>
      <c r="AS221" s="32" t="str">
        <f t="shared" si="214"/>
        <v>-0.000133283554228113</v>
      </c>
      <c r="AT221" s="32" t="str">
        <f t="shared" si="215"/>
        <v>0.000411359071092224i</v>
      </c>
      <c r="AU221" s="32">
        <f t="shared" si="239"/>
        <v>4.1135907109222399E-4</v>
      </c>
      <c r="AV221" s="32">
        <f t="shared" si="240"/>
        <v>1.5707963267948966</v>
      </c>
      <c r="AW221" s="32" t="str">
        <f t="shared" si="216"/>
        <v>1+0.0719230848132057i</v>
      </c>
      <c r="AX221" s="32">
        <f t="shared" si="241"/>
        <v>1.0025831287873577</v>
      </c>
      <c r="AY221" s="32">
        <f t="shared" si="242"/>
        <v>7.1799450620102442E-2</v>
      </c>
      <c r="AZ221" s="32" t="str">
        <f t="shared" si="217"/>
        <v>1+1.07182938587485i</v>
      </c>
      <c r="BA221" s="32">
        <f t="shared" si="243"/>
        <v>1.4658847950725384</v>
      </c>
      <c r="BB221" s="32">
        <f t="shared" si="244"/>
        <v>0.82005382954464701</v>
      </c>
      <c r="BC221" s="60" t="str">
        <f t="shared" si="245"/>
        <v>-0.322310168856763+0.347189357639365i</v>
      </c>
      <c r="BD221" s="51">
        <f t="shared" si="246"/>
        <v>-6.4893013040992189</v>
      </c>
      <c r="BE221" s="63">
        <f t="shared" si="247"/>
        <v>132.87181791455905</v>
      </c>
      <c r="BF221" s="60" t="str">
        <f t="shared" si="248"/>
        <v>2.66858723814906+4.27172648606224i</v>
      </c>
      <c r="BG221" s="66">
        <f t="shared" si="249"/>
        <v>14.043034343843255</v>
      </c>
      <c r="BH221" s="63">
        <f t="shared" si="250"/>
        <v>58.006595859834334</v>
      </c>
      <c r="BI221" s="60" t="str">
        <f t="shared" si="203"/>
        <v>-3.58173392217441+16.7980627909841i</v>
      </c>
      <c r="BJ221" s="66">
        <f t="shared" si="251"/>
        <v>24.698275092814704</v>
      </c>
      <c r="BK221" s="63">
        <f t="shared" si="204"/>
        <v>102.03653044452098</v>
      </c>
      <c r="BL221" s="51">
        <f t="shared" si="252"/>
        <v>14.043034343843255</v>
      </c>
      <c r="BM221" s="63">
        <f t="shared" si="253"/>
        <v>58.006595859834334</v>
      </c>
    </row>
    <row r="222" spans="14:65" x14ac:dyDescent="0.35">
      <c r="N222" s="11">
        <v>4</v>
      </c>
      <c r="O222" s="52">
        <f t="shared" si="254"/>
        <v>1096.4781961431863</v>
      </c>
      <c r="P222" s="50" t="str">
        <f t="shared" si="206"/>
        <v>36.531007751938</v>
      </c>
      <c r="Q222" s="18" t="str">
        <f t="shared" si="207"/>
        <v>1+3.36457882615447i</v>
      </c>
      <c r="R222" s="18">
        <f t="shared" si="218"/>
        <v>3.5100414067937993</v>
      </c>
      <c r="S222" s="18">
        <f t="shared" si="219"/>
        <v>1.2818974326508854</v>
      </c>
      <c r="T222" s="18" t="str">
        <f t="shared" si="208"/>
        <v>1+0.00137787513832993i</v>
      </c>
      <c r="U222" s="18">
        <f t="shared" si="220"/>
        <v>1.0000009492694979</v>
      </c>
      <c r="V222" s="18">
        <f t="shared" si="221"/>
        <v>1.3778742663472822E-3</v>
      </c>
      <c r="W222" s="32" t="str">
        <f t="shared" si="209"/>
        <v>1-0.0228287005167089i</v>
      </c>
      <c r="X222" s="18">
        <f t="shared" si="222"/>
        <v>1.0002605408428755</v>
      </c>
      <c r="Y222" s="18">
        <f t="shared" si="223"/>
        <v>-2.2824736033822915E-2</v>
      </c>
      <c r="Z222" s="32" t="str">
        <f t="shared" si="210"/>
        <v>0.999975159825731+0.0103735805192556i</v>
      </c>
      <c r="AA222" s="18">
        <f t="shared" si="224"/>
        <v>1.0000289653011485</v>
      </c>
      <c r="AB222" s="18">
        <f t="shared" si="225"/>
        <v>1.0373466099111836E-2</v>
      </c>
      <c r="AC222" s="68" t="str">
        <f t="shared" si="226"/>
        <v>2.64680508117388-10.0678870610414i</v>
      </c>
      <c r="AD222" s="66">
        <f t="shared" si="227"/>
        <v>20.349007657546775</v>
      </c>
      <c r="AE222" s="63">
        <f t="shared" si="228"/>
        <v>-75.270483149029431</v>
      </c>
      <c r="AF222" s="51" t="str">
        <f t="shared" si="229"/>
        <v>42.1703962805665</v>
      </c>
      <c r="AG222" s="51" t="str">
        <f t="shared" si="211"/>
        <v>1+0.607886090439676i</v>
      </c>
      <c r="AH222" s="51">
        <f t="shared" si="230"/>
        <v>1.1702672767150393</v>
      </c>
      <c r="AI222" s="51">
        <f t="shared" si="231"/>
        <v>0.54619792758416763</v>
      </c>
      <c r="AJ222" s="51" t="str">
        <f t="shared" si="212"/>
        <v>1+0.00137787513832993i</v>
      </c>
      <c r="AK222" s="51">
        <f t="shared" si="232"/>
        <v>1.0000009492694979</v>
      </c>
      <c r="AL222" s="51">
        <f t="shared" si="233"/>
        <v>1.3778742663472822E-3</v>
      </c>
      <c r="AM222" s="51" t="str">
        <f t="shared" si="213"/>
        <v>1-0.003572935495206i</v>
      </c>
      <c r="AN222" s="51">
        <f t="shared" si="234"/>
        <v>1.0000063829136556</v>
      </c>
      <c r="AO222" s="51">
        <f t="shared" si="235"/>
        <v>-3.572920291448089E-3</v>
      </c>
      <c r="AP222" s="60" t="str">
        <f t="shared" si="236"/>
        <v>30.7510404098594-18.7856962968111i</v>
      </c>
      <c r="AQ222" s="51">
        <f t="shared" si="237"/>
        <v>31.134516102276525</v>
      </c>
      <c r="AR222" s="63">
        <f t="shared" si="238"/>
        <v>-31.420602902440148</v>
      </c>
      <c r="AS222" s="32" t="str">
        <f t="shared" si="214"/>
        <v>-0.000133283554228113</v>
      </c>
      <c r="AT222" s="32" t="str">
        <f t="shared" si="215"/>
        <v>0.000420940854759793i</v>
      </c>
      <c r="AU222" s="32">
        <f t="shared" si="239"/>
        <v>4.2094085475979302E-4</v>
      </c>
      <c r="AV222" s="32">
        <f t="shared" si="240"/>
        <v>1.5707963267948966</v>
      </c>
      <c r="AW222" s="32" t="str">
        <f t="shared" si="216"/>
        <v>1+0.0735983886725678i</v>
      </c>
      <c r="AX222" s="32">
        <f t="shared" si="241"/>
        <v>1.0027047036965562</v>
      </c>
      <c r="AY222" s="32">
        <f t="shared" si="242"/>
        <v>7.3465931539921689E-2</v>
      </c>
      <c r="AZ222" s="32" t="str">
        <f t="shared" si="217"/>
        <v>1+1.09679549948631i</v>
      </c>
      <c r="BA222" s="32">
        <f t="shared" si="243"/>
        <v>1.4842373016783483</v>
      </c>
      <c r="BB222" s="32">
        <f t="shared" si="244"/>
        <v>0.83152895101760582</v>
      </c>
      <c r="BC222" s="60" t="str">
        <f t="shared" si="245"/>
        <v>-0.322232015330908+0.340348254810744i</v>
      </c>
      <c r="BD222" s="51">
        <f t="shared" si="246"/>
        <v>-6.5822844678910357</v>
      </c>
      <c r="BE222" s="63">
        <f t="shared" si="247"/>
        <v>133.43381162101474</v>
      </c>
      <c r="BF222" s="60" t="str">
        <f t="shared" si="248"/>
        <v>2.57370245536236+4.14503102800508i</v>
      </c>
      <c r="BG222" s="66">
        <f t="shared" si="249"/>
        <v>13.766723189655732</v>
      </c>
      <c r="BH222" s="63">
        <f t="shared" si="250"/>
        <v>58.163328471985345</v>
      </c>
      <c r="BI222" s="60" t="str">
        <f t="shared" si="203"/>
        <v>-3.51529077476687+16.5194157142261i</v>
      </c>
      <c r="BJ222" s="66">
        <f t="shared" si="251"/>
        <v>24.552231634385471</v>
      </c>
      <c r="BK222" s="63">
        <f t="shared" si="204"/>
        <v>102.01320871857462</v>
      </c>
      <c r="BL222" s="51">
        <f t="shared" si="252"/>
        <v>13.766723189655732</v>
      </c>
      <c r="BM222" s="63">
        <f t="shared" si="253"/>
        <v>58.163328471985345</v>
      </c>
    </row>
    <row r="223" spans="14:65" x14ac:dyDescent="0.35">
      <c r="N223" s="11">
        <v>5</v>
      </c>
      <c r="O223" s="52">
        <f t="shared" si="254"/>
        <v>1122.0184543019636</v>
      </c>
      <c r="P223" s="50" t="str">
        <f t="shared" si="206"/>
        <v>36.531007751938</v>
      </c>
      <c r="Q223" s="18" t="str">
        <f t="shared" si="207"/>
        <v>1+3.44294993478008i</v>
      </c>
      <c r="R223" s="18">
        <f t="shared" si="218"/>
        <v>3.5852341978456801</v>
      </c>
      <c r="S223" s="18">
        <f t="shared" si="219"/>
        <v>1.2881251519228964</v>
      </c>
      <c r="T223" s="18" t="str">
        <f t="shared" si="208"/>
        <v>1+0.00140996997329089i</v>
      </c>
      <c r="U223" s="18">
        <f t="shared" si="220"/>
        <v>1.0000009940071688</v>
      </c>
      <c r="V223" s="18">
        <f t="shared" si="221"/>
        <v>1.4099690389446993E-3</v>
      </c>
      <c r="W223" s="32" t="str">
        <f t="shared" si="209"/>
        <v>1-0.0233604492616242i</v>
      </c>
      <c r="X223" s="18">
        <f t="shared" si="222"/>
        <v>1.00027281808</v>
      </c>
      <c r="Y223" s="18">
        <f t="shared" si="223"/>
        <v>-2.3356201304249896E-2</v>
      </c>
      <c r="Z223" s="32" t="str">
        <f t="shared" si="210"/>
        <v>0.999973989144384+0.0106152122502144i</v>
      </c>
      <c r="AA223" s="18">
        <f t="shared" si="224"/>
        <v>1.0000303303882585</v>
      </c>
      <c r="AB223" s="18">
        <f t="shared" si="225"/>
        <v>1.0615089646957643E-2</v>
      </c>
      <c r="AC223" s="68" t="str">
        <f t="shared" si="226"/>
        <v>2.52257039092585-9.8746608464371i</v>
      </c>
      <c r="AD223" s="66">
        <f t="shared" si="227"/>
        <v>20.164996988273476</v>
      </c>
      <c r="AE223" s="63">
        <f t="shared" si="228"/>
        <v>-75.669761010769463</v>
      </c>
      <c r="AF223" s="51" t="str">
        <f t="shared" si="229"/>
        <v>42.1703962805665</v>
      </c>
      <c r="AG223" s="51" t="str">
        <f t="shared" si="211"/>
        <v>1+0.622045576451865i</v>
      </c>
      <c r="AH223" s="51">
        <f t="shared" si="230"/>
        <v>1.1776844650343883</v>
      </c>
      <c r="AI223" s="51">
        <f t="shared" si="231"/>
        <v>0.55647196449346259</v>
      </c>
      <c r="AJ223" s="51" t="str">
        <f t="shared" si="212"/>
        <v>1+0.00140996997329089i</v>
      </c>
      <c r="AK223" s="51">
        <f t="shared" si="232"/>
        <v>1.0000009940071688</v>
      </c>
      <c r="AL223" s="51">
        <f t="shared" si="233"/>
        <v>1.4099690389446993E-3</v>
      </c>
      <c r="AM223" s="51" t="str">
        <f t="shared" si="213"/>
        <v>1-0.00365615985411546i</v>
      </c>
      <c r="AN223" s="51">
        <f t="shared" si="234"/>
        <v>1.0000066837301034</v>
      </c>
      <c r="AO223" s="51">
        <f t="shared" si="235"/>
        <v>-3.656143563001227E-3</v>
      </c>
      <c r="AP223" s="60" t="str">
        <f t="shared" si="236"/>
        <v>30.3630082018639-18.9818976571369i</v>
      </c>
      <c r="AQ223" s="51">
        <f t="shared" si="237"/>
        <v>31.079641405557584</v>
      </c>
      <c r="AR223" s="63">
        <f t="shared" si="238"/>
        <v>-32.012191303107443</v>
      </c>
      <c r="AS223" s="32" t="str">
        <f t="shared" si="214"/>
        <v>-0.000133283554228113</v>
      </c>
      <c r="AT223" s="32" t="str">
        <f t="shared" si="215"/>
        <v>0.000430745826840367i</v>
      </c>
      <c r="AU223" s="32">
        <f t="shared" si="239"/>
        <v>4.3074582684036702E-4</v>
      </c>
      <c r="AV223" s="32">
        <f t="shared" si="240"/>
        <v>1.5707963267948966</v>
      </c>
      <c r="AW223" s="32" t="str">
        <f t="shared" si="216"/>
        <v>1+0.0753127153717938i</v>
      </c>
      <c r="AX223" s="32">
        <f t="shared" si="241"/>
        <v>1.0028319924576961</v>
      </c>
      <c r="AY223" s="32">
        <f t="shared" si="242"/>
        <v>7.5170806635407497E-2</v>
      </c>
      <c r="AZ223" s="32" t="str">
        <f t="shared" si="217"/>
        <v>1+1.12234314858941i</v>
      </c>
      <c r="BA223" s="32">
        <f t="shared" si="243"/>
        <v>1.5032146031706819</v>
      </c>
      <c r="BB223" s="32">
        <f t="shared" si="244"/>
        <v>0.84297975829217719</v>
      </c>
      <c r="BC223" s="60" t="str">
        <f t="shared" si="245"/>
        <v>-0.322150219155196+0.333687069882433i</v>
      </c>
      <c r="BD223" s="51">
        <f t="shared" si="246"/>
        <v>-6.6730341498615111</v>
      </c>
      <c r="BE223" s="63">
        <f t="shared" si="247"/>
        <v>133.9922124022971</v>
      </c>
      <c r="BF223" s="60" t="str">
        <f t="shared" si="248"/>
        <v>2.48240003965921+4.02287327808317i</v>
      </c>
      <c r="BG223" s="66">
        <f t="shared" si="249"/>
        <v>13.491962838411958</v>
      </c>
      <c r="BH223" s="63">
        <f t="shared" si="250"/>
        <v>58.322451391527615</v>
      </c>
      <c r="BI223" s="60" t="str">
        <f t="shared" si="203"/>
        <v>-3.44743593642324+16.2467657299244i</v>
      </c>
      <c r="BJ223" s="66">
        <f t="shared" si="251"/>
        <v>24.406607255696077</v>
      </c>
      <c r="BK223" s="63">
        <f t="shared" si="204"/>
        <v>101.98002109918966</v>
      </c>
      <c r="BL223" s="51">
        <f t="shared" si="252"/>
        <v>13.491962838411958</v>
      </c>
      <c r="BM223" s="63">
        <f t="shared" si="253"/>
        <v>58.322451391527615</v>
      </c>
    </row>
    <row r="224" spans="14:65" x14ac:dyDescent="0.35">
      <c r="N224" s="11">
        <v>6</v>
      </c>
      <c r="O224" s="52">
        <f t="shared" si="254"/>
        <v>1148.1536214968839</v>
      </c>
      <c r="P224" s="50" t="str">
        <f t="shared" si="206"/>
        <v>36.531007751938</v>
      </c>
      <c r="Q224" s="18" t="str">
        <f t="shared" si="207"/>
        <v>1+3.52314654103393i</v>
      </c>
      <c r="R224" s="18">
        <f t="shared" si="218"/>
        <v>3.6623164185525185</v>
      </c>
      <c r="S224" s="18">
        <f t="shared" si="219"/>
        <v>1.2942329587947243</v>
      </c>
      <c r="T224" s="18" t="str">
        <f t="shared" si="208"/>
        <v>1+0.00144281239299485i</v>
      </c>
      <c r="U224" s="18">
        <f t="shared" si="220"/>
        <v>1.0000010408532589</v>
      </c>
      <c r="V224" s="18">
        <f t="shared" si="221"/>
        <v>1.4428113918249252E-3</v>
      </c>
      <c r="W224" s="32" t="str">
        <f t="shared" si="209"/>
        <v>1-0.0239045840259502i</v>
      </c>
      <c r="X224" s="18">
        <f t="shared" si="222"/>
        <v>1.0002856737639771</v>
      </c>
      <c r="Y224" s="18">
        <f t="shared" si="223"/>
        <v>-2.3900032327821695E-2</v>
      </c>
      <c r="Z224" s="32" t="str">
        <f t="shared" si="210"/>
        <v>0.999972763290526+0.0108624723072172i</v>
      </c>
      <c r="AA224" s="18">
        <f t="shared" si="224"/>
        <v>1.0000317598094148</v>
      </c>
      <c r="AB224" s="18">
        <f t="shared" si="225"/>
        <v>1.0862340935613495E-2</v>
      </c>
      <c r="AC224" s="68" t="str">
        <f t="shared" si="226"/>
        <v>2.40307385732532-9.68366357649929i</v>
      </c>
      <c r="AD224" s="66">
        <f t="shared" si="227"/>
        <v>19.980329938282694</v>
      </c>
      <c r="AE224" s="63">
        <f t="shared" si="228"/>
        <v>-76.063156516134995</v>
      </c>
      <c r="AF224" s="51" t="str">
        <f t="shared" si="229"/>
        <v>42.1703962805665</v>
      </c>
      <c r="AG224" s="51" t="str">
        <f t="shared" si="211"/>
        <v>1+0.636534879262436i</v>
      </c>
      <c r="AH224" s="51">
        <f t="shared" si="230"/>
        <v>1.1854014731379592</v>
      </c>
      <c r="AI224" s="51">
        <f t="shared" si="231"/>
        <v>0.56685109272140033</v>
      </c>
      <c r="AJ224" s="51" t="str">
        <f t="shared" si="212"/>
        <v>1+0.00144281239299485i</v>
      </c>
      <c r="AK224" s="51">
        <f t="shared" si="232"/>
        <v>1.0000010408532589</v>
      </c>
      <c r="AL224" s="51">
        <f t="shared" si="233"/>
        <v>1.4428113918249252E-3</v>
      </c>
      <c r="AM224" s="51" t="str">
        <f t="shared" si="213"/>
        <v>1-0.00374132275737458i</v>
      </c>
      <c r="AN224" s="51">
        <f t="shared" si="234"/>
        <v>1.0000069987234963</v>
      </c>
      <c r="AO224" s="51">
        <f t="shared" si="235"/>
        <v>-3.7413053011377739E-3</v>
      </c>
      <c r="AP224" s="60" t="str">
        <f t="shared" si="236"/>
        <v>29.9669974544424-19.1719681994421i</v>
      </c>
      <c r="AQ224" s="51">
        <f t="shared" si="237"/>
        <v>31.022914221435677</v>
      </c>
      <c r="AR224" s="63">
        <f t="shared" si="238"/>
        <v>-32.609869225555293</v>
      </c>
      <c r="AS224" s="32" t="str">
        <f t="shared" si="214"/>
        <v>-0.000133283554228113</v>
      </c>
      <c r="AT224" s="32" t="str">
        <f t="shared" si="215"/>
        <v>0.000440779186059927i</v>
      </c>
      <c r="AU224" s="32">
        <f t="shared" si="239"/>
        <v>4.4077918605992699E-4</v>
      </c>
      <c r="AV224" s="32">
        <f t="shared" si="240"/>
        <v>1.5707963267948966</v>
      </c>
      <c r="AW224" s="32" t="str">
        <f t="shared" si="216"/>
        <v>1+0.0770669738695916i</v>
      </c>
      <c r="AX224" s="32">
        <f t="shared" si="241"/>
        <v>1.0029652628388563</v>
      </c>
      <c r="AY224" s="32">
        <f t="shared" si="242"/>
        <v>7.6914940188596681E-2</v>
      </c>
      <c r="AZ224" s="32" t="str">
        <f t="shared" si="217"/>
        <v>1+1.14848587888586i</v>
      </c>
      <c r="BA224" s="32">
        <f t="shared" si="243"/>
        <v>1.5228328253620707</v>
      </c>
      <c r="BB224" s="32">
        <f t="shared" si="244"/>
        <v>0.85440031218425383</v>
      </c>
      <c r="BC224" s="60" t="str">
        <f t="shared" si="245"/>
        <v>-0.322064612541104+0.327202232879483i</v>
      </c>
      <c r="BD224" s="51">
        <f t="shared" si="246"/>
        <v>-6.7615635052488852</v>
      </c>
      <c r="BE224" s="63">
        <f t="shared" si="247"/>
        <v>134.54663044851003</v>
      </c>
      <c r="BF224" s="60" t="str">
        <f t="shared" si="248"/>
        <v>2.39457129391715+3.9050564896348i</v>
      </c>
      <c r="BG224" s="66">
        <f t="shared" si="249"/>
        <v>13.218766433033807</v>
      </c>
      <c r="BH224" s="63">
        <f t="shared" si="250"/>
        <v>58.483473932375055</v>
      </c>
      <c r="BI224" s="60" t="str">
        <f t="shared" si="203"/>
        <v>-3.37819862063334+15.979880989591i</v>
      </c>
      <c r="BJ224" s="66">
        <f t="shared" si="251"/>
        <v>24.261350716186779</v>
      </c>
      <c r="BK224" s="63">
        <f t="shared" si="204"/>
        <v>101.93676122295474</v>
      </c>
      <c r="BL224" s="51">
        <f t="shared" si="252"/>
        <v>13.218766433033807</v>
      </c>
      <c r="BM224" s="63">
        <f t="shared" si="253"/>
        <v>58.483473932375055</v>
      </c>
    </row>
    <row r="225" spans="14:65" x14ac:dyDescent="0.35">
      <c r="N225" s="11">
        <v>7</v>
      </c>
      <c r="O225" s="52">
        <f t="shared" si="254"/>
        <v>1174.8975549395295</v>
      </c>
      <c r="P225" s="50" t="str">
        <f t="shared" si="206"/>
        <v>36.531007751938</v>
      </c>
      <c r="Q225" s="18" t="str">
        <f t="shared" si="207"/>
        <v>1+3.6052111662182i</v>
      </c>
      <c r="R225" s="18">
        <f t="shared" si="218"/>
        <v>3.7413296504083138</v>
      </c>
      <c r="S225" s="18">
        <f t="shared" si="219"/>
        <v>1.3002222681706794</v>
      </c>
      <c r="T225" s="18" t="str">
        <f t="shared" si="208"/>
        <v>1+0.00147641981092745i</v>
      </c>
      <c r="U225" s="18">
        <f t="shared" si="220"/>
        <v>1.0000010899071352</v>
      </c>
      <c r="V225" s="18">
        <f t="shared" si="221"/>
        <v>1.476418738154611E-3</v>
      </c>
      <c r="W225" s="32" t="str">
        <f t="shared" si="209"/>
        <v>1-0.0244613933171413i</v>
      </c>
      <c r="X225" s="18">
        <f t="shared" si="222"/>
        <v>1.0002991351405919</v>
      </c>
      <c r="Y225" s="18">
        <f t="shared" si="223"/>
        <v>-2.4456516163494337E-2</v>
      </c>
      <c r="Z225" s="32" t="str">
        <f t="shared" si="210"/>
        <v>0.999971479663954+0.0111154917908191i</v>
      </c>
      <c r="AA225" s="18">
        <f t="shared" si="224"/>
        <v>1.0000332565965342</v>
      </c>
      <c r="AB225" s="18">
        <f t="shared" si="225"/>
        <v>1.1115351023781027E-2</v>
      </c>
      <c r="AC225" s="68" t="str">
        <f t="shared" si="226"/>
        <v>2.28816908662453-9.49496496852084i</v>
      </c>
      <c r="AD225" s="66">
        <f t="shared" si="227"/>
        <v>19.795032017336897</v>
      </c>
      <c r="AE225" s="63">
        <f t="shared" si="228"/>
        <v>-76.450773691847516</v>
      </c>
      <c r="AF225" s="51" t="str">
        <f t="shared" si="229"/>
        <v>42.1703962805665</v>
      </c>
      <c r="AG225" s="51" t="str">
        <f t="shared" si="211"/>
        <v>1+0.651361681291526i</v>
      </c>
      <c r="AH225" s="51">
        <f t="shared" si="230"/>
        <v>1.1934286907289113</v>
      </c>
      <c r="AI225" s="51">
        <f t="shared" si="231"/>
        <v>0.57733187025892452</v>
      </c>
      <c r="AJ225" s="51" t="str">
        <f t="shared" si="212"/>
        <v>1+0.00147641981092745i</v>
      </c>
      <c r="AK225" s="51">
        <f t="shared" si="232"/>
        <v>1.0000010899071352</v>
      </c>
      <c r="AL225" s="51">
        <f t="shared" si="233"/>
        <v>1.476418738154611E-3</v>
      </c>
      <c r="AM225" s="51" t="str">
        <f t="shared" si="213"/>
        <v>1-0.00382846935948191i</v>
      </c>
      <c r="AN225" s="51">
        <f t="shared" si="234"/>
        <v>1.0000073285619644</v>
      </c>
      <c r="AO225" s="51">
        <f t="shared" si="235"/>
        <v>-3.8284506547945785E-3</v>
      </c>
      <c r="AP225" s="60" t="str">
        <f t="shared" si="236"/>
        <v>29.5631922459796-19.35551746722i</v>
      </c>
      <c r="AQ225" s="51">
        <f t="shared" si="237"/>
        <v>30.964297278166924</v>
      </c>
      <c r="AR225" s="63">
        <f t="shared" si="238"/>
        <v>-33.213441046334395</v>
      </c>
      <c r="AS225" s="32" t="str">
        <f t="shared" si="214"/>
        <v>-0.000133283554228113</v>
      </c>
      <c r="AT225" s="32" t="str">
        <f t="shared" si="215"/>
        <v>0.000451046252238337i</v>
      </c>
      <c r="AU225" s="32">
        <f t="shared" si="239"/>
        <v>4.5104625223833702E-4</v>
      </c>
      <c r="AV225" s="32">
        <f t="shared" si="240"/>
        <v>1.5707963267948966</v>
      </c>
      <c r="AW225" s="32" t="str">
        <f t="shared" si="216"/>
        <v>1+0.078862094297037i</v>
      </c>
      <c r="AX225" s="32">
        <f t="shared" si="241"/>
        <v>1.0031047950822061</v>
      </c>
      <c r="AY225" s="32">
        <f t="shared" si="242"/>
        <v>7.8699214493186703E-2</v>
      </c>
      <c r="AZ225" s="32" t="str">
        <f t="shared" si="217"/>
        <v>1+1.17523755159731i</v>
      </c>
      <c r="BA225" s="32">
        <f t="shared" si="243"/>
        <v>1.5431083250000435</v>
      </c>
      <c r="BB225" s="32">
        <f t="shared" si="244"/>
        <v>0.8657847523732457</v>
      </c>
      <c r="BC225" s="60" t="str">
        <f t="shared" si="245"/>
        <v>-0.321975020162249+0.320890264655374i</v>
      </c>
      <c r="BD225" s="51">
        <f t="shared" si="246"/>
        <v>-6.8478881075809914</v>
      </c>
      <c r="BE225" s="63">
        <f t="shared" si="247"/>
        <v>135.09667943631166</v>
      </c>
      <c r="BF225" s="60" t="str">
        <f t="shared" si="248"/>
        <v>2.31010853384159+3.79139272096254i</v>
      </c>
      <c r="BG225" s="66">
        <f t="shared" si="249"/>
        <v>12.947143909755912</v>
      </c>
      <c r="BH225" s="63">
        <f t="shared" si="250"/>
        <v>58.645905744464187</v>
      </c>
      <c r="BI225" s="60" t="str">
        <f t="shared" si="203"/>
        <v>-3.30761229686178+15.718533710629i</v>
      </c>
      <c r="BJ225" s="66">
        <f t="shared" si="251"/>
        <v>24.116409170585918</v>
      </c>
      <c r="BK225" s="63">
        <f t="shared" si="204"/>
        <v>101.88323838997728</v>
      </c>
      <c r="BL225" s="51">
        <f t="shared" si="252"/>
        <v>12.947143909755912</v>
      </c>
      <c r="BM225" s="63">
        <f t="shared" si="253"/>
        <v>58.645905744464187</v>
      </c>
    </row>
    <row r="226" spans="14:65" x14ac:dyDescent="0.35">
      <c r="N226" s="11">
        <v>8</v>
      </c>
      <c r="O226" s="52">
        <f t="shared" si="254"/>
        <v>1202.2644346174138</v>
      </c>
      <c r="P226" s="50" t="str">
        <f t="shared" si="206"/>
        <v>36.531007751938</v>
      </c>
      <c r="Q226" s="18" t="str">
        <f t="shared" si="207"/>
        <v>1+3.68918732208341i</v>
      </c>
      <c r="R226" s="18">
        <f t="shared" si="218"/>
        <v>3.822316456995805</v>
      </c>
      <c r="S226" s="18">
        <f t="shared" si="219"/>
        <v>1.3060945362031855</v>
      </c>
      <c r="T226" s="18" t="str">
        <f t="shared" si="208"/>
        <v>1+0.00151081004618654i</v>
      </c>
      <c r="U226" s="18">
        <f t="shared" si="220"/>
        <v>1.0000011412728467</v>
      </c>
      <c r="V226" s="18">
        <f t="shared" si="221"/>
        <v>1.5108088966898038E-3</v>
      </c>
      <c r="W226" s="32" t="str">
        <f t="shared" si="209"/>
        <v>1-0.025031172362854i</v>
      </c>
      <c r="X226" s="18">
        <f t="shared" si="222"/>
        <v>1.0003132307381817</v>
      </c>
      <c r="Y226" s="18">
        <f t="shared" si="223"/>
        <v>-2.502594648694385E-2</v>
      </c>
      <c r="Z226" s="32" t="str">
        <f t="shared" si="210"/>
        <v>0.999970135541927+0.0113744048552994i</v>
      </c>
      <c r="AA226" s="18">
        <f t="shared" si="224"/>
        <v>1.0000348239244232</v>
      </c>
      <c r="AB226" s="18">
        <f t="shared" si="225"/>
        <v>1.1374254020892923E-2</v>
      </c>
      <c r="AC226" s="68" t="str">
        <f t="shared" si="226"/>
        <v>2.17771135535494-9.30862740934534i</v>
      </c>
      <c r="AD226" s="66">
        <f t="shared" si="227"/>
        <v>19.609127955562798</v>
      </c>
      <c r="AE226" s="63">
        <f t="shared" si="228"/>
        <v>-76.832719458637129</v>
      </c>
      <c r="AF226" s="51" t="str">
        <f t="shared" si="229"/>
        <v>42.1703962805665</v>
      </c>
      <c r="AG226" s="51" t="str">
        <f t="shared" si="211"/>
        <v>1+0.666533843905829i</v>
      </c>
      <c r="AH226" s="51">
        <f t="shared" si="230"/>
        <v>1.2017767534246451</v>
      </c>
      <c r="AI226" s="51">
        <f t="shared" si="231"/>
        <v>0.58791064369138746</v>
      </c>
      <c r="AJ226" s="51" t="str">
        <f t="shared" si="212"/>
        <v>1+0.00151081004618654i</v>
      </c>
      <c r="AK226" s="51">
        <f t="shared" si="232"/>
        <v>1.0000011412728467</v>
      </c>
      <c r="AL226" s="51">
        <f t="shared" si="233"/>
        <v>1.5108088966898038E-3</v>
      </c>
      <c r="AM226" s="51" t="str">
        <f t="shared" si="213"/>
        <v>1-0.00391764586671943i</v>
      </c>
      <c r="AN226" s="51">
        <f t="shared" si="234"/>
        <v>1.0000076739451238</v>
      </c>
      <c r="AO226" s="51">
        <f t="shared" si="235"/>
        <v>-3.9176258242941625E-3</v>
      </c>
      <c r="AP226" s="60" t="str">
        <f t="shared" si="236"/>
        <v>29.1518008128554-19.5321590729037i</v>
      </c>
      <c r="AQ226" s="51">
        <f t="shared" si="237"/>
        <v>30.903754231222663</v>
      </c>
      <c r="AR226" s="63">
        <f t="shared" si="238"/>
        <v>-33.822699066348392</v>
      </c>
      <c r="AS226" s="32" t="str">
        <f t="shared" si="214"/>
        <v>-0.000133283554228113</v>
      </c>
      <c r="AT226" s="32" t="str">
        <f t="shared" si="215"/>
        <v>0.000461552469109988i</v>
      </c>
      <c r="AU226" s="32">
        <f t="shared" si="239"/>
        <v>4.61552469109988E-4</v>
      </c>
      <c r="AV226" s="32">
        <f t="shared" si="240"/>
        <v>1.5707963267948966</v>
      </c>
      <c r="AW226" s="32" t="str">
        <f t="shared" si="216"/>
        <v>1+0.0806990284507422i</v>
      </c>
      <c r="AX226" s="32">
        <f t="shared" si="241"/>
        <v>1.003250882478004</v>
      </c>
      <c r="AY226" s="32">
        <f t="shared" si="242"/>
        <v>8.0524530125826208E-2</v>
      </c>
      <c r="AZ226" s="32" t="str">
        <f t="shared" si="217"/>
        <v>1+1.20261235081472i</v>
      </c>
      <c r="BA226" s="32">
        <f t="shared" si="243"/>
        <v>1.564057692776103</v>
      </c>
      <c r="BB226" s="32">
        <f t="shared" si="244"/>
        <v>0.87712731202277994</v>
      </c>
      <c r="BC226" s="60" t="str">
        <f t="shared" si="245"/>
        <v>-0.321881258834065+0.314747774862497i</v>
      </c>
      <c r="BD226" s="51">
        <f t="shared" si="246"/>
        <v>-6.9320258989831789</v>
      </c>
      <c r="BE226" s="63">
        <f t="shared" si="247"/>
        <v>135.64197735107587</v>
      </c>
      <c r="BF226" s="60" t="str">
        <f t="shared" si="248"/>
        <v>2.22890529167661+3.68170251192812i</v>
      </c>
      <c r="BG226" s="66">
        <f t="shared" si="249"/>
        <v>12.677102056579624</v>
      </c>
      <c r="BH226" s="63">
        <f t="shared" si="250"/>
        <v>58.809257892438751</v>
      </c>
      <c r="BI226" s="60" t="str">
        <f t="shared" si="203"/>
        <v>-3.23571473646504+15.4625003892144i</v>
      </c>
      <c r="BJ226" s="66">
        <f t="shared" si="251"/>
        <v>23.971728332239479</v>
      </c>
      <c r="BK226" s="63">
        <f t="shared" si="204"/>
        <v>101.81927828472747</v>
      </c>
      <c r="BL226" s="51">
        <f t="shared" si="252"/>
        <v>12.677102056579624</v>
      </c>
      <c r="BM226" s="63">
        <f t="shared" si="253"/>
        <v>58.809257892438751</v>
      </c>
    </row>
    <row r="227" spans="14:65" x14ac:dyDescent="0.35">
      <c r="N227" s="11">
        <v>9</v>
      </c>
      <c r="O227" s="52">
        <f t="shared" si="254"/>
        <v>1230.2687708123824</v>
      </c>
      <c r="P227" s="50" t="str">
        <f t="shared" si="206"/>
        <v>36.531007751938</v>
      </c>
      <c r="Q227" s="18" t="str">
        <f t="shared" si="207"/>
        <v>1+3.77511953389895i</v>
      </c>
      <c r="R227" s="18">
        <f t="shared" si="218"/>
        <v>3.9053204087789553</v>
      </c>
      <c r="S227" s="18">
        <f t="shared" si="219"/>
        <v>1.3118512558229904</v>
      </c>
      <c r="T227" s="18" t="str">
        <f t="shared" si="208"/>
        <v>1+0.00154600133293005i</v>
      </c>
      <c r="U227" s="18">
        <f t="shared" si="220"/>
        <v>1.0000011950593466</v>
      </c>
      <c r="V227" s="18">
        <f t="shared" si="221"/>
        <v>1.5460001012221852E-3</v>
      </c>
      <c r="W227" s="32" t="str">
        <f t="shared" si="209"/>
        <v>1-0.0256142232674801i</v>
      </c>
      <c r="X227" s="18">
        <f t="shared" si="222"/>
        <v>1.0003279904279376</v>
      </c>
      <c r="Y227" s="18">
        <f t="shared" si="223"/>
        <v>-2.5608623739712334E-2</v>
      </c>
      <c r="Z227" s="32" t="str">
        <f t="shared" si="210"/>
        <v>0.999968728073379+0.0116393487797921i</v>
      </c>
      <c r="AA227" s="18">
        <f t="shared" si="224"/>
        <v>1.0000364651175022</v>
      </c>
      <c r="AB227" s="18">
        <f t="shared" si="225"/>
        <v>1.1639187158029515E-2</v>
      </c>
      <c r="AC227" s="68" t="str">
        <f t="shared" si="226"/>
        <v>2.07155785891766-9.12470629693649i</v>
      </c>
      <c r="AD227" s="66">
        <f t="shared" si="227"/>
        <v>19.422641713661257</v>
      </c>
      <c r="AE227" s="63">
        <f t="shared" si="228"/>
        <v>-77.209103387209367</v>
      </c>
      <c r="AF227" s="51" t="str">
        <f t="shared" si="229"/>
        <v>42.1703962805665</v>
      </c>
      <c r="AG227" s="51" t="str">
        <f t="shared" si="211"/>
        <v>1+0.682059411586789i</v>
      </c>
      <c r="AH227" s="51">
        <f t="shared" si="230"/>
        <v>1.2104565423566915</v>
      </c>
      <c r="AI227" s="51">
        <f t="shared" si="231"/>
        <v>0.59858355088229243</v>
      </c>
      <c r="AJ227" s="51" t="str">
        <f t="shared" si="212"/>
        <v>1+0.00154600133293005i</v>
      </c>
      <c r="AK227" s="51">
        <f t="shared" si="232"/>
        <v>1.0000011950593466</v>
      </c>
      <c r="AL227" s="51">
        <f t="shared" si="233"/>
        <v>1.5460001012221852E-3</v>
      </c>
      <c r="AM227" s="51" t="str">
        <f t="shared" si="213"/>
        <v>1-0.00400889956165165i</v>
      </c>
      <c r="AN227" s="51">
        <f t="shared" si="234"/>
        <v>1.0000080356055623</v>
      </c>
      <c r="AO227" s="51">
        <f t="shared" si="235"/>
        <v>-4.0088780858153726E-3</v>
      </c>
      <c r="AP227" s="60" t="str">
        <f t="shared" si="236"/>
        <v>28.733055664624-19.7015124340078i</v>
      </c>
      <c r="AQ227" s="51">
        <f t="shared" si="237"/>
        <v>30.841249777793568</v>
      </c>
      <c r="AR227" s="63">
        <f t="shared" si="238"/>
        <v>-34.437423665482605</v>
      </c>
      <c r="AS227" s="32" t="str">
        <f t="shared" si="214"/>
        <v>-0.000133283554228113</v>
      </c>
      <c r="AT227" s="32" t="str">
        <f t="shared" si="215"/>
        <v>0.00047230340721013i</v>
      </c>
      <c r="AU227" s="32">
        <f t="shared" si="239"/>
        <v>4.7230340721013002E-4</v>
      </c>
      <c r="AV227" s="32">
        <f t="shared" si="240"/>
        <v>1.5707963267948966</v>
      </c>
      <c r="AW227" s="32" t="str">
        <f t="shared" si="216"/>
        <v>1+0.0825787502975096i</v>
      </c>
      <c r="AX227" s="32">
        <f t="shared" si="241"/>
        <v>1.0034038319643286</v>
      </c>
      <c r="AY227" s="32">
        <f t="shared" si="242"/>
        <v>8.2391806213524849E-2</v>
      </c>
      <c r="AZ227" s="32" t="str">
        <f t="shared" si="217"/>
        <v>1+1.23062479101898i</v>
      </c>
      <c r="BA227" s="32">
        <f t="shared" si="243"/>
        <v>1.5856977569103476</v>
      </c>
      <c r="BB227" s="32">
        <f t="shared" si="244"/>
        <v>0.888422331817877</v>
      </c>
      <c r="BC227" s="60" t="str">
        <f t="shared" si="245"/>
        <v>-0.321783137181689+0.308771459957307i</v>
      </c>
      <c r="BD227" s="51">
        <f t="shared" si="246"/>
        <v>-7.0139971319583738</v>
      </c>
      <c r="BE227" s="63">
        <f t="shared" si="247"/>
        <v>136.18214727584089</v>
      </c>
      <c r="BF227" s="60" t="str">
        <f t="shared" si="248"/>
        <v>2.1508564982908+3.57581456257377i</v>
      </c>
      <c r="BG227" s="66">
        <f t="shared" si="249"/>
        <v>12.408644581702868</v>
      </c>
      <c r="BH227" s="63">
        <f t="shared" si="250"/>
        <v>58.97304388863158</v>
      </c>
      <c r="BI227" s="60" t="str">
        <f t="shared" si="203"/>
        <v>-3.16254803496319+15.2115620248396i</v>
      </c>
      <c r="BJ227" s="66">
        <f t="shared" si="251"/>
        <v>23.827252645835195</v>
      </c>
      <c r="BK227" s="63">
        <f t="shared" si="204"/>
        <v>101.74472361035831</v>
      </c>
      <c r="BL227" s="51">
        <f t="shared" si="252"/>
        <v>12.408644581702868</v>
      </c>
      <c r="BM227" s="63">
        <f t="shared" si="253"/>
        <v>58.97304388863158</v>
      </c>
    </row>
    <row r="228" spans="14:65" x14ac:dyDescent="0.35">
      <c r="N228" s="11">
        <v>10</v>
      </c>
      <c r="O228" s="52">
        <f t="shared" si="254"/>
        <v>1258.925411794168</v>
      </c>
      <c r="P228" s="50" t="str">
        <f t="shared" si="206"/>
        <v>36.531007751938</v>
      </c>
      <c r="Q228" s="18" t="str">
        <f t="shared" si="207"/>
        <v>1+3.86305336406099i</v>
      </c>
      <c r="R228" s="18">
        <f t="shared" si="218"/>
        <v>3.9903861083337455</v>
      </c>
      <c r="S228" s="18">
        <f t="shared" si="219"/>
        <v>1.3174939524820548</v>
      </c>
      <c r="T228" s="18" t="str">
        <f t="shared" si="208"/>
        <v>1+0.00158201233004403i</v>
      </c>
      <c r="U228" s="18">
        <f t="shared" si="220"/>
        <v>1.0000012513807233</v>
      </c>
      <c r="V228" s="18">
        <f t="shared" si="221"/>
        <v>1.5820110102453635E-3</v>
      </c>
      <c r="W228" s="32" t="str">
        <f t="shared" si="209"/>
        <v>1-0.0262108551723271i</v>
      </c>
      <c r="X228" s="18">
        <f t="shared" si="222"/>
        <v>1.000343445487031</v>
      </c>
      <c r="Y228" s="18">
        <f t="shared" si="223"/>
        <v>-2.6204855281474614E-2</v>
      </c>
      <c r="Z228" s="32" t="str">
        <f t="shared" si="210"/>
        <v>0.999967254272883+0.0119104640410728i</v>
      </c>
      <c r="AA228" s="18">
        <f t="shared" si="224"/>
        <v>1.0000381836568655</v>
      </c>
      <c r="AB228" s="18">
        <f t="shared" si="225"/>
        <v>1.1910290860476215E-2</v>
      </c>
      <c r="AC228" s="68" t="str">
        <f t="shared" si="226"/>
        <v>1.96956793225965-8.94325037973063i</v>
      </c>
      <c r="AD228" s="66">
        <f t="shared" si="227"/>
        <v>19.235596494410174</v>
      </c>
      <c r="AE228" s="63">
        <f t="shared" si="228"/>
        <v>-77.580037466659064</v>
      </c>
      <c r="AF228" s="51" t="str">
        <f t="shared" si="229"/>
        <v>42.1703962805665</v>
      </c>
      <c r="AG228" s="51" t="str">
        <f t="shared" si="211"/>
        <v>1+0.697946616195896i</v>
      </c>
      <c r="AH228" s="51">
        <f t="shared" si="230"/>
        <v>1.2194791835284855</v>
      </c>
      <c r="AI228" s="51">
        <f t="shared" si="231"/>
        <v>0.60934652461392058</v>
      </c>
      <c r="AJ228" s="51" t="str">
        <f t="shared" si="212"/>
        <v>1+0.00158201233004403i</v>
      </c>
      <c r="AK228" s="51">
        <f t="shared" si="232"/>
        <v>1.0000012513807233</v>
      </c>
      <c r="AL228" s="51">
        <f t="shared" si="233"/>
        <v>1.5820110102453635E-3</v>
      </c>
      <c r="AM228" s="51" t="str">
        <f t="shared" si="213"/>
        <v>1-0.00410227882819553i</v>
      </c>
      <c r="AN228" s="51">
        <f t="shared" si="234"/>
        <v>1.0000084143103918</v>
      </c>
      <c r="AO228" s="51">
        <f t="shared" si="235"/>
        <v>-4.1022558164328206E-3</v>
      </c>
      <c r="AP228" s="60" t="str">
        <f t="shared" si="236"/>
        <v>28.307213556178-19.8632045524287i</v>
      </c>
      <c r="AQ228" s="51">
        <f t="shared" si="237"/>
        <v>30.776749771504164</v>
      </c>
      <c r="AR228" s="63">
        <f t="shared" si="238"/>
        <v>-35.05738351207647</v>
      </c>
      <c r="AS228" s="32" t="str">
        <f t="shared" si="214"/>
        <v>-0.000133283554228113</v>
      </c>
      <c r="AT228" s="32" t="str">
        <f t="shared" si="215"/>
        <v>0.00048330476682845i</v>
      </c>
      <c r="AU228" s="32">
        <f t="shared" si="239"/>
        <v>4.8330476682845001E-4</v>
      </c>
      <c r="AV228" s="32">
        <f t="shared" si="240"/>
        <v>1.5707963267948966</v>
      </c>
      <c r="AW228" s="32" t="str">
        <f t="shared" si="216"/>
        <v>1+0.0845022564907439i</v>
      </c>
      <c r="AX228" s="32">
        <f t="shared" si="241"/>
        <v>1.0035639647536312</v>
      </c>
      <c r="AY228" s="32">
        <f t="shared" si="242"/>
        <v>8.4301980696415896E-2</v>
      </c>
      <c r="AZ228" s="32" t="str">
        <f t="shared" si="217"/>
        <v>1+1.25928972477669i</v>
      </c>
      <c r="BA228" s="32">
        <f t="shared" si="243"/>
        <v>1.6080455873289639</v>
      </c>
      <c r="BB228" s="32">
        <f t="shared" si="244"/>
        <v>0.8996642733390976</v>
      </c>
      <c r="BC228" s="60" t="str">
        <f t="shared" si="245"/>
        <v>-0.321680455295719+0.302958101238211i</v>
      </c>
      <c r="BD228" s="51">
        <f t="shared" si="246"/>
        <v>-7.0938243031911528</v>
      </c>
      <c r="BE228" s="63">
        <f t="shared" si="247"/>
        <v>136.71681814253631</v>
      </c>
      <c r="BF228" s="60" t="str">
        <f t="shared" si="248"/>
        <v>2.07585864475597+3.47356541499241i</v>
      </c>
      <c r="BG228" s="66">
        <f t="shared" si="249"/>
        <v>12.141772191219015</v>
      </c>
      <c r="BH228" s="63">
        <f t="shared" si="250"/>
        <v>59.136780675877219</v>
      </c>
      <c r="BI228" s="60" t="str">
        <f t="shared" si="203"/>
        <v>-3.0881586091945+14.9655043543815i</v>
      </c>
      <c r="BJ228" s="66">
        <f t="shared" si="251"/>
        <v>23.682925468313016</v>
      </c>
      <c r="BK228" s="63">
        <f t="shared" si="204"/>
        <v>101.65943463045986</v>
      </c>
      <c r="BL228" s="51">
        <f t="shared" si="252"/>
        <v>12.141772191219015</v>
      </c>
      <c r="BM228" s="63">
        <f t="shared" si="253"/>
        <v>59.136780675877219</v>
      </c>
    </row>
    <row r="229" spans="14:65" x14ac:dyDescent="0.35">
      <c r="N229" s="11">
        <v>11</v>
      </c>
      <c r="O229" s="52">
        <f t="shared" si="254"/>
        <v>1288.2495516931347</v>
      </c>
      <c r="P229" s="50" t="str">
        <f t="shared" si="206"/>
        <v>36.531007751938</v>
      </c>
      <c r="Q229" s="18" t="str">
        <f t="shared" si="207"/>
        <v>1+3.9530354362502i</v>
      </c>
      <c r="R229" s="18">
        <f t="shared" si="218"/>
        <v>4.0775592160322827</v>
      </c>
      <c r="S229" s="18">
        <f t="shared" si="219"/>
        <v>1.3230241801072449</v>
      </c>
      <c r="T229" s="18" t="str">
        <f t="shared" si="208"/>
        <v>1+0.0016188621310358i</v>
      </c>
      <c r="U229" s="18">
        <f t="shared" si="220"/>
        <v>1.0000013103564411</v>
      </c>
      <c r="V229" s="18">
        <f t="shared" si="221"/>
        <v>1.6188607168461501E-3</v>
      </c>
      <c r="W229" s="32" t="str">
        <f t="shared" si="209"/>
        <v>1-0.026821384419528i</v>
      </c>
      <c r="X229" s="18">
        <f t="shared" si="222"/>
        <v>1.0003596286647018</v>
      </c>
      <c r="Y229" s="18">
        <f t="shared" si="223"/>
        <v>-2.6814955545470153E-2</v>
      </c>
      <c r="Z229" s="32" t="str">
        <f t="shared" si="210"/>
        <v>0.999965711014309+0.0121878943880417i</v>
      </c>
      <c r="AA229" s="18">
        <f t="shared" si="224"/>
        <v>1.0000399831876556</v>
      </c>
      <c r="AB229" s="18">
        <f t="shared" si="225"/>
        <v>1.2187708821960894E-2</v>
      </c>
      <c r="AC229" s="68" t="str">
        <f t="shared" si="226"/>
        <v>1.87160324418571-8.76430209225792i</v>
      </c>
      <c r="AD229" s="66">
        <f t="shared" si="227"/>
        <v>19.048014755315354</v>
      </c>
      <c r="AE229" s="63">
        <f t="shared" si="228"/>
        <v>-77.945635885225499</v>
      </c>
      <c r="AF229" s="51" t="str">
        <f t="shared" si="229"/>
        <v>42.1703962805665</v>
      </c>
      <c r="AG229" s="51" t="str">
        <f t="shared" si="211"/>
        <v>1+0.714203881339325i</v>
      </c>
      <c r="AH229" s="51">
        <f t="shared" si="230"/>
        <v>1.2288560469477932</v>
      </c>
      <c r="AI229" s="51">
        <f t="shared" si="231"/>
        <v>0.62019529720479294</v>
      </c>
      <c r="AJ229" s="51" t="str">
        <f t="shared" si="212"/>
        <v>1+0.0016188621310358i</v>
      </c>
      <c r="AK229" s="51">
        <f t="shared" si="232"/>
        <v>1.0000013103564411</v>
      </c>
      <c r="AL229" s="51">
        <f t="shared" si="233"/>
        <v>1.6188607168461501E-3</v>
      </c>
      <c r="AM229" s="51" t="str">
        <f t="shared" si="213"/>
        <v>1-0.00419783317727418i</v>
      </c>
      <c r="AN229" s="51">
        <f t="shared" si="234"/>
        <v>1.0000088108628764</v>
      </c>
      <c r="AO229" s="51">
        <f t="shared" si="235"/>
        <v>-4.1978085197379228E-3</v>
      </c>
      <c r="AP229" s="60" t="str">
        <f t="shared" si="236"/>
        <v>27.8745553096641-20.0168718237857i</v>
      </c>
      <c r="AQ229" s="51">
        <f t="shared" si="237"/>
        <v>30.710221336643947</v>
      </c>
      <c r="AR229" s="63">
        <f t="shared" si="238"/>
        <v>-35.68233582838652</v>
      </c>
      <c r="AS229" s="32" t="str">
        <f t="shared" si="214"/>
        <v>-0.000133283554228113</v>
      </c>
      <c r="AT229" s="32" t="str">
        <f t="shared" si="215"/>
        <v>0.000494562381031436i</v>
      </c>
      <c r="AU229" s="32">
        <f t="shared" si="239"/>
        <v>4.9456238103143604E-4</v>
      </c>
      <c r="AV229" s="32">
        <f t="shared" si="240"/>
        <v>1.5707963267948966</v>
      </c>
      <c r="AW229" s="32" t="str">
        <f t="shared" si="216"/>
        <v>1+0.086470566898889i</v>
      </c>
      <c r="AX229" s="32">
        <f t="shared" si="241"/>
        <v>1.0037316169872379</v>
      </c>
      <c r="AY229" s="32">
        <f t="shared" si="242"/>
        <v>8.625601058503278E-2</v>
      </c>
      <c r="AZ229" s="32" t="str">
        <f t="shared" si="217"/>
        <v>1+1.28862235061515i</v>
      </c>
      <c r="BA229" s="32">
        <f t="shared" si="243"/>
        <v>1.6311185004483624</v>
      </c>
      <c r="BB229" s="32">
        <f t="shared" si="244"/>
        <v>0.91084773170166211</v>
      </c>
      <c r="BC229" s="60" t="str">
        <f t="shared" si="245"/>
        <v>-0.32157300437567+0.297304562914368i</v>
      </c>
      <c r="BD229" s="51">
        <f t="shared" si="246"/>
        <v>-7.1715320799847024</v>
      </c>
      <c r="BE229" s="63">
        <f t="shared" si="247"/>
        <v>137.24562544141145</v>
      </c>
      <c r="BF229" s="60" t="str">
        <f t="shared" si="248"/>
        <v>2.00380992455617+3.3747991395251i</v>
      </c>
      <c r="BG229" s="66">
        <f t="shared" si="249"/>
        <v>11.876482675330655</v>
      </c>
      <c r="BH229" s="63">
        <f t="shared" si="250"/>
        <v>59.299989556186034</v>
      </c>
      <c r="BI229" s="60" t="str">
        <f t="shared" si="203"/>
        <v>-3.01259716808093+14.7241180933495i</v>
      </c>
      <c r="BJ229" s="66">
        <f t="shared" si="251"/>
        <v>23.538689256659229</v>
      </c>
      <c r="BK229" s="63">
        <f t="shared" si="204"/>
        <v>101.56328961302493</v>
      </c>
      <c r="BL229" s="51">
        <f t="shared" si="252"/>
        <v>11.876482675330655</v>
      </c>
      <c r="BM229" s="63">
        <f t="shared" si="253"/>
        <v>59.299989556186034</v>
      </c>
    </row>
    <row r="230" spans="14:65" x14ac:dyDescent="0.35">
      <c r="N230" s="11">
        <v>12</v>
      </c>
      <c r="O230" s="52">
        <f t="shared" si="254"/>
        <v>1318.2567385564089</v>
      </c>
      <c r="P230" s="50" t="str">
        <f t="shared" si="206"/>
        <v>36.531007751938</v>
      </c>
      <c r="Q230" s="18" t="str">
        <f t="shared" si="207"/>
        <v>1+4.04511346015233i</v>
      </c>
      <c r="R230" s="18">
        <f t="shared" si="218"/>
        <v>4.1668864761960531</v>
      </c>
      <c r="S230" s="18">
        <f t="shared" si="219"/>
        <v>1.3284435172620899</v>
      </c>
      <c r="T230" s="18" t="str">
        <f t="shared" si="208"/>
        <v>1+0.00165657027415762i</v>
      </c>
      <c r="U230" s="18">
        <f t="shared" si="220"/>
        <v>1.0000013721115952</v>
      </c>
      <c r="V230" s="18">
        <f t="shared" si="221"/>
        <v>1.656568758826221E-3</v>
      </c>
      <c r="W230" s="32" t="str">
        <f t="shared" si="209"/>
        <v>1-0.0274461347197713i</v>
      </c>
      <c r="X230" s="18">
        <f t="shared" si="222"/>
        <v>1.0003765742514446</v>
      </c>
      <c r="Y230" s="18">
        <f t="shared" si="223"/>
        <v>-2.7439246197150994E-2</v>
      </c>
      <c r="Z230" s="32" t="str">
        <f t="shared" si="210"/>
        <v>0.999964095024199+0.012471786917941i</v>
      </c>
      <c r="AA230" s="18">
        <f t="shared" si="224"/>
        <v>1.0000418675268012</v>
      </c>
      <c r="AB230" s="18">
        <f t="shared" si="225"/>
        <v>1.2471588080607898E-2</v>
      </c>
      <c r="AC230" s="68" t="str">
        <f t="shared" si="226"/>
        <v>1.77752796686314-8.58789788570502i</v>
      </c>
      <c r="AD230" s="66">
        <f t="shared" si="227"/>
        <v>18.859918222270007</v>
      </c>
      <c r="AE230" s="63">
        <f t="shared" si="228"/>
        <v>-78.306014823239934</v>
      </c>
      <c r="AF230" s="51" t="str">
        <f t="shared" si="229"/>
        <v>42.1703962805665</v>
      </c>
      <c r="AG230" s="51" t="str">
        <f t="shared" si="211"/>
        <v>1+0.730839826834247i</v>
      </c>
      <c r="AH230" s="51">
        <f t="shared" si="230"/>
        <v>1.2385987455536649</v>
      </c>
      <c r="AI230" s="51">
        <f t="shared" si="231"/>
        <v>0.63112540611650003</v>
      </c>
      <c r="AJ230" s="51" t="str">
        <f t="shared" si="212"/>
        <v>1+0.00165657027415762i</v>
      </c>
      <c r="AK230" s="51">
        <f t="shared" si="232"/>
        <v>1.0000013721115952</v>
      </c>
      <c r="AL230" s="51">
        <f t="shared" si="233"/>
        <v>1.656568758826221E-3</v>
      </c>
      <c r="AM230" s="51" t="str">
        <f t="shared" si="213"/>
        <v>1-0.00429561327306833i</v>
      </c>
      <c r="AN230" s="51">
        <f t="shared" si="234"/>
        <v>1.0000092261041353</v>
      </c>
      <c r="AO230" s="51">
        <f t="shared" si="235"/>
        <v>-4.2955868520553756E-3</v>
      </c>
      <c r="AP230" s="60" t="str">
        <f t="shared" si="236"/>
        <v>27.4353854802376-20.1621618625732i</v>
      </c>
      <c r="AQ230" s="51">
        <f t="shared" si="237"/>
        <v>30.641632981190654</v>
      </c>
      <c r="AR230" s="63">
        <f t="shared" si="238"/>
        <v>-36.312026712756243</v>
      </c>
      <c r="AS230" s="32" t="str">
        <f t="shared" si="214"/>
        <v>-0.000133283554228113</v>
      </c>
      <c r="AT230" s="32" t="str">
        <f t="shared" si="215"/>
        <v>0.000506082218755154i</v>
      </c>
      <c r="AU230" s="32">
        <f t="shared" si="239"/>
        <v>5.06082218755154E-4</v>
      </c>
      <c r="AV230" s="32">
        <f t="shared" si="240"/>
        <v>1.5707963267948966</v>
      </c>
      <c r="AW230" s="32" t="str">
        <f t="shared" si="216"/>
        <v>1+0.0884847251461774i</v>
      </c>
      <c r="AX230" s="32">
        <f t="shared" si="241"/>
        <v>1.0039071404189706</v>
      </c>
      <c r="AY230" s="32">
        <f t="shared" si="242"/>
        <v>8.8254872211209215E-2</v>
      </c>
      <c r="AZ230" s="32" t="str">
        <f t="shared" si="217"/>
        <v>1+1.31863822108084i</v>
      </c>
      <c r="BA230" s="32">
        <f t="shared" si="243"/>
        <v>1.6549340645763631</v>
      </c>
      <c r="BB230" s="32">
        <f t="shared" si="244"/>
        <v>0.92196744739573466</v>
      </c>
      <c r="BC230" s="60" t="str">
        <f t="shared" si="245"/>
        <v>-0.321460566360837+0.291807790203438i</v>
      </c>
      <c r="BD230" s="51">
        <f t="shared" si="246"/>
        <v>-7.2471472199953881</v>
      </c>
      <c r="BE230" s="63">
        <f t="shared" si="247"/>
        <v>137.76821188505676</v>
      </c>
      <c r="BF230" s="60" t="str">
        <f t="shared" si="248"/>
        <v>1.93461035757031+3.27936702622291i</v>
      </c>
      <c r="BG230" s="66">
        <f t="shared" si="249"/>
        <v>11.612771002274618</v>
      </c>
      <c r="BH230" s="63">
        <f t="shared" si="250"/>
        <v>59.462197061816767</v>
      </c>
      <c r="BI230" s="60" t="str">
        <f t="shared" si="203"/>
        <v>-2.93591865596354+14.4871991817693i</v>
      </c>
      <c r="BJ230" s="66">
        <f t="shared" si="251"/>
        <v>23.394485761195281</v>
      </c>
      <c r="BK230" s="63">
        <f t="shared" si="204"/>
        <v>101.45618517230048</v>
      </c>
      <c r="BL230" s="51">
        <f t="shared" si="252"/>
        <v>11.612771002274618</v>
      </c>
      <c r="BM230" s="63">
        <f t="shared" si="253"/>
        <v>59.462197061816767</v>
      </c>
    </row>
    <row r="231" spans="14:65" x14ac:dyDescent="0.35">
      <c r="N231" s="11">
        <v>13</v>
      </c>
      <c r="O231" s="52">
        <f t="shared" si="254"/>
        <v>1348.9628825916541</v>
      </c>
      <c r="P231" s="50" t="str">
        <f t="shared" si="206"/>
        <v>36.531007751938</v>
      </c>
      <c r="Q231" s="18" t="str">
        <f t="shared" si="207"/>
        <v>1+4.13933625675443i</v>
      </c>
      <c r="R231" s="18">
        <f t="shared" si="218"/>
        <v>4.2584157437340213</v>
      </c>
      <c r="S231" s="18">
        <f t="shared" si="219"/>
        <v>1.333753563513062</v>
      </c>
      <c r="T231" s="18" t="str">
        <f t="shared" si="208"/>
        <v>1+0.0016951567527661i</v>
      </c>
      <c r="U231" s="18">
        <f t="shared" si="220"/>
        <v>1.0000014367771761</v>
      </c>
      <c r="V231" s="18">
        <f t="shared" si="221"/>
        <v>1.6951551290593783E-3</v>
      </c>
      <c r="W231" s="32" t="str">
        <f t="shared" si="209"/>
        <v>1-0.0280854373239354i</v>
      </c>
      <c r="X231" s="18">
        <f t="shared" si="222"/>
        <v>1.0003943181514361</v>
      </c>
      <c r="Y231" s="18">
        <f t="shared" si="223"/>
        <v>-2.8078056296086919E-2</v>
      </c>
      <c r="Z231" s="32" t="str">
        <f t="shared" si="210"/>
        <v>0.999962402874822+0.0127622921543478i</v>
      </c>
      <c r="AA231" s="18">
        <f t="shared" si="224"/>
        <v>1.0000438406711083</v>
      </c>
      <c r="AB231" s="18">
        <f t="shared" si="225"/>
        <v>1.2762079096648855E-2</v>
      </c>
      <c r="AC231" s="68" t="str">
        <f t="shared" si="226"/>
        <v>1.68720892207261-8.41406855227287i</v>
      </c>
      <c r="AD231" s="66">
        <f t="shared" si="227"/>
        <v>18.671327904095453</v>
      </c>
      <c r="AE231" s="63">
        <f t="shared" si="228"/>
        <v>-78.66129225806381</v>
      </c>
      <c r="AF231" s="51" t="str">
        <f t="shared" si="229"/>
        <v>42.1703962805665</v>
      </c>
      <c r="AG231" s="51" t="str">
        <f t="shared" si="211"/>
        <v>1+0.747863273279164i</v>
      </c>
      <c r="AH231" s="51">
        <f t="shared" si="230"/>
        <v>1.2487191339608061</v>
      </c>
      <c r="AI231" s="51">
        <f t="shared" si="231"/>
        <v>0.64213220055439324</v>
      </c>
      <c r="AJ231" s="51" t="str">
        <f t="shared" si="212"/>
        <v>1+0.0016951567527661i</v>
      </c>
      <c r="AK231" s="51">
        <f t="shared" si="232"/>
        <v>1.0000014367771761</v>
      </c>
      <c r="AL231" s="51">
        <f t="shared" si="233"/>
        <v>1.6951551290593783E-3</v>
      </c>
      <c r="AM231" s="51" t="str">
        <f t="shared" si="213"/>
        <v>1-0.00439567095987901i</v>
      </c>
      <c r="AN231" s="51">
        <f t="shared" si="234"/>
        <v>1.0000096609149272</v>
      </c>
      <c r="AO231" s="51">
        <f t="shared" si="235"/>
        <v>-4.395642649268337E-3</v>
      </c>
      <c r="AP231" s="60" t="str">
        <f t="shared" si="236"/>
        <v>26.9900318612337-20.2987353279264i</v>
      </c>
      <c r="AQ231" s="51">
        <f t="shared" si="237"/>
        <v>30.570954707877277</v>
      </c>
      <c r="AR231" s="63">
        <f t="shared" si="238"/>
        <v>-36.946191518750581</v>
      </c>
      <c r="AS231" s="32" t="str">
        <f t="shared" si="214"/>
        <v>-0.000133283554228113</v>
      </c>
      <c r="AT231" s="32" t="str">
        <f t="shared" si="215"/>
        <v>0.000517870387970044i</v>
      </c>
      <c r="AU231" s="32">
        <f t="shared" si="239"/>
        <v>5.1787038797004403E-4</v>
      </c>
      <c r="AV231" s="32">
        <f t="shared" si="240"/>
        <v>1.5707963267948966</v>
      </c>
      <c r="AW231" s="32" t="str">
        <f t="shared" si="216"/>
        <v>1+0.0905457991659718i</v>
      </c>
      <c r="AX231" s="32">
        <f t="shared" si="241"/>
        <v>1.0040909031290963</v>
      </c>
      <c r="AY231" s="32">
        <f t="shared" si="242"/>
        <v>9.0299561471630693E-2</v>
      </c>
      <c r="AZ231" s="32" t="str">
        <f t="shared" si="217"/>
        <v>1+1.34935325098558i</v>
      </c>
      <c r="BA231" s="32">
        <f t="shared" si="243"/>
        <v>1.6795101059372501</v>
      </c>
      <c r="BB231" s="32">
        <f t="shared" si="244"/>
        <v>0.93301831727263862</v>
      </c>
      <c r="BC231" s="60" t="str">
        <f t="shared" si="245"/>
        <v>-0.321342913548438+0.286464807456371i</v>
      </c>
      <c r="BD231" s="51">
        <f t="shared" si="246"/>
        <v>-7.3206984849696148</v>
      </c>
      <c r="BE231" s="63">
        <f t="shared" si="247"/>
        <v>138.28422802391361</v>
      </c>
      <c r="BF231" s="60" t="str">
        <f t="shared" si="248"/>
        <v>1.86816189696782+3.18712728238385i</v>
      </c>
      <c r="BG231" s="66">
        <f t="shared" si="249"/>
        <v>11.350629419125831</v>
      </c>
      <c r="BH231" s="63">
        <f t="shared" si="250"/>
        <v>59.622935765849832</v>
      </c>
      <c r="BI231" s="60" t="str">
        <f t="shared" si="203"/>
        <v>-2.85818216773174+14.2545490319941i</v>
      </c>
      <c r="BJ231" s="66">
        <f t="shared" si="251"/>
        <v>23.250256222907662</v>
      </c>
      <c r="BK231" s="63">
        <f t="shared" si="204"/>
        <v>101.33803650516306</v>
      </c>
      <c r="BL231" s="51">
        <f t="shared" si="252"/>
        <v>11.350629419125831</v>
      </c>
      <c r="BM231" s="63">
        <f t="shared" si="253"/>
        <v>59.622935765849832</v>
      </c>
    </row>
    <row r="232" spans="14:65" x14ac:dyDescent="0.35">
      <c r="N232" s="11">
        <v>14</v>
      </c>
      <c r="O232" s="52">
        <f t="shared" si="254"/>
        <v>1380.3842646028863</v>
      </c>
      <c r="P232" s="50" t="str">
        <f t="shared" si="206"/>
        <v>36.531007751938</v>
      </c>
      <c r="Q232" s="18" t="str">
        <f t="shared" si="207"/>
        <v>1+4.23575378423045i</v>
      </c>
      <c r="R232" s="18">
        <f t="shared" si="218"/>
        <v>4.352196011282417</v>
      </c>
      <c r="S232" s="18">
        <f t="shared" si="219"/>
        <v>1.3389559359962058</v>
      </c>
      <c r="T232" s="18" t="str">
        <f t="shared" si="208"/>
        <v>1+0.00173464202592295i</v>
      </c>
      <c r="U232" s="18">
        <f t="shared" si="220"/>
        <v>1.0000015044903474</v>
      </c>
      <c r="V232" s="18">
        <f t="shared" si="221"/>
        <v>1.734640286089993E-3</v>
      </c>
      <c r="W232" s="32" t="str">
        <f t="shared" si="209"/>
        <v>1-0.0287396311987235i</v>
      </c>
      <c r="X232" s="18">
        <f t="shared" si="222"/>
        <v>1.0004128979583573</v>
      </c>
      <c r="Y232" s="18">
        <f t="shared" si="223"/>
        <v>-2.8731722461177948E-2</v>
      </c>
      <c r="Z232" s="32" t="str">
        <f t="shared" si="210"/>
        <v>0.999960630976902+0.0130595641269838i</v>
      </c>
      <c r="AA232" s="18">
        <f t="shared" si="224"/>
        <v>1.0000459068057381</v>
      </c>
      <c r="AB232" s="18">
        <f t="shared" si="225"/>
        <v>1.305933583193006E-2</v>
      </c>
      <c r="AC232" s="68" t="str">
        <f t="shared" si="226"/>
        <v>1.60051570573879-8.2428395423461i</v>
      </c>
      <c r="AD232" s="66">
        <f t="shared" si="227"/>
        <v>18.482264107840646</v>
      </c>
      <c r="AE232" s="63">
        <f t="shared" si="228"/>
        <v>-79.011587780785334</v>
      </c>
      <c r="AF232" s="51" t="str">
        <f t="shared" si="229"/>
        <v>42.1703962805665</v>
      </c>
      <c r="AG232" s="51" t="str">
        <f t="shared" si="211"/>
        <v>1+0.765283246730716i</v>
      </c>
      <c r="AH232" s="51">
        <f t="shared" si="230"/>
        <v>1.2592293070472533</v>
      </c>
      <c r="AI232" s="51">
        <f t="shared" si="231"/>
        <v>0.65321084905817151</v>
      </c>
      <c r="AJ232" s="51" t="str">
        <f t="shared" si="212"/>
        <v>1+0.00173464202592295i</v>
      </c>
      <c r="AK232" s="51">
        <f t="shared" si="232"/>
        <v>1.0000015044903474</v>
      </c>
      <c r="AL232" s="51">
        <f t="shared" si="233"/>
        <v>1.734640286089993E-3</v>
      </c>
      <c r="AM232" s="51" t="str">
        <f t="shared" si="213"/>
        <v>1-0.00449805928961621i</v>
      </c>
      <c r="AN232" s="51">
        <f t="shared" si="234"/>
        <v>1.0000101162175175</v>
      </c>
      <c r="AO232" s="51">
        <f t="shared" si="235"/>
        <v>-4.4980289542669045E-3</v>
      </c>
      <c r="AP232" s="60" t="str">
        <f t="shared" si="236"/>
        <v>26.5388448259725-20.4262677340014i</v>
      </c>
      <c r="AQ232" s="51">
        <f t="shared" si="237"/>
        <v>30.498158122535621</v>
      </c>
      <c r="AR232" s="63">
        <f t="shared" si="238"/>
        <v>-37.584555291031101</v>
      </c>
      <c r="AS232" s="32" t="str">
        <f t="shared" si="214"/>
        <v>-0.000133283554228113</v>
      </c>
      <c r="AT232" s="32" t="str">
        <f t="shared" si="215"/>
        <v>0.000529933138919461i</v>
      </c>
      <c r="AU232" s="32">
        <f t="shared" si="239"/>
        <v>5.2993313891946101E-4</v>
      </c>
      <c r="AV232" s="32">
        <f t="shared" si="240"/>
        <v>1.5707963267948966</v>
      </c>
      <c r="AW232" s="32" t="str">
        <f t="shared" si="216"/>
        <v>1+0.0926548817669995i</v>
      </c>
      <c r="AX232" s="32">
        <f t="shared" si="241"/>
        <v>1.0042832902698604</v>
      </c>
      <c r="AY232" s="32">
        <f t="shared" si="242"/>
        <v>9.2391094063005455E-2</v>
      </c>
      <c r="AZ232" s="32" t="str">
        <f t="shared" si="217"/>
        <v>1+1.3807837258448i</v>
      </c>
      <c r="BA232" s="32">
        <f t="shared" si="243"/>
        <v>1.7048647153243122</v>
      </c>
      <c r="BB232" s="32">
        <f t="shared" si="244"/>
        <v>0.94399540463084852</v>
      </c>
      <c r="BC232" s="60" t="str">
        <f t="shared" si="245"/>
        <v>-0.321219808198777+0.281272716307176i</v>
      </c>
      <c r="BD232" s="51">
        <f t="shared" si="246"/>
        <v>-7.3922165492253766</v>
      </c>
      <c r="BE232" s="63">
        <f t="shared" si="247"/>
        <v>138.79333281068557</v>
      </c>
      <c r="BF232" s="60" t="str">
        <f t="shared" si="248"/>
        <v>1.80436852014334+3.09794473685116i</v>
      </c>
      <c r="BG232" s="66">
        <f t="shared" si="249"/>
        <v>11.090047558615277</v>
      </c>
      <c r="BH232" s="63">
        <f t="shared" si="250"/>
        <v>59.781745029900321</v>
      </c>
      <c r="BI232" s="60" t="str">
        <f t="shared" si="203"/>
        <v>-2.77945083525579+14.0259747755887i</v>
      </c>
      <c r="BJ232" s="66">
        <f t="shared" si="251"/>
        <v>23.105941573310226</v>
      </c>
      <c r="BK232" s="63">
        <f t="shared" si="204"/>
        <v>101.20877751965448</v>
      </c>
      <c r="BL232" s="51">
        <f t="shared" si="252"/>
        <v>11.090047558615277</v>
      </c>
      <c r="BM232" s="63">
        <f t="shared" si="253"/>
        <v>59.781745029900321</v>
      </c>
    </row>
    <row r="233" spans="14:65" x14ac:dyDescent="0.35">
      <c r="N233" s="11">
        <v>15</v>
      </c>
      <c r="O233" s="52">
        <f t="shared" si="254"/>
        <v>1412.5375446227545</v>
      </c>
      <c r="P233" s="50" t="str">
        <f t="shared" si="206"/>
        <v>36.531007751938</v>
      </c>
      <c r="Q233" s="18" t="str">
        <f t="shared" si="207"/>
        <v>1+4.33441716442971i</v>
      </c>
      <c r="R233" s="18">
        <f t="shared" si="218"/>
        <v>4.4482774368628233</v>
      </c>
      <c r="S233" s="18">
        <f t="shared" si="219"/>
        <v>1.3440522661793521</v>
      </c>
      <c r="T233" s="18" t="str">
        <f t="shared" si="208"/>
        <v>1+0.00177504702924264i</v>
      </c>
      <c r="U233" s="18">
        <f t="shared" si="220"/>
        <v>1.0000015753947371</v>
      </c>
      <c r="V233" s="18">
        <f t="shared" si="221"/>
        <v>1.7750451649781974E-3</v>
      </c>
      <c r="W233" s="32" t="str">
        <f t="shared" si="209"/>
        <v>1-0.029409063206387i</v>
      </c>
      <c r="X233" s="18">
        <f t="shared" si="222"/>
        <v>1.0004323530347652</v>
      </c>
      <c r="Y233" s="18">
        <f t="shared" si="223"/>
        <v>-2.9400589039212947E-2</v>
      </c>
      <c r="Z233" s="32" t="str">
        <f t="shared" si="210"/>
        <v>0.999958775572005+0.0133637604533836i</v>
      </c>
      <c r="AA233" s="18">
        <f t="shared" si="224"/>
        <v>1.0000480703130818</v>
      </c>
      <c r="AB233" s="18">
        <f t="shared" si="225"/>
        <v>1.3363515831256879E-2</v>
      </c>
      <c r="AC233" s="68" t="str">
        <f t="shared" si="226"/>
        <v>1.51732079224725-8.07423127364634i</v>
      </c>
      <c r="AD233" s="66">
        <f t="shared" si="227"/>
        <v>18.292746454728807</v>
      </c>
      <c r="AE233" s="63">
        <f t="shared" si="228"/>
        <v>-79.357022424405244</v>
      </c>
      <c r="AF233" s="51" t="str">
        <f t="shared" si="229"/>
        <v>42.1703962805665</v>
      </c>
      <c r="AG233" s="51" t="str">
        <f t="shared" si="211"/>
        <v>1+0.783108983489404i</v>
      </c>
      <c r="AH233" s="51">
        <f t="shared" si="230"/>
        <v>1.2701415984140538</v>
      </c>
      <c r="AI233" s="51">
        <f t="shared" si="231"/>
        <v>0.66435634806947308</v>
      </c>
      <c r="AJ233" s="51" t="str">
        <f t="shared" si="212"/>
        <v>1+0.00177504702924264i</v>
      </c>
      <c r="AK233" s="51">
        <f t="shared" si="232"/>
        <v>1.0000015753947371</v>
      </c>
      <c r="AL233" s="51">
        <f t="shared" si="233"/>
        <v>1.7750451649781974E-3</v>
      </c>
      <c r="AM233" s="51" t="str">
        <f t="shared" si="213"/>
        <v>1-0.00460283254992761i</v>
      </c>
      <c r="AN233" s="51">
        <f t="shared" si="234"/>
        <v>1.0000105929776357</v>
      </c>
      <c r="AO233" s="51">
        <f t="shared" si="235"/>
        <v>-4.6028000450337942E-3</v>
      </c>
      <c r="AP233" s="60" t="str">
        <f t="shared" si="236"/>
        <v>26.0821965052087-20.5444512283686i</v>
      </c>
      <c r="AQ233" s="51">
        <f t="shared" si="237"/>
        <v>30.423216538942533</v>
      </c>
      <c r="AR233" s="63">
        <f t="shared" si="238"/>
        <v>-38.226833257229806</v>
      </c>
      <c r="AS233" s="32" t="str">
        <f t="shared" si="214"/>
        <v>-0.000133283554228113</v>
      </c>
      <c r="AT233" s="32" t="str">
        <f t="shared" si="215"/>
        <v>0.000542276867433628i</v>
      </c>
      <c r="AU233" s="32">
        <f t="shared" si="239"/>
        <v>5.4227686743362803E-4</v>
      </c>
      <c r="AV233" s="32">
        <f t="shared" si="240"/>
        <v>1.5707963267948966</v>
      </c>
      <c r="AW233" s="32" t="str">
        <f t="shared" si="216"/>
        <v>1+0.0948130912127724i</v>
      </c>
      <c r="AX233" s="32">
        <f t="shared" si="241"/>
        <v>1.0044847048438923</v>
      </c>
      <c r="AY233" s="32">
        <f t="shared" si="242"/>
        <v>9.4530505707731319E-2</v>
      </c>
      <c r="AZ233" s="32" t="str">
        <f t="shared" si="217"/>
        <v>1+1.41294631051229i</v>
      </c>
      <c r="BA233" s="32">
        <f t="shared" si="243"/>
        <v>1.7310162553801431</v>
      </c>
      <c r="BB233" s="32">
        <f t="shared" si="244"/>
        <v>0.95489394836477848</v>
      </c>
      <c r="BC233" s="60" t="str">
        <f t="shared" si="245"/>
        <v>-0.321091002127321+0.276228693845717i</v>
      </c>
      <c r="BD233" s="51">
        <f t="shared" si="246"/>
        <v>-7.4617339036412034</v>
      </c>
      <c r="BE233" s="63">
        <f t="shared" si="247"/>
        <v>139.2951941115945</v>
      </c>
      <c r="BF233" s="60" t="str">
        <f t="shared" si="248"/>
        <v>1.74313630479628+3.01169055165027i</v>
      </c>
      <c r="BG233" s="66">
        <f t="shared" si="249"/>
        <v>10.831012551087616</v>
      </c>
      <c r="BH233" s="63">
        <f t="shared" si="250"/>
        <v>59.938171687189275</v>
      </c>
      <c r="BI233" s="60" t="str">
        <f t="shared" si="203"/>
        <v>-2.69979168494988+13.8012895063339i</v>
      </c>
      <c r="BJ233" s="66">
        <f t="shared" si="251"/>
        <v>22.961482635301351</v>
      </c>
      <c r="BK233" s="63">
        <f t="shared" si="204"/>
        <v>101.06836085436468</v>
      </c>
      <c r="BL233" s="51">
        <f t="shared" si="252"/>
        <v>10.831012551087616</v>
      </c>
      <c r="BM233" s="63">
        <f t="shared" si="253"/>
        <v>59.938171687189275</v>
      </c>
    </row>
    <row r="234" spans="14:65" x14ac:dyDescent="0.35">
      <c r="N234" s="11">
        <v>16</v>
      </c>
      <c r="O234" s="52">
        <f t="shared" si="254"/>
        <v>1445.4397707459289</v>
      </c>
      <c r="P234" s="50" t="str">
        <f t="shared" si="206"/>
        <v>36.531007751938</v>
      </c>
      <c r="Q234" s="18" t="str">
        <f t="shared" si="207"/>
        <v>1+4.43537870998234i</v>
      </c>
      <c r="R234" s="18">
        <f t="shared" si="218"/>
        <v>4.546711372075932</v>
      </c>
      <c r="S234" s="18">
        <f t="shared" si="219"/>
        <v>1.3490441968146925</v>
      </c>
      <c r="T234" s="18" t="str">
        <f t="shared" si="208"/>
        <v>1+0.00181639318599277i</v>
      </c>
      <c r="U234" s="18">
        <f t="shared" si="220"/>
        <v>1.0000016496407425</v>
      </c>
      <c r="V234" s="18">
        <f t="shared" si="221"/>
        <v>1.8163911883976075E-3</v>
      </c>
      <c r="W234" s="32" t="str">
        <f t="shared" si="209"/>
        <v>1-0.0300940882886376i</v>
      </c>
      <c r="X234" s="18">
        <f t="shared" si="222"/>
        <v>1.0004527245951826</v>
      </c>
      <c r="Y234" s="18">
        <f t="shared" si="223"/>
        <v>-3.0085008276821784E-2</v>
      </c>
      <c r="Z234" s="32" t="str">
        <f t="shared" si="210"/>
        <v>0.999956832724569+0.0136750424224661i</v>
      </c>
      <c r="AA234" s="18">
        <f t="shared" si="224"/>
        <v>1.0000503357820585</v>
      </c>
      <c r="AB234" s="18">
        <f t="shared" si="225"/>
        <v>1.3674780305618025E-2</v>
      </c>
      <c r="AC234" s="68" t="str">
        <f t="shared" si="226"/>
        <v>1.43749962001647-7.90825943168269i</v>
      </c>
      <c r="AD234" s="66">
        <f t="shared" si="227"/>
        <v>18.102793896647064</v>
      </c>
      <c r="AE234" s="63">
        <f t="shared" si="228"/>
        <v>-79.697718503216478</v>
      </c>
      <c r="AF234" s="51" t="str">
        <f t="shared" si="229"/>
        <v>42.1703962805665</v>
      </c>
      <c r="AG234" s="51" t="str">
        <f t="shared" si="211"/>
        <v>1+0.801349934996813i</v>
      </c>
      <c r="AH234" s="51">
        <f t="shared" si="230"/>
        <v>1.2814685787483813</v>
      </c>
      <c r="AI234" s="51">
        <f t="shared" si="231"/>
        <v>0.67556353145449233</v>
      </c>
      <c r="AJ234" s="51" t="str">
        <f t="shared" si="212"/>
        <v>1+0.00181639318599277i</v>
      </c>
      <c r="AK234" s="51">
        <f t="shared" si="232"/>
        <v>1.0000016496407425</v>
      </c>
      <c r="AL234" s="51">
        <f t="shared" si="233"/>
        <v>1.8163911883976075E-3</v>
      </c>
      <c r="AM234" s="51" t="str">
        <f t="shared" si="213"/>
        <v>1-0.00471004629298268i</v>
      </c>
      <c r="AN234" s="51">
        <f t="shared" si="234"/>
        <v>1.0000110922065224</v>
      </c>
      <c r="AO234" s="51">
        <f t="shared" si="235"/>
        <v>-4.7100114633823074E-3</v>
      </c>
      <c r="AP234" s="60" t="str">
        <f t="shared" si="236"/>
        <v>25.6204798011185-20.6529963214337i</v>
      </c>
      <c r="AQ234" s="51">
        <f t="shared" si="237"/>
        <v>30.346105079392743</v>
      </c>
      <c r="AR234" s="63">
        <f t="shared" si="238"/>
        <v>-38.872731374565923</v>
      </c>
      <c r="AS234" s="32" t="str">
        <f t="shared" si="214"/>
        <v>-0.000133283554228113</v>
      </c>
      <c r="AT234" s="32" t="str">
        <f t="shared" si="215"/>
        <v>0.000554908118320791i</v>
      </c>
      <c r="AU234" s="32">
        <f t="shared" si="239"/>
        <v>5.54908118320791E-4</v>
      </c>
      <c r="AV234" s="32">
        <f t="shared" si="240"/>
        <v>1.5707963267948966</v>
      </c>
      <c r="AW234" s="32" t="str">
        <f t="shared" si="216"/>
        <v>1+0.097021571814506i</v>
      </c>
      <c r="AX234" s="32">
        <f t="shared" si="241"/>
        <v>1.0046955685168306</v>
      </c>
      <c r="AY234" s="32">
        <f t="shared" si="242"/>
        <v>9.6718852368866418E-2</v>
      </c>
      <c r="AZ234" s="32" t="str">
        <f t="shared" si="217"/>
        <v>1+1.44585805801617i</v>
      </c>
      <c r="BA234" s="32">
        <f t="shared" si="243"/>
        <v>1.7579833685021853</v>
      </c>
      <c r="BB234" s="32">
        <f t="shared" si="244"/>
        <v>0.96570937114880029</v>
      </c>
      <c r="BC234" s="60" t="str">
        <f t="shared" si="245"/>
        <v>-0.320956236283564+0.271329990811386i</v>
      </c>
      <c r="BD234" s="51">
        <f t="shared" si="246"/>
        <v>-7.5292847559328422</v>
      </c>
      <c r="BE234" s="63">
        <f t="shared" si="247"/>
        <v>139.78948916297415</v>
      </c>
      <c r="BF234" s="60" t="str">
        <f t="shared" si="248"/>
        <v>1.68437349123298+2.92824194143731i</v>
      </c>
      <c r="BG234" s="66">
        <f t="shared" si="249"/>
        <v>10.573509140714211</v>
      </c>
      <c r="BH234" s="63">
        <f t="shared" si="250"/>
        <v>60.091770659757692</v>
      </c>
      <c r="BI234" s="60" t="str">
        <f t="shared" si="203"/>
        <v>-2.61927546662387+13.5803125163264i</v>
      </c>
      <c r="BJ234" s="66">
        <f t="shared" si="251"/>
        <v>22.816820323459876</v>
      </c>
      <c r="BK234" s="63">
        <f t="shared" si="204"/>
        <v>100.91675778840828</v>
      </c>
      <c r="BL234" s="51">
        <f t="shared" si="252"/>
        <v>10.573509140714211</v>
      </c>
      <c r="BM234" s="63">
        <f t="shared" si="253"/>
        <v>60.091770659757692</v>
      </c>
    </row>
    <row r="235" spans="14:65" x14ac:dyDescent="0.35">
      <c r="N235" s="11">
        <v>17</v>
      </c>
      <c r="O235" s="52">
        <f t="shared" si="254"/>
        <v>1479.1083881682086</v>
      </c>
      <c r="P235" s="50" t="str">
        <f t="shared" si="206"/>
        <v>36.531007751938</v>
      </c>
      <c r="Q235" s="18" t="str">
        <f t="shared" si="207"/>
        <v>1+4.53869195203618i</v>
      </c>
      <c r="R235" s="18">
        <f t="shared" si="218"/>
        <v>4.6475503908487088</v>
      </c>
      <c r="S235" s="18">
        <f t="shared" si="219"/>
        <v>1.3539333790761037</v>
      </c>
      <c r="T235" s="18" t="str">
        <f t="shared" si="208"/>
        <v>1+0.00185870241845291i</v>
      </c>
      <c r="U235" s="18">
        <f t="shared" si="220"/>
        <v>1.0000017273858481</v>
      </c>
      <c r="V235" s="18">
        <f t="shared" si="221"/>
        <v>1.858700277991329E-3</v>
      </c>
      <c r="W235" s="32" t="str">
        <f t="shared" si="209"/>
        <v>1-0.0307950696548412i</v>
      </c>
      <c r="X235" s="18">
        <f t="shared" si="222"/>
        <v>1.0004740557930758</v>
      </c>
      <c r="Y235" s="18">
        <f t="shared" si="223"/>
        <v>-3.0785340495857679E-2</v>
      </c>
      <c r="Z235" s="32" t="str">
        <f t="shared" si="210"/>
        <v>0.999954798313555+0.0139935750800516i</v>
      </c>
      <c r="AA235" s="18">
        <f t="shared" si="224"/>
        <v>1.0000527080178441</v>
      </c>
      <c r="AB235" s="18">
        <f t="shared" si="225"/>
        <v>1.3993294217330803E-2</v>
      </c>
      <c r="AC235" s="68" t="str">
        <f t="shared" si="226"/>
        <v>1.36093065974897-7.74493526094129i</v>
      </c>
      <c r="AD235" s="66">
        <f t="shared" si="227"/>
        <v>17.912424733081579</v>
      </c>
      <c r="AE235" s="63">
        <f t="shared" si="228"/>
        <v>-80.033799463061939</v>
      </c>
      <c r="AF235" s="51" t="str">
        <f t="shared" si="229"/>
        <v>42.1703962805665</v>
      </c>
      <c r="AG235" s="51" t="str">
        <f t="shared" si="211"/>
        <v>1+0.820015772846876i</v>
      </c>
      <c r="AH235" s="51">
        <f t="shared" si="230"/>
        <v>1.2932230541239431</v>
      </c>
      <c r="AI235" s="51">
        <f t="shared" si="231"/>
        <v>0.686827080950283</v>
      </c>
      <c r="AJ235" s="51" t="str">
        <f t="shared" si="212"/>
        <v>1+0.00185870241845291i</v>
      </c>
      <c r="AK235" s="51">
        <f t="shared" si="232"/>
        <v>1.0000017273858481</v>
      </c>
      <c r="AL235" s="51">
        <f t="shared" si="233"/>
        <v>1.858700277991329E-3</v>
      </c>
      <c r="AM235" s="51" t="str">
        <f t="shared" si="213"/>
        <v>1-0.00481975736492712i</v>
      </c>
      <c r="AN235" s="51">
        <f t="shared" si="234"/>
        <v>1.0000116149630747</v>
      </c>
      <c r="AO235" s="51">
        <f t="shared" si="235"/>
        <v>-4.8197200443613388E-3</v>
      </c>
      <c r="AP235" s="60" t="str">
        <f t="shared" si="236"/>
        <v>25.1541072406985-20.7516335497559i</v>
      </c>
      <c r="AQ235" s="51">
        <f t="shared" si="237"/>
        <v>30.266800770232209</v>
      </c>
      <c r="AR235" s="63">
        <f t="shared" si="238"/>
        <v>-39.52194692940914</v>
      </c>
      <c r="AS235" s="32" t="str">
        <f t="shared" si="214"/>
        <v>-0.000133283554228113</v>
      </c>
      <c r="AT235" s="32" t="str">
        <f t="shared" si="215"/>
        <v>0.000567833588837365i</v>
      </c>
      <c r="AU235" s="32">
        <f t="shared" si="239"/>
        <v>5.6783358883736505E-4</v>
      </c>
      <c r="AV235" s="32">
        <f t="shared" si="240"/>
        <v>1.5707963267948966</v>
      </c>
      <c r="AW235" s="32" t="str">
        <f t="shared" si="216"/>
        <v>1+0.0992814945378479i</v>
      </c>
      <c r="AX235" s="32">
        <f t="shared" si="241"/>
        <v>1.0049163224655417</v>
      </c>
      <c r="AY235" s="32">
        <f t="shared" si="242"/>
        <v>9.895721045311516E-2</v>
      </c>
      <c r="AZ235" s="32" t="str">
        <f t="shared" si="217"/>
        <v>1+1.47953641860061i</v>
      </c>
      <c r="BA235" s="32">
        <f t="shared" si="243"/>
        <v>1.7857849853679246</v>
      </c>
      <c r="BB235" s="32">
        <f t="shared" si="244"/>
        <v>0.97643728663805962</v>
      </c>
      <c r="BC235" s="60" t="str">
        <f t="shared" si="245"/>
        <v>-0.320815240316577+0.266573929805571i</v>
      </c>
      <c r="BD235" s="51">
        <f t="shared" si="246"/>
        <v>-7.5949049280017231</v>
      </c>
      <c r="BE235" s="63">
        <f t="shared" si="247"/>
        <v>140.27590497221541</v>
      </c>
      <c r="BF235" s="60" t="str">
        <f t="shared" si="248"/>
        <v>1.62799053193729+2.84748190113738i</v>
      </c>
      <c r="BG235" s="66">
        <f t="shared" si="249"/>
        <v>10.317519805079851</v>
      </c>
      <c r="BH235" s="63">
        <f t="shared" si="250"/>
        <v>60.242105509153468</v>
      </c>
      <c r="BI235" s="60" t="str">
        <f t="shared" si="203"/>
        <v>-2.53797645413008+13.3628695221302i</v>
      </c>
      <c r="BJ235" s="66">
        <f t="shared" si="251"/>
        <v>22.671895842230455</v>
      </c>
      <c r="BK235" s="63">
        <f t="shared" si="204"/>
        <v>100.7539580428063</v>
      </c>
      <c r="BL235" s="51">
        <f t="shared" si="252"/>
        <v>10.317519805079851</v>
      </c>
      <c r="BM235" s="63">
        <f t="shared" si="253"/>
        <v>60.242105509153468</v>
      </c>
    </row>
    <row r="236" spans="14:65" x14ac:dyDescent="0.35">
      <c r="N236" s="11">
        <v>18</v>
      </c>
      <c r="O236" s="52">
        <f t="shared" si="254"/>
        <v>1513.5612484362093</v>
      </c>
      <c r="P236" s="50" t="str">
        <f t="shared" si="206"/>
        <v>36.531007751938</v>
      </c>
      <c r="Q236" s="18" t="str">
        <f t="shared" si="207"/>
        <v>1+4.64441166863968i</v>
      </c>
      <c r="R236" s="18">
        <f t="shared" si="218"/>
        <v>4.7508483187528121</v>
      </c>
      <c r="S236" s="18">
        <f t="shared" si="219"/>
        <v>1.3587214698752936</v>
      </c>
      <c r="T236" s="18" t="str">
        <f t="shared" si="208"/>
        <v>1+0.00190199715953816i</v>
      </c>
      <c r="U236" s="18">
        <f t="shared" si="220"/>
        <v>1.0000018087949616</v>
      </c>
      <c r="V236" s="18">
        <f t="shared" si="221"/>
        <v>1.9019948659924778E-3</v>
      </c>
      <c r="W236" s="32" t="str">
        <f t="shared" si="209"/>
        <v>1-0.0315123789745967i</v>
      </c>
      <c r="X236" s="18">
        <f t="shared" si="222"/>
        <v>1.0004963918119039</v>
      </c>
      <c r="Y236" s="18">
        <f t="shared" si="223"/>
        <v>-3.1501954272252428E-2</v>
      </c>
      <c r="Z236" s="32" t="str">
        <f t="shared" si="210"/>
        <v>0.999952668023703+0.0143195273163714i</v>
      </c>
      <c r="AA236" s="18">
        <f t="shared" si="224"/>
        <v>1.0000551920520619</v>
      </c>
      <c r="AB236" s="18">
        <f t="shared" si="225"/>
        <v>1.4319226367152245E-2</v>
      </c>
      <c r="AC236" s="68" t="str">
        <f t="shared" si="226"/>
        <v>1.28749546673608-7.58426584637567i</v>
      </c>
      <c r="AD236" s="66">
        <f t="shared" si="227"/>
        <v>17.721656628410351</v>
      </c>
      <c r="AE236" s="63">
        <f t="shared" si="228"/>
        <v>-80.365389742133502</v>
      </c>
      <c r="AF236" s="51" t="str">
        <f t="shared" si="229"/>
        <v>42.1703962805665</v>
      </c>
      <c r="AG236" s="51" t="str">
        <f t="shared" si="211"/>
        <v>1+0.839116393913895i</v>
      </c>
      <c r="AH236" s="51">
        <f t="shared" si="230"/>
        <v>1.3054180642748356</v>
      </c>
      <c r="AI236" s="51">
        <f t="shared" si="231"/>
        <v>0.69814153749417951</v>
      </c>
      <c r="AJ236" s="51" t="str">
        <f t="shared" si="212"/>
        <v>1+0.00190199715953816i</v>
      </c>
      <c r="AK236" s="51">
        <f t="shared" si="232"/>
        <v>1.0000018087949616</v>
      </c>
      <c r="AL236" s="51">
        <f t="shared" si="233"/>
        <v>1.9019948659924778E-3</v>
      </c>
      <c r="AM236" s="51" t="str">
        <f t="shared" si="213"/>
        <v>1-0.00493202393602348i</v>
      </c>
      <c r="AN236" s="51">
        <f t="shared" si="234"/>
        <v>1.0000121623560914</v>
      </c>
      <c r="AO236" s="51">
        <f t="shared" si="235"/>
        <v>-4.9319839463430309E-3</v>
      </c>
      <c r="AP236" s="60" t="str">
        <f t="shared" si="236"/>
        <v>24.6835096734676-20.840115056244i</v>
      </c>
      <c r="AQ236" s="51">
        <f t="shared" si="237"/>
        <v>30.185282631603737</v>
      </c>
      <c r="AR236" s="63">
        <f t="shared" si="238"/>
        <v>-40.174169187465623</v>
      </c>
      <c r="AS236" s="32" t="str">
        <f t="shared" si="214"/>
        <v>-0.000133283554228113</v>
      </c>
      <c r="AT236" s="32" t="str">
        <f t="shared" si="215"/>
        <v>0.000581060132238907i</v>
      </c>
      <c r="AU236" s="32">
        <f t="shared" si="239"/>
        <v>5.81060132238907E-4</v>
      </c>
      <c r="AV236" s="32">
        <f t="shared" si="240"/>
        <v>1.5707963267948966</v>
      </c>
      <c r="AW236" s="32" t="str">
        <f t="shared" si="216"/>
        <v>1+0.10159405762374i</v>
      </c>
      <c r="AX236" s="32">
        <f t="shared" si="241"/>
        <v>1.0051474282633648</v>
      </c>
      <c r="AY236" s="32">
        <f t="shared" si="242"/>
        <v>0.10124667700045537</v>
      </c>
      <c r="AZ236" s="32" t="str">
        <f t="shared" si="217"/>
        <v>1+1.51399924897817i</v>
      </c>
      <c r="BA236" s="32">
        <f t="shared" si="243"/>
        <v>1.8144403340717663</v>
      </c>
      <c r="BB236" s="32">
        <f t="shared" si="244"/>
        <v>0.98707350567679719</v>
      </c>
      <c r="BC236" s="60" t="str">
        <f t="shared" si="245"/>
        <v>-0.320667732127224+0.261957903520711i</v>
      </c>
      <c r="BD236" s="51">
        <f t="shared" si="246"/>
        <v>-7.6586317511361548</v>
      </c>
      <c r="BE236" s="63">
        <f t="shared" si="247"/>
        <v>140.7541386626126</v>
      </c>
      <c r="BF236" s="60" t="str">
        <f t="shared" si="248"/>
        <v>1.57390012941796+2.76929894206585i</v>
      </c>
      <c r="BG236" s="66">
        <f t="shared" si="249"/>
        <v>10.06302487727419</v>
      </c>
      <c r="BH236" s="63">
        <f t="shared" si="250"/>
        <v>60.388748920479138</v>
      </c>
      <c r="BI236" s="60" t="str">
        <f t="shared" si="203"/>
        <v>-2.45597221866717+13.1487928779509i</v>
      </c>
      <c r="BJ236" s="66">
        <f t="shared" si="251"/>
        <v>22.526650880467557</v>
      </c>
      <c r="BK236" s="63">
        <f t="shared" si="204"/>
        <v>100.57996947514702</v>
      </c>
      <c r="BL236" s="51">
        <f t="shared" si="252"/>
        <v>10.06302487727419</v>
      </c>
      <c r="BM236" s="63">
        <f t="shared" si="253"/>
        <v>60.388748920479138</v>
      </c>
    </row>
    <row r="237" spans="14:65" x14ac:dyDescent="0.35">
      <c r="N237" s="11">
        <v>19</v>
      </c>
      <c r="O237" s="52">
        <f t="shared" si="254"/>
        <v>1548.8166189124822</v>
      </c>
      <c r="P237" s="50" t="str">
        <f t="shared" si="206"/>
        <v>36.531007751938</v>
      </c>
      <c r="Q237" s="18" t="str">
        <f t="shared" si="207"/>
        <v>1+4.75259391378594i</v>
      </c>
      <c r="R237" s="18">
        <f t="shared" si="218"/>
        <v>4.8566602629126905</v>
      </c>
      <c r="S237" s="18">
        <f t="shared" si="219"/>
        <v>1.363410129350604</v>
      </c>
      <c r="T237" s="18" t="str">
        <f t="shared" si="208"/>
        <v>1+0.00194630036469329i</v>
      </c>
      <c r="U237" s="18">
        <f t="shared" si="220"/>
        <v>1.0000018940407611</v>
      </c>
      <c r="V237" s="18">
        <f t="shared" si="221"/>
        <v>1.9462979071150656E-3</v>
      </c>
      <c r="W237" s="32" t="str">
        <f t="shared" si="209"/>
        <v>1-0.0322463965748002i</v>
      </c>
      <c r="X237" s="18">
        <f t="shared" si="222"/>
        <v>1.000519779960426</v>
      </c>
      <c r="Y237" s="18">
        <f t="shared" si="223"/>
        <v>-3.2235226618380235E-2</v>
      </c>
      <c r="Z237" s="32" t="str">
        <f t="shared" si="210"/>
        <v>0.999950437336384+0.0146530719556157i</v>
      </c>
      <c r="AA237" s="18">
        <f t="shared" si="224"/>
        <v>1.0000577931534569</v>
      </c>
      <c r="AB237" s="18">
        <f t="shared" si="225"/>
        <v>1.4652749483399992E-2</v>
      </c>
      <c r="AC237" s="68" t="str">
        <f t="shared" si="226"/>
        <v>1.2170787185354-7.42625438486554i</v>
      </c>
      <c r="AD237" s="66">
        <f t="shared" si="227"/>
        <v>17.530506629471784</v>
      </c>
      <c r="AE237" s="63">
        <f t="shared" si="228"/>
        <v>-80.69261464196471</v>
      </c>
      <c r="AF237" s="51" t="str">
        <f t="shared" si="229"/>
        <v>42.1703962805665</v>
      </c>
      <c r="AG237" s="51" t="str">
        <f t="shared" si="211"/>
        <v>1+0.858661925599985i</v>
      </c>
      <c r="AH237" s="51">
        <f t="shared" si="230"/>
        <v>1.3180668808808884</v>
      </c>
      <c r="AI237" s="51">
        <f t="shared" si="231"/>
        <v>0.70950131338652977</v>
      </c>
      <c r="AJ237" s="51" t="str">
        <f t="shared" si="212"/>
        <v>1+0.00194630036469329i</v>
      </c>
      <c r="AK237" s="51">
        <f t="shared" si="232"/>
        <v>1.0000018940407611</v>
      </c>
      <c r="AL237" s="51">
        <f t="shared" si="233"/>
        <v>1.9462979071150656E-3</v>
      </c>
      <c r="AM237" s="51" t="str">
        <f t="shared" si="213"/>
        <v>1-0.00504690553149376i</v>
      </c>
      <c r="AN237" s="51">
        <f t="shared" si="234"/>
        <v>1.0000127355466248</v>
      </c>
      <c r="AO237" s="51">
        <f t="shared" si="235"/>
        <v>-5.0468626818086218E-3</v>
      </c>
      <c r="AP237" s="60" t="str">
        <f t="shared" si="236"/>
        <v>24.2091348203987-20.9182160705868i</v>
      </c>
      <c r="AQ237" s="51">
        <f t="shared" si="237"/>
        <v>30.101531760684868</v>
      </c>
      <c r="AR237" s="63">
        <f t="shared" si="238"/>
        <v>-40.829080091733879</v>
      </c>
      <c r="AS237" s="32" t="str">
        <f t="shared" si="214"/>
        <v>-0.000133283554228113</v>
      </c>
      <c r="AT237" s="32" t="str">
        <f t="shared" si="215"/>
        <v>0.000594594761413802i</v>
      </c>
      <c r="AU237" s="32">
        <f t="shared" si="239"/>
        <v>5.9459476141380196E-4</v>
      </c>
      <c r="AV237" s="32">
        <f t="shared" si="240"/>
        <v>1.5707963267948966</v>
      </c>
      <c r="AW237" s="32" t="str">
        <f t="shared" si="216"/>
        <v>1+0.10396048722374i</v>
      </c>
      <c r="AX237" s="32">
        <f t="shared" si="241"/>
        <v>1.0053893688038467</v>
      </c>
      <c r="AY237" s="32">
        <f t="shared" si="242"/>
        <v>0.10358836985892954</v>
      </c>
      <c r="AZ237" s="32" t="str">
        <f t="shared" si="217"/>
        <v>1+1.54926482179768i</v>
      </c>
      <c r="BA237" s="32">
        <f t="shared" si="243"/>
        <v>1.8439689498632557</v>
      </c>
      <c r="BB237" s="32">
        <f t="shared" si="244"/>
        <v>0.99761404151359867</v>
      </c>
      <c r="BC237" s="60" t="str">
        <f t="shared" si="245"/>
        <v>-0.320513417407049+0.257479372983719i</v>
      </c>
      <c r="BD237" s="51">
        <f t="shared" si="246"/>
        <v>-7.7205039598335921</v>
      </c>
      <c r="BE237" s="63">
        <f t="shared" si="247"/>
        <v>141.2238977621613</v>
      </c>
      <c r="BF237" s="60" t="str">
        <f t="shared" si="248"/>
        <v>1.5220172633016+2.69358683674766i</v>
      </c>
      <c r="BG237" s="66">
        <f t="shared" si="249"/>
        <v>9.8100026696381946</v>
      </c>
      <c r="BH237" s="63">
        <f t="shared" si="250"/>
        <v>60.531283120196584</v>
      </c>
      <c r="BI237" s="60" t="str">
        <f t="shared" si="203"/>
        <v>-2.37334337596133+12.9379217728774i</v>
      </c>
      <c r="BJ237" s="66">
        <f t="shared" si="251"/>
        <v>22.381027800851278</v>
      </c>
      <c r="BK237" s="63">
        <f t="shared" si="204"/>
        <v>100.3948176704274</v>
      </c>
      <c r="BL237" s="51">
        <f t="shared" si="252"/>
        <v>9.8100026696381946</v>
      </c>
      <c r="BM237" s="63">
        <f t="shared" si="253"/>
        <v>60.531283120196584</v>
      </c>
    </row>
    <row r="238" spans="14:65" x14ac:dyDescent="0.35">
      <c r="N238" s="11">
        <v>20</v>
      </c>
      <c r="O238" s="52">
        <f t="shared" si="254"/>
        <v>1584.8931924611156</v>
      </c>
      <c r="P238" s="50" t="str">
        <f t="shared" si="206"/>
        <v>36.531007751938</v>
      </c>
      <c r="Q238" s="18" t="str">
        <f t="shared" si="207"/>
        <v>1+4.86329604713333i</v>
      </c>
      <c r="R238" s="18">
        <f t="shared" si="218"/>
        <v>4.9650426425220839</v>
      </c>
      <c r="S238" s="18">
        <f t="shared" si="219"/>
        <v>1.3680010185221336</v>
      </c>
      <c r="T238" s="18" t="str">
        <f t="shared" si="208"/>
        <v>1+0.00199163552406413i</v>
      </c>
      <c r="U238" s="18">
        <f t="shared" si="220"/>
        <v>1.0000019833040636</v>
      </c>
      <c r="V238" s="18">
        <f t="shared" si="221"/>
        <v>1.9916328907219004E-3</v>
      </c>
      <c r="W238" s="32" t="str">
        <f t="shared" si="209"/>
        <v>1-0.0329975116412992i</v>
      </c>
      <c r="X238" s="18">
        <f t="shared" si="222"/>
        <v>1.0005442697724662</v>
      </c>
      <c r="Y238" s="18">
        <f t="shared" si="223"/>
        <v>-3.2985543168965556E-2</v>
      </c>
      <c r="Z238" s="32" t="str">
        <f t="shared" si="210"/>
        <v>0.99994810152001+0.0149943858475672i</v>
      </c>
      <c r="AA238" s="18">
        <f t="shared" si="224"/>
        <v>1.0000605168390653</v>
      </c>
      <c r="AB238" s="18">
        <f t="shared" si="225"/>
        <v>1.4994040313128463E-2</v>
      </c>
      <c r="AC238" s="68" t="str">
        <f t="shared" si="226"/>
        <v>1.14956823928201-7.27090044640791i</v>
      </c>
      <c r="AD238" s="66">
        <f t="shared" si="227"/>
        <v>17.338991183334379</v>
      </c>
      <c r="AE238" s="63">
        <f t="shared" si="228"/>
        <v>-81.015600208257965</v>
      </c>
      <c r="AF238" s="51" t="str">
        <f t="shared" si="229"/>
        <v>42.1703962805665</v>
      </c>
      <c r="AG238" s="51" t="str">
        <f t="shared" si="211"/>
        <v>1+0.878662731204764i</v>
      </c>
      <c r="AH238" s="51">
        <f t="shared" si="230"/>
        <v>1.3311830059042278</v>
      </c>
      <c r="AI238" s="51">
        <f t="shared" si="231"/>
        <v>0.72090070522809857</v>
      </c>
      <c r="AJ238" s="51" t="str">
        <f t="shared" si="212"/>
        <v>1+0.00199163552406413i</v>
      </c>
      <c r="AK238" s="51">
        <f t="shared" si="232"/>
        <v>1.0000019833040636</v>
      </c>
      <c r="AL238" s="51">
        <f t="shared" si="233"/>
        <v>1.9916328907219004E-3</v>
      </c>
      <c r="AM238" s="51" t="str">
        <f t="shared" si="213"/>
        <v>1-0.00516446306308055i</v>
      </c>
      <c r="AN238" s="51">
        <f t="shared" si="234"/>
        <v>1.0000133357504437</v>
      </c>
      <c r="AO238" s="51">
        <f t="shared" si="235"/>
        <v>-5.1644171488487694E-3</v>
      </c>
      <c r="AP238" s="60" t="str">
        <f t="shared" si="236"/>
        <v>23.73144568301-20.9857362739213i</v>
      </c>
      <c r="AQ238" s="51">
        <f t="shared" si="237"/>
        <v>30.01553140773516</v>
      </c>
      <c r="AR238" s="63">
        <f t="shared" si="238"/>
        <v>-41.486355004870916</v>
      </c>
      <c r="AS238" s="32" t="str">
        <f t="shared" si="214"/>
        <v>-0.000133283554228113</v>
      </c>
      <c r="AT238" s="32" t="str">
        <f t="shared" si="215"/>
        <v>0.00060844465260159i</v>
      </c>
      <c r="AU238" s="32">
        <f t="shared" si="239"/>
        <v>6.0844465260159004E-4</v>
      </c>
      <c r="AV238" s="32">
        <f t="shared" si="240"/>
        <v>1.5707963267948966</v>
      </c>
      <c r="AW238" s="32" t="str">
        <f t="shared" si="216"/>
        <v>1+0.106382038050146i</v>
      </c>
      <c r="AX238" s="32">
        <f t="shared" si="241"/>
        <v>1.0056426492644903</v>
      </c>
      <c r="AY238" s="32">
        <f t="shared" si="242"/>
        <v>0.1059834278430318</v>
      </c>
      <c r="AZ238" s="32" t="str">
        <f t="shared" si="217"/>
        <v>1+1.58535183533266i</v>
      </c>
      <c r="BA238" s="32">
        <f t="shared" si="243"/>
        <v>1.8743906854742516</v>
      </c>
      <c r="BB238" s="32">
        <f t="shared" si="244"/>
        <v>1.0080551140312972</v>
      </c>
      <c r="BC238" s="60" t="str">
        <f t="shared" si="245"/>
        <v>-0.320351989163886+0.253135865811493i</v>
      </c>
      <c r="BD238" s="51">
        <f t="shared" si="246"/>
        <v>-7.7805615849924168</v>
      </c>
      <c r="BE238" s="63">
        <f t="shared" si="247"/>
        <v>141.68490043683735</v>
      </c>
      <c r="BF238" s="60" t="str">
        <f t="shared" si="248"/>
        <v>1.47225920759702+2.62024437257941i</v>
      </c>
      <c r="BG238" s="66">
        <f t="shared" si="249"/>
        <v>9.5584295983419718</v>
      </c>
      <c r="BH238" s="63">
        <f t="shared" si="250"/>
        <v>60.669300228579417</v>
      </c>
      <c r="BI238" s="60" t="str">
        <f t="shared" si="203"/>
        <v>-2.29017330889625+12.7301024093466i</v>
      </c>
      <c r="BJ238" s="66">
        <f t="shared" si="251"/>
        <v>22.234969822742766</v>
      </c>
      <c r="BK238" s="63">
        <f t="shared" si="204"/>
        <v>100.19854543196642</v>
      </c>
      <c r="BL238" s="51">
        <f t="shared" si="252"/>
        <v>9.5584295983419718</v>
      </c>
      <c r="BM238" s="63">
        <f t="shared" si="253"/>
        <v>60.669300228579417</v>
      </c>
    </row>
    <row r="239" spans="14:65" x14ac:dyDescent="0.35">
      <c r="N239" s="11">
        <v>21</v>
      </c>
      <c r="O239" s="52">
        <f t="shared" si="254"/>
        <v>1621.8100973589308</v>
      </c>
      <c r="P239" s="50" t="str">
        <f t="shared" si="206"/>
        <v>36.531007751938</v>
      </c>
      <c r="Q239" s="18" t="str">
        <f t="shared" si="207"/>
        <v>1+4.97657676441821i</v>
      </c>
      <c r="R239" s="18">
        <f t="shared" si="218"/>
        <v>5.0760532199876724</v>
      </c>
      <c r="S239" s="18">
        <f t="shared" si="219"/>
        <v>1.3724957971067058</v>
      </c>
      <c r="T239" s="18" t="str">
        <f t="shared" si="208"/>
        <v>1+0.00203802667495222i</v>
      </c>
      <c r="U239" s="18">
        <f t="shared" si="220"/>
        <v>1.0000020767742075</v>
      </c>
      <c r="V239" s="18">
        <f t="shared" si="221"/>
        <v>2.0380238532755005E-3</v>
      </c>
      <c r="W239" s="32" t="str">
        <f t="shared" si="209"/>
        <v>1-0.0337661224252439i</v>
      </c>
      <c r="X239" s="18">
        <f t="shared" si="222"/>
        <v>1.000569913111341</v>
      </c>
      <c r="Y239" s="18">
        <f t="shared" si="223"/>
        <v>-3.3753298370567751E-2</v>
      </c>
      <c r="Z239" s="32" t="str">
        <f t="shared" si="210"/>
        <v>0.999945655620002+0.0153436499613692i</v>
      </c>
      <c r="AA239" s="18">
        <f t="shared" si="224"/>
        <v>1.0000633688859186</v>
      </c>
      <c r="AB239" s="18">
        <f t="shared" si="225"/>
        <v>1.5343279715406697E-2</v>
      </c>
      <c r="AC239" s="68" t="str">
        <f t="shared" si="226"/>
        <v>1.08485501183428-7.11820022489195i</v>
      </c>
      <c r="AD239" s="66">
        <f t="shared" si="227"/>
        <v>17.147126155200695</v>
      </c>
      <c r="AE239" s="63">
        <f t="shared" si="228"/>
        <v>-81.33447312117913</v>
      </c>
      <c r="AF239" s="51" t="str">
        <f t="shared" si="229"/>
        <v>42.1703962805665</v>
      </c>
      <c r="AG239" s="51" t="str">
        <f t="shared" si="211"/>
        <v>1+0.8991294154201i</v>
      </c>
      <c r="AH239" s="51">
        <f t="shared" si="230"/>
        <v>1.3447801700180186</v>
      </c>
      <c r="AI239" s="51">
        <f t="shared" si="231"/>
        <v>0.73233390756498828</v>
      </c>
      <c r="AJ239" s="51" t="str">
        <f t="shared" si="212"/>
        <v>1+0.00203802667495222i</v>
      </c>
      <c r="AK239" s="51">
        <f t="shared" si="232"/>
        <v>1.0000020767742075</v>
      </c>
      <c r="AL239" s="51">
        <f t="shared" si="233"/>
        <v>2.0380238532755005E-3</v>
      </c>
      <c r="AM239" s="51" t="str">
        <f t="shared" si="213"/>
        <v>1-0.0052847588613431i</v>
      </c>
      <c r="AN239" s="51">
        <f t="shared" si="234"/>
        <v>1.0000139642406114</v>
      </c>
      <c r="AO239" s="51">
        <f t="shared" si="235"/>
        <v>-5.2847096633944664E-3</v>
      </c>
      <c r="AP239" s="60" t="str">
        <f t="shared" si="236"/>
        <v>23.2509188234858-21.042501032658i</v>
      </c>
      <c r="AQ239" s="51">
        <f t="shared" si="237"/>
        <v>29.927267044317361</v>
      </c>
      <c r="AR239" s="63">
        <f t="shared" si="238"/>
        <v>-42.145663492122452</v>
      </c>
      <c r="AS239" s="32" t="str">
        <f t="shared" si="214"/>
        <v>-0.000133283554228113</v>
      </c>
      <c r="AT239" s="32" t="str">
        <f t="shared" si="215"/>
        <v>0.000622617149197905i</v>
      </c>
      <c r="AU239" s="32">
        <f t="shared" si="239"/>
        <v>6.2261714919790501E-4</v>
      </c>
      <c r="AV239" s="32">
        <f t="shared" si="240"/>
        <v>1.5707963267948966</v>
      </c>
      <c r="AW239" s="32" t="str">
        <f t="shared" si="216"/>
        <v>1+0.108859994041259i</v>
      </c>
      <c r="AX239" s="32">
        <f t="shared" si="241"/>
        <v>1.005907798112065</v>
      </c>
      <c r="AY239" s="32">
        <f t="shared" si="242"/>
        <v>0.10843301087399748</v>
      </c>
      <c r="AZ239" s="32" t="str">
        <f t="shared" si="217"/>
        <v>1+1.62227942339534i</v>
      </c>
      <c r="BA239" s="32">
        <f t="shared" si="243"/>
        <v>1.905725722020857</v>
      </c>
      <c r="BB239" s="32">
        <f t="shared" si="244"/>
        <v>1.0183931530070418</v>
      </c>
      <c r="BC239" s="60" t="str">
        <f t="shared" si="245"/>
        <v>-0.320183127234308+0.248924974476134i</v>
      </c>
      <c r="BD239" s="51">
        <f t="shared" si="246"/>
        <v>-7.8388458471949818</v>
      </c>
      <c r="BE239" s="63">
        <f t="shared" si="247"/>
        <v>142.13687566934797</v>
      </c>
      <c r="BF239" s="60" t="str">
        <f t="shared" si="248"/>
        <v>1.42454553901233+2.54917511441701i</v>
      </c>
      <c r="BG239" s="66">
        <f t="shared" si="249"/>
        <v>9.3082803080057062</v>
      </c>
      <c r="BH239" s="63">
        <f t="shared" si="250"/>
        <v>60.802402548168779</v>
      </c>
      <c r="BI239" s="60" t="str">
        <f t="shared" si="203"/>
        <v>-2.2065478675063+12.5251881601505i</v>
      </c>
      <c r="BJ239" s="66">
        <f t="shared" si="251"/>
        <v>22.088421197122408</v>
      </c>
      <c r="BK239" s="63">
        <f t="shared" si="204"/>
        <v>99.991212177225464</v>
      </c>
      <c r="BL239" s="51">
        <f t="shared" si="252"/>
        <v>9.3082803080057062</v>
      </c>
      <c r="BM239" s="63">
        <f t="shared" si="253"/>
        <v>60.802402548168779</v>
      </c>
    </row>
    <row r="240" spans="14:65" x14ac:dyDescent="0.35">
      <c r="N240" s="11">
        <v>22</v>
      </c>
      <c r="O240" s="52">
        <f t="shared" si="254"/>
        <v>1659.5869074375626</v>
      </c>
      <c r="P240" s="50" t="str">
        <f t="shared" si="206"/>
        <v>36.531007751938</v>
      </c>
      <c r="Q240" s="18" t="str">
        <f t="shared" si="207"/>
        <v>1+5.0924961285764i</v>
      </c>
      <c r="R240" s="18">
        <f t="shared" si="218"/>
        <v>5.1897511327197199</v>
      </c>
      <c r="S240" s="18">
        <f t="shared" si="219"/>
        <v>1.3768961214861777</v>
      </c>
      <c r="T240" s="18" t="str">
        <f t="shared" si="208"/>
        <v>1+0.00208549841455986i</v>
      </c>
      <c r="U240" s="18">
        <f t="shared" si="220"/>
        <v>1.0000021746494541</v>
      </c>
      <c r="V240" s="18">
        <f t="shared" si="221"/>
        <v>2.0854953910791367E-3</v>
      </c>
      <c r="W240" s="32" t="str">
        <f t="shared" si="209"/>
        <v>1-0.0345526364542462i</v>
      </c>
      <c r="X240" s="18">
        <f t="shared" si="222"/>
        <v>1.0005967642791673</v>
      </c>
      <c r="Y240" s="18">
        <f t="shared" si="223"/>
        <v>-3.4538895674673942E-2</v>
      </c>
      <c r="Z240" s="32" t="str">
        <f t="shared" si="210"/>
        <v>0.999943094448278+0.015701049481478i</v>
      </c>
      <c r="AA240" s="18">
        <f t="shared" si="224"/>
        <v>1.0000663553432931</v>
      </c>
      <c r="AB240" s="18">
        <f t="shared" si="225"/>
        <v>1.5700652756745554E-2</v>
      </c>
      <c r="AC240" s="68" t="str">
        <f t="shared" si="226"/>
        <v>1.02283317889235-6.96814677838358i</v>
      </c>
      <c r="AD240" s="66">
        <f t="shared" si="227"/>
        <v>16.954926846382982</v>
      </c>
      <c r="AE240" s="63">
        <f t="shared" si="228"/>
        <v>-81.649360594750831</v>
      </c>
      <c r="AF240" s="51" t="str">
        <f t="shared" si="229"/>
        <v>42.1703962805665</v>
      </c>
      <c r="AG240" s="51" t="str">
        <f t="shared" si="211"/>
        <v>1+0.920072829952882i</v>
      </c>
      <c r="AH240" s="51">
        <f t="shared" si="230"/>
        <v>1.3588723311693063</v>
      </c>
      <c r="AI240" s="51">
        <f t="shared" si="231"/>
        <v>0.74379502716607815</v>
      </c>
      <c r="AJ240" s="51" t="str">
        <f t="shared" si="212"/>
        <v>1+0.00208549841455986i</v>
      </c>
      <c r="AK240" s="51">
        <f t="shared" si="232"/>
        <v>1.0000021746494541</v>
      </c>
      <c r="AL240" s="51">
        <f t="shared" si="233"/>
        <v>2.0854953910791367E-3</v>
      </c>
      <c r="AM240" s="51" t="str">
        <f t="shared" si="213"/>
        <v>1-0.00540785670870603i</v>
      </c>
      <c r="AN240" s="51">
        <f t="shared" si="234"/>
        <v>1.0000146223501845</v>
      </c>
      <c r="AO240" s="51">
        <f t="shared" si="235"/>
        <v>-5.4078039921959227E-3</v>
      </c>
      <c r="AP240" s="60" t="str">
        <f t="shared" si="236"/>
        <v>22.7680425285257-21.0883624875584i</v>
      </c>
      <c r="AQ240" s="51">
        <f t="shared" si="237"/>
        <v>29.836726423112022</v>
      </c>
      <c r="AR240" s="63">
        <f t="shared" si="238"/>
        <v>-42.806670140518719</v>
      </c>
      <c r="AS240" s="32" t="str">
        <f t="shared" si="214"/>
        <v>-0.000133283554228113</v>
      </c>
      <c r="AT240" s="32" t="str">
        <f t="shared" si="215"/>
        <v>0.000637119765648037i</v>
      </c>
      <c r="AU240" s="32">
        <f t="shared" si="239"/>
        <v>6.3711976564803695E-4</v>
      </c>
      <c r="AV240" s="32">
        <f t="shared" si="240"/>
        <v>1.5707963267948966</v>
      </c>
      <c r="AW240" s="32" t="str">
        <f t="shared" si="216"/>
        <v>1+0.111395669042145i</v>
      </c>
      <c r="AX240" s="32">
        <f t="shared" si="241"/>
        <v>1.0061853681510913</v>
      </c>
      <c r="AY240" s="32">
        <f t="shared" si="242"/>
        <v>0.11093830010020787</v>
      </c>
      <c r="AZ240" s="32" t="str">
        <f t="shared" si="217"/>
        <v>1+1.66006716548172i</v>
      </c>
      <c r="BA240" s="32">
        <f t="shared" si="243"/>
        <v>1.9379945804646908</v>
      </c>
      <c r="BB240" s="32">
        <f t="shared" si="244"/>
        <v>1.0286248004253167</v>
      </c>
      <c r="BC240" s="60" t="str">
        <f t="shared" si="245"/>
        <v>-0.32000649778315+0.244844354577486i</v>
      </c>
      <c r="BD240" s="51">
        <f t="shared" si="246"/>
        <v>-7.8953990507683489</v>
      </c>
      <c r="BE240" s="63">
        <f t="shared" si="247"/>
        <v>142.57956338475955</v>
      </c>
      <c r="BF240" s="60" t="str">
        <f t="shared" si="248"/>
        <v>1.37879813716077+2.4802871761158i</v>
      </c>
      <c r="BG240" s="66">
        <f t="shared" si="249"/>
        <v>9.0595277956146223</v>
      </c>
      <c r="BH240" s="63">
        <f t="shared" si="250"/>
        <v>60.930202790008664</v>
      </c>
      <c r="BI240" s="60" t="str">
        <f t="shared" si="203"/>
        <v>-2.12255504856902+12.3230397015147i</v>
      </c>
      <c r="BJ240" s="66">
        <f t="shared" si="251"/>
        <v>21.94132737234364</v>
      </c>
      <c r="BK240" s="63">
        <f t="shared" si="204"/>
        <v>99.772893244240876</v>
      </c>
      <c r="BL240" s="51">
        <f t="shared" si="252"/>
        <v>9.0595277956146223</v>
      </c>
      <c r="BM240" s="63">
        <f t="shared" si="253"/>
        <v>60.930202790008664</v>
      </c>
    </row>
    <row r="241" spans="14:65" x14ac:dyDescent="0.35">
      <c r="N241" s="11">
        <v>23</v>
      </c>
      <c r="O241" s="52">
        <f t="shared" si="254"/>
        <v>1698.2436524617447</v>
      </c>
      <c r="P241" s="50" t="str">
        <f t="shared" si="206"/>
        <v>36.531007751938</v>
      </c>
      <c r="Q241" s="18" t="str">
        <f t="shared" si="207"/>
        <v>1+5.21111560158908i</v>
      </c>
      <c r="R241" s="18">
        <f t="shared" si="218"/>
        <v>5.3061969255885248</v>
      </c>
      <c r="S241" s="18">
        <f t="shared" si="219"/>
        <v>1.3812036428224992</v>
      </c>
      <c r="T241" s="18" t="str">
        <f t="shared" si="208"/>
        <v>1+0.00213407591303172i</v>
      </c>
      <c r="U241" s="18">
        <f t="shared" si="220"/>
        <v>1.0000022771374086</v>
      </c>
      <c r="V241" s="18">
        <f t="shared" si="221"/>
        <v>2.1340726733141547E-3</v>
      </c>
      <c r="W241" s="32" t="str">
        <f t="shared" si="209"/>
        <v>1-0.0353574707484546i</v>
      </c>
      <c r="X241" s="18">
        <f t="shared" si="222"/>
        <v>1.0006248801312747</v>
      </c>
      <c r="Y241" s="18">
        <f t="shared" si="223"/>
        <v>-3.5342747734423079E-2</v>
      </c>
      <c r="Z241" s="32" t="str">
        <f t="shared" si="210"/>
        <v>0.999940412572249+0.0160667739058497i</v>
      </c>
      <c r="AA241" s="18">
        <f t="shared" si="224"/>
        <v>1.0000694825455385</v>
      </c>
      <c r="AB241" s="18">
        <f t="shared" si="225"/>
        <v>1.6066348808721712E-2</v>
      </c>
      <c r="AC241" s="68" t="str">
        <f t="shared" si="226"/>
        <v>0.963400034165406-6.8207302589163i</v>
      </c>
      <c r="AD241" s="66">
        <f t="shared" si="227"/>
        <v>16.762408012297037</v>
      </c>
      <c r="AE241" s="63">
        <f t="shared" si="228"/>
        <v>-81.960390284971709</v>
      </c>
      <c r="AF241" s="51" t="str">
        <f t="shared" si="229"/>
        <v>42.1703962805665</v>
      </c>
      <c r="AG241" s="51" t="str">
        <f t="shared" si="211"/>
        <v>1+0.941504079278703i</v>
      </c>
      <c r="AH241" s="51">
        <f t="shared" si="230"/>
        <v>1.3734736733182906</v>
      </c>
      <c r="AI241" s="51">
        <f t="shared" si="231"/>
        <v>0.75527809785071598</v>
      </c>
      <c r="AJ241" s="51" t="str">
        <f t="shared" si="212"/>
        <v>1+0.00213407591303172i</v>
      </c>
      <c r="AK241" s="51">
        <f t="shared" si="232"/>
        <v>1.0000022771374086</v>
      </c>
      <c r="AL241" s="51">
        <f t="shared" si="233"/>
        <v>2.1340726733141547E-3</v>
      </c>
      <c r="AM241" s="51" t="str">
        <f t="shared" si="213"/>
        <v>1-0.00553382187327733i</v>
      </c>
      <c r="AN241" s="51">
        <f t="shared" si="234"/>
        <v>1.0000153114750419</v>
      </c>
      <c r="AO241" s="51">
        <f t="shared" si="235"/>
        <v>-5.5337653865657564E-3</v>
      </c>
      <c r="AP241" s="60" t="str">
        <f t="shared" si="236"/>
        <v>22.283314871308-21.1232004855851i</v>
      </c>
      <c r="AQ241" s="51">
        <f t="shared" si="237"/>
        <v>29.743899628809544</v>
      </c>
      <c r="AR241" s="63">
        <f t="shared" si="238"/>
        <v>-43.469035409625562</v>
      </c>
      <c r="AS241" s="32" t="str">
        <f t="shared" si="214"/>
        <v>-0.000133283554228113</v>
      </c>
      <c r="AT241" s="32" t="str">
        <f t="shared" si="215"/>
        <v>0.000651960191431192i</v>
      </c>
      <c r="AU241" s="32">
        <f t="shared" si="239"/>
        <v>6.5196019143119201E-4</v>
      </c>
      <c r="AV241" s="32">
        <f t="shared" si="240"/>
        <v>1.5707963267948966</v>
      </c>
      <c r="AW241" s="32" t="str">
        <f t="shared" si="216"/>
        <v>1+0.113990407501253i</v>
      </c>
      <c r="AX241" s="32">
        <f t="shared" si="241"/>
        <v>1.0064759376171404</v>
      </c>
      <c r="AY241" s="32">
        <f t="shared" si="242"/>
        <v>0.11350049799579005</v>
      </c>
      <c r="AZ241" s="32" t="str">
        <f t="shared" si="217"/>
        <v>1+1.69873509715281i</v>
      </c>
      <c r="BA241" s="32">
        <f t="shared" si="243"/>
        <v>1.9712181336165633</v>
      </c>
      <c r="BB241" s="32">
        <f t="shared" si="244"/>
        <v>1.0387469118731156</v>
      </c>
      <c r="BC241" s="60" t="str">
        <f t="shared" si="245"/>
        <v>-0.319821752790312+0.240891723120516i</v>
      </c>
      <c r="BD241" s="51">
        <f t="shared" si="246"/>
        <v>-7.9502644792722865</v>
      </c>
      <c r="BE241" s="63">
        <f t="shared" si="247"/>
        <v>143.01271452478531</v>
      </c>
      <c r="BF241" s="60" t="str">
        <f t="shared" si="248"/>
        <v>1.33494117744556+2.413493001001i</v>
      </c>
      <c r="BG241" s="66">
        <f t="shared" si="249"/>
        <v>8.8121435330247504</v>
      </c>
      <c r="BH241" s="63">
        <f t="shared" si="250"/>
        <v>61.052324239813707</v>
      </c>
      <c r="BI241" s="60" t="str">
        <f t="shared" si="203"/>
        <v>-2.03828465732744+12.1235251200274i</v>
      </c>
      <c r="BJ241" s="66">
        <f t="shared" si="251"/>
        <v>21.793635149537259</v>
      </c>
      <c r="BK241" s="63">
        <f t="shared" si="204"/>
        <v>99.543679115159776</v>
      </c>
      <c r="BL241" s="51">
        <f t="shared" si="252"/>
        <v>8.8121435330247504</v>
      </c>
      <c r="BM241" s="63">
        <f t="shared" si="253"/>
        <v>61.052324239813707</v>
      </c>
    </row>
    <row r="242" spans="14:65" x14ac:dyDescent="0.35">
      <c r="N242" s="11">
        <v>24</v>
      </c>
      <c r="O242" s="52">
        <f t="shared" si="254"/>
        <v>1737.8008287493772</v>
      </c>
      <c r="P242" s="50" t="str">
        <f t="shared" si="206"/>
        <v>36.531007751938</v>
      </c>
      <c r="Q242" s="18" t="str">
        <f t="shared" si="207"/>
        <v>1+5.33249807707103i</v>
      </c>
      <c r="R242" s="18">
        <f t="shared" si="218"/>
        <v>5.4254525840676395</v>
      </c>
      <c r="S242" s="18">
        <f t="shared" si="219"/>
        <v>1.385420005313025</v>
      </c>
      <c r="T242" s="18" t="str">
        <f t="shared" si="208"/>
        <v>1+0.00218378492680052i</v>
      </c>
      <c r="U242" s="18">
        <f t="shared" si="220"/>
        <v>1.0000023844554604</v>
      </c>
      <c r="V242" s="18">
        <f t="shared" si="221"/>
        <v>2.183781455381052E-3</v>
      </c>
      <c r="W242" s="32" t="str">
        <f t="shared" si="209"/>
        <v>1-0.0361810520416655i</v>
      </c>
      <c r="X242" s="18">
        <f t="shared" si="222"/>
        <v>1.0006543201959615</v>
      </c>
      <c r="Y242" s="18">
        <f t="shared" si="223"/>
        <v>-3.6165276604990998E-2</v>
      </c>
      <c r="Z242" s="32" t="str">
        <f t="shared" si="210"/>
        <v>0.999937604303297+0.0164410171464154i</v>
      </c>
      <c r="AA242" s="18">
        <f t="shared" si="224"/>
        <v>1.0000727571255132</v>
      </c>
      <c r="AB242" s="18">
        <f t="shared" si="225"/>
        <v>1.6440561647849829E-2</v>
      </c>
      <c r="AC242" s="68" t="str">
        <f t="shared" si="226"/>
        <v>0.906456004600273-6.6759381318413i</v>
      </c>
      <c r="AD242" s="66">
        <f t="shared" si="227"/>
        <v>16.569583880422972</v>
      </c>
      <c r="AE242" s="63">
        <f t="shared" si="228"/>
        <v>-82.267690206291789</v>
      </c>
      <c r="AF242" s="51" t="str">
        <f t="shared" si="229"/>
        <v>42.1703962805665</v>
      </c>
      <c r="AG242" s="51" t="str">
        <f t="shared" si="211"/>
        <v>1+0.963434526529644i</v>
      </c>
      <c r="AH242" s="51">
        <f t="shared" si="230"/>
        <v>1.3885986053966062</v>
      </c>
      <c r="AI242" s="51">
        <f t="shared" si="231"/>
        <v>0.76677709577816822</v>
      </c>
      <c r="AJ242" s="51" t="str">
        <f t="shared" si="212"/>
        <v>1+0.00218378492680052i</v>
      </c>
      <c r="AK242" s="51">
        <f t="shared" si="232"/>
        <v>1.0000023844554604</v>
      </c>
      <c r="AL242" s="51">
        <f t="shared" si="233"/>
        <v>2.183781455381052E-3</v>
      </c>
      <c r="AM242" s="51" t="str">
        <f t="shared" si="213"/>
        <v>1-0.00566272114345467i</v>
      </c>
      <c r="AN242" s="51">
        <f t="shared" si="234"/>
        <v>1.0000160330768444</v>
      </c>
      <c r="AO242" s="51">
        <f t="shared" si="235"/>
        <v>-5.6626606169051406E-3</v>
      </c>
      <c r="AP242" s="60" t="str">
        <f t="shared" si="236"/>
        <v>21.7972416874552-21.1469233436967i</v>
      </c>
      <c r="AQ242" s="51">
        <f t="shared" si="237"/>
        <v>29.648779119635542</v>
      </c>
      <c r="AR242" s="63">
        <f t="shared" si="238"/>
        <v>-44.132416508778817</v>
      </c>
      <c r="AS242" s="32" t="str">
        <f t="shared" si="214"/>
        <v>-0.000133283554228113</v>
      </c>
      <c r="AT242" s="32" t="str">
        <f t="shared" si="215"/>
        <v>0.000667146295137559i</v>
      </c>
      <c r="AU242" s="32">
        <f t="shared" si="239"/>
        <v>6.67146295137559E-4</v>
      </c>
      <c r="AV242" s="32">
        <f t="shared" si="240"/>
        <v>1.5707963267948966</v>
      </c>
      <c r="AW242" s="32" t="str">
        <f t="shared" si="216"/>
        <v>1+0.11664558518326i</v>
      </c>
      <c r="AX242" s="32">
        <f t="shared" si="241"/>
        <v>1.0067801113166395</v>
      </c>
      <c r="AY242" s="32">
        <f t="shared" si="242"/>
        <v>0.11612082843537332</v>
      </c>
      <c r="AZ242" s="32" t="str">
        <f t="shared" si="217"/>
        <v>1+1.73830372065785i</v>
      </c>
      <c r="BA242" s="32">
        <f t="shared" si="243"/>
        <v>2.0054176186652306</v>
      </c>
      <c r="BB242" s="32">
        <f t="shared" si="244"/>
        <v>1.0487565570524666</v>
      </c>
      <c r="BC242" s="60" t="str">
        <f t="shared" si="245"/>
        <v>-0.319628529525265+0.23706485679498i</v>
      </c>
      <c r="BD242" s="51">
        <f t="shared" si="246"/>
        <v>-8.0034862930182182</v>
      </c>
      <c r="BE242" s="63">
        <f t="shared" si="247"/>
        <v>143.4360910728679</v>
      </c>
      <c r="BF242" s="60" t="str">
        <f t="shared" si="248"/>
        <v>1.29290111736737+2.34870915120359i</v>
      </c>
      <c r="BG242" s="66">
        <f t="shared" si="249"/>
        <v>8.5660975874047427</v>
      </c>
      <c r="BH242" s="63">
        <f t="shared" si="250"/>
        <v>61.16840086657615</v>
      </c>
      <c r="BI242" s="60" t="str">
        <f t="shared" ref="BI242:BI305" si="255">IMPRODUCT(AP242,BC242)</f>
        <v>-1.95382795414023+11.9265199914914i</v>
      </c>
      <c r="BJ242" s="66">
        <f t="shared" si="251"/>
        <v>21.645292826617318</v>
      </c>
      <c r="BK242" s="63">
        <f t="shared" ref="BK242:BK305" si="256">(180/PI())*IMARGUMENT(BI242)</f>
        <v>99.303674564089093</v>
      </c>
      <c r="BL242" s="51">
        <f t="shared" si="252"/>
        <v>8.5660975874047427</v>
      </c>
      <c r="BM242" s="63">
        <f t="shared" si="253"/>
        <v>61.16840086657615</v>
      </c>
    </row>
    <row r="243" spans="14:65" x14ac:dyDescent="0.35">
      <c r="N243" s="11">
        <v>25</v>
      </c>
      <c r="O243" s="52">
        <f t="shared" si="254"/>
        <v>1778.2794100389244</v>
      </c>
      <c r="P243" s="50" t="str">
        <f t="shared" si="206"/>
        <v>36.531007751938</v>
      </c>
      <c r="Q243" s="18" t="str">
        <f t="shared" si="207"/>
        <v>1+5.4567079136174i</v>
      </c>
      <c r="R243" s="18">
        <f t="shared" si="218"/>
        <v>5.5475815680830474</v>
      </c>
      <c r="S243" s="18">
        <f t="shared" si="219"/>
        <v>1.3895468445795527</v>
      </c>
      <c r="T243" s="18" t="str">
        <f t="shared" si="208"/>
        <v>1+0.00223465181224332i</v>
      </c>
      <c r="U243" s="18">
        <f t="shared" si="220"/>
        <v>1.0000024968312438</v>
      </c>
      <c r="V243" s="18">
        <f t="shared" si="221"/>
        <v>2.2346480925508456E-3</v>
      </c>
      <c r="W243" s="32" t="str">
        <f t="shared" si="209"/>
        <v>1-0.0370238170075817i</v>
      </c>
      <c r="X243" s="18">
        <f t="shared" si="222"/>
        <v>1.0006851467998368</v>
      </c>
      <c r="Y243" s="18">
        <f t="shared" si="223"/>
        <v>-3.7006913947649635E-2</v>
      </c>
      <c r="Z243" s="32" t="str">
        <f t="shared" si="210"/>
        <v>0.999934663684707+0.0168239776318946i</v>
      </c>
      <c r="AA243" s="18">
        <f t="shared" si="224"/>
        <v>1.0000761860286478</v>
      </c>
      <c r="AB243" s="18">
        <f t="shared" si="225"/>
        <v>1.6823489557749826E-2</v>
      </c>
      <c r="AC243" s="68" t="str">
        <f t="shared" si="226"/>
        <v>0.851904624622253-6.53375538484435i</v>
      </c>
      <c r="AD243" s="66">
        <f t="shared" si="227"/>
        <v>16.376468168190573</v>
      </c>
      <c r="AE243" s="63">
        <f t="shared" si="228"/>
        <v>-82.571388656074831</v>
      </c>
      <c r="AF243" s="51" t="str">
        <f t="shared" si="229"/>
        <v>42.1703962805665</v>
      </c>
      <c r="AG243" s="51" t="str">
        <f t="shared" si="211"/>
        <v>1+0.985875799519115i</v>
      </c>
      <c r="AH243" s="51">
        <f t="shared" si="230"/>
        <v>1.404261760526667</v>
      </c>
      <c r="AI243" s="51">
        <f t="shared" si="231"/>
        <v>0.77828595510477883</v>
      </c>
      <c r="AJ243" s="51" t="str">
        <f t="shared" si="212"/>
        <v>1+0.00223465181224332i</v>
      </c>
      <c r="AK243" s="51">
        <f t="shared" si="232"/>
        <v>1.0000024968312438</v>
      </c>
      <c r="AL243" s="51">
        <f t="shared" si="233"/>
        <v>2.2346480925508456E-3</v>
      </c>
      <c r="AM243" s="51" t="str">
        <f t="shared" si="213"/>
        <v>1-0.00579462286333724i</v>
      </c>
      <c r="AN243" s="51">
        <f t="shared" si="234"/>
        <v>1.0000167886861342</v>
      </c>
      <c r="AO243" s="51">
        <f t="shared" si="235"/>
        <v>-5.7945580080297461E-3</v>
      </c>
      <c r="AP243" s="60" t="str">
        <f t="shared" si="236"/>
        <v>21.3103344821763-21.1594684356073i</v>
      </c>
      <c r="AQ243" s="51">
        <f t="shared" si="237"/>
        <v>29.551359759142819</v>
      </c>
      <c r="AR243" s="63">
        <f t="shared" si="238"/>
        <v>-44.796468295415806</v>
      </c>
      <c r="AS243" s="32" t="str">
        <f t="shared" si="214"/>
        <v>-0.000133283554228113</v>
      </c>
      <c r="AT243" s="32" t="str">
        <f t="shared" si="215"/>
        <v>0.000682686128640331i</v>
      </c>
      <c r="AU243" s="32">
        <f t="shared" si="239"/>
        <v>6.8268612864033097E-4</v>
      </c>
      <c r="AV243" s="32">
        <f t="shared" si="240"/>
        <v>1.5707963267948966</v>
      </c>
      <c r="AW243" s="32" t="str">
        <f t="shared" si="216"/>
        <v>1+0.119362609898518i</v>
      </c>
      <c r="AX243" s="32">
        <f t="shared" si="241"/>
        <v>1.0070985218149144</v>
      </c>
      <c r="AY243" s="32">
        <f t="shared" si="242"/>
        <v>0.1188005367428274</v>
      </c>
      <c r="AZ243" s="32" t="str">
        <f t="shared" si="217"/>
        <v>1+1.77879401580474i</v>
      </c>
      <c r="BA243" s="32">
        <f t="shared" si="243"/>
        <v>2.0406146502127132</v>
      </c>
      <c r="BB243" s="32">
        <f t="shared" si="244"/>
        <v>1.0586510194504029</v>
      </c>
      <c r="BC243" s="60" t="str">
        <f t="shared" si="245"/>
        <v>-0.319426450009624+0.233361590254771i</v>
      </c>
      <c r="BD243" s="51">
        <f t="shared" si="246"/>
        <v>-8.05510942917779</v>
      </c>
      <c r="BE243" s="63">
        <f t="shared" si="247"/>
        <v>143.84946603247712</v>
      </c>
      <c r="BF243" s="60" t="str">
        <f t="shared" si="248"/>
        <v>1.25260667695308+2.28585610575934i</v>
      </c>
      <c r="BG243" s="66">
        <f t="shared" si="249"/>
        <v>8.3213587390127834</v>
      </c>
      <c r="BH243" s="63">
        <f t="shared" si="250"/>
        <v>61.278077376402393</v>
      </c>
      <c r="BI243" s="60" t="str">
        <f t="shared" si="255"/>
        <v>-1.8692772890803+11.7319074300985i</v>
      </c>
      <c r="BJ243" s="66">
        <f t="shared" si="251"/>
        <v>21.496250329965051</v>
      </c>
      <c r="BK243" s="63">
        <f t="shared" si="256"/>
        <v>99.05299773706129</v>
      </c>
      <c r="BL243" s="51">
        <f t="shared" si="252"/>
        <v>8.3213587390127834</v>
      </c>
      <c r="BM243" s="63">
        <f t="shared" si="253"/>
        <v>61.278077376402393</v>
      </c>
    </row>
    <row r="244" spans="14:65" x14ac:dyDescent="0.35">
      <c r="N244" s="11">
        <v>26</v>
      </c>
      <c r="O244" s="52">
        <f t="shared" si="254"/>
        <v>1819.7008586099832</v>
      </c>
      <c r="P244" s="50" t="str">
        <f t="shared" si="206"/>
        <v>36.531007751938</v>
      </c>
      <c r="Q244" s="18" t="str">
        <f t="shared" si="207"/>
        <v>1+5.58381096892758i</v>
      </c>
      <c r="R244" s="18">
        <f t="shared" si="218"/>
        <v>5.6726488465897438</v>
      </c>
      <c r="S244" s="18">
        <f t="shared" si="219"/>
        <v>1.3935857861847105</v>
      </c>
      <c r="T244" s="18" t="str">
        <f t="shared" si="208"/>
        <v>1+0.00228670353965606i</v>
      </c>
      <c r="U244" s="18">
        <f t="shared" si="220"/>
        <v>1.0000026145031213</v>
      </c>
      <c r="V244" s="18">
        <f t="shared" si="221"/>
        <v>2.2866995539343265E-3</v>
      </c>
      <c r="W244" s="32" t="str">
        <f t="shared" si="209"/>
        <v>1-0.037886212491343i</v>
      </c>
      <c r="X244" s="18">
        <f t="shared" si="222"/>
        <v>1.0007174251990114</v>
      </c>
      <c r="Y244" s="18">
        <f t="shared" si="223"/>
        <v>-3.7868101237521386E-2</v>
      </c>
      <c r="Z244" s="32" t="str">
        <f t="shared" si="210"/>
        <v>0.999931584479033+0.0172158584130058i</v>
      </c>
      <c r="AA244" s="18">
        <f t="shared" si="224"/>
        <v>1.0000797765276759</v>
      </c>
      <c r="AB244" s="18">
        <f t="shared" si="225"/>
        <v>1.7215335433665171E-2</v>
      </c>
      <c r="AC244" s="68" t="str">
        <f t="shared" si="226"/>
        <v>0.799652503277213-6.39416472677927i</v>
      </c>
      <c r="AD244" s="66">
        <f t="shared" si="227"/>
        <v>16.183074100748954</v>
      </c>
      <c r="AE244" s="63">
        <f t="shared" si="228"/>
        <v>-82.871614146684891</v>
      </c>
      <c r="AF244" s="51" t="str">
        <f t="shared" si="229"/>
        <v>42.1703962805665</v>
      </c>
      <c r="AG244" s="51" t="str">
        <f t="shared" si="211"/>
        <v>1+1.00883979690709i</v>
      </c>
      <c r="AH244" s="51">
        <f t="shared" si="230"/>
        <v>1.4204779955435911</v>
      </c>
      <c r="AI244" s="51">
        <f t="shared" si="231"/>
        <v>0.78979858391060509</v>
      </c>
      <c r="AJ244" s="51" t="str">
        <f t="shared" si="212"/>
        <v>1+0.00228670353965606i</v>
      </c>
      <c r="AK244" s="51">
        <f t="shared" si="232"/>
        <v>1.0000026145031213</v>
      </c>
      <c r="AL244" s="51">
        <f t="shared" si="233"/>
        <v>2.2866995539343265E-3</v>
      </c>
      <c r="AM244" s="51" t="str">
        <f t="shared" si="213"/>
        <v>1-0.00592959696896279i</v>
      </c>
      <c r="AN244" s="51">
        <f t="shared" si="234"/>
        <v>1.0000175799055806</v>
      </c>
      <c r="AO244" s="51">
        <f t="shared" si="235"/>
        <v>-5.9295274753147428E-3</v>
      </c>
      <c r="AP244" s="60" t="str">
        <f t="shared" si="236"/>
        <v>20.8231082868033-21.1608025945547i</v>
      </c>
      <c r="AQ244" s="51">
        <f t="shared" si="237"/>
        <v>29.451638837988149</v>
      </c>
      <c r="AR244" s="63">
        <f t="shared" si="238"/>
        <v>-45.460844188874162</v>
      </c>
      <c r="AS244" s="32" t="str">
        <f t="shared" si="214"/>
        <v>-0.000133283554228113</v>
      </c>
      <c r="AT244" s="32" t="str">
        <f t="shared" si="215"/>
        <v>0.000698587931364928i</v>
      </c>
      <c r="AU244" s="32">
        <f t="shared" si="239"/>
        <v>6.9858793136492797E-4</v>
      </c>
      <c r="AV244" s="32">
        <f t="shared" si="240"/>
        <v>1.5707963267948966</v>
      </c>
      <c r="AW244" s="32" t="str">
        <f t="shared" si="216"/>
        <v>1+0.122142922249494i</v>
      </c>
      <c r="AX244" s="32">
        <f t="shared" si="241"/>
        <v>1.0074318306742376</v>
      </c>
      <c r="AY244" s="32">
        <f t="shared" si="242"/>
        <v>0.12154088971167866</v>
      </c>
      <c r="AZ244" s="32" t="str">
        <f t="shared" si="217"/>
        <v>1+1.82022745108392i</v>
      </c>
      <c r="BA244" s="32">
        <f t="shared" si="243"/>
        <v>2.0768312337981301</v>
      </c>
      <c r="BB244" s="32">
        <f t="shared" si="244"/>
        <v>1.0684277952110537</v>
      </c>
      <c r="BC244" s="60" t="str">
        <f t="shared" si="245"/>
        <v>-0.319215120468439+0.229779814394255i</v>
      </c>
      <c r="BD244" s="51">
        <f t="shared" si="246"/>
        <v>-8.1051795049866708</v>
      </c>
      <c r="BE244" s="63">
        <f t="shared" si="247"/>
        <v>144.25262336131706</v>
      </c>
      <c r="BF244" s="60" t="str">
        <f t="shared" si="248"/>
        <v>1.21398881395911+2.22485806733683i</v>
      </c>
      <c r="BG244" s="66">
        <f t="shared" si="249"/>
        <v>8.0778945957622952</v>
      </c>
      <c r="BH244" s="63">
        <f t="shared" si="250"/>
        <v>61.381009214632179</v>
      </c>
      <c r="BI244" s="60" t="str">
        <f t="shared" si="255"/>
        <v>-1.78472572768902+11.5395781066828i</v>
      </c>
      <c r="BJ244" s="66">
        <f t="shared" si="251"/>
        <v>21.346459333001505</v>
      </c>
      <c r="BK244" s="63">
        <f t="shared" si="256"/>
        <v>98.791779172442887</v>
      </c>
      <c r="BL244" s="51">
        <f t="shared" si="252"/>
        <v>8.0778945957622952</v>
      </c>
      <c r="BM244" s="63">
        <f t="shared" si="253"/>
        <v>61.381009214632179</v>
      </c>
    </row>
    <row r="245" spans="14:65" x14ac:dyDescent="0.35">
      <c r="N245" s="11">
        <v>27</v>
      </c>
      <c r="O245" s="52">
        <f t="shared" si="254"/>
        <v>1862.0871366628687</v>
      </c>
      <c r="P245" s="50" t="str">
        <f t="shared" si="206"/>
        <v>36.531007751938</v>
      </c>
      <c r="Q245" s="18" t="str">
        <f t="shared" si="207"/>
        <v>1+5.713874634724i</v>
      </c>
      <c r="R245" s="18">
        <f t="shared" si="218"/>
        <v>5.8007209328963869</v>
      </c>
      <c r="S245" s="18">
        <f t="shared" si="219"/>
        <v>1.3975384442693839</v>
      </c>
      <c r="T245" s="18" t="str">
        <f t="shared" si="208"/>
        <v>1+0.00233996770755364i</v>
      </c>
      <c r="U245" s="18">
        <f t="shared" si="220"/>
        <v>1.0000027377206886</v>
      </c>
      <c r="V245" s="18">
        <f t="shared" si="221"/>
        <v>2.3399634367764887E-3</v>
      </c>
      <c r="W245" s="32" t="str">
        <f t="shared" si="209"/>
        <v>1-0.0387686957464509i</v>
      </c>
      <c r="X245" s="18">
        <f t="shared" si="222"/>
        <v>1.0007512237164045</v>
      </c>
      <c r="Y245" s="18">
        <f t="shared" si="223"/>
        <v>-3.8749289975038889E-2</v>
      </c>
      <c r="Z245" s="32" t="str">
        <f t="shared" si="210"/>
        <v>0.999928360154865+0.0176168672701265i</v>
      </c>
      <c r="AA245" s="18">
        <f t="shared" si="224"/>
        <v>1.0000835362380538</v>
      </c>
      <c r="AB245" s="18">
        <f t="shared" si="225"/>
        <v>1.7616306889381098E-2</v>
      </c>
      <c r="AC245" s="68" t="str">
        <f t="shared" si="226"/>
        <v>0.749609285104354-6.25714677650721i</v>
      </c>
      <c r="AD245" s="66">
        <f t="shared" si="227"/>
        <v>15.989414428586715</v>
      </c>
      <c r="AE245" s="63">
        <f t="shared" si="228"/>
        <v>-83.168495344839556</v>
      </c>
      <c r="AF245" s="51" t="str">
        <f t="shared" si="229"/>
        <v>42.1703962805665</v>
      </c>
      <c r="AG245" s="51" t="str">
        <f t="shared" si="211"/>
        <v>1+1.03233869450896i</v>
      </c>
      <c r="AH245" s="51">
        <f t="shared" si="230"/>
        <v>1.4372623908599513</v>
      </c>
      <c r="AI245" s="51">
        <f t="shared" si="231"/>
        <v>0.80130888029399716</v>
      </c>
      <c r="AJ245" s="51" t="str">
        <f t="shared" si="212"/>
        <v>1+0.00233996770755364i</v>
      </c>
      <c r="AK245" s="51">
        <f t="shared" si="232"/>
        <v>1.0000027377206886</v>
      </c>
      <c r="AL245" s="51">
        <f t="shared" si="233"/>
        <v>2.3399634367764887E-3</v>
      </c>
      <c r="AM245" s="51" t="str">
        <f t="shared" si="213"/>
        <v>1-0.00606771502538882i</v>
      </c>
      <c r="AN245" s="51">
        <f t="shared" si="234"/>
        <v>1.0000184084133799</v>
      </c>
      <c r="AO245" s="51">
        <f t="shared" si="235"/>
        <v>-6.0676405616773782E-3</v>
      </c>
      <c r="AP245" s="60" t="str">
        <f t="shared" si="236"/>
        <v>20.3360794837076-21.1509223272681i</v>
      </c>
      <c r="AQ245" s="51">
        <f t="shared" si="237"/>
        <v>29.349616085498322</v>
      </c>
      <c r="AR245" s="63">
        <f t="shared" si="238"/>
        <v>-46.125197093844051</v>
      </c>
      <c r="AS245" s="32" t="str">
        <f t="shared" si="214"/>
        <v>-0.000133283554228113</v>
      </c>
      <c r="AT245" s="32" t="str">
        <f t="shared" si="215"/>
        <v>0.00071486013465764i</v>
      </c>
      <c r="AU245" s="32">
        <f t="shared" si="239"/>
        <v>7.1486013465763996E-4</v>
      </c>
      <c r="AV245" s="32">
        <f t="shared" si="240"/>
        <v>1.5707963267948966</v>
      </c>
      <c r="AW245" s="32" t="str">
        <f t="shared" si="216"/>
        <v>1+0.1249879963946i</v>
      </c>
      <c r="AX245" s="32">
        <f t="shared" si="241"/>
        <v>1.007780729743696</v>
      </c>
      <c r="AY245" s="32">
        <f t="shared" si="242"/>
        <v>0.12434317559475336</v>
      </c>
      <c r="AZ245" s="32" t="str">
        <f t="shared" si="217"/>
        <v>1+1.86262599505123i</v>
      </c>
      <c r="BA245" s="32">
        <f t="shared" si="243"/>
        <v>2.1140897798912386</v>
      </c>
      <c r="BB245" s="32">
        <f t="shared" si="244"/>
        <v>1.0780845912578945</v>
      </c>
      <c r="BC245" s="60" t="str">
        <f t="shared" si="245"/>
        <v>-0.318994130770799+0.226317474618881i</v>
      </c>
      <c r="BD245" s="51">
        <f t="shared" si="246"/>
        <v>-8.1537427244992706</v>
      </c>
      <c r="BE245" s="63">
        <f t="shared" si="247"/>
        <v>144.64535786433035</v>
      </c>
      <c r="BF245" s="60" t="str">
        <f t="shared" si="248"/>
        <v>1.1769806944592+2.16564277743291i</v>
      </c>
      <c r="BG245" s="66">
        <f t="shared" si="249"/>
        <v>7.8356717040874511</v>
      </c>
      <c r="BH245" s="63">
        <f t="shared" si="250"/>
        <v>61.476862519490801</v>
      </c>
      <c r="BI245" s="60" t="str">
        <f t="shared" si="255"/>
        <v>-1.70026667122376+11.3494302351891i</v>
      </c>
      <c r="BJ245" s="66">
        <f t="shared" si="251"/>
        <v>21.195873360999041</v>
      </c>
      <c r="BK245" s="63">
        <f t="shared" si="256"/>
        <v>98.520160770486271</v>
      </c>
      <c r="BL245" s="51">
        <f t="shared" si="252"/>
        <v>7.8356717040874511</v>
      </c>
      <c r="BM245" s="63">
        <f t="shared" si="253"/>
        <v>61.476862519490801</v>
      </c>
    </row>
    <row r="246" spans="14:65" x14ac:dyDescent="0.35">
      <c r="N246" s="11">
        <v>28</v>
      </c>
      <c r="O246" s="52">
        <f t="shared" si="254"/>
        <v>1905.4607179632501</v>
      </c>
      <c r="P246" s="50" t="str">
        <f t="shared" si="206"/>
        <v>36.531007751938</v>
      </c>
      <c r="Q246" s="18" t="str">
        <f t="shared" si="207"/>
        <v>1+5.84696787248387i</v>
      </c>
      <c r="R246" s="18">
        <f t="shared" si="218"/>
        <v>5.9318659207587086</v>
      </c>
      <c r="S246" s="18">
        <f t="shared" si="219"/>
        <v>1.4014064203049941</v>
      </c>
      <c r="T246" s="18" t="str">
        <f t="shared" si="208"/>
        <v>1+0.00239447255730292i</v>
      </c>
      <c r="U246" s="18">
        <f t="shared" si="220"/>
        <v>1.0000028667453047</v>
      </c>
      <c r="V246" s="18">
        <f t="shared" si="221"/>
        <v>2.3944679810834622E-3</v>
      </c>
      <c r="W246" s="32" t="str">
        <f t="shared" si="209"/>
        <v>1-0.0396717346772082i</v>
      </c>
      <c r="X246" s="18">
        <f t="shared" si="222"/>
        <v>1.0007866138854471</v>
      </c>
      <c r="Y246" s="18">
        <f t="shared" si="223"/>
        <v>-3.9650941901111833E-2</v>
      </c>
      <c r="Z246" s="32" t="str">
        <f t="shared" si="210"/>
        <v>0.999924983872981+0.0180272168234608i</v>
      </c>
      <c r="AA246" s="18">
        <f t="shared" si="224"/>
        <v>1.0000874731341161</v>
      </c>
      <c r="AB246" s="18">
        <f t="shared" si="225"/>
        <v>1.80266163665973E-2</v>
      </c>
      <c r="AC246" s="68" t="str">
        <f t="shared" si="226"/>
        <v>0.70168760551103-6.122680241963i</v>
      </c>
      <c r="AD246" s="66">
        <f t="shared" si="227"/>
        <v>15.795501444973311</v>
      </c>
      <c r="AE246" s="63">
        <f t="shared" si="228"/>
        <v>-83.46216101787725</v>
      </c>
      <c r="AF246" s="51" t="str">
        <f t="shared" si="229"/>
        <v>42.1703962805665</v>
      </c>
      <c r="AG246" s="51" t="str">
        <f t="shared" si="211"/>
        <v>1+1.05638495175129i</v>
      </c>
      <c r="AH246" s="51">
        <f t="shared" si="230"/>
        <v>1.454630250712041</v>
      </c>
      <c r="AI246" s="51">
        <f t="shared" si="231"/>
        <v>0.81281074853056845</v>
      </c>
      <c r="AJ246" s="51" t="str">
        <f t="shared" si="212"/>
        <v>1+0.00239447255730292i</v>
      </c>
      <c r="AK246" s="51">
        <f t="shared" si="232"/>
        <v>1.0000028667453047</v>
      </c>
      <c r="AL246" s="51">
        <f t="shared" si="233"/>
        <v>2.3944679810834622E-3</v>
      </c>
      <c r="AM246" s="51" t="str">
        <f t="shared" si="213"/>
        <v>1-0.00620905026463707i</v>
      </c>
      <c r="AN246" s="51">
        <f t="shared" si="234"/>
        <v>1.0000192759668129</v>
      </c>
      <c r="AO246" s="51">
        <f t="shared" si="235"/>
        <v>-6.2089704754157852E-3</v>
      </c>
      <c r="AP246" s="60" t="str">
        <f t="shared" si="236"/>
        <v>19.8497636190757-21.1298538365731i</v>
      </c>
      <c r="AQ246" s="51">
        <f t="shared" si="237"/>
        <v>29.245293670923399</v>
      </c>
      <c r="AR246" s="63">
        <f t="shared" si="238"/>
        <v>-46.789180327538233</v>
      </c>
      <c r="AS246" s="32" t="str">
        <f t="shared" si="214"/>
        <v>-0.000133283554228113</v>
      </c>
      <c r="AT246" s="32" t="str">
        <f t="shared" si="215"/>
        <v>0.00073151136625604i</v>
      </c>
      <c r="AU246" s="32">
        <f t="shared" si="239"/>
        <v>7.3151136625604005E-4</v>
      </c>
      <c r="AV246" s="32">
        <f t="shared" si="240"/>
        <v>1.5707963267948966</v>
      </c>
      <c r="AW246" s="32" t="str">
        <f t="shared" si="216"/>
        <v>1+0.127899340829807i</v>
      </c>
      <c r="AX246" s="32">
        <f t="shared" si="241"/>
        <v>1.0081459425027208</v>
      </c>
      <c r="AY246" s="32">
        <f t="shared" si="242"/>
        <v>0.12720870406043594</v>
      </c>
      <c r="AZ246" s="32" t="str">
        <f t="shared" si="217"/>
        <v>1+1.90601212797591i</v>
      </c>
      <c r="BA246" s="32">
        <f t="shared" si="243"/>
        <v>2.1524131183374755</v>
      </c>
      <c r="BB246" s="32">
        <f t="shared" si="244"/>
        <v>1.0876193227171589</v>
      </c>
      <c r="BC246" s="60" t="str">
        <f t="shared" si="245"/>
        <v>-0.318763053860566+0.222972569107173i</v>
      </c>
      <c r="BD246" s="51">
        <f t="shared" si="246"/>
        <v>-8.2008457892967073</v>
      </c>
      <c r="BE246" s="63">
        <f t="shared" si="247"/>
        <v>145.02747504857851</v>
      </c>
      <c r="BF246" s="60" t="str">
        <f t="shared" si="248"/>
        <v>1.14151765938341+2.10814133985133i</v>
      </c>
      <c r="BG246" s="66">
        <f t="shared" si="249"/>
        <v>7.5946556556765978</v>
      </c>
      <c r="BH246" s="63">
        <f t="shared" si="250"/>
        <v>61.565314030701352</v>
      </c>
      <c r="BI246" s="60" t="str">
        <f t="shared" si="255"/>
        <v>-1.61599347482717+11.1613695268888i</v>
      </c>
      <c r="BJ246" s="66">
        <f t="shared" si="251"/>
        <v>21.04444788162666</v>
      </c>
      <c r="BK246" s="63">
        <f t="shared" si="256"/>
        <v>98.238294721040305</v>
      </c>
      <c r="BL246" s="51">
        <f t="shared" si="252"/>
        <v>7.5946556556765978</v>
      </c>
      <c r="BM246" s="63">
        <f t="shared" si="253"/>
        <v>61.565314030701352</v>
      </c>
    </row>
    <row r="247" spans="14:65" x14ac:dyDescent="0.35">
      <c r="N247" s="11">
        <v>29</v>
      </c>
      <c r="O247" s="52">
        <f t="shared" si="254"/>
        <v>1949.8445997580463</v>
      </c>
      <c r="P247" s="50" t="str">
        <f t="shared" si="206"/>
        <v>36.531007751938</v>
      </c>
      <c r="Q247" s="18" t="str">
        <f t="shared" si="207"/>
        <v>1+5.98316125000342i</v>
      </c>
      <c r="R247" s="18">
        <f t="shared" si="218"/>
        <v>6.0661535212639048</v>
      </c>
      <c r="S247" s="18">
        <f t="shared" si="219"/>
        <v>1.4051913019546225</v>
      </c>
      <c r="T247" s="18" t="str">
        <f t="shared" si="208"/>
        <v>1+0.00245024698809664i</v>
      </c>
      <c r="U247" s="18">
        <f t="shared" si="220"/>
        <v>1.0000030018506458</v>
      </c>
      <c r="V247" s="18">
        <f t="shared" si="221"/>
        <v>2.4502420845899414E-3</v>
      </c>
      <c r="W247" s="32" t="str">
        <f t="shared" si="209"/>
        <v>1-0.0405958080868083i</v>
      </c>
      <c r="X247" s="18">
        <f t="shared" si="222"/>
        <v>1.0008236706004814</v>
      </c>
      <c r="Y247" s="18">
        <f t="shared" si="223"/>
        <v>-4.057352921600782E-2</v>
      </c>
      <c r="Z247" s="32" t="str">
        <f t="shared" si="210"/>
        <v>0.999921448471835+0.018447124645773i</v>
      </c>
      <c r="AA247" s="18">
        <f t="shared" si="224"/>
        <v>1.0000915955659808</v>
      </c>
      <c r="AB247" s="18">
        <f t="shared" si="225"/>
        <v>1.8446481246809941E-2</v>
      </c>
      <c r="AC247" s="68" t="str">
        <f t="shared" si="226"/>
        <v>0.655803041364278-5.99074208969563i</v>
      </c>
      <c r="AD247" s="66">
        <f t="shared" si="227"/>
        <v>15.601347003195363</v>
      </c>
      <c r="AE247" s="63">
        <f t="shared" si="228"/>
        <v>-83.752739986598215</v>
      </c>
      <c r="AF247" s="51" t="str">
        <f t="shared" si="229"/>
        <v>42.1703962805665</v>
      </c>
      <c r="AG247" s="51" t="str">
        <f t="shared" si="211"/>
        <v>1+1.08099131827793i</v>
      </c>
      <c r="AH247" s="51">
        <f t="shared" si="230"/>
        <v>1.4725971038244836</v>
      </c>
      <c r="AI247" s="51">
        <f t="shared" si="231"/>
        <v>0.82429811519228657</v>
      </c>
      <c r="AJ247" s="51" t="str">
        <f t="shared" si="212"/>
        <v>1+0.00245024698809664i</v>
      </c>
      <c r="AK247" s="51">
        <f t="shared" si="232"/>
        <v>1.0000030018506458</v>
      </c>
      <c r="AL247" s="51">
        <f t="shared" si="233"/>
        <v>2.4502420845899414E-3</v>
      </c>
      <c r="AM247" s="51" t="str">
        <f t="shared" si="213"/>
        <v>1-0.00635367762452204i</v>
      </c>
      <c r="AN247" s="51">
        <f t="shared" si="234"/>
        <v>1.0000201844059731</v>
      </c>
      <c r="AO247" s="51">
        <f t="shared" si="235"/>
        <v>-6.3535921289242835E-3</v>
      </c>
      <c r="AP247" s="60" t="str">
        <f t="shared" si="236"/>
        <v>19.3646732232018-21.097652852362i</v>
      </c>
      <c r="AQ247" s="51">
        <f t="shared" si="237"/>
        <v>29.13867619436537</v>
      </c>
      <c r="AR247" s="63">
        <f t="shared" si="238"/>
        <v>-47.452448544609133</v>
      </c>
      <c r="AS247" s="32" t="str">
        <f t="shared" si="214"/>
        <v>-0.000133283554228113</v>
      </c>
      <c r="AT247" s="32" t="str">
        <f t="shared" si="215"/>
        <v>0.000748550454863525i</v>
      </c>
      <c r="AU247" s="32">
        <f t="shared" si="239"/>
        <v>7.4855045486352505E-4</v>
      </c>
      <c r="AV247" s="32">
        <f t="shared" si="240"/>
        <v>1.5707963267948966</v>
      </c>
      <c r="AW247" s="32" t="str">
        <f t="shared" si="216"/>
        <v>1+0.130878499188469i</v>
      </c>
      <c r="AX247" s="32">
        <f t="shared" si="241"/>
        <v>1.0085282254601633</v>
      </c>
      <c r="AY247" s="32">
        <f t="shared" si="242"/>
        <v>0.13013880611279716</v>
      </c>
      <c r="AZ247" s="32" t="str">
        <f t="shared" si="217"/>
        <v>1+1.95040885375986i</v>
      </c>
      <c r="BA247" s="32">
        <f t="shared" si="243"/>
        <v>2.1918245132365985</v>
      </c>
      <c r="BB247" s="32">
        <f t="shared" si="244"/>
        <v>1.0970301096954871</v>
      </c>
      <c r="BC247" s="60" t="str">
        <f t="shared" si="245"/>
        <v>-0.318521445178168+0.219743147061275i</v>
      </c>
      <c r="BD247" s="51">
        <f t="shared" si="246"/>
        <v>-8.246535813495349</v>
      </c>
      <c r="BE247" s="63">
        <f t="shared" si="247"/>
        <v>145.39879094319053</v>
      </c>
      <c r="BF247" s="60" t="str">
        <f t="shared" si="248"/>
        <v>1.10753718753457+2.05228805226127i</v>
      </c>
      <c r="BG247" s="66">
        <f t="shared" si="249"/>
        <v>7.3548111897000092</v>
      </c>
      <c r="BH247" s="63">
        <f t="shared" si="250"/>
        <v>61.646050956592276</v>
      </c>
      <c r="BI247" s="60" t="str">
        <f t="shared" si="255"/>
        <v>-1.5319990670729+10.9753091122812i</v>
      </c>
      <c r="BJ247" s="66">
        <f t="shared" si="251"/>
        <v>20.892140380870018</v>
      </c>
      <c r="BK247" s="63">
        <f t="shared" si="256"/>
        <v>97.946342398581422</v>
      </c>
      <c r="BL247" s="51">
        <f t="shared" si="252"/>
        <v>7.3548111897000092</v>
      </c>
      <c r="BM247" s="63">
        <f t="shared" si="253"/>
        <v>61.646050956592276</v>
      </c>
    </row>
    <row r="248" spans="14:65" x14ac:dyDescent="0.35">
      <c r="N248" s="11">
        <v>30</v>
      </c>
      <c r="O248" s="52">
        <f t="shared" si="254"/>
        <v>1995.2623149688804</v>
      </c>
      <c r="P248" s="50" t="str">
        <f t="shared" si="206"/>
        <v>36.531007751938</v>
      </c>
      <c r="Q248" s="18" t="str">
        <f t="shared" si="207"/>
        <v>1+6.12252697881426i</v>
      </c>
      <c r="R248" s="18">
        <f t="shared" si="218"/>
        <v>6.2036551005281124</v>
      </c>
      <c r="S248" s="18">
        <f t="shared" si="219"/>
        <v>1.408894662037121</v>
      </c>
      <c r="T248" s="18" t="str">
        <f t="shared" si="208"/>
        <v>1+0.00250732057227632i</v>
      </c>
      <c r="U248" s="18">
        <f t="shared" si="220"/>
        <v>1.0000031433232859</v>
      </c>
      <c r="V248" s="18">
        <f t="shared" si="221"/>
        <v>2.5073153180751209E-3</v>
      </c>
      <c r="W248" s="32" t="str">
        <f t="shared" si="209"/>
        <v>1-0.0415414059312053i</v>
      </c>
      <c r="X248" s="18">
        <f t="shared" si="222"/>
        <v>1.0008624722741588</v>
      </c>
      <c r="Y248" s="18">
        <f t="shared" si="223"/>
        <v>-4.1517534801941848E-2</v>
      </c>
      <c r="Z248" s="32" t="str">
        <f t="shared" si="210"/>
        <v>0.999917746452365+0.0188768133777491i</v>
      </c>
      <c r="AA248" s="18">
        <f t="shared" si="224"/>
        <v>1.0000959122772548</v>
      </c>
      <c r="AB248" s="18">
        <f t="shared" si="225"/>
        <v>1.8876123965760692E-2</v>
      </c>
      <c r="AC248" s="68" t="str">
        <f t="shared" si="226"/>
        <v>0.611874057459858-5.86130770515175i</v>
      </c>
      <c r="AD248" s="66">
        <f t="shared" si="227"/>
        <v>15.406962533565382</v>
      </c>
      <c r="AE248" s="63">
        <f t="shared" si="228"/>
        <v>-84.040361084345932</v>
      </c>
      <c r="AF248" s="51" t="str">
        <f t="shared" si="229"/>
        <v>42.1703962805665</v>
      </c>
      <c r="AG248" s="51" t="str">
        <f t="shared" si="211"/>
        <v>1+1.10617084071014i</v>
      </c>
      <c r="AH248" s="51">
        <f t="shared" si="230"/>
        <v>1.4911787045278571</v>
      </c>
      <c r="AI248" s="51">
        <f t="shared" si="231"/>
        <v>0.83576494512293986</v>
      </c>
      <c r="AJ248" s="51" t="str">
        <f t="shared" si="212"/>
        <v>1+0.00250732057227632i</v>
      </c>
      <c r="AK248" s="51">
        <f t="shared" si="232"/>
        <v>1.0000031433232859</v>
      </c>
      <c r="AL248" s="51">
        <f t="shared" si="233"/>
        <v>2.5073153180751209E-3</v>
      </c>
      <c r="AM248" s="51" t="str">
        <f t="shared" si="213"/>
        <v>1-0.00650167378838444i</v>
      </c>
      <c r="AN248" s="51">
        <f t="shared" si="234"/>
        <v>1.0000211356576671</v>
      </c>
      <c r="AO248" s="51">
        <f t="shared" si="235"/>
        <v>-6.5015821783055028E-3</v>
      </c>
      <c r="AP248" s="60" t="str">
        <f t="shared" si="236"/>
        <v>18.8813156578413-21.0544042729557i</v>
      </c>
      <c r="AQ248" s="51">
        <f t="shared" si="237"/>
        <v>29.029770667463715</v>
      </c>
      <c r="AR248" s="63">
        <f t="shared" si="238"/>
        <v>-48.114658653867522</v>
      </c>
      <c r="AS248" s="32" t="str">
        <f t="shared" si="214"/>
        <v>-0.000133283554228113</v>
      </c>
      <c r="AT248" s="32" t="str">
        <f t="shared" si="215"/>
        <v>0.000765986434830416i</v>
      </c>
      <c r="AU248" s="32">
        <f t="shared" si="239"/>
        <v>7.65986434830416E-4</v>
      </c>
      <c r="AV248" s="32">
        <f t="shared" si="240"/>
        <v>1.5707963267948966</v>
      </c>
      <c r="AW248" s="32" t="str">
        <f t="shared" si="216"/>
        <v>1+0.133927051059783i</v>
      </c>
      <c r="AX248" s="32">
        <f t="shared" si="241"/>
        <v>1.0089283696108311</v>
      </c>
      <c r="AY248" s="32">
        <f t="shared" si="242"/>
        <v>0.13313483397267534</v>
      </c>
      <c r="AZ248" s="32" t="str">
        <f t="shared" si="217"/>
        <v>1+1.99583971213481i</v>
      </c>
      <c r="BA248" s="32">
        <f t="shared" si="243"/>
        <v>2.2323476782379488</v>
      </c>
      <c r="BB248" s="32">
        <f t="shared" si="244"/>
        <v>1.1063152734663806</v>
      </c>
      <c r="BC248" s="60" t="str">
        <f t="shared" si="245"/>
        <v>-0.318268842074593+0.216627306943061i</v>
      </c>
      <c r="BD248" s="51">
        <f t="shared" si="246"/>
        <v>-8.290860243350199</v>
      </c>
      <c r="BE248" s="63">
        <f t="shared" si="247"/>
        <v>145.75913188767592</v>
      </c>
      <c r="BF248" s="60" t="str">
        <f t="shared" si="248"/>
        <v>1.0749788555684+1.99802024561739i</v>
      </c>
      <c r="BG248" s="66">
        <f t="shared" si="249"/>
        <v>7.116102290215176</v>
      </c>
      <c r="BH248" s="63">
        <f t="shared" si="250"/>
        <v>61.718770803330074</v>
      </c>
      <c r="BI248" s="60" t="str">
        <f t="shared" si="255"/>
        <v>-1.44837557432516+10.791169431024i</v>
      </c>
      <c r="BJ248" s="66">
        <f t="shared" si="251"/>
        <v>20.738910424113527</v>
      </c>
      <c r="BK248" s="63">
        <f t="shared" si="256"/>
        <v>97.644473233808355</v>
      </c>
      <c r="BL248" s="51">
        <f t="shared" si="252"/>
        <v>7.116102290215176</v>
      </c>
      <c r="BM248" s="63">
        <f t="shared" si="253"/>
        <v>61.718770803330074</v>
      </c>
    </row>
    <row r="249" spans="14:65" x14ac:dyDescent="0.35">
      <c r="N249" s="11">
        <v>31</v>
      </c>
      <c r="O249" s="52">
        <f t="shared" si="254"/>
        <v>2041.7379446695318</v>
      </c>
      <c r="P249" s="50" t="str">
        <f t="shared" si="206"/>
        <v>36.531007751938</v>
      </c>
      <c r="Q249" s="18" t="str">
        <f t="shared" si="207"/>
        <v>1+6.26513895247047i</v>
      </c>
      <c r="R249" s="18">
        <f t="shared" si="218"/>
        <v>6.3444437182280042</v>
      </c>
      <c r="S249" s="18">
        <f t="shared" si="219"/>
        <v>1.4125180575884824</v>
      </c>
      <c r="T249" s="18" t="str">
        <f t="shared" si="208"/>
        <v>1+0.00256572357101172i</v>
      </c>
      <c r="U249" s="18">
        <f t="shared" si="220"/>
        <v>1.0000032914633046</v>
      </c>
      <c r="V249" s="18">
        <f t="shared" si="221"/>
        <v>2.5657179410347023E-3</v>
      </c>
      <c r="W249" s="32" t="str">
        <f t="shared" si="209"/>
        <v>1-0.0425090295788924i</v>
      </c>
      <c r="X249" s="18">
        <f t="shared" si="222"/>
        <v>1.0009031010021596</v>
      </c>
      <c r="Y249" s="18">
        <f t="shared" si="223"/>
        <v>-4.2483452449355703E-2</v>
      </c>
      <c r="Z249" s="32" t="str">
        <f t="shared" si="210"/>
        <v>0.999913869962093+0.0193165108460422i</v>
      </c>
      <c r="AA249" s="18">
        <f t="shared" si="224"/>
        <v>1.0001004324235814</v>
      </c>
      <c r="AB249" s="18">
        <f t="shared" si="225"/>
        <v>1.9315772130504269E-2</v>
      </c>
      <c r="AC249" s="68" t="str">
        <f t="shared" si="226"/>
        <v>0.569821949478368-5.73435104398987i</v>
      </c>
      <c r="AD249" s="66">
        <f t="shared" si="227"/>
        <v>15.212359060186371</v>
      </c>
      <c r="AE249" s="63">
        <f t="shared" si="228"/>
        <v>-84.325153122001822</v>
      </c>
      <c r="AF249" s="51" t="str">
        <f t="shared" si="229"/>
        <v>42.1703962805665</v>
      </c>
      <c r="AG249" s="51" t="str">
        <f t="shared" si="211"/>
        <v>1+1.131936869564i</v>
      </c>
      <c r="AH249" s="51">
        <f t="shared" si="230"/>
        <v>1.5103910343610849</v>
      </c>
      <c r="AI249" s="51">
        <f t="shared" si="231"/>
        <v>0.84720525716773853</v>
      </c>
      <c r="AJ249" s="51" t="str">
        <f t="shared" si="212"/>
        <v>1+0.00256572357101172i</v>
      </c>
      <c r="AK249" s="51">
        <f t="shared" si="232"/>
        <v>1.0000032914633046</v>
      </c>
      <c r="AL249" s="51">
        <f t="shared" si="233"/>
        <v>2.5657179410347023E-3</v>
      </c>
      <c r="AM249" s="51" t="str">
        <f t="shared" si="213"/>
        <v>1-0.00665311722574924i</v>
      </c>
      <c r="AN249" s="51">
        <f t="shared" si="234"/>
        <v>1.0000221317395028</v>
      </c>
      <c r="AO249" s="51">
        <f t="shared" si="235"/>
        <v>-6.6530190638984356E-3</v>
      </c>
      <c r="AP249" s="60" t="str">
        <f t="shared" si="236"/>
        <v>18.4001910097608-21.0002216211433i</v>
      </c>
      <c r="AQ249" s="51">
        <f t="shared" si="237"/>
        <v>28.918586484012707</v>
      </c>
      <c r="AR249" s="63">
        <f t="shared" si="238"/>
        <v>-48.775470720946196</v>
      </c>
      <c r="AS249" s="32" t="str">
        <f t="shared" si="214"/>
        <v>-0.000133283554228113</v>
      </c>
      <c r="AT249" s="32" t="str">
        <f t="shared" si="215"/>
        <v>0.000783828550944083i</v>
      </c>
      <c r="AU249" s="32">
        <f t="shared" si="239"/>
        <v>7.8382855094408298E-4</v>
      </c>
      <c r="AV249" s="32">
        <f t="shared" si="240"/>
        <v>1.5707963267948966</v>
      </c>
      <c r="AW249" s="32" t="str">
        <f t="shared" si="216"/>
        <v>1+0.137046612826302i</v>
      </c>
      <c r="AX249" s="32">
        <f t="shared" si="241"/>
        <v>1.0093472019514209</v>
      </c>
      <c r="AY249" s="32">
        <f t="shared" si="242"/>
        <v>0.1361981609166083</v>
      </c>
      <c r="AZ249" s="32" t="str">
        <f t="shared" si="217"/>
        <v>1+2.04232879114318i</v>
      </c>
      <c r="BA249" s="32">
        <f t="shared" si="243"/>
        <v>2.2740067922353182</v>
      </c>
      <c r="BB249" s="32">
        <f t="shared" si="244"/>
        <v>1.1154733321205856</v>
      </c>
      <c r="BC249" s="60" t="str">
        <f t="shared" si="245"/>
        <v>-0.318004763218723+0.21362319469276i</v>
      </c>
      <c r="BD249" s="51">
        <f t="shared" si="246"/>
        <v>-8.3338667816981342</v>
      </c>
      <c r="BE249" s="63">
        <f t="shared" si="247"/>
        <v>146.10833429193909</v>
      </c>
      <c r="BF249" s="60" t="str">
        <f t="shared" si="248"/>
        <v>1.04378429538618+1.94527813121066i</v>
      </c>
      <c r="BG249" s="66">
        <f t="shared" si="249"/>
        <v>6.8784922784882321</v>
      </c>
      <c r="BH249" s="63">
        <f t="shared" si="250"/>
        <v>61.783181169937258</v>
      </c>
      <c r="BI249" s="60" t="str">
        <f t="shared" si="255"/>
        <v>-1.36521395327366+10.6088780906345i</v>
      </c>
      <c r="BJ249" s="66">
        <f t="shared" si="251"/>
        <v>20.58471970231458</v>
      </c>
      <c r="BK249" s="63">
        <f t="shared" si="256"/>
        <v>97.332863570992913</v>
      </c>
      <c r="BL249" s="51">
        <f t="shared" si="252"/>
        <v>6.8784922784882321</v>
      </c>
      <c r="BM249" s="63">
        <f t="shared" si="253"/>
        <v>61.783181169937258</v>
      </c>
    </row>
    <row r="250" spans="14:65" x14ac:dyDescent="0.35">
      <c r="N250" s="11">
        <v>32</v>
      </c>
      <c r="O250" s="52">
        <f t="shared" si="254"/>
        <v>2089.2961308540398</v>
      </c>
      <c r="P250" s="50" t="str">
        <f t="shared" si="206"/>
        <v>36.531007751938</v>
      </c>
      <c r="Q250" s="18" t="str">
        <f t="shared" si="207"/>
        <v>1+6.41107278572826i</v>
      </c>
      <c r="R250" s="18">
        <f t="shared" si="218"/>
        <v>6.4885941669906826</v>
      </c>
      <c r="S250" s="18">
        <f t="shared" si="219"/>
        <v>1.41606302901501</v>
      </c>
      <c r="T250" s="18" t="str">
        <f t="shared" si="208"/>
        <v>1+0.00262548695034586i</v>
      </c>
      <c r="U250" s="18">
        <f t="shared" si="220"/>
        <v>1.0000034465849237</v>
      </c>
      <c r="V250" s="18">
        <f t="shared" si="221"/>
        <v>2.6254809177179207E-3</v>
      </c>
      <c r="W250" s="32" t="str">
        <f t="shared" si="209"/>
        <v>1-0.0434991920767362i</v>
      </c>
      <c r="X250" s="18">
        <f t="shared" si="222"/>
        <v>1.0009456427355727</v>
      </c>
      <c r="Y250" s="18">
        <f t="shared" si="223"/>
        <v>-4.3471787086878398E-2</v>
      </c>
      <c r="Z250" s="32" t="str">
        <f t="shared" si="210"/>
        <v>0.999909810778463+0.0197664501840703i</v>
      </c>
      <c r="AA250" s="18">
        <f t="shared" si="224"/>
        <v>1.0001051655920496</v>
      </c>
      <c r="AB250" s="18">
        <f t="shared" si="225"/>
        <v>1.9765658639158717E-2</v>
      </c>
      <c r="AC250" s="68" t="str">
        <f t="shared" si="226"/>
        <v>0.529570783987684-5.60984477472387i</v>
      </c>
      <c r="AD250" s="66">
        <f t="shared" si="227"/>
        <v>15.017547217455363</v>
      </c>
      <c r="AE250" s="63">
        <f t="shared" si="228"/>
        <v>-84.607244858583655</v>
      </c>
      <c r="AF250" s="51" t="str">
        <f t="shared" si="229"/>
        <v>42.1703962805665</v>
      </c>
      <c r="AG250" s="51" t="str">
        <f t="shared" si="211"/>
        <v>1+1.15830306632906i</v>
      </c>
      <c r="AH250" s="51">
        <f t="shared" si="230"/>
        <v>1.5302503041879465</v>
      </c>
      <c r="AI250" s="51">
        <f t="shared" si="231"/>
        <v>0.85861313955802321</v>
      </c>
      <c r="AJ250" s="51" t="str">
        <f t="shared" si="212"/>
        <v>1+0.00262548695034586i</v>
      </c>
      <c r="AK250" s="51">
        <f t="shared" si="232"/>
        <v>1.0000034465849237</v>
      </c>
      <c r="AL250" s="51">
        <f t="shared" si="233"/>
        <v>2.6254809177179207E-3</v>
      </c>
      <c r="AM250" s="51" t="str">
        <f t="shared" si="213"/>
        <v>1-0.00680808823393161i</v>
      </c>
      <c r="AN250" s="51">
        <f t="shared" si="234"/>
        <v>1.0000231747641657</v>
      </c>
      <c r="AO250" s="51">
        <f t="shared" si="235"/>
        <v>-6.8079830517450823E-3</v>
      </c>
      <c r="AP250" s="60" t="str">
        <f t="shared" si="236"/>
        <v>17.921790048902-20.9352463213613i</v>
      </c>
      <c r="AQ250" s="51">
        <f t="shared" si="237"/>
        <v>28.805135380771368</v>
      </c>
      <c r="AR250" s="63">
        <f t="shared" si="238"/>
        <v>-49.43454885123618</v>
      </c>
      <c r="AS250" s="32" t="str">
        <f t="shared" si="214"/>
        <v>-0.000133283554228113</v>
      </c>
      <c r="AT250" s="32" t="str">
        <f t="shared" si="215"/>
        <v>0.000802086263330658i</v>
      </c>
      <c r="AU250" s="32">
        <f t="shared" si="239"/>
        <v>8.0208626333065798E-4</v>
      </c>
      <c r="AV250" s="32">
        <f t="shared" si="240"/>
        <v>1.5707963267948966</v>
      </c>
      <c r="AW250" s="32" t="str">
        <f t="shared" si="216"/>
        <v>1+0.140238838520969i</v>
      </c>
      <c r="AX250" s="32">
        <f t="shared" si="241"/>
        <v>1.0097855870578221</v>
      </c>
      <c r="AY250" s="32">
        <f t="shared" si="242"/>
        <v>0.13933018107038009</v>
      </c>
      <c r="AZ250" s="32" t="str">
        <f t="shared" si="217"/>
        <v>1+2.08990073991006i</v>
      </c>
      <c r="BA250" s="32">
        <f t="shared" si="243"/>
        <v>2.316826515446639</v>
      </c>
      <c r="BB250" s="32">
        <f t="shared" si="244"/>
        <v>1.124502995736</v>
      </c>
      <c r="BC250" s="60" t="str">
        <f t="shared" si="245"/>
        <v>-0.317728707999572+0.210729001927036i</v>
      </c>
      <c r="BD250" s="51">
        <f t="shared" si="246"/>
        <v>-8.3756033174301585</v>
      </c>
      <c r="BE250" s="63">
        <f t="shared" si="247"/>
        <v>146.446244371364</v>
      </c>
      <c r="BF250" s="60" t="str">
        <f t="shared" si="248"/>
        <v>1.01389714935243+1.89400465511061i</v>
      </c>
      <c r="BG250" s="66">
        <f t="shared" si="249"/>
        <v>6.6419439000252094</v>
      </c>
      <c r="BH250" s="63">
        <f t="shared" si="250"/>
        <v>61.838999512780418</v>
      </c>
      <c r="BI250" s="60" t="str">
        <f t="shared" si="255"/>
        <v>-1.2826036348801+10.4283696950899i</v>
      </c>
      <c r="BJ250" s="66">
        <f t="shared" si="251"/>
        <v>20.429532063341192</v>
      </c>
      <c r="BK250" s="63">
        <f t="shared" si="256"/>
        <v>97.011695520127844</v>
      </c>
      <c r="BL250" s="51">
        <f t="shared" si="252"/>
        <v>6.6419439000252094</v>
      </c>
      <c r="BM250" s="63">
        <f t="shared" si="253"/>
        <v>61.838999512780418</v>
      </c>
    </row>
    <row r="251" spans="14:65" x14ac:dyDescent="0.35">
      <c r="N251" s="11">
        <v>33</v>
      </c>
      <c r="O251" s="52">
        <f t="shared" si="254"/>
        <v>2137.9620895022344</v>
      </c>
      <c r="P251" s="50" t="str">
        <f t="shared" si="206"/>
        <v>36.531007751938</v>
      </c>
      <c r="Q251" s="18" t="str">
        <f t="shared" si="207"/>
        <v>1+6.56040585463756i</v>
      </c>
      <c r="R251" s="18">
        <f t="shared" si="218"/>
        <v>6.6361830126634374</v>
      </c>
      <c r="S251" s="18">
        <f t="shared" si="219"/>
        <v>1.4195310993329286</v>
      </c>
      <c r="T251" s="18" t="str">
        <f t="shared" si="208"/>
        <v>1+0.00268664239761348i</v>
      </c>
      <c r="U251" s="18">
        <f t="shared" si="220"/>
        <v>1.0000036090171738</v>
      </c>
      <c r="V251" s="18">
        <f t="shared" si="221"/>
        <v>2.6866359335374415E-3</v>
      </c>
      <c r="W251" s="32" t="str">
        <f t="shared" si="209"/>
        <v>1-0.0445124184219985i</v>
      </c>
      <c r="X251" s="18">
        <f t="shared" si="222"/>
        <v>1.0009901874612832</v>
      </c>
      <c r="Y251" s="18">
        <f t="shared" si="223"/>
        <v>-4.4483055014932174E-2</v>
      </c>
      <c r="Z251" s="32" t="str">
        <f t="shared" si="210"/>
        <v>0.999905560291402+0.0202268699556257i</v>
      </c>
      <c r="AA251" s="18">
        <f t="shared" si="224"/>
        <v>1.0001101218215245</v>
      </c>
      <c r="AB251" s="18">
        <f t="shared" si="225"/>
        <v>2.0226021803392304E-2</v>
      </c>
      <c r="AC251" s="68" t="str">
        <f t="shared" si="226"/>
        <v>0.491047336005139-5.48776041300638i</v>
      </c>
      <c r="AD251" s="66">
        <f t="shared" si="227"/>
        <v>14.822537266295354</v>
      </c>
      <c r="AE251" s="63">
        <f t="shared" si="228"/>
        <v>-84.886764977140786</v>
      </c>
      <c r="AF251" s="51" t="str">
        <f t="shared" si="229"/>
        <v>42.1703962805665</v>
      </c>
      <c r="AG251" s="51" t="str">
        <f t="shared" si="211"/>
        <v>1+1.18528341071183i</v>
      </c>
      <c r="AH251" s="51">
        <f t="shared" si="230"/>
        <v>1.5507729568536681</v>
      </c>
      <c r="AI251" s="51">
        <f t="shared" si="231"/>
        <v>0.86998276485592119</v>
      </c>
      <c r="AJ251" s="51" t="str">
        <f t="shared" si="212"/>
        <v>1+0.00268664239761348i</v>
      </c>
      <c r="AK251" s="51">
        <f t="shared" si="232"/>
        <v>1.0000036090171738</v>
      </c>
      <c r="AL251" s="51">
        <f t="shared" si="233"/>
        <v>2.6866359335374415E-3</v>
      </c>
      <c r="AM251" s="51" t="str">
        <f t="shared" si="213"/>
        <v>1-0.00696666898061125i</v>
      </c>
      <c r="AN251" s="51">
        <f t="shared" si="234"/>
        <v>1.0000242669439003</v>
      </c>
      <c r="AO251" s="51">
        <f t="shared" si="235"/>
        <v>-6.9665562760155286E-3</v>
      </c>
      <c r="AP251" s="60" t="str">
        <f t="shared" si="236"/>
        <v>17.4465922686058-20.8596468065281i</v>
      </c>
      <c r="AQ251" s="51">
        <f t="shared" si="237"/>
        <v>28.689431388813848</v>
      </c>
      <c r="AR251" s="63">
        <f t="shared" si="238"/>
        <v>-50.091562047642789</v>
      </c>
      <c r="AS251" s="32" t="str">
        <f t="shared" si="214"/>
        <v>-0.000133283554228113</v>
      </c>
      <c r="AT251" s="32" t="str">
        <f t="shared" si="215"/>
        <v>0.000820769252470919i</v>
      </c>
      <c r="AU251" s="32">
        <f t="shared" si="239"/>
        <v>8.2076925247091901E-4</v>
      </c>
      <c r="AV251" s="32">
        <f t="shared" si="240"/>
        <v>1.5707963267948966</v>
      </c>
      <c r="AW251" s="32" t="str">
        <f t="shared" si="216"/>
        <v>1+0.1435054207041i</v>
      </c>
      <c r="AX251" s="32">
        <f t="shared" si="241"/>
        <v>1.0102444287257717</v>
      </c>
      <c r="AY251" s="32">
        <f t="shared" si="242"/>
        <v>0.14253230915371895</v>
      </c>
      <c r="AZ251" s="32" t="str">
        <f t="shared" si="217"/>
        <v>1+2.13858078171232i</v>
      </c>
      <c r="BA251" s="32">
        <f t="shared" si="243"/>
        <v>2.3608320058634575</v>
      </c>
      <c r="BB251" s="32">
        <f t="shared" si="244"/>
        <v>1.1334031611219748</v>
      </c>
      <c r="BC251" s="60" t="str">
        <f t="shared" si="245"/>
        <v>-0.317440155924959+0.207942964113336i</v>
      </c>
      <c r="BD251" s="51">
        <f t="shared" si="246"/>
        <v>-8.416117860138284</v>
      </c>
      <c r="BE251" s="63">
        <f t="shared" si="247"/>
        <v>146.77271786031312</v>
      </c>
      <c r="BF251" s="60" t="str">
        <f t="shared" si="248"/>
        <v>0.985263023716365+1.84414535975243i</v>
      </c>
      <c r="BG251" s="66">
        <f t="shared" si="249"/>
        <v>6.4064194061570765</v>
      </c>
      <c r="BH251" s="63">
        <f t="shared" si="250"/>
        <v>61.885952883172358</v>
      </c>
      <c r="BI251" s="60" t="str">
        <f t="shared" si="255"/>
        <v>-1.20063218279867+10.2495856448146i</v>
      </c>
      <c r="BJ251" s="66">
        <f t="shared" si="251"/>
        <v>20.273313528675601</v>
      </c>
      <c r="BK251" s="63">
        <f t="shared" si="256"/>
        <v>96.681155812670283</v>
      </c>
      <c r="BL251" s="51">
        <f t="shared" si="252"/>
        <v>6.4064194061570765</v>
      </c>
      <c r="BM251" s="63">
        <f t="shared" si="253"/>
        <v>61.885952883172358</v>
      </c>
    </row>
    <row r="252" spans="14:65" x14ac:dyDescent="0.35">
      <c r="N252" s="11">
        <v>34</v>
      </c>
      <c r="O252" s="52">
        <f t="shared" si="254"/>
        <v>2187.7616239495528</v>
      </c>
      <c r="P252" s="50" t="str">
        <f t="shared" si="206"/>
        <v>36.531007751938</v>
      </c>
      <c r="Q252" s="18" t="str">
        <f t="shared" si="207"/>
        <v>1+6.71321733756825i</v>
      </c>
      <c r="R252" s="18">
        <f t="shared" si="218"/>
        <v>6.7872886354881752</v>
      </c>
      <c r="S252" s="18">
        <f t="shared" si="219"/>
        <v>1.4229237734893516</v>
      </c>
      <c r="T252" s="18" t="str">
        <f t="shared" si="208"/>
        <v>1+0.00274922233824224i</v>
      </c>
      <c r="U252" s="18">
        <f t="shared" si="220"/>
        <v>1.0000037791045917</v>
      </c>
      <c r="V252" s="18">
        <f t="shared" si="221"/>
        <v>2.7492154118613885E-3</v>
      </c>
      <c r="W252" s="32" t="str">
        <f t="shared" si="209"/>
        <v>1-0.0455492458406999i</v>
      </c>
      <c r="X252" s="18">
        <f t="shared" si="222"/>
        <v>1.0010368293907355</v>
      </c>
      <c r="Y252" s="18">
        <f t="shared" si="223"/>
        <v>-4.5517784142959199E-2</v>
      </c>
      <c r="Z252" s="32" t="str">
        <f t="shared" si="210"/>
        <v>0.999901109485057+0.0206980142813659i</v>
      </c>
      <c r="AA252" s="18">
        <f t="shared" si="224"/>
        <v>1.0001153116239345</v>
      </c>
      <c r="AB252" s="18">
        <f t="shared" si="225"/>
        <v>2.0697105473711667E-2</v>
      </c>
      <c r="AC252" s="68" t="str">
        <f t="shared" si="226"/>
        <v>0.454181024587651-5.36806844786709i</v>
      </c>
      <c r="AD252" s="66">
        <f t="shared" si="227"/>
        <v>14.62733911010438</v>
      </c>
      <c r="AE252" s="63">
        <f t="shared" si="228"/>
        <v>-85.16384206565688</v>
      </c>
      <c r="AF252" s="51" t="str">
        <f t="shared" si="229"/>
        <v>42.1703962805665</v>
      </c>
      <c r="AG252" s="51" t="str">
        <f t="shared" si="211"/>
        <v>1+1.21289220804805i</v>
      </c>
      <c r="AH252" s="51">
        <f t="shared" si="230"/>
        <v>1.5719756704044989</v>
      </c>
      <c r="AI252" s="51">
        <f t="shared" si="231"/>
        <v>0.8813084043690701</v>
      </c>
      <c r="AJ252" s="51" t="str">
        <f t="shared" si="212"/>
        <v>1+0.00274922233824224i</v>
      </c>
      <c r="AK252" s="51">
        <f t="shared" si="232"/>
        <v>1.0000037791045917</v>
      </c>
      <c r="AL252" s="51">
        <f t="shared" si="233"/>
        <v>2.7492154118613885E-3</v>
      </c>
      <c r="AM252" s="51" t="str">
        <f t="shared" si="213"/>
        <v>1-0.0071289435473992i</v>
      </c>
      <c r="AN252" s="51">
        <f t="shared" si="234"/>
        <v>1.0000254105952018</v>
      </c>
      <c r="AO252" s="51">
        <f t="shared" si="235"/>
        <v>-7.128822782414829E-3</v>
      </c>
      <c r="AP252" s="60" t="str">
        <f t="shared" si="236"/>
        <v>16.9750640241063-20.7736174649438i</v>
      </c>
      <c r="AQ252" s="51">
        <f t="shared" si="237"/>
        <v>28.571490775846353</v>
      </c>
      <c r="AR252" s="63">
        <f t="shared" si="238"/>
        <v>-50.746185038013664</v>
      </c>
      <c r="AS252" s="32" t="str">
        <f t="shared" si="214"/>
        <v>-0.000133283554228113</v>
      </c>
      <c r="AT252" s="32" t="str">
        <f t="shared" si="215"/>
        <v>0.000839887424333003i</v>
      </c>
      <c r="AU252" s="32">
        <f t="shared" si="239"/>
        <v>8.3988742433300297E-4</v>
      </c>
      <c r="AV252" s="32">
        <f t="shared" si="240"/>
        <v>1.5707963267948966</v>
      </c>
      <c r="AW252" s="32" t="str">
        <f t="shared" si="216"/>
        <v>1+0.146848091360807i</v>
      </c>
      <c r="AX252" s="32">
        <f t="shared" si="241"/>
        <v>1.0107246716768676</v>
      </c>
      <c r="AY252" s="32">
        <f t="shared" si="242"/>
        <v>0.14580598017254964</v>
      </c>
      <c r="AZ252" s="32" t="str">
        <f t="shared" si="217"/>
        <v>1+2.18839472735251i</v>
      </c>
      <c r="BA252" s="32">
        <f t="shared" si="243"/>
        <v>2.4060489360576747</v>
      </c>
      <c r="BB252" s="32">
        <f t="shared" si="244"/>
        <v>1.142172906192279</v>
      </c>
      <c r="BC252" s="60" t="str">
        <f t="shared" si="245"/>
        <v>-0.317138566018552+0.205263358717326i</v>
      </c>
      <c r="BD252" s="51">
        <f t="shared" si="246"/>
        <v>-8.4554584800321031</v>
      </c>
      <c r="BE252" s="63">
        <f t="shared" si="247"/>
        <v>147.08761970735398</v>
      </c>
      <c r="BF252" s="60" t="str">
        <f t="shared" si="248"/>
        <v>0.957829440583138+1.79564825241854i</v>
      </c>
      <c r="BG252" s="66">
        <f t="shared" si="249"/>
        <v>6.1718806300722751</v>
      </c>
      <c r="BH252" s="63">
        <f t="shared" si="250"/>
        <v>61.923777641697072</v>
      </c>
      <c r="BI252" s="60" t="str">
        <f t="shared" si="255"/>
        <v>-1.11938496911491+10.0724739098799i</v>
      </c>
      <c r="BJ252" s="66">
        <f t="shared" si="251"/>
        <v>20.116032295814222</v>
      </c>
      <c r="BK252" s="63">
        <f t="shared" si="256"/>
        <v>96.341434669340288</v>
      </c>
      <c r="BL252" s="51">
        <f t="shared" si="252"/>
        <v>6.1718806300722751</v>
      </c>
      <c r="BM252" s="63">
        <f t="shared" si="253"/>
        <v>61.923777641697072</v>
      </c>
    </row>
    <row r="253" spans="14:65" x14ac:dyDescent="0.35">
      <c r="N253" s="11">
        <v>35</v>
      </c>
      <c r="O253" s="52">
        <f t="shared" si="254"/>
        <v>2238.7211385683418</v>
      </c>
      <c r="P253" s="50" t="str">
        <f t="shared" si="206"/>
        <v>36.531007751938</v>
      </c>
      <c r="Q253" s="18" t="str">
        <f t="shared" si="207"/>
        <v>1+6.86958825719127i</v>
      </c>
      <c r="R253" s="18">
        <f t="shared" si="218"/>
        <v>6.9419912722028254</v>
      </c>
      <c r="S253" s="18">
        <f t="shared" si="219"/>
        <v>1.4262425377596477</v>
      </c>
      <c r="T253" s="18" t="str">
        <f t="shared" si="208"/>
        <v>1+0.002813259952945i</v>
      </c>
      <c r="U253" s="18">
        <f t="shared" si="220"/>
        <v>1.0000039572079515</v>
      </c>
      <c r="V253" s="18">
        <f t="shared" si="221"/>
        <v>2.8132525311957879E-3</v>
      </c>
      <c r="W253" s="32" t="str">
        <f t="shared" si="209"/>
        <v>1-0.0466102240724616i</v>
      </c>
      <c r="X253" s="18">
        <f t="shared" si="222"/>
        <v>1.0010856671574542</v>
      </c>
      <c r="Y253" s="18">
        <f t="shared" si="223"/>
        <v>-4.6576514230214104E-2</v>
      </c>
      <c r="Z253" s="32" t="str">
        <f t="shared" si="210"/>
        <v>0.999896448918672+0.0211801329682488i</v>
      </c>
      <c r="AA253" s="18">
        <f t="shared" si="224"/>
        <v>1.0001207460065624</v>
      </c>
      <c r="AB253" s="18">
        <f t="shared" si="225"/>
        <v>2.1179159167608371E-2</v>
      </c>
      <c r="AC253" s="68" t="str">
        <f t="shared" si="226"/>
        <v>0.418903846877074-5.25073846022774i</v>
      </c>
      <c r="AD253" s="66">
        <f t="shared" si="227"/>
        <v>14.431962310417594</v>
      </c>
      <c r="AE253" s="63">
        <f t="shared" si="228"/>
        <v>-85.438604602675795</v>
      </c>
      <c r="AF253" s="51" t="str">
        <f t="shared" si="229"/>
        <v>42.1703962805665</v>
      </c>
      <c r="AG253" s="51" t="str">
        <f t="shared" si="211"/>
        <v>1+1.2411440968875i</v>
      </c>
      <c r="AH253" s="51">
        <f t="shared" si="230"/>
        <v>1.5938753618895951</v>
      </c>
      <c r="AI253" s="51">
        <f t="shared" si="231"/>
        <v>0.89258444195154019</v>
      </c>
      <c r="AJ253" s="51" t="str">
        <f t="shared" si="212"/>
        <v>1+0.002813259952945i</v>
      </c>
      <c r="AK253" s="51">
        <f t="shared" si="232"/>
        <v>1.0000039572079515</v>
      </c>
      <c r="AL253" s="51">
        <f t="shared" si="233"/>
        <v>2.8132525311957879E-3</v>
      </c>
      <c r="AM253" s="51" t="str">
        <f t="shared" si="213"/>
        <v>1-0.00729499797441872i</v>
      </c>
      <c r="AN253" s="51">
        <f t="shared" si="234"/>
        <v>1.0000266081437268</v>
      </c>
      <c r="AO253" s="51">
        <f t="shared" si="235"/>
        <v>-7.294868572592525E-3</v>
      </c>
      <c r="AP253" s="60" t="str">
        <f t="shared" si="236"/>
        <v>16.5076567840556-20.6773774393667i</v>
      </c>
      <c r="AQ253" s="51">
        <f t="shared" si="237"/>
        <v>28.451331979991803</v>
      </c>
      <c r="AR253" s="63">
        <f t="shared" si="238"/>
        <v>-51.398099067433193</v>
      </c>
      <c r="AS253" s="32" t="str">
        <f t="shared" si="214"/>
        <v>-0.000133283554228113</v>
      </c>
      <c r="AT253" s="32" t="str">
        <f t="shared" si="215"/>
        <v>0.000859450915624695i</v>
      </c>
      <c r="AU253" s="32">
        <f t="shared" si="239"/>
        <v>8.5945091562469498E-4</v>
      </c>
      <c r="AV253" s="32">
        <f t="shared" si="240"/>
        <v>1.5707963267948966</v>
      </c>
      <c r="AW253" s="32" t="str">
        <f t="shared" si="216"/>
        <v>1+0.150268622819318i</v>
      </c>
      <c r="AX253" s="32">
        <f t="shared" si="241"/>
        <v>1.0112273033319534</v>
      </c>
      <c r="AY253" s="32">
        <f t="shared" si="242"/>
        <v>0.14915264905497222</v>
      </c>
      <c r="AZ253" s="32" t="str">
        <f t="shared" si="217"/>
        <v>1+2.23936898884398i</v>
      </c>
      <c r="BA253" s="32">
        <f t="shared" si="243"/>
        <v>2.4525035103330857</v>
      </c>
      <c r="BB253" s="32">
        <f t="shared" si="244"/>
        <v>1.1508114840193855</v>
      </c>
      <c r="BC253" s="60" t="str">
        <f t="shared" si="245"/>
        <v>-0.316823376217277+0.202688503320126i</v>
      </c>
      <c r="BD253" s="51">
        <f t="shared" si="246"/>
        <v>-8.4936732531805159</v>
      </c>
      <c r="BE253" s="63">
        <f t="shared" si="247"/>
        <v>147.39082375545175</v>
      </c>
      <c r="BF253" s="60" t="str">
        <f t="shared" si="248"/>
        <v>0.931545788750984+1.74846368036182i</v>
      </c>
      <c r="BG253" s="66">
        <f t="shared" si="249"/>
        <v>5.9382890572370925</v>
      </c>
      <c r="BH253" s="63">
        <f t="shared" si="250"/>
        <v>61.95221915277601</v>
      </c>
      <c r="BI253" s="60" t="str">
        <f t="shared" si="255"/>
        <v>-1.03894486998996+9.89698877854167i</v>
      </c>
      <c r="BJ253" s="66">
        <f t="shared" si="251"/>
        <v>19.957658726811289</v>
      </c>
      <c r="BK253" s="63">
        <f t="shared" si="256"/>
        <v>95.992724688018583</v>
      </c>
      <c r="BL253" s="51">
        <f t="shared" si="252"/>
        <v>5.9382890572370925</v>
      </c>
      <c r="BM253" s="63">
        <f t="shared" si="253"/>
        <v>61.95221915277601</v>
      </c>
    </row>
    <row r="254" spans="14:65" x14ac:dyDescent="0.35">
      <c r="N254" s="11">
        <v>36</v>
      </c>
      <c r="O254" s="52">
        <f t="shared" si="254"/>
        <v>2290.8676527677749</v>
      </c>
      <c r="P254" s="50" t="str">
        <f t="shared" si="206"/>
        <v>36.531007751938</v>
      </c>
      <c r="Q254" s="18" t="str">
        <f t="shared" si="207"/>
        <v>1+7.02960152343798i</v>
      </c>
      <c r="R254" s="18">
        <f t="shared" si="218"/>
        <v>7.1003730590949639</v>
      </c>
      <c r="S254" s="18">
        <f t="shared" si="219"/>
        <v>1.4294888592165105</v>
      </c>
      <c r="T254" s="18" t="str">
        <f t="shared" si="208"/>
        <v>1+0.0028787891953127i</v>
      </c>
      <c r="U254" s="18">
        <f t="shared" si="220"/>
        <v>1.0000041437050304</v>
      </c>
      <c r="V254" s="18">
        <f t="shared" si="221"/>
        <v>2.8787812427669207E-3</v>
      </c>
      <c r="W254" s="32" t="str">
        <f t="shared" si="209"/>
        <v>1-0.0476959156619856i</v>
      </c>
      <c r="X254" s="18">
        <f t="shared" si="222"/>
        <v>1.0011368040237234</v>
      </c>
      <c r="Y254" s="18">
        <f t="shared" si="223"/>
        <v>-4.7659797130077855E-2</v>
      </c>
      <c r="Z254" s="32" t="str">
        <f t="shared" si="210"/>
        <v>0.99989156870656+0.0216734816419835i</v>
      </c>
      <c r="AA254" s="18">
        <f t="shared" si="224"/>
        <v>1.0001264364953817</v>
      </c>
      <c r="AB254" s="18">
        <f t="shared" si="225"/>
        <v>2.1672438200628991E-2</v>
      </c>
      <c r="AC254" s="68" t="str">
        <f t="shared" si="226"/>
        <v>0.385150310987956-5.13573923401384i</v>
      </c>
      <c r="AD254" s="66">
        <f t="shared" si="227"/>
        <v>14.236416102275411</v>
      </c>
      <c r="AE254" s="63">
        <f t="shared" si="228"/>
        <v>-85.71118094738209</v>
      </c>
      <c r="AF254" s="51" t="str">
        <f t="shared" si="229"/>
        <v>42.1703962805665</v>
      </c>
      <c r="AG254" s="51" t="str">
        <f t="shared" si="211"/>
        <v>1+1.27005405675561i</v>
      </c>
      <c r="AH254" s="51">
        <f t="shared" si="230"/>
        <v>1.6164891917613868</v>
      </c>
      <c r="AI254" s="51">
        <f t="shared" si="231"/>
        <v>0.90380538711426917</v>
      </c>
      <c r="AJ254" s="51" t="str">
        <f t="shared" si="212"/>
        <v>1+0.0028787891953127i</v>
      </c>
      <c r="AK254" s="51">
        <f t="shared" si="232"/>
        <v>1.0000041437050304</v>
      </c>
      <c r="AL254" s="51">
        <f t="shared" si="233"/>
        <v>2.8787812427669207E-3</v>
      </c>
      <c r="AM254" s="51" t="str">
        <f t="shared" si="213"/>
        <v>1-0.00746492030592497i</v>
      </c>
      <c r="AN254" s="51">
        <f t="shared" si="234"/>
        <v>1.0000278621294378</v>
      </c>
      <c r="AO254" s="51">
        <f t="shared" si="235"/>
        <v>-7.4647816495787131E-3</v>
      </c>
      <c r="AP254" s="60" t="str">
        <f t="shared" si="236"/>
        <v>16.0448055081852-20.5711692918546i</v>
      </c>
      <c r="AQ254" s="51">
        <f t="shared" si="237"/>
        <v>28.328975535606364</v>
      </c>
      <c r="AR254" s="63">
        <f t="shared" si="238"/>
        <v>-52.04699265099088</v>
      </c>
      <c r="AS254" s="32" t="str">
        <f t="shared" si="214"/>
        <v>-0.000133283554228113</v>
      </c>
      <c r="AT254" s="32" t="str">
        <f t="shared" si="215"/>
        <v>0.000879470099168028i</v>
      </c>
      <c r="AU254" s="32">
        <f t="shared" si="239"/>
        <v>8.7947009916802799E-4</v>
      </c>
      <c r="AV254" s="32">
        <f t="shared" si="240"/>
        <v>1.5707963267948966</v>
      </c>
      <c r="AW254" s="32" t="str">
        <f t="shared" si="216"/>
        <v>1+0.153768828690688i</v>
      </c>
      <c r="AX254" s="32">
        <f t="shared" si="241"/>
        <v>1.0117533556538896</v>
      </c>
      <c r="AY254" s="32">
        <f t="shared" si="242"/>
        <v>0.15257379022697101</v>
      </c>
      <c r="AZ254" s="32" t="str">
        <f t="shared" si="217"/>
        <v>1+2.29153059341488i</v>
      </c>
      <c r="BA254" s="32">
        <f t="shared" si="243"/>
        <v>2.5002224822116035</v>
      </c>
      <c r="BB254" s="32">
        <f t="shared" si="244"/>
        <v>1.1593183166212138</v>
      </c>
      <c r="BC254" s="60" t="str">
        <f t="shared" si="245"/>
        <v>-0.316494002771483+0.200216753702056i</v>
      </c>
      <c r="BD254" s="51">
        <f t="shared" si="246"/>
        <v>-8.5308102120903442</v>
      </c>
      <c r="BE254" s="63">
        <f t="shared" si="247"/>
        <v>147.68221241028692</v>
      </c>
      <c r="BF254" s="60" t="str">
        <f t="shared" si="248"/>
        <v>0.906363273701275+1.70254421231694i</v>
      </c>
      <c r="BG254" s="66">
        <f t="shared" si="249"/>
        <v>5.7056058901850815</v>
      </c>
      <c r="BH254" s="63">
        <f t="shared" si="250"/>
        <v>61.97103146290489</v>
      </c>
      <c r="BI254" s="60" t="str">
        <f t="shared" si="255"/>
        <v>-0.959391983504922+9.72309058349858i</v>
      </c>
      <c r="BJ254" s="66">
        <f t="shared" si="251"/>
        <v>19.79816532351602</v>
      </c>
      <c r="BK254" s="63">
        <f t="shared" si="256"/>
        <v>95.635219759296021</v>
      </c>
      <c r="BL254" s="51">
        <f t="shared" si="252"/>
        <v>5.7056058901850815</v>
      </c>
      <c r="BM254" s="63">
        <f t="shared" si="253"/>
        <v>61.97103146290489</v>
      </c>
    </row>
    <row r="255" spans="14:65" x14ac:dyDescent="0.35">
      <c r="N255" s="11">
        <v>37</v>
      </c>
      <c r="O255" s="52">
        <f t="shared" si="254"/>
        <v>2344.2288153199238</v>
      </c>
      <c r="P255" s="50" t="str">
        <f t="shared" si="206"/>
        <v>36.531007751938</v>
      </c>
      <c r="Q255" s="18" t="str">
        <f t="shared" si="207"/>
        <v>1+7.19334197746021i</v>
      </c>
      <c r="R255" s="18">
        <f t="shared" si="218"/>
        <v>7.2625180760319736</v>
      </c>
      <c r="S255" s="18">
        <f t="shared" si="219"/>
        <v>1.4326641852661997</v>
      </c>
      <c r="T255" s="18" t="str">
        <f t="shared" si="208"/>
        <v>1+0.00294584480981704i</v>
      </c>
      <c r="U255" s="18">
        <f t="shared" si="220"/>
        <v>1.0000043389914084</v>
      </c>
      <c r="V255" s="18">
        <f t="shared" si="221"/>
        <v>2.9458362885127079E-3</v>
      </c>
      <c r="W255" s="32" t="str">
        <f t="shared" si="209"/>
        <v>1-0.0488068962573238i</v>
      </c>
      <c r="X255" s="18">
        <f t="shared" si="222"/>
        <v>1.0011903480968407</v>
      </c>
      <c r="Y255" s="18">
        <f t="shared" si="223"/>
        <v>-4.8768197037824493E-2</v>
      </c>
      <c r="Z255" s="32" t="str">
        <f t="shared" si="210"/>
        <v>0.999886458497137+0.0221783218825673i</v>
      </c>
      <c r="AA255" s="18">
        <f t="shared" si="224"/>
        <v>1.0001323951594976</v>
      </c>
      <c r="AB255" s="18">
        <f t="shared" si="225"/>
        <v>2.2177203820432662E-2</v>
      </c>
      <c r="AC255" s="68" t="str">
        <f t="shared" si="226"/>
        <v>0.352857368088538-5.02303886018491i</v>
      </c>
      <c r="AD255" s="66">
        <f t="shared" si="227"/>
        <v>14.040709409296708</v>
      </c>
      <c r="AE255" s="63">
        <f t="shared" si="228"/>
        <v>-85.981699333875582</v>
      </c>
      <c r="AF255" s="51" t="str">
        <f t="shared" si="229"/>
        <v>42.1703962805665</v>
      </c>
      <c r="AG255" s="51" t="str">
        <f t="shared" si="211"/>
        <v>1+1.29963741609576i</v>
      </c>
      <c r="AH255" s="51">
        <f t="shared" si="230"/>
        <v>1.6398345688867713</v>
      </c>
      <c r="AI255" s="51">
        <f t="shared" si="231"/>
        <v>0.9149658873758667</v>
      </c>
      <c r="AJ255" s="51" t="str">
        <f t="shared" si="212"/>
        <v>1+0.00294584480981704i</v>
      </c>
      <c r="AK255" s="51">
        <f t="shared" si="232"/>
        <v>1.0000043389914084</v>
      </c>
      <c r="AL255" s="51">
        <f t="shared" si="233"/>
        <v>2.9458362885127079E-3</v>
      </c>
      <c r="AM255" s="51" t="str">
        <f t="shared" si="213"/>
        <v>1-0.00763880063698733i</v>
      </c>
      <c r="AN255" s="51">
        <f t="shared" si="234"/>
        <v>1.0000291752119894</v>
      </c>
      <c r="AO255" s="51">
        <f t="shared" si="235"/>
        <v>-7.6386520642696236E-3</v>
      </c>
      <c r="AP255" s="60" t="str">
        <f t="shared" si="236"/>
        <v>15.586927162421-20.4552575492006i</v>
      </c>
      <c r="AQ255" s="51">
        <f t="shared" si="237"/>
        <v>28.204443991753415</v>
      </c>
      <c r="AR255" s="63">
        <f t="shared" si="238"/>
        <v>-52.692562283062635</v>
      </c>
      <c r="AS255" s="32" t="str">
        <f t="shared" si="214"/>
        <v>-0.000133283554228113</v>
      </c>
      <c r="AT255" s="32" t="str">
        <f t="shared" si="215"/>
        <v>0.000899955589399103i</v>
      </c>
      <c r="AU255" s="32">
        <f t="shared" si="239"/>
        <v>8.9995558939910301E-4</v>
      </c>
      <c r="AV255" s="32">
        <f t="shared" si="240"/>
        <v>1.5707963267948966</v>
      </c>
      <c r="AW255" s="32" t="str">
        <f t="shared" si="216"/>
        <v>1+0.157350564830401i</v>
      </c>
      <c r="AX255" s="32">
        <f t="shared" si="241"/>
        <v>1.0123039070617312</v>
      </c>
      <c r="AY255" s="32">
        <f t="shared" si="242"/>
        <v>0.15607089712365646</v>
      </c>
      <c r="AZ255" s="32" t="str">
        <f t="shared" si="217"/>
        <v>1+2.34490719783841i</v>
      </c>
      <c r="BA255" s="32">
        <f t="shared" si="243"/>
        <v>2.5492331722450157</v>
      </c>
      <c r="BB255" s="32">
        <f t="shared" si="244"/>
        <v>1.1676929885293124</v>
      </c>
      <c r="BC255" s="60" t="str">
        <f t="shared" si="245"/>
        <v>-0.316149839650456+0.197846501889587i</v>
      </c>
      <c r="BD255" s="51">
        <f t="shared" si="246"/>
        <v>-8.5669173015971563</v>
      </c>
      <c r="BE255" s="63">
        <f t="shared" si="247"/>
        <v>147.96167629974161</v>
      </c>
      <c r="BF255" s="60" t="str">
        <f t="shared" si="248"/>
        <v>0.882234867002369+1.65784452614775i</v>
      </c>
      <c r="BG255" s="66">
        <f t="shared" si="249"/>
        <v>5.4737921076995431</v>
      </c>
      <c r="BH255" s="63">
        <f t="shared" si="250"/>
        <v>61.979976965866008</v>
      </c>
      <c r="BI255" s="60" t="str">
        <f t="shared" si="255"/>
        <v>-0.880803371682831+9.55074540848133i</v>
      </c>
      <c r="BJ255" s="66">
        <f t="shared" si="251"/>
        <v>19.637526690156257</v>
      </c>
      <c r="BK255" s="63">
        <f t="shared" si="256"/>
        <v>95.269114016678955</v>
      </c>
      <c r="BL255" s="51">
        <f t="shared" si="252"/>
        <v>5.4737921076995431</v>
      </c>
      <c r="BM255" s="63">
        <f t="shared" si="253"/>
        <v>61.979976965866008</v>
      </c>
    </row>
    <row r="256" spans="14:65" x14ac:dyDescent="0.35">
      <c r="N256" s="11">
        <v>38</v>
      </c>
      <c r="O256" s="52">
        <f t="shared" si="254"/>
        <v>2398.8329190194918</v>
      </c>
      <c r="P256" s="50" t="str">
        <f t="shared" si="206"/>
        <v>36.531007751938</v>
      </c>
      <c r="Q256" s="18" t="str">
        <f t="shared" si="207"/>
        <v>1+7.36089643661399i</v>
      </c>
      <c r="R256" s="18">
        <f t="shared" si="218"/>
        <v>7.4285123914924265</v>
      </c>
      <c r="S256" s="18">
        <f t="shared" si="219"/>
        <v>1.4357699432476285</v>
      </c>
      <c r="T256" s="18" t="str">
        <f t="shared" si="208"/>
        <v>1+0.0030144623502324i</v>
      </c>
      <c r="U256" s="18">
        <f t="shared" si="220"/>
        <v>1.000004543481309</v>
      </c>
      <c r="V256" s="18">
        <f t="shared" si="221"/>
        <v>3.0144532194925433E-3</v>
      </c>
      <c r="W256" s="32" t="str">
        <f t="shared" si="209"/>
        <v>1-0.0499437549150931i</v>
      </c>
      <c r="X256" s="18">
        <f t="shared" si="222"/>
        <v>1.0012464125553804</v>
      </c>
      <c r="Y256" s="18">
        <f t="shared" si="223"/>
        <v>-4.9902290741763854E-2</v>
      </c>
      <c r="Z256" s="32" t="str">
        <f t="shared" si="210"/>
        <v>0.999881107450963+0.022694921362978i</v>
      </c>
      <c r="AA256" s="18">
        <f t="shared" si="224"/>
        <v>1.0001386346367367</v>
      </c>
      <c r="AB256" s="18">
        <f t="shared" si="225"/>
        <v>2.2693723343898221E-2</v>
      </c>
      <c r="AC256" s="68" t="str">
        <f t="shared" si="226"/>
        <v>0.321964343991276-4.91260483400166i</v>
      </c>
      <c r="AD256" s="66">
        <f t="shared" si="227"/>
        <v>13.844850858456621</v>
      </c>
      <c r="AE256" s="63">
        <f t="shared" si="228"/>
        <v>-86.250287869391002</v>
      </c>
      <c r="AF256" s="51" t="str">
        <f t="shared" si="229"/>
        <v>42.1703962805665</v>
      </c>
      <c r="AG256" s="51" t="str">
        <f t="shared" si="211"/>
        <v>1+1.32990986039665i</v>
      </c>
      <c r="AH256" s="51">
        <f t="shared" si="230"/>
        <v>1.6639291561783023</v>
      </c>
      <c r="AI256" s="51">
        <f t="shared" si="231"/>
        <v>0.92606073979315084</v>
      </c>
      <c r="AJ256" s="51" t="str">
        <f t="shared" si="212"/>
        <v>1+0.0030144623502324i</v>
      </c>
      <c r="AK256" s="51">
        <f t="shared" si="232"/>
        <v>1.000004543481309</v>
      </c>
      <c r="AL256" s="51">
        <f t="shared" si="233"/>
        <v>3.0144532194925433E-3</v>
      </c>
      <c r="AM256" s="51" t="str">
        <f t="shared" si="213"/>
        <v>1-0.00781673116125888i</v>
      </c>
      <c r="AN256" s="51">
        <f t="shared" si="234"/>
        <v>1.0000305501763671</v>
      </c>
      <c r="AO256" s="51">
        <f t="shared" si="235"/>
        <v>-7.816571962986291E-3</v>
      </c>
      <c r="AP256" s="60" t="str">
        <f t="shared" si="236"/>
        <v>15.1344193808411-20.3299271447655i</v>
      </c>
      <c r="AQ256" s="51">
        <f t="shared" si="237"/>
        <v>28.077761824005627</v>
      </c>
      <c r="AR256" s="63">
        <f t="shared" si="238"/>
        <v>-53.334513099633078</v>
      </c>
      <c r="AS256" s="32" t="str">
        <f t="shared" si="214"/>
        <v>-0.000133283554228113</v>
      </c>
      <c r="AT256" s="32" t="str">
        <f t="shared" si="215"/>
        <v>0.000920918247995997i</v>
      </c>
      <c r="AU256" s="32">
        <f t="shared" si="239"/>
        <v>9.2091824799599696E-4</v>
      </c>
      <c r="AV256" s="32">
        <f t="shared" si="240"/>
        <v>1.5707963267948966</v>
      </c>
      <c r="AW256" s="32" t="str">
        <f t="shared" si="216"/>
        <v>1+0.161015730322367i</v>
      </c>
      <c r="AX256" s="32">
        <f t="shared" si="241"/>
        <v>1.0128800844183112</v>
      </c>
      <c r="AY256" s="32">
        <f t="shared" si="242"/>
        <v>0.1596454816316375</v>
      </c>
      <c r="AZ256" s="32" t="str">
        <f t="shared" si="217"/>
        <v>1+2.39952710309674i</v>
      </c>
      <c r="BA256" s="32">
        <f t="shared" si="243"/>
        <v>2.5995634861445165</v>
      </c>
      <c r="BB256" s="32">
        <f t="shared" si="244"/>
        <v>1.1759352401851333</v>
      </c>
      <c r="BC256" s="60" t="str">
        <f t="shared" si="245"/>
        <v>-0.315790257956136+0.195576174162104i</v>
      </c>
      <c r="BD256" s="51">
        <f t="shared" si="246"/>
        <v>-8.6020423400108594</v>
      </c>
      <c r="BE256" s="63">
        <f t="shared" si="247"/>
        <v>148.22911392748489</v>
      </c>
      <c r="BF256" s="60" t="str">
        <f t="shared" si="248"/>
        <v>0.859115255362619+1.61432130238037i</v>
      </c>
      <c r="BG256" s="66">
        <f t="shared" si="249"/>
        <v>5.2428085184457593</v>
      </c>
      <c r="BH256" s="63">
        <f t="shared" si="250"/>
        <v>61.978826058093887</v>
      </c>
      <c r="BI256" s="60" t="str">
        <f t="shared" si="255"/>
        <v>-0.803252828324613+9.37992477794465i</v>
      </c>
      <c r="BJ256" s="66">
        <f t="shared" si="251"/>
        <v>19.475719483994773</v>
      </c>
      <c r="BK256" s="63">
        <f t="shared" si="256"/>
        <v>94.894600827851789</v>
      </c>
      <c r="BL256" s="51">
        <f t="shared" si="252"/>
        <v>5.2428085184457593</v>
      </c>
      <c r="BM256" s="63">
        <f t="shared" si="253"/>
        <v>61.978826058093887</v>
      </c>
    </row>
    <row r="257" spans="14:65" x14ac:dyDescent="0.35">
      <c r="N257" s="11">
        <v>39</v>
      </c>
      <c r="O257" s="52">
        <f t="shared" si="254"/>
        <v>2454.7089156850338</v>
      </c>
      <c r="P257" s="50" t="str">
        <f t="shared" si="206"/>
        <v>36.531007751938</v>
      </c>
      <c r="Q257" s="18" t="str">
        <f t="shared" si="207"/>
        <v>1+7.53235374049145i</v>
      </c>
      <c r="R257" s="18">
        <f t="shared" si="218"/>
        <v>7.5984441086248404</v>
      </c>
      <c r="S257" s="18">
        <f t="shared" si="219"/>
        <v>1.4388075400901845</v>
      </c>
      <c r="T257" s="18" t="str">
        <f t="shared" si="208"/>
        <v>1+0.00308467819848698i</v>
      </c>
      <c r="U257" s="18">
        <f t="shared" si="220"/>
        <v>1.0000047576084767</v>
      </c>
      <c r="V257" s="18">
        <f t="shared" si="221"/>
        <v>3.0846684147254663E-3</v>
      </c>
      <c r="W257" s="32" t="str">
        <f t="shared" si="209"/>
        <v>1-0.0511070944128021i</v>
      </c>
      <c r="X257" s="18">
        <f t="shared" si="222"/>
        <v>1.0013051158859216</v>
      </c>
      <c r="Y257" s="18">
        <f t="shared" si="223"/>
        <v>-5.1062667877675549E-2</v>
      </c>
      <c r="Z257" s="32" t="str">
        <f t="shared" si="210"/>
        <v>0.999875504217753+0.0232235539910981i</v>
      </c>
      <c r="AA257" s="18">
        <f t="shared" si="224"/>
        <v>1.0001451681604443</v>
      </c>
      <c r="AB257" s="18">
        <f t="shared" si="225"/>
        <v>2.3222270297350023E-2</v>
      </c>
      <c r="AC257" s="68" t="str">
        <f t="shared" si="226"/>
        <v>0.292412870536836-4.80440414584414i</v>
      </c>
      <c r="AD257" s="66">
        <f t="shared" si="227"/>
        <v>13.648848794569375</v>
      </c>
      <c r="AE257" s="63">
        <f t="shared" si="228"/>
        <v>-86.517074536225707</v>
      </c>
      <c r="AF257" s="51" t="str">
        <f t="shared" si="229"/>
        <v>42.1703962805665</v>
      </c>
      <c r="AG257" s="51" t="str">
        <f t="shared" si="211"/>
        <v>1+1.36088744050897i</v>
      </c>
      <c r="AH257" s="51">
        <f t="shared" si="230"/>
        <v>1.6887908768509663</v>
      </c>
      <c r="AI257" s="51">
        <f t="shared" si="231"/>
        <v>0.9370849016194881</v>
      </c>
      <c r="AJ257" s="51" t="str">
        <f t="shared" si="212"/>
        <v>1+0.00308467819848698i</v>
      </c>
      <c r="AK257" s="51">
        <f t="shared" si="232"/>
        <v>1.0000047576084767</v>
      </c>
      <c r="AL257" s="51">
        <f t="shared" si="233"/>
        <v>3.0846684147254663E-3</v>
      </c>
      <c r="AM257" s="51" t="str">
        <f t="shared" si="213"/>
        <v>1-0.00799880621985879i</v>
      </c>
      <c r="AN257" s="51">
        <f t="shared" si="234"/>
        <v>1.0000319899387933</v>
      </c>
      <c r="AO257" s="51">
        <f t="shared" si="235"/>
        <v>-7.998635636131065E-3</v>
      </c>
      <c r="AP257" s="60" t="str">
        <f t="shared" si="236"/>
        <v>14.6876592818836-20.195481773225i</v>
      </c>
      <c r="AQ257" s="51">
        <f t="shared" si="237"/>
        <v>27.948955340289427</v>
      </c>
      <c r="AR257" s="63">
        <f t="shared" si="238"/>
        <v>-53.972559490680702</v>
      </c>
      <c r="AS257" s="32" t="str">
        <f t="shared" si="214"/>
        <v>-0.000133283554228113</v>
      </c>
      <c r="AT257" s="32" t="str">
        <f t="shared" si="215"/>
        <v>0.000942369189637775i</v>
      </c>
      <c r="AU257" s="32">
        <f t="shared" si="239"/>
        <v>9.4236918963777497E-4</v>
      </c>
      <c r="AV257" s="32">
        <f t="shared" si="240"/>
        <v>1.5707963267948966</v>
      </c>
      <c r="AW257" s="32" t="str">
        <f t="shared" si="216"/>
        <v>1+0.164766268485846i</v>
      </c>
      <c r="AX257" s="32">
        <f t="shared" si="241"/>
        <v>1.0134830650932209</v>
      </c>
      <c r="AY257" s="32">
        <f t="shared" si="242"/>
        <v>0.16329907345793621</v>
      </c>
      <c r="AZ257" s="32" t="str">
        <f t="shared" si="217"/>
        <v>1+2.45541926938663i</v>
      </c>
      <c r="BA257" s="32">
        <f t="shared" si="243"/>
        <v>2.6512419332220833</v>
      </c>
      <c r="BB257" s="32">
        <f t="shared" si="244"/>
        <v>1.1840449612085682</v>
      </c>
      <c r="BC257" s="60" t="str">
        <f t="shared" si="245"/>
        <v>-0.315414605348287+0.193404229015182i</v>
      </c>
      <c r="BD257" s="51">
        <f t="shared" si="246"/>
        <v>-8.6362329854247193</v>
      </c>
      <c r="BE257" s="63">
        <f t="shared" si="247"/>
        <v>148.48443132344565</v>
      </c>
      <c r="BF257" s="60" t="str">
        <f t="shared" si="248"/>
        <v>0.836960789545194+1.5719331233754i</v>
      </c>
      <c r="BG257" s="66">
        <f t="shared" si="249"/>
        <v>5.0126158091446698</v>
      </c>
      <c r="BH257" s="63">
        <f t="shared" si="250"/>
        <v>61.967356787220019</v>
      </c>
      <c r="BI257" s="60" t="str">
        <f t="shared" si="255"/>
        <v>-0.726810673944678+9.21060533277067i</v>
      </c>
      <c r="BJ257" s="66">
        <f t="shared" si="251"/>
        <v>19.312722354864711</v>
      </c>
      <c r="BK257" s="63">
        <f t="shared" si="256"/>
        <v>94.511871832764953</v>
      </c>
      <c r="BL257" s="51">
        <f t="shared" si="252"/>
        <v>5.0126158091446698</v>
      </c>
      <c r="BM257" s="63">
        <f t="shared" si="253"/>
        <v>61.967356787220019</v>
      </c>
    </row>
    <row r="258" spans="14:65" x14ac:dyDescent="0.35">
      <c r="N258" s="11">
        <v>40</v>
      </c>
      <c r="O258" s="52">
        <f t="shared" si="254"/>
        <v>2511.8864315095811</v>
      </c>
      <c r="P258" s="50" t="str">
        <f t="shared" si="206"/>
        <v>36.531007751938</v>
      </c>
      <c r="Q258" s="18" t="str">
        <f t="shared" si="207"/>
        <v>1+7.70780479802466i</v>
      </c>
      <c r="R258" s="18">
        <f t="shared" si="218"/>
        <v>7.7724034123591377</v>
      </c>
      <c r="S258" s="18">
        <f t="shared" si="219"/>
        <v>1.4417783620263418</v>
      </c>
      <c r="T258" s="18" t="str">
        <f t="shared" si="208"/>
        <v>1+0.00315652958395296i</v>
      </c>
      <c r="U258" s="18">
        <f t="shared" si="220"/>
        <v>1.0000049818270977</v>
      </c>
      <c r="V258" s="18">
        <f t="shared" si="221"/>
        <v>3.1565191004664411E-3</v>
      </c>
      <c r="W258" s="32" t="str">
        <f t="shared" si="209"/>
        <v>1-0.0522975315684515i</v>
      </c>
      <c r="X258" s="18">
        <f t="shared" si="222"/>
        <v>1.0013665821307165</v>
      </c>
      <c r="Y258" s="18">
        <f t="shared" si="223"/>
        <v>-5.2249931186428837E-2</v>
      </c>
      <c r="Z258" s="32" t="str">
        <f t="shared" si="210"/>
        <v>0.999869636912297+0.0237645000549445i</v>
      </c>
      <c r="AA258" s="18">
        <f t="shared" si="224"/>
        <v>1.0001520095875376</v>
      </c>
      <c r="AB258" s="18">
        <f t="shared" si="225"/>
        <v>2.3763124559967916E-2</v>
      </c>
      <c r="AC258" s="68" t="str">
        <f t="shared" si="226"/>
        <v>0.264146817026018-4.69840336589064i</v>
      </c>
      <c r="AD258" s="66">
        <f t="shared" si="227"/>
        <v>13.452711294480292</v>
      </c>
      <c r="AE258" s="63">
        <f t="shared" si="228"/>
        <v>-86.7821871971463</v>
      </c>
      <c r="AF258" s="51" t="str">
        <f t="shared" si="229"/>
        <v>42.1703962805665</v>
      </c>
      <c r="AG258" s="51" t="str">
        <f t="shared" si="211"/>
        <v>1+1.39258658115572i</v>
      </c>
      <c r="AH258" s="51">
        <f t="shared" si="230"/>
        <v>1.714437921306857</v>
      </c>
      <c r="AI258" s="51">
        <f t="shared" si="231"/>
        <v>0.94803350004813236</v>
      </c>
      <c r="AJ258" s="51" t="str">
        <f t="shared" si="212"/>
        <v>1+0.00315652958395296i</v>
      </c>
      <c r="AK258" s="51">
        <f t="shared" si="232"/>
        <v>1.0000049818270977</v>
      </c>
      <c r="AL258" s="51">
        <f t="shared" si="233"/>
        <v>3.1565191004664411E-3</v>
      </c>
      <c r="AM258" s="51" t="str">
        <f t="shared" si="213"/>
        <v>1-0.00818512235139324i</v>
      </c>
      <c r="AN258" s="51">
        <f t="shared" si="234"/>
        <v>1.0000334975529106</v>
      </c>
      <c r="AO258" s="51">
        <f t="shared" si="235"/>
        <v>-8.1849395679664972E-3</v>
      </c>
      <c r="AP258" s="60" t="str">
        <f t="shared" si="236"/>
        <v>14.2470024441729-20.0522421751844i</v>
      </c>
      <c r="AQ258" s="51">
        <f t="shared" si="237"/>
        <v>27.818052581512866</v>
      </c>
      <c r="AR258" s="63">
        <f t="shared" si="238"/>
        <v>-54.606425660178367</v>
      </c>
      <c r="AS258" s="32" t="str">
        <f t="shared" si="214"/>
        <v>-0.000133283554228113</v>
      </c>
      <c r="AT258" s="32" t="str">
        <f t="shared" si="215"/>
        <v>0.000964319787897627i</v>
      </c>
      <c r="AU258" s="32">
        <f t="shared" si="239"/>
        <v>9.6431978789762696E-4</v>
      </c>
      <c r="AV258" s="32">
        <f t="shared" si="240"/>
        <v>1.5707963267948966</v>
      </c>
      <c r="AW258" s="32" t="str">
        <f t="shared" si="216"/>
        <v>1+0.168604167905816i</v>
      </c>
      <c r="AX258" s="32">
        <f t="shared" si="241"/>
        <v>1.0141140791031413</v>
      </c>
      <c r="AY258" s="32">
        <f t="shared" si="242"/>
        <v>0.16703321942063037</v>
      </c>
      <c r="AZ258" s="32" t="str">
        <f t="shared" si="217"/>
        <v>1+2.51261333147447i</v>
      </c>
      <c r="BA258" s="32">
        <f t="shared" si="243"/>
        <v>2.7042976451387952</v>
      </c>
      <c r="BB258" s="32">
        <f t="shared" si="244"/>
        <v>1.1920221835801337</v>
      </c>
      <c r="BC258" s="60" t="str">
        <f t="shared" si="245"/>
        <v>-0.315022205484623+0.191329155076991i</v>
      </c>
      <c r="BD258" s="51">
        <f t="shared" si="246"/>
        <v>-8.6695367070714706</v>
      </c>
      <c r="BE258" s="63">
        <f t="shared" si="247"/>
        <v>148.72754169382571</v>
      </c>
      <c r="BF258" s="60" t="str">
        <f t="shared" si="248"/>
        <v>0.815729433335467+1.53064037789711i</v>
      </c>
      <c r="BG258" s="66">
        <f t="shared" si="249"/>
        <v>4.7831745874088192</v>
      </c>
      <c r="BH258" s="63">
        <f t="shared" si="250"/>
        <v>61.945354496679414</v>
      </c>
      <c r="BI258" s="60" t="str">
        <f t="shared" si="255"/>
        <v>-0.651543578730926+9.04276849496179i</v>
      </c>
      <c r="BJ258" s="66">
        <f t="shared" si="251"/>
        <v>19.148515874441394</v>
      </c>
      <c r="BK258" s="63">
        <f t="shared" si="256"/>
        <v>94.12111603364734</v>
      </c>
      <c r="BL258" s="51">
        <f t="shared" si="252"/>
        <v>4.7831745874088192</v>
      </c>
      <c r="BM258" s="63">
        <f t="shared" si="253"/>
        <v>61.945354496679414</v>
      </c>
    </row>
    <row r="259" spans="14:65" x14ac:dyDescent="0.35">
      <c r="N259" s="11">
        <v>41</v>
      </c>
      <c r="O259" s="52">
        <f t="shared" si="254"/>
        <v>2570.3957827688669</v>
      </c>
      <c r="P259" s="50" t="str">
        <f t="shared" si="206"/>
        <v>36.531007751938</v>
      </c>
      <c r="Q259" s="18" t="str">
        <f t="shared" si="207"/>
        <v>1+7.88734263568659i</v>
      </c>
      <c r="R259" s="18">
        <f t="shared" si="218"/>
        <v>7.9504826175974674</v>
      </c>
      <c r="S259" s="18">
        <f t="shared" si="219"/>
        <v>1.4446837743553331</v>
      </c>
      <c r="T259" s="18" t="str">
        <f t="shared" si="208"/>
        <v>1+0.00323005460318594i</v>
      </c>
      <c r="U259" s="18">
        <f t="shared" si="220"/>
        <v>1.0000052166127633</v>
      </c>
      <c r="V259" s="18">
        <f t="shared" si="221"/>
        <v>3.2300433699309137E-3</v>
      </c>
      <c r="W259" s="32" t="str">
        <f t="shared" si="209"/>
        <v>1-0.0535156975675777i</v>
      </c>
      <c r="X259" s="18">
        <f t="shared" si="222"/>
        <v>1.0014309411467894</v>
      </c>
      <c r="Y259" s="18">
        <f t="shared" si="223"/>
        <v>-5.3464696774671729E-2</v>
      </c>
      <c r="Z259" s="32" t="str">
        <f t="shared" si="210"/>
        <v>0.999863493089255+0.0243180463712803i</v>
      </c>
      <c r="AA259" s="18">
        <f t="shared" si="224"/>
        <v>1.0001591734278912</v>
      </c>
      <c r="AB259" s="18">
        <f t="shared" si="225"/>
        <v>2.4316572510449212E-2</v>
      </c>
      <c r="AC259" s="68" t="str">
        <f t="shared" si="226"/>
        <v>0.237112221926043-4.59456872295964i</v>
      </c>
      <c r="AD259" s="66">
        <f t="shared" si="227"/>
        <v>13.256446180970505</v>
      </c>
      <c r="AE259" s="63">
        <f t="shared" si="228"/>
        <v>-87.045753604057452</v>
      </c>
      <c r="AF259" s="51" t="str">
        <f t="shared" si="229"/>
        <v>42.1703962805665</v>
      </c>
      <c r="AG259" s="51" t="str">
        <f t="shared" si="211"/>
        <v>1+1.42502408964086i</v>
      </c>
      <c r="AH259" s="51">
        <f t="shared" si="230"/>
        <v>1.7408887546471088</v>
      </c>
      <c r="AI259" s="51">
        <f t="shared" si="231"/>
        <v>0.95890184100712628</v>
      </c>
      <c r="AJ259" s="51" t="str">
        <f t="shared" si="212"/>
        <v>1+0.00323005460318594i</v>
      </c>
      <c r="AK259" s="51">
        <f t="shared" si="232"/>
        <v>1.0000052166127633</v>
      </c>
      <c r="AL259" s="51">
        <f t="shared" si="233"/>
        <v>3.2300433699309137E-3</v>
      </c>
      <c r="AM259" s="51" t="str">
        <f t="shared" si="213"/>
        <v>1-0.00837577834314125i</v>
      </c>
      <c r="AN259" s="51">
        <f t="shared" si="234"/>
        <v>1.0000350762162562</v>
      </c>
      <c r="AO259" s="51">
        <f t="shared" si="235"/>
        <v>-8.3755824875418362E-3</v>
      </c>
      <c r="AP259" s="60" t="str">
        <f t="shared" si="236"/>
        <v>13.8127820453105-19.9005443687905i</v>
      </c>
      <c r="AQ259" s="51">
        <f t="shared" si="237"/>
        <v>27.685083217740992</v>
      </c>
      <c r="AR259" s="63">
        <f t="shared" si="238"/>
        <v>-55.235846131791682</v>
      </c>
      <c r="AS259" s="32" t="str">
        <f t="shared" si="214"/>
        <v>-0.000133283554228113</v>
      </c>
      <c r="AT259" s="32" t="str">
        <f t="shared" si="215"/>
        <v>0.000986781681273306i</v>
      </c>
      <c r="AU259" s="32">
        <f t="shared" si="239"/>
        <v>9.8678168127330594E-4</v>
      </c>
      <c r="AV259" s="32">
        <f t="shared" si="240"/>
        <v>1.5707963267948966</v>
      </c>
      <c r="AW259" s="32" t="str">
        <f t="shared" si="216"/>
        <v>1+0.172531463487349i</v>
      </c>
      <c r="AX259" s="32">
        <f t="shared" si="241"/>
        <v>1.0147744113314479</v>
      </c>
      <c r="AY259" s="32">
        <f t="shared" si="242"/>
        <v>0.17084948265624281</v>
      </c>
      <c r="AZ259" s="32" t="str">
        <f t="shared" si="217"/>
        <v>1+2.57113961440902i</v>
      </c>
      <c r="BA259" s="32">
        <f t="shared" si="243"/>
        <v>2.7587603949570116</v>
      </c>
      <c r="BB259" s="32">
        <f t="shared" si="244"/>
        <v>1.1998670747754303</v>
      </c>
      <c r="BC259" s="60" t="str">
        <f t="shared" si="245"/>
        <v>-0.314612357479765+0.189349468974569i</v>
      </c>
      <c r="BD259" s="51">
        <f t="shared" si="246"/>
        <v>-8.70200076158401</v>
      </c>
      <c r="BE259" s="63">
        <f t="shared" si="247"/>
        <v>148.95836507314377</v>
      </c>
      <c r="BF259" s="60" t="str">
        <f t="shared" si="248"/>
        <v>0.795380712732154+1.4904051708422i</v>
      </c>
      <c r="BG259" s="66">
        <f t="shared" si="249"/>
        <v>4.554445419386485</v>
      </c>
      <c r="BH259" s="63">
        <f t="shared" si="250"/>
        <v>61.912611469086293</v>
      </c>
      <c r="BI259" s="60" t="str">
        <f t="shared" si="255"/>
        <v>-0.577514414093976+8.87640012433685i</v>
      </c>
      <c r="BJ259" s="66">
        <f t="shared" si="251"/>
        <v>18.983082456156986</v>
      </c>
      <c r="BK259" s="63">
        <f t="shared" si="256"/>
        <v>93.722518941352092</v>
      </c>
      <c r="BL259" s="51">
        <f t="shared" si="252"/>
        <v>4.554445419386485</v>
      </c>
      <c r="BM259" s="63">
        <f t="shared" si="253"/>
        <v>61.912611469086293</v>
      </c>
    </row>
    <row r="260" spans="14:65" x14ac:dyDescent="0.35">
      <c r="N260" s="11">
        <v>42</v>
      </c>
      <c r="O260" s="52">
        <f t="shared" si="254"/>
        <v>2630.2679918953822</v>
      </c>
      <c r="P260" s="50" t="str">
        <f t="shared" si="206"/>
        <v>36.531007751938</v>
      </c>
      <c r="Q260" s="18" t="str">
        <f t="shared" si="207"/>
        <v>1+8.07106244681529i</v>
      </c>
      <c r="R260" s="18">
        <f t="shared" si="218"/>
        <v>8.1327762185118573</v>
      </c>
      <c r="S260" s="18">
        <f t="shared" si="219"/>
        <v>1.4475251212543367</v>
      </c>
      <c r="T260" s="18" t="str">
        <f t="shared" si="208"/>
        <v>1+0.00330529224012436i</v>
      </c>
      <c r="U260" s="18">
        <f t="shared" si="220"/>
        <v>1.0000054624634771</v>
      </c>
      <c r="V260" s="18">
        <f t="shared" si="221"/>
        <v>3.3052802034782896E-3</v>
      </c>
      <c r="W260" s="32" t="str">
        <f t="shared" si="209"/>
        <v>1-0.0547622382979184i</v>
      </c>
      <c r="X260" s="18">
        <f t="shared" si="222"/>
        <v>1.0014983288769872</v>
      </c>
      <c r="Y260" s="18">
        <f t="shared" si="223"/>
        <v>-5.4707594378462746E-2</v>
      </c>
      <c r="Z260" s="32" t="str">
        <f t="shared" si="210"/>
        <v>0.999857059716752+0.0248844864376895i</v>
      </c>
      <c r="AA260" s="18">
        <f t="shared" si="224"/>
        <v>1.000166674875091</v>
      </c>
      <c r="AB260" s="18">
        <f t="shared" si="225"/>
        <v>2.4882907176994436E-2</v>
      </c>
      <c r="AC260" s="68" t="str">
        <f t="shared" si="226"/>
        <v>0.211257225052047-4.49286617781002i</v>
      </c>
      <c r="AD260" s="66">
        <f t="shared" si="227"/>
        <v>13.060061036379761</v>
      </c>
      <c r="AE260" s="63">
        <f t="shared" si="228"/>
        <v>-87.307901409725901</v>
      </c>
      <c r="AF260" s="51" t="str">
        <f t="shared" si="229"/>
        <v>42.1703962805665</v>
      </c>
      <c r="AG260" s="51" t="str">
        <f t="shared" si="211"/>
        <v>1+1.45821716476075i</v>
      </c>
      <c r="AH260" s="51">
        <f t="shared" si="230"/>
        <v>1.7681621248072477</v>
      </c>
      <c r="AI260" s="51">
        <f t="shared" si="231"/>
        <v>0.96968541698151578</v>
      </c>
      <c r="AJ260" s="51" t="str">
        <f t="shared" si="212"/>
        <v>1+0.00330529224012436i</v>
      </c>
      <c r="AK260" s="51">
        <f t="shared" si="232"/>
        <v>1.0000054624634771</v>
      </c>
      <c r="AL260" s="51">
        <f t="shared" si="233"/>
        <v>3.3052802034782896E-3</v>
      </c>
      <c r="AM260" s="51" t="str">
        <f t="shared" si="213"/>
        <v>1-0.00857087528343334i</v>
      </c>
      <c r="AN260" s="51">
        <f t="shared" si="234"/>
        <v>1.0000367292770422</v>
      </c>
      <c r="AO260" s="51">
        <f t="shared" si="235"/>
        <v>-8.5706654207938181E-3</v>
      </c>
      <c r="AP260" s="60" t="str">
        <f t="shared" si="236"/>
        <v>13.3853081649868-19.7407378453805i</v>
      </c>
      <c r="AQ260" s="51">
        <f t="shared" si="237"/>
        <v>27.550078440692289</v>
      </c>
      <c r="AR260" s="63">
        <f t="shared" si="238"/>
        <v>-55.860566198886929</v>
      </c>
      <c r="AS260" s="32" t="str">
        <f t="shared" si="214"/>
        <v>-0.000133283554228113</v>
      </c>
      <c r="AT260" s="32" t="str">
        <f t="shared" si="215"/>
        <v>0.00100976677935799i</v>
      </c>
      <c r="AU260" s="32">
        <f t="shared" si="239"/>
        <v>1.0097667793579901E-3</v>
      </c>
      <c r="AV260" s="32">
        <f t="shared" si="240"/>
        <v>1.5707963267948966</v>
      </c>
      <c r="AW260" s="32" t="str">
        <f t="shared" si="216"/>
        <v>1+0.176550237534546i</v>
      </c>
      <c r="AX260" s="32">
        <f t="shared" si="241"/>
        <v>1.0154654038289559</v>
      </c>
      <c r="AY260" s="32">
        <f t="shared" si="242"/>
        <v>0.17474944173867329</v>
      </c>
      <c r="AZ260" s="32" t="str">
        <f t="shared" si="217"/>
        <v>1+2.63102914960019i</v>
      </c>
      <c r="BA260" s="32">
        <f t="shared" si="243"/>
        <v>2.8146606164946242</v>
      </c>
      <c r="BB260" s="32">
        <f t="shared" si="244"/>
        <v>1.2075799308875714</v>
      </c>
      <c r="BC260" s="60" t="str">
        <f t="shared" si="245"/>
        <v>-0.314184335387348+0.187463713146674i</v>
      </c>
      <c r="BD260" s="51">
        <f t="shared" si="246"/>
        <v>-8.7336721739963572</v>
      </c>
      <c r="BE260" s="63">
        <f t="shared" si="247"/>
        <v>149.17682798066411</v>
      </c>
      <c r="BF260" s="60" t="str">
        <f t="shared" si="248"/>
        <v>0.775875665514619+1.45119123789686i</v>
      </c>
      <c r="BG260" s="66">
        <f t="shared" si="249"/>
        <v>4.3263888623834257</v>
      </c>
      <c r="BH260" s="63">
        <f t="shared" si="250"/>
        <v>61.868926570938314</v>
      </c>
      <c r="BI260" s="60" t="str">
        <f t="shared" si="255"/>
        <v>-0.504782133021119+8.71149017022766i</v>
      </c>
      <c r="BJ260" s="66">
        <f t="shared" si="251"/>
        <v>18.816406266695928</v>
      </c>
      <c r="BK260" s="63">
        <f t="shared" si="256"/>
        <v>93.3162617817772</v>
      </c>
      <c r="BL260" s="51">
        <f t="shared" si="252"/>
        <v>4.3263888623834257</v>
      </c>
      <c r="BM260" s="63">
        <f t="shared" si="253"/>
        <v>61.868926570938314</v>
      </c>
    </row>
    <row r="261" spans="14:65" x14ac:dyDescent="0.35">
      <c r="N261" s="11">
        <v>43</v>
      </c>
      <c r="O261" s="52">
        <f t="shared" si="254"/>
        <v>2691.5348039269184</v>
      </c>
      <c r="P261" s="50" t="str">
        <f t="shared" si="206"/>
        <v>36.531007751938</v>
      </c>
      <c r="Q261" s="18" t="str">
        <f t="shared" si="207"/>
        <v>1+8.25906164208646i</v>
      </c>
      <c r="R261" s="18">
        <f t="shared" si="218"/>
        <v>8.3193809389751987</v>
      </c>
      <c r="S261" s="18">
        <f t="shared" si="219"/>
        <v>1.4503037256337947</v>
      </c>
      <c r="T261" s="18" t="str">
        <f t="shared" si="208"/>
        <v>1+0.00338228238675922i</v>
      </c>
      <c r="U261" s="18">
        <f t="shared" si="220"/>
        <v>1.0000057199007133</v>
      </c>
      <c r="V261" s="18">
        <f t="shared" si="221"/>
        <v>3.3822694892645696E-3</v>
      </c>
      <c r="W261" s="32" t="str">
        <f t="shared" si="209"/>
        <v>1-0.0560378146918688i</v>
      </c>
      <c r="X261" s="18">
        <f t="shared" si="222"/>
        <v>1.0015688876335169</v>
      </c>
      <c r="Y261" s="18">
        <f t="shared" si="223"/>
        <v>-5.5979267629686844E-2</v>
      </c>
      <c r="Z261" s="32" t="str">
        <f t="shared" si="210"/>
        <v>0.999850323148745+0.0254641205881932i</v>
      </c>
      <c r="AA261" s="18">
        <f t="shared" si="224"/>
        <v>1.0001745298386577</v>
      </c>
      <c r="AB261" s="18">
        <f t="shared" si="225"/>
        <v>2.5462428390685007E-2</v>
      </c>
      <c r="AC261" s="68" t="str">
        <f t="shared" si="226"/>
        <v>0.186532000401217-4.39326149118733i</v>
      </c>
      <c r="AD261" s="66">
        <f t="shared" si="227"/>
        <v>12.863563215954992</v>
      </c>
      <c r="AE261" s="63">
        <f t="shared" si="228"/>
        <v>-87.568758182359716</v>
      </c>
      <c r="AF261" s="51" t="str">
        <f t="shared" si="229"/>
        <v>42.1703962805665</v>
      </c>
      <c r="AG261" s="51" t="str">
        <f t="shared" si="211"/>
        <v>1+1.49218340592319i</v>
      </c>
      <c r="AH261" s="51">
        <f t="shared" si="230"/>
        <v>1.7962770713095826</v>
      </c>
      <c r="AI261" s="51">
        <f t="shared" si="231"/>
        <v>0.98037991384790757</v>
      </c>
      <c r="AJ261" s="51" t="str">
        <f t="shared" si="212"/>
        <v>1+0.00338228238675922i</v>
      </c>
      <c r="AK261" s="51">
        <f t="shared" si="232"/>
        <v>1.0000057199007133</v>
      </c>
      <c r="AL261" s="51">
        <f t="shared" si="233"/>
        <v>3.3822694892645696E-3</v>
      </c>
      <c r="AM261" s="51" t="str">
        <f t="shared" si="213"/>
        <v>1-0.00877051661524967i</v>
      </c>
      <c r="AN261" s="51">
        <f t="shared" si="234"/>
        <v>1.000038460241254</v>
      </c>
      <c r="AO261" s="51">
        <f t="shared" si="235"/>
        <v>-8.7702917438470564E-3</v>
      </c>
      <c r="AP261" s="60" t="str">
        <f t="shared" si="236"/>
        <v>12.9648672518548-19.5731837458826i</v>
      </c>
      <c r="AQ261" s="51">
        <f t="shared" si="237"/>
        <v>27.413070853332687</v>
      </c>
      <c r="AR261" s="63">
        <f t="shared" si="238"/>
        <v>-56.480342317994392</v>
      </c>
      <c r="AS261" s="32" t="str">
        <f t="shared" si="214"/>
        <v>-0.000133283554228113</v>
      </c>
      <c r="AT261" s="32" t="str">
        <f t="shared" si="215"/>
        <v>0.00103328726915494i</v>
      </c>
      <c r="AU261" s="32">
        <f t="shared" si="239"/>
        <v>1.03328726915494E-3</v>
      </c>
      <c r="AV261" s="32">
        <f t="shared" si="240"/>
        <v>1.5707963267948966</v>
      </c>
      <c r="AW261" s="32" t="str">
        <f t="shared" si="216"/>
        <v>1+0.180662620854604i</v>
      </c>
      <c r="AX261" s="32">
        <f t="shared" si="241"/>
        <v>1.016188458197619</v>
      </c>
      <c r="AY261" s="32">
        <f t="shared" si="242"/>
        <v>0.17873468970428413</v>
      </c>
      <c r="AZ261" s="32" t="str">
        <f t="shared" si="217"/>
        <v>1+2.69231369127227i</v>
      </c>
      <c r="BA261" s="32">
        <f t="shared" si="243"/>
        <v>2.8720294239809099</v>
      </c>
      <c r="BB261" s="32">
        <f t="shared" si="244"/>
        <v>1.2151611697703408</v>
      </c>
      <c r="BC261" s="60" t="str">
        <f t="shared" si="245"/>
        <v>-0.31373738770985+0.185670453600072i</v>
      </c>
      <c r="BD261" s="51">
        <f t="shared" si="246"/>
        <v>-8.764597723303762</v>
      </c>
      <c r="BE261" s="63">
        <f t="shared" si="247"/>
        <v>149.38286308338479</v>
      </c>
      <c r="BF261" s="60" t="str">
        <f t="shared" si="248"/>
        <v>0.75717679132231+1.41296386489682i</v>
      </c>
      <c r="BG261" s="66">
        <f t="shared" si="249"/>
        <v>4.0989654926512511</v>
      </c>
      <c r="BH261" s="63">
        <f t="shared" si="250"/>
        <v>61.814104901025168</v>
      </c>
      <c r="BI261" s="60" t="str">
        <f t="shared" si="255"/>
        <v>-0.433401679106328+8.5480323211147i</v>
      </c>
      <c r="BJ261" s="66">
        <f t="shared" si="251"/>
        <v>18.648473130028925</v>
      </c>
      <c r="BK261" s="63">
        <f t="shared" si="256"/>
        <v>92.90252076539042</v>
      </c>
      <c r="BL261" s="51">
        <f t="shared" si="252"/>
        <v>4.0989654926512511</v>
      </c>
      <c r="BM261" s="63">
        <f t="shared" si="253"/>
        <v>61.814104901025168</v>
      </c>
    </row>
    <row r="262" spans="14:65" x14ac:dyDescent="0.35">
      <c r="N262" s="11">
        <v>44</v>
      </c>
      <c r="O262" s="52">
        <f t="shared" si="254"/>
        <v>2754.228703338169</v>
      </c>
      <c r="P262" s="50" t="str">
        <f t="shared" si="206"/>
        <v>36.531007751938</v>
      </c>
      <c r="Q262" s="18" t="str">
        <f t="shared" si="207"/>
        <v>1+8.45143990116187i</v>
      </c>
      <c r="R262" s="18">
        <f t="shared" si="218"/>
        <v>8.5103957841542801</v>
      </c>
      <c r="S262" s="18">
        <f t="shared" si="219"/>
        <v>1.4530208890336778</v>
      </c>
      <c r="T262" s="18" t="str">
        <f t="shared" si="208"/>
        <v>1+0.00346106586428534i</v>
      </c>
      <c r="U262" s="18">
        <f t="shared" si="220"/>
        <v>1.0000059894705216</v>
      </c>
      <c r="V262" s="18">
        <f t="shared" si="221"/>
        <v>3.4610520443753034E-3</v>
      </c>
      <c r="W262" s="32" t="str">
        <f t="shared" si="209"/>
        <v>1-0.0573431030769169i</v>
      </c>
      <c r="X262" s="18">
        <f t="shared" si="222"/>
        <v>1.0016427663945313</v>
      </c>
      <c r="Y262" s="18">
        <f t="shared" si="223"/>
        <v>-5.7280374325095314E-2</v>
      </c>
      <c r="Z262" s="32" t="str">
        <f t="shared" si="210"/>
        <v>0.999843269096068+0.0260572561524902i</v>
      </c>
      <c r="AA262" s="18">
        <f t="shared" si="224"/>
        <v>1.0001827549777633</v>
      </c>
      <c r="AB262" s="18">
        <f t="shared" si="225"/>
        <v>2.6055442942325872E-2</v>
      </c>
      <c r="AC262" s="68" t="str">
        <f t="shared" si="226"/>
        <v>0.162888689794848-4.29572028689434i</v>
      </c>
      <c r="AD262" s="66">
        <f t="shared" si="227"/>
        <v>12.666959860931923</v>
      </c>
      <c r="AE262" s="63">
        <f t="shared" si="228"/>
        <v>-87.828451422855323</v>
      </c>
      <c r="AF262" s="51" t="str">
        <f t="shared" si="229"/>
        <v>42.1703962805665</v>
      </c>
      <c r="AG262" s="51" t="str">
        <f t="shared" si="211"/>
        <v>1+1.52694082247883i</v>
      </c>
      <c r="AH262" s="51">
        <f t="shared" si="230"/>
        <v>1.8252529346236717</v>
      </c>
      <c r="AI262" s="51">
        <f t="shared" si="231"/>
        <v>0.9909812167153037</v>
      </c>
      <c r="AJ262" s="51" t="str">
        <f t="shared" si="212"/>
        <v>1+0.00346106586428534i</v>
      </c>
      <c r="AK262" s="51">
        <f t="shared" si="232"/>
        <v>1.0000059894705216</v>
      </c>
      <c r="AL262" s="51">
        <f t="shared" si="233"/>
        <v>3.4610520443753034E-3</v>
      </c>
      <c r="AM262" s="51" t="str">
        <f t="shared" si="213"/>
        <v>1-0.00897480819106693i</v>
      </c>
      <c r="AN262" s="51">
        <f t="shared" si="234"/>
        <v>1.0000402727800848</v>
      </c>
      <c r="AO262" s="51">
        <f t="shared" si="235"/>
        <v>-8.9745672375419073E-3</v>
      </c>
      <c r="AP262" s="60" t="str">
        <f t="shared" si="236"/>
        <v>12.5517217517986-19.3982530341261i</v>
      </c>
      <c r="AQ262" s="51">
        <f t="shared" si="237"/>
        <v>27.274094357336502</v>
      </c>
      <c r="AR262" s="63">
        <f t="shared" si="238"/>
        <v>-57.094942445375814</v>
      </c>
      <c r="AS262" s="32" t="str">
        <f t="shared" si="214"/>
        <v>-0.000133283554228113</v>
      </c>
      <c r="AT262" s="32" t="str">
        <f t="shared" si="215"/>
        <v>0.00105735562153917i</v>
      </c>
      <c r="AU262" s="32">
        <f t="shared" si="239"/>
        <v>1.05735562153917E-3</v>
      </c>
      <c r="AV262" s="32">
        <f t="shared" si="240"/>
        <v>1.5707963267948966</v>
      </c>
      <c r="AW262" s="32" t="str">
        <f t="shared" si="216"/>
        <v>1+0.184870793887592i</v>
      </c>
      <c r="AX262" s="32">
        <f t="shared" si="241"/>
        <v>1.0169450380589053</v>
      </c>
      <c r="AY262" s="32">
        <f t="shared" si="242"/>
        <v>0.18280683297755349</v>
      </c>
      <c r="AZ262" s="32" t="str">
        <f t="shared" si="217"/>
        <v>1+2.75502573330045i</v>
      </c>
      <c r="BA262" s="32">
        <f t="shared" si="243"/>
        <v>2.9308986320150483</v>
      </c>
      <c r="BB262" s="32">
        <f t="shared" si="244"/>
        <v>1.2226113242319359</v>
      </c>
      <c r="BC262" s="60" t="str">
        <f t="shared" si="245"/>
        <v>-0.313270736941312+0.183968277606188i</v>
      </c>
      <c r="BD262" s="51">
        <f t="shared" si="246"/>
        <v>-8.7948239323819379</v>
      </c>
      <c r="BE262" s="63">
        <f t="shared" si="247"/>
        <v>149.57640886762377</v>
      </c>
      <c r="BF262" s="60" t="str">
        <f t="shared" si="248"/>
        <v>0.739248002366475+1.37568981167222i</v>
      </c>
      <c r="BG262" s="66">
        <f t="shared" si="249"/>
        <v>3.8721359285499823</v>
      </c>
      <c r="BH262" s="63">
        <f t="shared" si="250"/>
        <v>61.747957444768453</v>
      </c>
      <c r="BI262" s="60" t="str">
        <f t="shared" si="255"/>
        <v>-0.363423923811055+8.38602365504524i</v>
      </c>
      <c r="BJ262" s="66">
        <f t="shared" si="251"/>
        <v>18.479270424954567</v>
      </c>
      <c r="BK262" s="63">
        <f t="shared" si="256"/>
        <v>92.481466422247962</v>
      </c>
      <c r="BL262" s="51">
        <f t="shared" si="252"/>
        <v>3.8721359285499823</v>
      </c>
      <c r="BM262" s="63">
        <f t="shared" si="253"/>
        <v>61.747957444768453</v>
      </c>
    </row>
    <row r="263" spans="14:65" x14ac:dyDescent="0.35">
      <c r="N263" s="11">
        <v>45</v>
      </c>
      <c r="O263" s="52">
        <f t="shared" si="254"/>
        <v>2818.3829312644561</v>
      </c>
      <c r="P263" s="50" t="str">
        <f t="shared" si="206"/>
        <v>36.531007751938</v>
      </c>
      <c r="Q263" s="18" t="str">
        <f t="shared" si="207"/>
        <v>1+8.64829922554089i</v>
      </c>
      <c r="R263" s="18">
        <f t="shared" si="218"/>
        <v>8.7059220932932302</v>
      </c>
      <c r="S263" s="18">
        <f t="shared" si="219"/>
        <v>1.4556778915576785</v>
      </c>
      <c r="T263" s="18" t="str">
        <f t="shared" si="208"/>
        <v>1+0.00354168444474532i</v>
      </c>
      <c r="U263" s="18">
        <f t="shared" si="220"/>
        <v>1.0000062717446856</v>
      </c>
      <c r="V263" s="18">
        <f t="shared" si="221"/>
        <v>3.5416696364499352E-3</v>
      </c>
      <c r="W263" s="32" t="str">
        <f t="shared" si="209"/>
        <v>1-0.058678795534242i</v>
      </c>
      <c r="X263" s="18">
        <f t="shared" si="222"/>
        <v>1.0017201211143507</v>
      </c>
      <c r="Y263" s="18">
        <f t="shared" si="223"/>
        <v>-5.8611586697780459E-2</v>
      </c>
      <c r="Z263" s="32" t="str">
        <f t="shared" si="210"/>
        <v>0.999835882596131+0.0266642076189078i</v>
      </c>
      <c r="AA263" s="18">
        <f t="shared" si="224"/>
        <v>1.000191367736559</v>
      </c>
      <c r="AB263" s="18">
        <f t="shared" si="225"/>
        <v>2.6662264742826559E-2</v>
      </c>
      <c r="AC263" s="68" t="str">
        <f t="shared" si="226"/>
        <v>0.14028133746378-4.20020811015531i</v>
      </c>
      <c r="AD263" s="66">
        <f t="shared" si="227"/>
        <v>12.470257911358198</v>
      </c>
      <c r="AE263" s="63">
        <f t="shared" si="228"/>
        <v>-88.08710858453145</v>
      </c>
      <c r="AF263" s="51" t="str">
        <f t="shared" si="229"/>
        <v>42.1703962805665</v>
      </c>
      <c r="AG263" s="51" t="str">
        <f t="shared" si="211"/>
        <v>1+1.56250784327i</v>
      </c>
      <c r="AH263" s="51">
        <f t="shared" si="230"/>
        <v>1.8551093661238054</v>
      </c>
      <c r="AI263" s="51">
        <f t="shared" si="231"/>
        <v>1.0014854147747907</v>
      </c>
      <c r="AJ263" s="51" t="str">
        <f t="shared" si="212"/>
        <v>1+0.00354168444474532i</v>
      </c>
      <c r="AK263" s="51">
        <f t="shared" si="232"/>
        <v>1.0000062717446856</v>
      </c>
      <c r="AL263" s="51">
        <f t="shared" si="233"/>
        <v>3.5416696364499352E-3</v>
      </c>
      <c r="AM263" s="51" t="str">
        <f t="shared" si="213"/>
        <v>1-0.0091838583289827i</v>
      </c>
      <c r="AN263" s="51">
        <f t="shared" si="234"/>
        <v>1.0000421707377178</v>
      </c>
      <c r="AO263" s="51">
        <f t="shared" si="235"/>
        <v>-9.1836001432169887E-3</v>
      </c>
      <c r="AP263" s="60" t="str">
        <f t="shared" si="236"/>
        <v>12.1461098935437-19.2163246824635i</v>
      </c>
      <c r="AQ263" s="51">
        <f t="shared" si="237"/>
        <v>27.133184039167169</v>
      </c>
      <c r="AR263" s="63">
        <f t="shared" si="238"/>
        <v>-57.704146316848018</v>
      </c>
      <c r="AS263" s="32" t="str">
        <f t="shared" si="214"/>
        <v>-0.000133283554228113</v>
      </c>
      <c r="AT263" s="32" t="str">
        <f t="shared" si="215"/>
        <v>0.00108198459786969i</v>
      </c>
      <c r="AU263" s="32">
        <f t="shared" si="239"/>
        <v>1.08198459786969E-3</v>
      </c>
      <c r="AV263" s="32">
        <f t="shared" si="240"/>
        <v>1.5707963267948966</v>
      </c>
      <c r="AW263" s="32" t="str">
        <f t="shared" si="216"/>
        <v>1+0.189176987862552i</v>
      </c>
      <c r="AX263" s="32">
        <f t="shared" si="241"/>
        <v>1.0177366716085001</v>
      </c>
      <c r="AY263" s="32">
        <f t="shared" si="242"/>
        <v>0.18696749019155484</v>
      </c>
      <c r="AZ263" s="32" t="str">
        <f t="shared" si="217"/>
        <v>1+2.8191985264395i</v>
      </c>
      <c r="BA263" s="32">
        <f t="shared" si="243"/>
        <v>2.99130077582958</v>
      </c>
      <c r="BB263" s="32">
        <f t="shared" si="244"/>
        <v>1.2299310353062312</v>
      </c>
      <c r="BC263" s="60" t="str">
        <f t="shared" si="245"/>
        <v>-0.312783579148418+0.182355791335193i</v>
      </c>
      <c r="BD263" s="51">
        <f t="shared" si="246"/>
        <v>-8.8243970620545813</v>
      </c>
      <c r="BE263" s="63">
        <f t="shared" si="247"/>
        <v>149.7574093210732</v>
      </c>
      <c r="BF263" s="60" t="str">
        <f t="shared" si="248"/>
        <v>0.722054574880219+1.33933724016536i</v>
      </c>
      <c r="BG263" s="66">
        <f t="shared" si="249"/>
        <v>3.6458608493036309</v>
      </c>
      <c r="BH263" s="63">
        <f t="shared" si="250"/>
        <v>61.670300736541797</v>
      </c>
      <c r="BI263" s="60" t="str">
        <f t="shared" si="255"/>
        <v>-0.294895631207976+8.2254642935404i</v>
      </c>
      <c r="BJ263" s="66">
        <f t="shared" si="251"/>
        <v>18.308786977112593</v>
      </c>
      <c r="BK263" s="63">
        <f t="shared" si="256"/>
        <v>92.053263004225158</v>
      </c>
      <c r="BL263" s="51">
        <f t="shared" si="252"/>
        <v>3.6458608493036309</v>
      </c>
      <c r="BM263" s="63">
        <f t="shared" si="253"/>
        <v>61.670300736541797</v>
      </c>
    </row>
    <row r="264" spans="14:65" x14ac:dyDescent="0.35">
      <c r="N264" s="11">
        <v>46</v>
      </c>
      <c r="O264" s="52">
        <f t="shared" si="254"/>
        <v>2884.0315031266077</v>
      </c>
      <c r="P264" s="50" t="str">
        <f t="shared" si="206"/>
        <v>36.531007751938</v>
      </c>
      <c r="Q264" s="18" t="str">
        <f t="shared" si="207"/>
        <v>1+8.84974399264306i</v>
      </c>
      <c r="R264" s="18">
        <f t="shared" si="218"/>
        <v>8.9060635937164694</v>
      </c>
      <c r="S264" s="18">
        <f t="shared" si="219"/>
        <v>1.4582759918424697</v>
      </c>
      <c r="T264" s="18" t="str">
        <f t="shared" si="208"/>
        <v>1+0.00362418087317764i</v>
      </c>
      <c r="U264" s="18">
        <f t="shared" si="220"/>
        <v>1.000006567321936</v>
      </c>
      <c r="V264" s="18">
        <f t="shared" si="221"/>
        <v>3.6241650058088854E-3</v>
      </c>
      <c r="W264" s="32" t="str">
        <f t="shared" si="209"/>
        <v>1-0.0600456002656651i</v>
      </c>
      <c r="X264" s="18">
        <f t="shared" si="222"/>
        <v>1.001801115047924</v>
      </c>
      <c r="Y264" s="18">
        <f t="shared" si="223"/>
        <v>-5.997359169087562E-2</v>
      </c>
      <c r="Z264" s="32" t="str">
        <f t="shared" si="210"/>
        <v>0.999828147981177+0.0272852968011474i</v>
      </c>
      <c r="AA264" s="18">
        <f t="shared" si="224"/>
        <v>1.0002003863811477</v>
      </c>
      <c r="AB264" s="18">
        <f t="shared" si="225"/>
        <v>2.7283214987193865E-2</v>
      </c>
      <c r="AC264" s="68" t="str">
        <f t="shared" si="226"/>
        <v>0.118665825694298-4.10669048153416i</v>
      </c>
      <c r="AD264" s="66">
        <f t="shared" si="227"/>
        <v>12.273464118668114</v>
      </c>
      <c r="AE264" s="63">
        <f t="shared" si="228"/>
        <v>-88.344857095178043</v>
      </c>
      <c r="AF264" s="51" t="str">
        <f t="shared" si="229"/>
        <v>42.1703962805665</v>
      </c>
      <c r="AG264" s="51" t="str">
        <f t="shared" si="211"/>
        <v>1+1.5989033264019i</v>
      </c>
      <c r="AH264" s="51">
        <f t="shared" si="230"/>
        <v>1.8858663386303551</v>
      </c>
      <c r="AI264" s="51">
        <f t="shared" si="231"/>
        <v>1.0118888051687263</v>
      </c>
      <c r="AJ264" s="51" t="str">
        <f t="shared" si="212"/>
        <v>1+0.00362418087317764i</v>
      </c>
      <c r="AK264" s="51">
        <f t="shared" si="232"/>
        <v>1.000006567321936</v>
      </c>
      <c r="AL264" s="51">
        <f t="shared" si="233"/>
        <v>3.6241650058088854E-3</v>
      </c>
      <c r="AM264" s="51" t="str">
        <f t="shared" si="213"/>
        <v>1-0.00939777787014723i</v>
      </c>
      <c r="AN264" s="51">
        <f t="shared" si="234"/>
        <v>1.0000441581394777</v>
      </c>
      <c r="AO264" s="51">
        <f t="shared" si="235"/>
        <v>-9.3975012197746923E-3</v>
      </c>
      <c r="AP264" s="60" t="str">
        <f t="shared" si="236"/>
        <v>11.7482456260333-19.0277838841777i</v>
      </c>
      <c r="AQ264" s="51">
        <f t="shared" si="237"/>
        <v>26.990376055510076</v>
      </c>
      <c r="AR264" s="63">
        <f t="shared" si="238"/>
        <v>-58.307745671473924</v>
      </c>
      <c r="AS264" s="32" t="str">
        <f t="shared" si="214"/>
        <v>-0.000133283554228113</v>
      </c>
      <c r="AT264" s="32" t="str">
        <f t="shared" si="215"/>
        <v>0.00110718725675577i</v>
      </c>
      <c r="AU264" s="32">
        <f t="shared" si="239"/>
        <v>1.10718725675577E-3</v>
      </c>
      <c r="AV264" s="32">
        <f t="shared" si="240"/>
        <v>1.5707963267948966</v>
      </c>
      <c r="AW264" s="32" t="str">
        <f t="shared" si="216"/>
        <v>1+0.193583485980531i</v>
      </c>
      <c r="AX264" s="32">
        <f t="shared" si="241"/>
        <v>1.0185649542588702</v>
      </c>
      <c r="AY264" s="32">
        <f t="shared" si="242"/>
        <v>0.19121829089732878</v>
      </c>
      <c r="AZ264" s="32" t="str">
        <f t="shared" si="217"/>
        <v>1+2.88486609595377i</v>
      </c>
      <c r="BA264" s="32">
        <f t="shared" si="243"/>
        <v>3.0532691318623626</v>
      </c>
      <c r="BB264" s="32">
        <f t="shared" si="244"/>
        <v>1.237121045625686</v>
      </c>
      <c r="BC264" s="60" t="str">
        <f t="shared" si="245"/>
        <v>-0.312275083595913+0.18083161742479i</v>
      </c>
      <c r="BD264" s="51">
        <f t="shared" si="246"/>
        <v>-8.8533631090861871</v>
      </c>
      <c r="BE264" s="63">
        <f t="shared" si="247"/>
        <v>149.92581362704135</v>
      </c>
      <c r="BF264" s="60" t="str">
        <f t="shared" si="248"/>
        <v>0.705563101400147+1.30387564661697i</v>
      </c>
      <c r="BG264" s="66">
        <f t="shared" si="249"/>
        <v>3.4201010095819373</v>
      </c>
      <c r="BH264" s="63">
        <f t="shared" si="250"/>
        <v>61.580956531863343</v>
      </c>
      <c r="BI264" s="60" t="str">
        <f t="shared" si="255"/>
        <v>-0.227859449189662+8.06635706153588i</v>
      </c>
      <c r="BJ264" s="66">
        <f t="shared" si="251"/>
        <v>18.137012946423894</v>
      </c>
      <c r="BK264" s="63">
        <f t="shared" si="256"/>
        <v>91.618067955567426</v>
      </c>
      <c r="BL264" s="51">
        <f t="shared" si="252"/>
        <v>3.4201010095819373</v>
      </c>
      <c r="BM264" s="63">
        <f t="shared" si="253"/>
        <v>61.580956531863343</v>
      </c>
    </row>
    <row r="265" spans="14:65" x14ac:dyDescent="0.35">
      <c r="N265" s="11">
        <v>47</v>
      </c>
      <c r="O265" s="52">
        <f t="shared" si="254"/>
        <v>2951.2092266663876</v>
      </c>
      <c r="P265" s="50" t="str">
        <f t="shared" si="206"/>
        <v>36.531007751938</v>
      </c>
      <c r="Q265" s="18" t="str">
        <f t="shared" si="207"/>
        <v>1+9.05588101115034i</v>
      </c>
      <c r="R265" s="18">
        <f t="shared" si="218"/>
        <v>9.110926456080815</v>
      </c>
      <c r="S265" s="18">
        <f t="shared" si="219"/>
        <v>1.460816427059334</v>
      </c>
      <c r="T265" s="18" t="str">
        <f t="shared" si="208"/>
        <v>1+0.00370859889028062i</v>
      </c>
      <c r="U265" s="18">
        <f t="shared" si="220"/>
        <v>1.0000068768292192</v>
      </c>
      <c r="V265" s="18">
        <f t="shared" si="221"/>
        <v>3.7085818880949911E-3</v>
      </c>
      <c r="W265" s="32" t="str">
        <f t="shared" si="209"/>
        <v>1-0.0614442419691464i</v>
      </c>
      <c r="X265" s="18">
        <f t="shared" si="222"/>
        <v>1.0018859190901741</v>
      </c>
      <c r="Y265" s="18">
        <f t="shared" si="223"/>
        <v>-6.1367091233249814E-2</v>
      </c>
      <c r="Z265" s="32" t="str">
        <f t="shared" si="210"/>
        <v>0.99982004884505+0.0279208530089146i</v>
      </c>
      <c r="AA265" s="18">
        <f t="shared" si="224"/>
        <v>1.0002098300383091</v>
      </c>
      <c r="AB265" s="18">
        <f t="shared" si="225"/>
        <v>2.7918622322212212E-2</v>
      </c>
      <c r="AC265" s="68" t="str">
        <f t="shared" si="226"/>
        <v>0.097999811634746-4.01513294665677i</v>
      </c>
      <c r="AD265" s="66">
        <f t="shared" si="227"/>
        <v>12.076585058018951</v>
      </c>
      <c r="AE265" s="63">
        <f t="shared" si="228"/>
        <v>-88.601824381255781</v>
      </c>
      <c r="AF265" s="51" t="str">
        <f t="shared" si="229"/>
        <v>42.1703962805665</v>
      </c>
      <c r="AG265" s="51" t="str">
        <f t="shared" si="211"/>
        <v>1+1.63614656924145i</v>
      </c>
      <c r="AH265" s="51">
        <f t="shared" si="230"/>
        <v>1.9175441575203858</v>
      </c>
      <c r="AI265" s="51">
        <f t="shared" si="231"/>
        <v>1.0221878958977286</v>
      </c>
      <c r="AJ265" s="51" t="str">
        <f t="shared" si="212"/>
        <v>1+0.00370859889028062i</v>
      </c>
      <c r="AK265" s="51">
        <f t="shared" si="232"/>
        <v>1.0000068768292192</v>
      </c>
      <c r="AL265" s="51">
        <f t="shared" si="233"/>
        <v>3.7085818880949911E-3</v>
      </c>
      <c r="AM265" s="51" t="str">
        <f t="shared" si="213"/>
        <v>1-0.0096166802375328i</v>
      </c>
      <c r="AN265" s="51">
        <f t="shared" si="234"/>
        <v>1.0000462392003637</v>
      </c>
      <c r="AO265" s="51">
        <f t="shared" si="235"/>
        <v>-9.6163838020580841E-3</v>
      </c>
      <c r="AP265" s="60" t="str">
        <f t="shared" si="236"/>
        <v>11.3583187006336-18.8330203060641i</v>
      </c>
      <c r="AQ265" s="51">
        <f t="shared" si="237"/>
        <v>26.845707518758381</v>
      </c>
      <c r="AR265" s="63">
        <f t="shared" si="238"/>
        <v>-58.905544420167175</v>
      </c>
      <c r="AS265" s="32" t="str">
        <f t="shared" si="214"/>
        <v>-0.000133283554228113</v>
      </c>
      <c r="AT265" s="32" t="str">
        <f t="shared" si="215"/>
        <v>0.00113297696098073i</v>
      </c>
      <c r="AU265" s="32">
        <f t="shared" si="239"/>
        <v>1.1329769609807301E-3</v>
      </c>
      <c r="AV265" s="32">
        <f t="shared" si="240"/>
        <v>1.5707963267948966</v>
      </c>
      <c r="AW265" s="32" t="str">
        <f t="shared" si="216"/>
        <v>1+0.198092624625157i</v>
      </c>
      <c r="AX265" s="32">
        <f t="shared" si="241"/>
        <v>1.0194315513710979</v>
      </c>
      <c r="AY265" s="32">
        <f t="shared" si="242"/>
        <v>0.19556087415604959</v>
      </c>
      <c r="AZ265" s="32" t="str">
        <f t="shared" si="217"/>
        <v>1+2.95206325965782i</v>
      </c>
      <c r="BA265" s="32">
        <f t="shared" si="243"/>
        <v>3.1168377386417716</v>
      </c>
      <c r="BB265" s="32">
        <f t="shared" si="244"/>
        <v>1.2441821929172514</v>
      </c>
      <c r="BC265" s="60" t="str">
        <f t="shared" si="245"/>
        <v>-0.311744392422871+0.179394392481166i</v>
      </c>
      <c r="BD265" s="51">
        <f t="shared" si="246"/>
        <v>-8.8817678078671278</v>
      </c>
      <c r="BE265" s="63">
        <f t="shared" si="247"/>
        <v>150.08157587245944</v>
      </c>
      <c r="BF265" s="60" t="str">
        <f t="shared" si="248"/>
        <v>0.689741443960975+1.26927579762405i</v>
      </c>
      <c r="BG265" s="66">
        <f t="shared" si="249"/>
        <v>3.1948172501518202</v>
      </c>
      <c r="BH265" s="63">
        <f t="shared" si="250"/>
        <v>61.479751491203658</v>
      </c>
      <c r="BI265" s="60" t="str">
        <f t="shared" si="255"/>
        <v>-0.162353925882523+7.90870715570918i</v>
      </c>
      <c r="BJ265" s="66">
        <f t="shared" si="251"/>
        <v>17.963939710891257</v>
      </c>
      <c r="BK265" s="63">
        <f t="shared" si="256"/>
        <v>91.17603145229225</v>
      </c>
      <c r="BL265" s="51">
        <f t="shared" si="252"/>
        <v>3.1948172501518202</v>
      </c>
      <c r="BM265" s="63">
        <f t="shared" si="253"/>
        <v>61.479751491203658</v>
      </c>
    </row>
    <row r="266" spans="14:65" x14ac:dyDescent="0.35">
      <c r="N266" s="11">
        <v>48</v>
      </c>
      <c r="O266" s="52">
        <f t="shared" si="254"/>
        <v>3019.9517204020176</v>
      </c>
      <c r="P266" s="50" t="str">
        <f t="shared" si="206"/>
        <v>36.531007751938</v>
      </c>
      <c r="Q266" s="18" t="str">
        <f t="shared" si="207"/>
        <v>1+9.2668195776385i</v>
      </c>
      <c r="R266" s="18">
        <f t="shared" si="218"/>
        <v>9.3206193509071174</v>
      </c>
      <c r="S266" s="18">
        <f t="shared" si="219"/>
        <v>1.4633004129456204</v>
      </c>
      <c r="T266" s="18" t="str">
        <f t="shared" si="208"/>
        <v>1+0.00379498325560434i</v>
      </c>
      <c r="U266" s="18">
        <f t="shared" si="220"/>
        <v>1.0000072009230285</v>
      </c>
      <c r="V266" s="18">
        <f t="shared" si="221"/>
        <v>3.7949650374412922E-3</v>
      </c>
      <c r="W266" s="32" t="str">
        <f t="shared" si="209"/>
        <v>1-0.0628754622230305i</v>
      </c>
      <c r="X266" s="18">
        <f t="shared" si="222"/>
        <v>1.00197471213088</v>
      </c>
      <c r="Y266" s="18">
        <f t="shared" si="223"/>
        <v>-6.2792802516943441E-2</v>
      </c>
      <c r="Z266" s="32" t="str">
        <f t="shared" si="210"/>
        <v>0.999811568008398+0.0285712132225234i</v>
      </c>
      <c r="AA266" s="18">
        <f t="shared" si="224"/>
        <v>1.0002197187360475</v>
      </c>
      <c r="AB266" s="18">
        <f t="shared" si="225"/>
        <v>2.8568823017887421E-2</v>
      </c>
      <c r="AC266" s="68" t="str">
        <f t="shared" si="226"/>
        <v>0.0782426653478042-3.92550112197795i</v>
      </c>
      <c r="AD266" s="66">
        <f t="shared" si="227"/>
        <v>11.879627140399995</v>
      </c>
      <c r="AE266" s="63">
        <f t="shared" si="228"/>
        <v>-88.85813789408995</v>
      </c>
      <c r="AF266" s="51" t="str">
        <f t="shared" si="229"/>
        <v>42.1703962805665</v>
      </c>
      <c r="AG266" s="51" t="str">
        <f t="shared" si="211"/>
        <v>1+1.67425731864898i</v>
      </c>
      <c r="AH266" s="51">
        <f t="shared" si="230"/>
        <v>1.9501634723913974</v>
      </c>
      <c r="AI266" s="51">
        <f t="shared" si="231"/>
        <v>1.0323794077906598</v>
      </c>
      <c r="AJ266" s="51" t="str">
        <f t="shared" si="212"/>
        <v>1+0.00379498325560434i</v>
      </c>
      <c r="AK266" s="51">
        <f t="shared" si="232"/>
        <v>1.0000072009230285</v>
      </c>
      <c r="AL266" s="51">
        <f t="shared" si="233"/>
        <v>3.7949650374412922E-3</v>
      </c>
      <c r="AM266" s="51" t="str">
        <f t="shared" si="213"/>
        <v>1-0.00984068149607214i</v>
      </c>
      <c r="AN266" s="51">
        <f t="shared" si="234"/>
        <v>1.0000484183339859</v>
      </c>
      <c r="AO266" s="51">
        <f t="shared" si="235"/>
        <v>-9.840363860568805E-3</v>
      </c>
      <c r="AP266" s="60" t="str">
        <f t="shared" si="236"/>
        <v>10.9764948900537-18.6324263933787i</v>
      </c>
      <c r="AQ266" s="51">
        <f t="shared" si="237"/>
        <v>26.699216383217674</v>
      </c>
      <c r="AR266" s="63">
        <f t="shared" si="238"/>
        <v>-59.497358760658592</v>
      </c>
      <c r="AS266" s="32" t="str">
        <f t="shared" si="214"/>
        <v>-0.000133283554228113</v>
      </c>
      <c r="AT266" s="32" t="str">
        <f t="shared" si="215"/>
        <v>0.00115936738458712i</v>
      </c>
      <c r="AU266" s="32">
        <f t="shared" si="239"/>
        <v>1.1593673845871201E-3</v>
      </c>
      <c r="AV266" s="32">
        <f t="shared" si="240"/>
        <v>1.5707963267948966</v>
      </c>
      <c r="AW266" s="32" t="str">
        <f t="shared" si="216"/>
        <v>1+0.202706794601425i</v>
      </c>
      <c r="AX266" s="32">
        <f t="shared" si="241"/>
        <v>1.0203382010772626</v>
      </c>
      <c r="AY266" s="32">
        <f t="shared" si="242"/>
        <v>0.19999688700778642</v>
      </c>
      <c r="AZ266" s="32" t="str">
        <f t="shared" si="217"/>
        <v>1+3.02082564637733i</v>
      </c>
      <c r="BA266" s="32">
        <f t="shared" si="243"/>
        <v>3.1820414179911323</v>
      </c>
      <c r="BB266" s="32">
        <f t="shared" si="244"/>
        <v>1.2511154036400076</v>
      </c>
      <c r="BC266" s="60" t="str">
        <f t="shared" si="245"/>
        <v>-0.311190620376735+0.178042764509846i</v>
      </c>
      <c r="BD266" s="51">
        <f t="shared" si="246"/>
        <v>-8.9096566355525812</v>
      </c>
      <c r="BE266" s="63">
        <f t="shared" si="247"/>
        <v>150.22465477107787</v>
      </c>
      <c r="BF266" s="60" t="str">
        <f t="shared" si="248"/>
        <v>0.674558688273944+1.23550966987903i</v>
      </c>
      <c r="BG266" s="66">
        <f t="shared" si="249"/>
        <v>2.969970504847419</v>
      </c>
      <c r="BH266" s="63">
        <f t="shared" si="250"/>
        <v>61.366516876987944</v>
      </c>
      <c r="BI266" s="60" t="str">
        <f t="shared" si="255"/>
        <v>-0.0984135497945093+7.75252182333273i</v>
      </c>
      <c r="BJ266" s="66">
        <f t="shared" si="251"/>
        <v>17.789559747665098</v>
      </c>
      <c r="BK266" s="63">
        <f t="shared" si="256"/>
        <v>90.72729601041928</v>
      </c>
      <c r="BL266" s="51">
        <f t="shared" si="252"/>
        <v>2.969970504847419</v>
      </c>
      <c r="BM266" s="63">
        <f t="shared" si="253"/>
        <v>61.366516876987944</v>
      </c>
    </row>
    <row r="267" spans="14:65" x14ac:dyDescent="0.35">
      <c r="N267" s="11">
        <v>49</v>
      </c>
      <c r="O267" s="52">
        <f t="shared" si="254"/>
        <v>3090.295432513592</v>
      </c>
      <c r="P267" s="50" t="str">
        <f t="shared" si="206"/>
        <v>36.531007751938</v>
      </c>
      <c r="Q267" s="18" t="str">
        <f t="shared" si="207"/>
        <v>1+9.48267153452756i</v>
      </c>
      <c r="R267" s="18">
        <f t="shared" si="218"/>
        <v>9.5352535064223254</v>
      </c>
      <c r="S267" s="18">
        <f t="shared" si="219"/>
        <v>1.4657291438636322</v>
      </c>
      <c r="T267" s="18" t="str">
        <f t="shared" si="208"/>
        <v>1+0.00388337977128272i</v>
      </c>
      <c r="U267" s="18">
        <f t="shared" si="220"/>
        <v>1.000007540290796</v>
      </c>
      <c r="V267" s="18">
        <f t="shared" si="221"/>
        <v>3.8833602501772584E-3</v>
      </c>
      <c r="W267" s="32" t="str">
        <f t="shared" si="209"/>
        <v>1-0.0643400198792404i</v>
      </c>
      <c r="X267" s="18">
        <f t="shared" si="222"/>
        <v>1.0020676814257912</v>
      </c>
      <c r="Y267" s="18">
        <f t="shared" si="223"/>
        <v>-6.4251458276060533E-2</v>
      </c>
      <c r="Z267" s="32" t="str">
        <f t="shared" si="210"/>
        <v>0.999802687482227+0.0292367222715673i</v>
      </c>
      <c r="AA267" s="18">
        <f t="shared" si="224"/>
        <v>1.0002300734460388</v>
      </c>
      <c r="AB267" s="18">
        <f t="shared" si="225"/>
        <v>2.9234161142731887E-2</v>
      </c>
      <c r="AC267" s="68" t="str">
        <f t="shared" si="226"/>
        <v>0.0593554091794425-3.83776073682361i</v>
      </c>
      <c r="AD267" s="66">
        <f t="shared" si="227"/>
        <v>11.68259662452555</v>
      </c>
      <c r="AE267" s="63">
        <f t="shared" si="228"/>
        <v>-89.113925137908623</v>
      </c>
      <c r="AF267" s="51" t="str">
        <f t="shared" si="229"/>
        <v>42.1703962805665</v>
      </c>
      <c r="AG267" s="51" t="str">
        <f t="shared" si="211"/>
        <v>1+1.71325578144826i</v>
      </c>
      <c r="AH267" s="51">
        <f t="shared" si="230"/>
        <v>1.9837452892611713</v>
      </c>
      <c r="AI267" s="51">
        <f t="shared" si="231"/>
        <v>1.0424602755691466</v>
      </c>
      <c r="AJ267" s="51" t="str">
        <f t="shared" si="212"/>
        <v>1+0.00388337977128272i</v>
      </c>
      <c r="AK267" s="51">
        <f t="shared" si="232"/>
        <v>1.000007540290796</v>
      </c>
      <c r="AL267" s="51">
        <f t="shared" si="233"/>
        <v>3.8833602501772584E-3</v>
      </c>
      <c r="AM267" s="51" t="str">
        <f t="shared" si="213"/>
        <v>1-0.0100699004141975i</v>
      </c>
      <c r="AN267" s="51">
        <f t="shared" si="234"/>
        <v>1.0000507001619228</v>
      </c>
      <c r="AO267" s="51">
        <f t="shared" si="235"/>
        <v>-1.0069560062555567E-2</v>
      </c>
      <c r="AP267" s="60" t="str">
        <f t="shared" si="236"/>
        <v>10.6029163348792-18.4263957380536i</v>
      </c>
      <c r="AQ267" s="51">
        <f t="shared" si="237"/>
        <v>26.550941332654855</v>
      </c>
      <c r="AR267" s="63">
        <f t="shared" si="238"/>
        <v>-60.083017240630753</v>
      </c>
      <c r="AS267" s="32" t="str">
        <f t="shared" si="214"/>
        <v>-0.000133283554228113</v>
      </c>
      <c r="AT267" s="32" t="str">
        <f t="shared" si="215"/>
        <v>0.00118637252012687i</v>
      </c>
      <c r="AU267" s="32">
        <f t="shared" si="239"/>
        <v>1.18637252012687E-3</v>
      </c>
      <c r="AV267" s="32">
        <f t="shared" si="240"/>
        <v>1.5707963267948966</v>
      </c>
      <c r="AW267" s="32" t="str">
        <f t="shared" si="216"/>
        <v>1+0.207428442403332i</v>
      </c>
      <c r="AX267" s="32">
        <f t="shared" si="241"/>
        <v>1.0212867171944773</v>
      </c>
      <c r="AY267" s="32">
        <f t="shared" si="242"/>
        <v>0.20452798281049886</v>
      </c>
      <c r="AZ267" s="32" t="str">
        <f t="shared" si="217"/>
        <v>1+3.0911897148399i</v>
      </c>
      <c r="BA267" s="32">
        <f t="shared" si="243"/>
        <v>3.2489157965592126</v>
      </c>
      <c r="BB267" s="32">
        <f t="shared" si="244"/>
        <v>1.2579216867807097</v>
      </c>
      <c r="BC267" s="60" t="str">
        <f t="shared" si="245"/>
        <v>-0.310612854612624+0.176775390274483i</v>
      </c>
      <c r="BD267" s="51">
        <f t="shared" si="246"/>
        <v>-8.9370748204103538</v>
      </c>
      <c r="BE267" s="63">
        <f t="shared" si="247"/>
        <v>150.35501340314622</v>
      </c>
      <c r="BF267" s="60" t="str">
        <f t="shared" si="248"/>
        <v>0.659985098950154+1.20255039340763i</v>
      </c>
      <c r="BG267" s="66">
        <f t="shared" si="249"/>
        <v>2.7455218041152172</v>
      </c>
      <c r="BH267" s="63">
        <f t="shared" si="250"/>
        <v>61.241088265237657</v>
      </c>
      <c r="BI267" s="60" t="str">
        <f t="shared" si="255"/>
        <v>-0.0360688120491544+7.59781005356468i</v>
      </c>
      <c r="BJ267" s="66">
        <f t="shared" si="251"/>
        <v>17.613866512244503</v>
      </c>
      <c r="BK267" s="63">
        <f t="shared" si="256"/>
        <v>90.27199616251545</v>
      </c>
      <c r="BL267" s="51">
        <f t="shared" si="252"/>
        <v>2.7455218041152172</v>
      </c>
      <c r="BM267" s="63">
        <f t="shared" si="253"/>
        <v>61.241088265237657</v>
      </c>
    </row>
    <row r="268" spans="14:65" x14ac:dyDescent="0.35">
      <c r="N268" s="11">
        <v>50</v>
      </c>
      <c r="O268" s="52">
        <f t="shared" si="254"/>
        <v>3162.2776601683804</v>
      </c>
      <c r="P268" s="50" t="str">
        <f t="shared" si="206"/>
        <v>36.531007751938</v>
      </c>
      <c r="Q268" s="18" t="str">
        <f t="shared" si="207"/>
        <v>1+9.70355132938223i</v>
      </c>
      <c r="R268" s="18">
        <f t="shared" si="218"/>
        <v>9.7549427677437279</v>
      </c>
      <c r="S268" s="18">
        <f t="shared" si="219"/>
        <v>1.4681037928846907</v>
      </c>
      <c r="T268" s="18" t="str">
        <f t="shared" si="208"/>
        <v>1+0.00397383530631844i</v>
      </c>
      <c r="U268" s="18">
        <f t="shared" si="220"/>
        <v>1.0000078956523502</v>
      </c>
      <c r="V268" s="18">
        <f t="shared" si="221"/>
        <v>3.9738143890859978E-3</v>
      </c>
      <c r="W268" s="32" t="str">
        <f t="shared" si="209"/>
        <v>1-0.065838691465631i</v>
      </c>
      <c r="X268" s="18">
        <f t="shared" si="222"/>
        <v>1.0021650229846912</v>
      </c>
      <c r="Y268" s="18">
        <f t="shared" si="223"/>
        <v>-6.5743807066810336E-2</v>
      </c>
      <c r="Z268" s="32" t="str">
        <f t="shared" si="210"/>
        <v>0.999793388429752+0.0299177330177535i</v>
      </c>
      <c r="AA268" s="18">
        <f t="shared" si="224"/>
        <v>1.0002409161280927</v>
      </c>
      <c r="AB268" s="18">
        <f t="shared" si="225"/>
        <v>2.9914988742970727E-2</v>
      </c>
      <c r="AC268" s="68" t="str">
        <f t="shared" si="226"/>
        <v>0.0413006585029018-3.751877671929i</v>
      </c>
      <c r="AD268" s="66">
        <f t="shared" si="227"/>
        <v>11.485499628524163</v>
      </c>
      <c r="AE268" s="63">
        <f t="shared" si="228"/>
        <v>-89.369313699582307</v>
      </c>
      <c r="AF268" s="51" t="str">
        <f t="shared" si="229"/>
        <v>42.1703962805665</v>
      </c>
      <c r="AG268" s="51" t="str">
        <f t="shared" si="211"/>
        <v>1+1.75316263514049i</v>
      </c>
      <c r="AH268" s="51">
        <f t="shared" si="230"/>
        <v>2.018310983285962</v>
      </c>
      <c r="AI268" s="51">
        <f t="shared" si="231"/>
        <v>1.0524276480437309</v>
      </c>
      <c r="AJ268" s="51" t="str">
        <f t="shared" si="212"/>
        <v>1+0.00397383530631844i</v>
      </c>
      <c r="AK268" s="51">
        <f t="shared" si="232"/>
        <v>1.0000078956523502</v>
      </c>
      <c r="AL268" s="51">
        <f t="shared" si="233"/>
        <v>3.9738143890859978E-3</v>
      </c>
      <c r="AM268" s="51" t="str">
        <f t="shared" si="213"/>
        <v>1-0.0103044585268133i</v>
      </c>
      <c r="AN268" s="51">
        <f t="shared" si="234"/>
        <v>1.0000530895235167</v>
      </c>
      <c r="AO268" s="51">
        <f t="shared" si="235"/>
        <v>-1.0304093834504023E-2</v>
      </c>
      <c r="AP268" s="60" t="str">
        <f t="shared" si="236"/>
        <v>10.2377020078217-18.215321519727i</v>
      </c>
      <c r="AQ268" s="51">
        <f t="shared" si="237"/>
        <v>26.400921669770629</v>
      </c>
      <c r="AR268" s="63">
        <f t="shared" si="238"/>
        <v>-60.662360771146268</v>
      </c>
      <c r="AS268" s="32" t="str">
        <f t="shared" si="214"/>
        <v>-0.000133283554228113</v>
      </c>
      <c r="AT268" s="32" t="str">
        <f t="shared" si="215"/>
        <v>0.00121400668608028i</v>
      </c>
      <c r="AU268" s="32">
        <f t="shared" si="239"/>
        <v>1.2140066860802799E-3</v>
      </c>
      <c r="AV268" s="32">
        <f t="shared" si="240"/>
        <v>1.5707963267948966</v>
      </c>
      <c r="AW268" s="32" t="str">
        <f t="shared" si="216"/>
        <v>1+0.212260071511042i</v>
      </c>
      <c r="AX268" s="32">
        <f t="shared" si="241"/>
        <v>1.0222789922315105</v>
      </c>
      <c r="AY268" s="32">
        <f t="shared" si="242"/>
        <v>0.20915581944283301</v>
      </c>
      <c r="AZ268" s="32" t="str">
        <f t="shared" si="217"/>
        <v>1+3.16319277300601i</v>
      </c>
      <c r="BA268" s="32">
        <f t="shared" si="243"/>
        <v>3.3174973276850501</v>
      </c>
      <c r="BB268" s="32">
        <f t="shared" si="244"/>
        <v>1.2646021278210642</v>
      </c>
      <c r="BC268" s="60" t="str">
        <f t="shared" si="245"/>
        <v>-0.310010154565954+0.17559093258201i</v>
      </c>
      <c r="BD268" s="51">
        <f t="shared" si="246"/>
        <v>-8.9640673531277386</v>
      </c>
      <c r="BE268" s="63">
        <f t="shared" si="247"/>
        <v>150.47261897273575</v>
      </c>
      <c r="BF268" s="60" t="str">
        <f t="shared" si="248"/>
        <v>0.645992075821473+1.17037219813004i</v>
      </c>
      <c r="BG268" s="66">
        <f t="shared" si="249"/>
        <v>2.5214322753964451</v>
      </c>
      <c r="BH268" s="63">
        <f t="shared" si="250"/>
        <v>61.103305273153538</v>
      </c>
      <c r="BI268" s="60" t="str">
        <f t="shared" si="255"/>
        <v>0.0246537110850369+7.44458228284924i</v>
      </c>
      <c r="BJ268" s="66">
        <f t="shared" si="251"/>
        <v>17.43685431664289</v>
      </c>
      <c r="BK268" s="63">
        <f t="shared" si="256"/>
        <v>89.810258201589491</v>
      </c>
      <c r="BL268" s="51">
        <f t="shared" si="252"/>
        <v>2.5214322753964451</v>
      </c>
      <c r="BM268" s="63">
        <f t="shared" si="253"/>
        <v>61.103305273153538</v>
      </c>
    </row>
    <row r="269" spans="14:65" x14ac:dyDescent="0.35">
      <c r="N269" s="11">
        <v>51</v>
      </c>
      <c r="O269" s="52">
        <f t="shared" si="254"/>
        <v>3235.9365692962833</v>
      </c>
      <c r="P269" s="50" t="str">
        <f t="shared" si="206"/>
        <v>36.531007751938</v>
      </c>
      <c r="Q269" s="18" t="str">
        <f t="shared" si="207"/>
        <v>1+9.92957607559342i</v>
      </c>
      <c r="R269" s="18">
        <f t="shared" si="218"/>
        <v>9.9798036574372162</v>
      </c>
      <c r="S269" s="18">
        <f t="shared" si="219"/>
        <v>1.4704255118962506</v>
      </c>
      <c r="T269" s="18" t="str">
        <f t="shared" si="208"/>
        <v>1+0.0040663978214335i</v>
      </c>
      <c r="U269" s="18">
        <f t="shared" si="220"/>
        <v>1.0000082677614432</v>
      </c>
      <c r="V269" s="18">
        <f t="shared" si="221"/>
        <v>4.0663754082251339E-3</v>
      </c>
      <c r="W269" s="32" t="str">
        <f t="shared" si="209"/>
        <v>1-0.0673722715977148i</v>
      </c>
      <c r="X269" s="18">
        <f t="shared" si="222"/>
        <v>1.0022669419771542</v>
      </c>
      <c r="Y269" s="18">
        <f t="shared" si="223"/>
        <v>-6.7270613548357797E-2</v>
      </c>
      <c r="Z269" s="32" t="str">
        <f t="shared" si="210"/>
        <v>0.999783651126436+0.0306146065419936i</v>
      </c>
      <c r="AA269" s="18">
        <f t="shared" si="224"/>
        <v>1.000252269776694</v>
      </c>
      <c r="AB269" s="18">
        <f t="shared" si="225"/>
        <v>3.0611666025745686E-2</v>
      </c>
      <c r="AC269" s="68" t="str">
        <f t="shared" si="226"/>
        <v>0.024042563884628-3.66781799468381i</v>
      </c>
      <c r="AD269" s="66">
        <f t="shared" si="227"/>
        <v>11.28834214143615</v>
      </c>
      <c r="AE269" s="63">
        <f t="shared" si="228"/>
        <v>-89.624431279927393</v>
      </c>
      <c r="AF269" s="51" t="str">
        <f t="shared" si="229"/>
        <v>42.1703962805665</v>
      </c>
      <c r="AG269" s="51" t="str">
        <f t="shared" si="211"/>
        <v>1+1.79399903886773i</v>
      </c>
      <c r="AH269" s="51">
        <f t="shared" si="230"/>
        <v>2.0538823119785468</v>
      </c>
      <c r="AI269" s="51">
        <f t="shared" si="231"/>
        <v>1.062278887483501</v>
      </c>
      <c r="AJ269" s="51" t="str">
        <f t="shared" si="212"/>
        <v>1+0.0040663978214335i</v>
      </c>
      <c r="AK269" s="51">
        <f t="shared" si="232"/>
        <v>1.0000082677614432</v>
      </c>
      <c r="AL269" s="51">
        <f t="shared" si="233"/>
        <v>4.0663754082251339E-3</v>
      </c>
      <c r="AM269" s="51" t="str">
        <f t="shared" si="213"/>
        <v>1-0.0105444801997358i</v>
      </c>
      <c r="AN269" s="51">
        <f t="shared" si="234"/>
        <v>1.0000555914861347</v>
      </c>
      <c r="AO269" s="51">
        <f t="shared" si="235"/>
        <v>-1.0544089426059139E-2</v>
      </c>
      <c r="AP269" s="60" t="str">
        <f t="shared" si="236"/>
        <v>9.8809482851842-17.9995950277534i</v>
      </c>
      <c r="AQ269" s="51">
        <f t="shared" si="237"/>
        <v>26.249197208128816</v>
      </c>
      <c r="AR269" s="63">
        <f t="shared" si="238"/>
        <v>-61.235242592771726</v>
      </c>
      <c r="AS269" s="32" t="str">
        <f t="shared" si="214"/>
        <v>-0.000133283554228113</v>
      </c>
      <c r="AT269" s="32" t="str">
        <f t="shared" si="215"/>
        <v>0.00124228453444794i</v>
      </c>
      <c r="AU269" s="32">
        <f t="shared" si="239"/>
        <v>1.2422845344479401E-3</v>
      </c>
      <c r="AV269" s="32">
        <f t="shared" si="240"/>
        <v>1.5707963267948966</v>
      </c>
      <c r="AW269" s="32" t="str">
        <f t="shared" si="216"/>
        <v>1+0.21720424371826i</v>
      </c>
      <c r="AX269" s="32">
        <f t="shared" si="241"/>
        <v>1.0233170004887153</v>
      </c>
      <c r="AY269" s="32">
        <f t="shared" si="242"/>
        <v>0.21388205736420079</v>
      </c>
      <c r="AZ269" s="32" t="str">
        <f t="shared" si="217"/>
        <v>1+3.23687299785017i</v>
      </c>
      <c r="BA269" s="32">
        <f t="shared" si="243"/>
        <v>3.3878233136058835</v>
      </c>
      <c r="BB269" s="32">
        <f t="shared" si="244"/>
        <v>1.2711578828882599</v>
      </c>
      <c r="BC269" s="60" t="str">
        <f t="shared" si="245"/>
        <v>-0.309381551906872+0.174488057492963i</v>
      </c>
      <c r="BD269" s="51">
        <f t="shared" si="246"/>
        <v>-8.9906790008270114</v>
      </c>
      <c r="BE269" s="63">
        <f t="shared" si="247"/>
        <v>150.57744258373862</v>
      </c>
      <c r="BF269" s="60" t="str">
        <f t="shared" si="248"/>
        <v>0.632552111403667+1.13895036357661i</v>
      </c>
      <c r="BG269" s="66">
        <f t="shared" si="249"/>
        <v>2.2976631406091546</v>
      </c>
      <c r="BH269" s="63">
        <f t="shared" si="250"/>
        <v>60.953011303811252</v>
      </c>
      <c r="BI269" s="60" t="str">
        <f t="shared" si="255"/>
        <v>0.0837312572708528+7.29285011585178i</v>
      </c>
      <c r="BJ269" s="66">
        <f t="shared" si="251"/>
        <v>17.258518207301805</v>
      </c>
      <c r="BK269" s="63">
        <f t="shared" si="256"/>
        <v>89.342199990966876</v>
      </c>
      <c r="BL269" s="51">
        <f t="shared" si="252"/>
        <v>2.2976631406091546</v>
      </c>
      <c r="BM269" s="63">
        <f t="shared" si="253"/>
        <v>60.953011303811252</v>
      </c>
    </row>
    <row r="270" spans="14:65" x14ac:dyDescent="0.35">
      <c r="N270" s="11">
        <v>52</v>
      </c>
      <c r="O270" s="52">
        <f t="shared" si="254"/>
        <v>3311.3112148259115</v>
      </c>
      <c r="P270" s="50" t="str">
        <f t="shared" si="206"/>
        <v>36.531007751938</v>
      </c>
      <c r="Q270" s="18" t="str">
        <f t="shared" si="207"/>
        <v>1+10.1608656144734i</v>
      </c>
      <c r="R270" s="18">
        <f t="shared" si="218"/>
        <v>10.209955437482963</v>
      </c>
      <c r="S270" s="18">
        <f t="shared" si="219"/>
        <v>1.4726954317300791</v>
      </c>
      <c r="T270" s="18" t="str">
        <f t="shared" si="208"/>
        <v>1+0.00416111639449864i</v>
      </c>
      <c r="U270" s="18">
        <f t="shared" si="220"/>
        <v>1.000008657407349</v>
      </c>
      <c r="V270" s="18">
        <f t="shared" si="221"/>
        <v>4.1610923783244134E-3</v>
      </c>
      <c r="W270" s="32" t="str">
        <f t="shared" si="209"/>
        <v>1-0.0689415733999775i</v>
      </c>
      <c r="X270" s="18">
        <f t="shared" si="222"/>
        <v>1.002373653156778</v>
      </c>
      <c r="Y270" s="18">
        <f t="shared" si="223"/>
        <v>-6.8832658764110169E-2</v>
      </c>
      <c r="Z270" s="32" t="str">
        <f t="shared" si="210"/>
        <v>0.999773454918152+0.0313277123358547i</v>
      </c>
      <c r="AA270" s="18">
        <f t="shared" si="224"/>
        <v>1.0002641584697396</v>
      </c>
      <c r="AB270" s="18">
        <f t="shared" si="225"/>
        <v>3.1324561546401793E-2</v>
      </c>
      <c r="AC270" s="68" t="str">
        <f>(IMDIV(IMPRODUCT(P270,T270,W270),IMPRODUCT(Q270,Z270)))</f>
        <v>0.00754675470868224-3.58554799128573i</v>
      </c>
      <c r="AD270" s="66">
        <f t="shared" si="227"/>
        <v>11.091130034532831</v>
      </c>
      <c r="AE270" s="63">
        <f t="shared" si="228"/>
        <v>-89.879405726442457</v>
      </c>
      <c r="AF270" s="51" t="str">
        <f t="shared" si="229"/>
        <v>42.1703962805665</v>
      </c>
      <c r="AG270" s="51" t="str">
        <f t="shared" si="211"/>
        <v>1+1.83578664463176i</v>
      </c>
      <c r="AH270" s="51">
        <f t="shared" si="230"/>
        <v>2.0904814289077853</v>
      </c>
      <c r="AI270" s="51">
        <f t="shared" si="231"/>
        <v>1.0720115682052116</v>
      </c>
      <c r="AJ270" s="51" t="str">
        <f t="shared" si="212"/>
        <v>1+0.00416111639449864i</v>
      </c>
      <c r="AK270" s="51">
        <f t="shared" si="232"/>
        <v>1.000008657407349</v>
      </c>
      <c r="AL270" s="51">
        <f t="shared" si="233"/>
        <v>4.1610923783244134E-3</v>
      </c>
      <c r="AM270" s="51" t="str">
        <f t="shared" si="213"/>
        <v>1-0.0107900926956328i</v>
      </c>
      <c r="AN270" s="51">
        <f t="shared" si="234"/>
        <v>1.0000582113559091</v>
      </c>
      <c r="AO270" s="51">
        <f t="shared" si="235"/>
        <v>-1.0789673975410623E-2</v>
      </c>
      <c r="AP270" s="60" t="str">
        <f t="shared" si="236"/>
        <v>9.53272961462115-17.7796042709605i</v>
      </c>
      <c r="AQ270" s="51">
        <f t="shared" si="237"/>
        <v>26.095808167022344</v>
      </c>
      <c r="AR270" s="63">
        <f t="shared" si="238"/>
        <v>-61.801528197030564</v>
      </c>
      <c r="AS270" s="32" t="str">
        <f t="shared" si="214"/>
        <v>-0.000133283554228113</v>
      </c>
      <c r="AT270" s="32" t="str">
        <f t="shared" si="215"/>
        <v>0.00127122105851933i</v>
      </c>
      <c r="AU270" s="32">
        <f t="shared" si="239"/>
        <v>1.2712210585193299E-3</v>
      </c>
      <c r="AV270" s="32">
        <f t="shared" si="240"/>
        <v>1.5707963267948966</v>
      </c>
      <c r="AW270" s="32" t="str">
        <f t="shared" si="216"/>
        <v>1+0.222263580490538i</v>
      </c>
      <c r="AX270" s="32">
        <f t="shared" si="241"/>
        <v>1.0244028012517703</v>
      </c>
      <c r="AY270" s="32">
        <f t="shared" si="242"/>
        <v>0.21870835752561119</v>
      </c>
      <c r="AZ270" s="32" t="str">
        <f t="shared" si="217"/>
        <v>1+3.31226945560289i</v>
      </c>
      <c r="BA270" s="32">
        <f t="shared" si="243"/>
        <v>3.4599319280182184</v>
      </c>
      <c r="BB270" s="32">
        <f t="shared" si="244"/>
        <v>1.2775901730982036</v>
      </c>
      <c r="BC270" s="60" t="str">
        <f t="shared" si="245"/>
        <v>-0.308726050585683+0.173465431456329i</v>
      </c>
      <c r="BD270" s="51">
        <f t="shared" si="246"/>
        <v>-9.0169543235338345</v>
      </c>
      <c r="BE270" s="63">
        <f t="shared" si="247"/>
        <v>150.66945903545954</v>
      </c>
      <c r="BF270" s="60" t="str">
        <f t="shared" si="248"/>
        <v>0.619638749539803+1.10826117159671i</v>
      </c>
      <c r="BG270" s="66">
        <f t="shared" si="249"/>
        <v>2.0741757109990071</v>
      </c>
      <c r="BH270" s="63">
        <f t="shared" si="250"/>
        <v>60.790053309017082</v>
      </c>
      <c r="BI270" s="60" t="str">
        <f t="shared" si="255"/>
        <v>0.141144760761786+7.14262606310676i</v>
      </c>
      <c r="BJ270" s="66">
        <f t="shared" si="251"/>
        <v>17.07885384348851</v>
      </c>
      <c r="BK270" s="63">
        <f t="shared" si="256"/>
        <v>88.867930838428961</v>
      </c>
      <c r="BL270" s="51">
        <f t="shared" si="252"/>
        <v>2.0741757109990071</v>
      </c>
      <c r="BM270" s="63">
        <f t="shared" si="253"/>
        <v>60.790053309017082</v>
      </c>
    </row>
    <row r="271" spans="14:65" x14ac:dyDescent="0.35">
      <c r="N271" s="11">
        <v>53</v>
      </c>
      <c r="O271" s="52">
        <f t="shared" si="254"/>
        <v>3388.4415613920314</v>
      </c>
      <c r="P271" s="50" t="str">
        <f t="shared" si="206"/>
        <v>36.531007751938</v>
      </c>
      <c r="Q271" s="18" t="str">
        <f t="shared" si="207"/>
        <v>1+10.3975425787971i</v>
      </c>
      <c r="R271" s="18">
        <f t="shared" si="218"/>
        <v>10.445520172681622</v>
      </c>
      <c r="S271" s="18">
        <f t="shared" si="219"/>
        <v>1.4749146623096259</v>
      </c>
      <c r="T271" s="18" t="str">
        <f t="shared" si="208"/>
        <v>1+0.00425804124655502i</v>
      </c>
      <c r="U271" s="18">
        <f t="shared" si="220"/>
        <v>1.0000090654165379</v>
      </c>
      <c r="V271" s="18">
        <f t="shared" si="221"/>
        <v>4.2580155127732982E-3</v>
      </c>
      <c r="W271" s="32" t="str">
        <f t="shared" si="209"/>
        <v>1-0.0705474289370063i</v>
      </c>
      <c r="X271" s="18">
        <f t="shared" si="222"/>
        <v>1.0024853813046961</v>
      </c>
      <c r="Y271" s="18">
        <f t="shared" si="223"/>
        <v>-7.0430740423033295E-2</v>
      </c>
      <c r="Z271" s="32" t="str">
        <f t="shared" si="210"/>
        <v>0.999762778177377+0.0320574284974675i</v>
      </c>
      <c r="AA271" s="18">
        <f t="shared" si="224"/>
        <v>1.0002766074195764</v>
      </c>
      <c r="AB271" s="18">
        <f t="shared" si="225"/>
        <v>3.2054052399933572E-2</v>
      </c>
      <c r="AC271" s="68" t="str">
        <f t="shared" si="226"/>
        <v>-0.0082197157130809-3.50503419599399i</v>
      </c>
      <c r="AD271" s="66">
        <f t="shared" si="227"/>
        <v>10.893869072470057</v>
      </c>
      <c r="AE271" s="63">
        <f t="shared" si="228"/>
        <v>-90.13436506735006</v>
      </c>
      <c r="AF271" s="51" t="str">
        <f t="shared" si="229"/>
        <v>42.1703962805665</v>
      </c>
      <c r="AG271" s="51" t="str">
        <f t="shared" si="211"/>
        <v>1+1.87854760877428i</v>
      </c>
      <c r="AH271" s="51">
        <f t="shared" si="230"/>
        <v>2.1281308978612112</v>
      </c>
      <c r="AI271" s="51">
        <f t="shared" si="231"/>
        <v>1.081623474431149</v>
      </c>
      <c r="AJ271" s="51" t="str">
        <f t="shared" si="212"/>
        <v>1+0.00425804124655502i</v>
      </c>
      <c r="AK271" s="51">
        <f t="shared" si="232"/>
        <v>1.0000090654165379</v>
      </c>
      <c r="AL271" s="51">
        <f t="shared" si="233"/>
        <v>4.2580155127732982E-3</v>
      </c>
      <c r="AM271" s="51" t="str">
        <f t="shared" si="213"/>
        <v>1-0.0110414262415008i</v>
      </c>
      <c r="AN271" s="51">
        <f t="shared" si="234"/>
        <v>1.0000609546889863</v>
      </c>
      <c r="AO271" s="51">
        <f t="shared" si="235"/>
        <v>-1.1040977576176196E-2</v>
      </c>
      <c r="AP271" s="60" t="str">
        <f t="shared" si="236"/>
        <v>9.19309926803188-17.5557326805464i</v>
      </c>
      <c r="AQ271" s="51">
        <f t="shared" si="237"/>
        <v>25.94079506970575</v>
      </c>
      <c r="AR271" s="63">
        <f t="shared" si="238"/>
        <v>-62.361095206011505</v>
      </c>
      <c r="AS271" s="32" t="str">
        <f t="shared" si="214"/>
        <v>-0.000133283554228113</v>
      </c>
      <c r="AT271" s="32" t="str">
        <f t="shared" si="215"/>
        <v>0.00130083160082256i</v>
      </c>
      <c r="AU271" s="32">
        <f t="shared" si="239"/>
        <v>1.30083160082256E-3</v>
      </c>
      <c r="AV271" s="32">
        <f t="shared" si="240"/>
        <v>1.5707963267948966</v>
      </c>
      <c r="AW271" s="32" t="str">
        <f t="shared" si="216"/>
        <v>1+0.227440764355197i</v>
      </c>
      <c r="AX271" s="32">
        <f t="shared" si="241"/>
        <v>1.0255385420794658</v>
      </c>
      <c r="AY271" s="32">
        <f t="shared" si="242"/>
        <v>0.2236363791246691</v>
      </c>
      <c r="AZ271" s="32" t="str">
        <f t="shared" si="217"/>
        <v>1+3.38942212246403i</v>
      </c>
      <c r="BA271" s="32">
        <f t="shared" si="243"/>
        <v>3.5338622390026146</v>
      </c>
      <c r="BB271" s="32">
        <f t="shared" si="244"/>
        <v>1.2839002790989189</v>
      </c>
      <c r="BC271" s="60" t="str">
        <f t="shared" si="245"/>
        <v>-0.308042626978842+0.172521718368745i</v>
      </c>
      <c r="BD271" s="51">
        <f t="shared" si="246"/>
        <v>-9.0429376928460758</v>
      </c>
      <c r="BE271" s="63">
        <f t="shared" si="247"/>
        <v>150.74864663860532</v>
      </c>
      <c r="BF271" s="60" t="str">
        <f t="shared" si="248"/>
        <v>0.607226545255372+1.07828186190534i</v>
      </c>
      <c r="BG271" s="66">
        <f t="shared" si="249"/>
        <v>1.8509313796239897</v>
      </c>
      <c r="BH271" s="63">
        <f t="shared" si="250"/>
        <v>60.614281571255304</v>
      </c>
      <c r="BI271" s="60" t="str">
        <f t="shared" si="255"/>
        <v>0.196878720668389+6.99392329630913i</v>
      </c>
      <c r="BJ271" s="66">
        <f t="shared" si="251"/>
        <v>16.897857376859672</v>
      </c>
      <c r="BK271" s="63">
        <f t="shared" si="256"/>
        <v>88.387551432593824</v>
      </c>
      <c r="BL271" s="51">
        <f t="shared" si="252"/>
        <v>1.8509313796239897</v>
      </c>
      <c r="BM271" s="63">
        <f t="shared" si="253"/>
        <v>60.614281571255304</v>
      </c>
    </row>
    <row r="272" spans="14:65" x14ac:dyDescent="0.35">
      <c r="N272" s="11">
        <v>54</v>
      </c>
      <c r="O272" s="52">
        <f t="shared" si="254"/>
        <v>3467.3685045253224</v>
      </c>
      <c r="P272" s="50" t="str">
        <f t="shared" si="206"/>
        <v>36.531007751938</v>
      </c>
      <c r="Q272" s="18" t="str">
        <f t="shared" si="207"/>
        <v>1+10.6397324578239i</v>
      </c>
      <c r="R272" s="18">
        <f t="shared" si="218"/>
        <v>10.686622795536081</v>
      </c>
      <c r="S272" s="18">
        <f t="shared" si="219"/>
        <v>1.4770842928148349</v>
      </c>
      <c r="T272" s="18" t="str">
        <f t="shared" si="208"/>
        <v>1+0.00435722376844216i</v>
      </c>
      <c r="U272" s="18">
        <f t="shared" si="220"/>
        <v>1.000009492654429</v>
      </c>
      <c r="V272" s="18">
        <f t="shared" si="221"/>
        <v>4.3571961942123847E-3</v>
      </c>
      <c r="W272" s="32" t="str">
        <f t="shared" si="209"/>
        <v>1-0.0721906896546631i</v>
      </c>
      <c r="X272" s="18">
        <f t="shared" si="222"/>
        <v>1.0026023616932169</v>
      </c>
      <c r="Y272" s="18">
        <f t="shared" si="223"/>
        <v>-7.2065673180557233E-2</v>
      </c>
      <c r="Z272" s="32" t="str">
        <f t="shared" si="210"/>
        <v>0.99975159825731+0.0328041419319999i</v>
      </c>
      <c r="AA272" s="18">
        <f t="shared" si="224"/>
        <v>1.000289643026429</v>
      </c>
      <c r="AB272" s="18">
        <f t="shared" si="225"/>
        <v>3.2800524416678578E-2</v>
      </c>
      <c r="AC272" s="68" t="str">
        <f t="shared" si="226"/>
        <v>-0.0232884235262559-3.42624341766528i</v>
      </c>
      <c r="AD272" s="66">
        <f t="shared" si="227"/>
        <v>10.696564924289035</v>
      </c>
      <c r="AE272" s="63">
        <f t="shared" si="228"/>
        <v>-90.389437546823601</v>
      </c>
      <c r="AF272" s="51" t="str">
        <f t="shared" si="229"/>
        <v>42.1703962805665</v>
      </c>
      <c r="AG272" s="51" t="str">
        <f t="shared" si="211"/>
        <v>1+1.92230460372449i</v>
      </c>
      <c r="AH272" s="51">
        <f t="shared" si="230"/>
        <v>2.1668537074524368</v>
      </c>
      <c r="AI272" s="51">
        <f t="shared" si="231"/>
        <v>1.0911125974675664</v>
      </c>
      <c r="AJ272" s="51" t="str">
        <f t="shared" si="212"/>
        <v>1+0.00435722376844216i</v>
      </c>
      <c r="AK272" s="51">
        <f t="shared" si="232"/>
        <v>1.000009492654429</v>
      </c>
      <c r="AL272" s="51">
        <f t="shared" si="233"/>
        <v>4.3571961942123847E-3</v>
      </c>
      <c r="AM272" s="51" t="str">
        <f t="shared" si="213"/>
        <v>1-0.0112986140977126i</v>
      </c>
      <c r="AN272" s="51">
        <f t="shared" si="234"/>
        <v>1.0000638273033022</v>
      </c>
      <c r="AO272" s="51">
        <f t="shared" si="235"/>
        <v>-1.1298133345812849E-2</v>
      </c>
      <c r="AP272" s="60" t="str">
        <f t="shared" si="236"/>
        <v>8.86209016835156-17.3283579101672i</v>
      </c>
      <c r="AQ272" s="51">
        <f t="shared" si="237"/>
        <v>25.784198645369742</v>
      </c>
      <c r="AR272" s="63">
        <f t="shared" si="238"/>
        <v>-62.913833213100517</v>
      </c>
      <c r="AS272" s="32" t="str">
        <f t="shared" si="214"/>
        <v>-0.000133283554228113</v>
      </c>
      <c r="AT272" s="32" t="str">
        <f t="shared" si="215"/>
        <v>0.00133113186125908i</v>
      </c>
      <c r="AU272" s="32">
        <f t="shared" si="239"/>
        <v>1.3311318612590801E-3</v>
      </c>
      <c r="AV272" s="32">
        <f t="shared" si="240"/>
        <v>1.5707963267948966</v>
      </c>
      <c r="AW272" s="32" t="str">
        <f t="shared" si="216"/>
        <v>1+0.232738540323651i</v>
      </c>
      <c r="AX272" s="32">
        <f t="shared" si="241"/>
        <v>1.026726462185515</v>
      </c>
      <c r="AY272" s="32">
        <f t="shared" si="242"/>
        <v>0.22866777719827919</v>
      </c>
      <c r="AZ272" s="32" t="str">
        <f t="shared" si="217"/>
        <v>1+3.4683719057988i</v>
      </c>
      <c r="BA272" s="32">
        <f t="shared" si="243"/>
        <v>3.6096542323239773</v>
      </c>
      <c r="BB272" s="32">
        <f t="shared" si="244"/>
        <v>1.2900895358198048</v>
      </c>
      <c r="BC272" s="60" t="str">
        <f t="shared" si="245"/>
        <v>-0.307330230145829+0.171655576558636i</v>
      </c>
      <c r="BD272" s="51">
        <f t="shared" si="246"/>
        <v>-9.0686733125444814</v>
      </c>
      <c r="BE272" s="63">
        <f t="shared" si="247"/>
        <v>150.81498705236706</v>
      </c>
      <c r="BF272" s="60" t="str">
        <f t="shared" si="248"/>
        <v>0.595291025851623+1.04899059031916i</v>
      </c>
      <c r="BG272" s="66">
        <f t="shared" si="249"/>
        <v>1.6278916117445501</v>
      </c>
      <c r="BH272" s="63">
        <f t="shared" si="250"/>
        <v>60.425549505543415</v>
      </c>
      <c r="BI272" s="60" t="str">
        <f t="shared" si="255"/>
        <v>0.250921056871578+6.84675542194399i</v>
      </c>
      <c r="BJ272" s="66">
        <f t="shared" si="251"/>
        <v>16.715525332825262</v>
      </c>
      <c r="BK272" s="63">
        <f t="shared" si="256"/>
        <v>87.901153839266527</v>
      </c>
      <c r="BL272" s="51">
        <f t="shared" si="252"/>
        <v>1.6278916117445501</v>
      </c>
      <c r="BM272" s="63">
        <f t="shared" si="253"/>
        <v>60.425549505543415</v>
      </c>
    </row>
    <row r="273" spans="14:65" x14ac:dyDescent="0.35">
      <c r="N273" s="11">
        <v>55</v>
      </c>
      <c r="O273" s="52">
        <f t="shared" si="254"/>
        <v>3548.1338923357539</v>
      </c>
      <c r="P273" s="50" t="str">
        <f t="shared" si="206"/>
        <v>36.531007751938</v>
      </c>
      <c r="Q273" s="18" t="str">
        <f t="shared" si="207"/>
        <v>1+10.8875636638332i</v>
      </c>
      <c r="R273" s="18">
        <f t="shared" si="218"/>
        <v>10.933391172642686</v>
      </c>
      <c r="S273" s="18">
        <f t="shared" si="219"/>
        <v>1.4792053918627484</v>
      </c>
      <c r="T273" s="18" t="str">
        <f t="shared" si="208"/>
        <v>1+0.00445871654804598i</v>
      </c>
      <c r="U273" s="18">
        <f t="shared" si="220"/>
        <v>1.0000099400272258</v>
      </c>
      <c r="V273" s="18">
        <f t="shared" si="221"/>
        <v>4.4586870017423105E-3</v>
      </c>
      <c r="W273" s="32" t="str">
        <f t="shared" si="209"/>
        <v>1-0.0738722268315311i</v>
      </c>
      <c r="X273" s="18">
        <f t="shared" si="222"/>
        <v>1.0027248405704574</v>
      </c>
      <c r="Y273" s="18">
        <f t="shared" si="223"/>
        <v>-7.3738288918583653E-2</v>
      </c>
      <c r="Z273" s="32" t="str">
        <f t="shared" si="210"/>
        <v>0.999739891443844+0.0335682485567985i</v>
      </c>
      <c r="AA273" s="18">
        <f t="shared" si="224"/>
        <v>1.000303292934358</v>
      </c>
      <c r="AB273" s="18">
        <f t="shared" si="225"/>
        <v>3.3564372362337051E-2</v>
      </c>
      <c r="AC273" s="68" t="str">
        <f t="shared" si="226"/>
        <v>-0.037689626203047-3.34914276374621i</v>
      </c>
      <c r="AD273" s="66">
        <f t="shared" si="227"/>
        <v>10.499223174279999</v>
      </c>
      <c r="AE273" s="63">
        <f t="shared" si="228"/>
        <v>-90.644751661279443</v>
      </c>
      <c r="AF273" s="51" t="str">
        <f t="shared" si="229"/>
        <v>42.1703962805665</v>
      </c>
      <c r="AG273" s="51" t="str">
        <f t="shared" si="211"/>
        <v>1+1.96708083002029i</v>
      </c>
      <c r="AH273" s="51">
        <f t="shared" si="230"/>
        <v>2.2066732861557266</v>
      </c>
      <c r="AI273" s="51">
        <f t="shared" si="231"/>
        <v>1.1004771322573794</v>
      </c>
      <c r="AJ273" s="51" t="str">
        <f t="shared" si="212"/>
        <v>1+0.00445871654804598i</v>
      </c>
      <c r="AK273" s="51">
        <f t="shared" si="232"/>
        <v>1.0000099400272258</v>
      </c>
      <c r="AL273" s="51">
        <f t="shared" si="233"/>
        <v>4.4586870017423105E-3</v>
      </c>
      <c r="AM273" s="51" t="str">
        <f t="shared" si="213"/>
        <v>1-0.0115617926286738i</v>
      </c>
      <c r="AN273" s="51">
        <f t="shared" si="234"/>
        <v>1.0000668352909161</v>
      </c>
      <c r="AO273" s="51">
        <f t="shared" si="235"/>
        <v>-1.1561277495591526E-2</v>
      </c>
      <c r="AP273" s="60" t="str">
        <f t="shared" si="236"/>
        <v>8.53971577908078-17.0978507359827i</v>
      </c>
      <c r="AQ273" s="51">
        <f t="shared" si="237"/>
        <v>25.62605973518113</v>
      </c>
      <c r="AR273" s="63">
        <f t="shared" si="238"/>
        <v>-63.459643587915274</v>
      </c>
      <c r="AS273" s="32" t="str">
        <f t="shared" si="214"/>
        <v>-0.000133283554228113</v>
      </c>
      <c r="AT273" s="32" t="str">
        <f t="shared" si="215"/>
        <v>0.00136213790542805i</v>
      </c>
      <c r="AU273" s="32">
        <f t="shared" si="239"/>
        <v>1.3621379054280501E-3</v>
      </c>
      <c r="AV273" s="32">
        <f t="shared" si="240"/>
        <v>1.5707963267948966</v>
      </c>
      <c r="AW273" s="32" t="str">
        <f t="shared" si="216"/>
        <v>1+0.238159717346843i</v>
      </c>
      <c r="AX273" s="32">
        <f t="shared" si="241"/>
        <v>1.0279688959140389</v>
      </c>
      <c r="AY273" s="32">
        <f t="shared" si="242"/>
        <v>0.2338042000465903</v>
      </c>
      <c r="AZ273" s="32" t="str">
        <f t="shared" si="217"/>
        <v>1+3.54916066582734i</v>
      </c>
      <c r="BA273" s="32">
        <f t="shared" si="243"/>
        <v>3.6873488351193418</v>
      </c>
      <c r="BB273" s="32">
        <f t="shared" si="244"/>
        <v>1.2961593274307306</v>
      </c>
      <c r="BC273" s="60" t="str">
        <f t="shared" si="245"/>
        <v>-0.306587782207551+0.170865655696449i</v>
      </c>
      <c r="BD273" s="51">
        <f t="shared" si="246"/>
        <v>-9.0942052408927552</v>
      </c>
      <c r="BE273" s="63">
        <f t="shared" si="247"/>
        <v>150.86846514319424</v>
      </c>
      <c r="BF273" s="60" t="str">
        <f t="shared" si="248"/>
        <v>0.583808653258337+1.02036638953928i</v>
      </c>
      <c r="BG273" s="66">
        <f t="shared" si="249"/>
        <v>1.4050179333872406</v>
      </c>
      <c r="BH273" s="63">
        <f t="shared" si="250"/>
        <v>60.223713481914778</v>
      </c>
      <c r="BI273" s="60" t="str">
        <f t="shared" si="255"/>
        <v>0.303262955612492+6.70113627371463i</v>
      </c>
      <c r="BJ273" s="66">
        <f t="shared" si="251"/>
        <v>16.531854494288375</v>
      </c>
      <c r="BK273" s="63">
        <f t="shared" si="256"/>
        <v>87.408821555278962</v>
      </c>
      <c r="BL273" s="51">
        <f t="shared" si="252"/>
        <v>1.4050179333872406</v>
      </c>
      <c r="BM273" s="63">
        <f t="shared" si="253"/>
        <v>60.223713481914778</v>
      </c>
    </row>
    <row r="274" spans="14:65" x14ac:dyDescent="0.35">
      <c r="N274" s="11">
        <v>56</v>
      </c>
      <c r="O274" s="52">
        <f t="shared" si="254"/>
        <v>3630.7805477010188</v>
      </c>
      <c r="P274" s="50" t="str">
        <f t="shared" si="206"/>
        <v>36.531007751938</v>
      </c>
      <c r="Q274" s="18" t="str">
        <f t="shared" si="207"/>
        <v>1+11.1411676002111i</v>
      </c>
      <c r="R274" s="18">
        <f t="shared" si="218"/>
        <v>11.185956172629748</v>
      </c>
      <c r="S274" s="18">
        <f t="shared" si="219"/>
        <v>1.4812790077023841</v>
      </c>
      <c r="T274" s="18" t="str">
        <f t="shared" si="208"/>
        <v>1+0.0045625733981817i</v>
      </c>
      <c r="U274" s="18">
        <f t="shared" si="220"/>
        <v>1.0000104084838386</v>
      </c>
      <c r="V274" s="18">
        <f t="shared" si="221"/>
        <v>4.5625417387647168E-3</v>
      </c>
      <c r="W274" s="32" t="str">
        <f t="shared" si="209"/>
        <v>1-0.0755929320408803i</v>
      </c>
      <c r="X274" s="18">
        <f t="shared" si="222"/>
        <v>1.0028530756668881</v>
      </c>
      <c r="Y274" s="18">
        <f t="shared" si="223"/>
        <v>-7.5449437024076055E-2</v>
      </c>
      <c r="Z274" s="32" t="str">
        <f t="shared" si="210"/>
        <v>0.999727632905257+0.0343501535113106i</v>
      </c>
      <c r="AA274" s="18">
        <f t="shared" si="224"/>
        <v>1.0003175860898372</v>
      </c>
      <c r="AB274" s="18">
        <f t="shared" si="225"/>
        <v>3.4346000142407219E-2</v>
      </c>
      <c r="AC274" s="68" t="str">
        <f t="shared" si="226"/>
        <v>-0.0514523128907332-3.2736996618856i</v>
      </c>
      <c r="AD274" s="66">
        <f t="shared" si="227"/>
        <v>10.301849332719147</v>
      </c>
      <c r="AE274" s="63">
        <f t="shared" si="228"/>
        <v>-90.900436196622977</v>
      </c>
      <c r="AF274" s="51" t="str">
        <f t="shared" si="229"/>
        <v>42.1703962805665</v>
      </c>
      <c r="AG274" s="51" t="str">
        <f t="shared" si="211"/>
        <v>1+2.01290002860958i</v>
      </c>
      <c r="AH274" s="51">
        <f t="shared" si="230"/>
        <v>2.2476135177508718</v>
      </c>
      <c r="AI274" s="51">
        <f t="shared" si="231"/>
        <v>1.109715473362006</v>
      </c>
      <c r="AJ274" s="51" t="str">
        <f t="shared" si="212"/>
        <v>1+0.0045625733981817i</v>
      </c>
      <c r="AK274" s="51">
        <f t="shared" si="232"/>
        <v>1.0000104084838386</v>
      </c>
      <c r="AL274" s="51">
        <f t="shared" si="233"/>
        <v>4.5625417387647168E-3</v>
      </c>
      <c r="AM274" s="51" t="str">
        <f t="shared" si="213"/>
        <v>1-0.0118311013751252i</v>
      </c>
      <c r="AN274" s="51">
        <f t="shared" si="234"/>
        <v>1.0000699850309218</v>
      </c>
      <c r="AO274" s="51">
        <f t="shared" si="235"/>
        <v>-1.1830549402168973E-2</v>
      </c>
      <c r="AP274" s="60" t="str">
        <f t="shared" si="236"/>
        <v>8.22597104560982-16.8645740582137i</v>
      </c>
      <c r="AQ274" s="51">
        <f t="shared" si="237"/>
        <v>25.466419202658624</v>
      </c>
      <c r="AR274" s="63">
        <f t="shared" si="238"/>
        <v>-63.998439248587125</v>
      </c>
      <c r="AS274" s="32" t="str">
        <f t="shared" si="214"/>
        <v>-0.000133283554228113</v>
      </c>
      <c r="AT274" s="32" t="str">
        <f t="shared" si="215"/>
        <v>0.00139386617314451i</v>
      </c>
      <c r="AU274" s="32">
        <f t="shared" si="239"/>
        <v>1.3938661731445099E-3</v>
      </c>
      <c r="AV274" s="32">
        <f t="shared" si="240"/>
        <v>1.5707963267948966</v>
      </c>
      <c r="AW274" s="32" t="str">
        <f t="shared" si="216"/>
        <v>1+0.24370716980459i</v>
      </c>
      <c r="AX274" s="32">
        <f t="shared" si="241"/>
        <v>1.0292682763080592</v>
      </c>
      <c r="AY274" s="32">
        <f t="shared" si="242"/>
        <v>0.239047286481923</v>
      </c>
      <c r="AZ274" s="32" t="str">
        <f t="shared" si="217"/>
        <v>1+3.63183123781962i</v>
      </c>
      <c r="BA274" s="32">
        <f t="shared" si="243"/>
        <v>3.766987939986322</v>
      </c>
      <c r="BB274" s="32">
        <f t="shared" si="244"/>
        <v>1.3021110825134881</v>
      </c>
      <c r="BC274" s="60" t="str">
        <f t="shared" si="245"/>
        <v>-0.30581417885762+0.170150593633045i</v>
      </c>
      <c r="BD274" s="51">
        <f t="shared" si="246"/>
        <v>-9.1195774143699655</v>
      </c>
      <c r="BE274" s="63">
        <f t="shared" si="247"/>
        <v>150.90906886576485</v>
      </c>
      <c r="BF274" s="60" t="str">
        <f t="shared" si="248"/>
        <v>0.572756787663138+0.992389132343862i</v>
      </c>
      <c r="BG274" s="66">
        <f t="shared" si="249"/>
        <v>1.1822719183491808</v>
      </c>
      <c r="BH274" s="63">
        <f t="shared" si="250"/>
        <v>60.008632669141917</v>
      </c>
      <c r="BI274" s="60" t="str">
        <f t="shared" si="255"/>
        <v>0.353898706753787+6.55707972401489i</v>
      </c>
      <c r="BJ274" s="66">
        <f t="shared" si="251"/>
        <v>16.346841788288653</v>
      </c>
      <c r="BK274" s="63">
        <f t="shared" si="256"/>
        <v>86.910629617177747</v>
      </c>
      <c r="BL274" s="51">
        <f t="shared" si="252"/>
        <v>1.1822719183491808</v>
      </c>
      <c r="BM274" s="63">
        <f t="shared" si="253"/>
        <v>60.008632669141917</v>
      </c>
    </row>
    <row r="275" spans="14:65" x14ac:dyDescent="0.35">
      <c r="N275" s="11">
        <v>57</v>
      </c>
      <c r="O275" s="52">
        <f t="shared" si="254"/>
        <v>3715.352290971724</v>
      </c>
      <c r="P275" s="50" t="str">
        <f t="shared" ref="P275:P338" si="257">COMPLEX(Adc,0)</f>
        <v>36.531007751938</v>
      </c>
      <c r="Q275" s="18" t="str">
        <f t="shared" ref="Q275:Q338" si="258">IMSUM(COMPLEX(1,0),IMDIV(COMPLEX(0,2*PI()*O275),COMPLEX(wp_lf,0)))</f>
        <v>1+11.4006787311214i</v>
      </c>
      <c r="R275" s="18">
        <f t="shared" si="218"/>
        <v>11.444451735677156</v>
      </c>
      <c r="S275" s="18">
        <f t="shared" si="219"/>
        <v>1.483306168422424</v>
      </c>
      <c r="T275" s="18" t="str">
        <f t="shared" ref="T275:T338" si="259">IMSUM(COMPLEX(1,0),IMDIV(COMPLEX(0,2*PI()*O275),COMPLEX(wz_esr,0)))</f>
        <v>1+0.00466884938512592i</v>
      </c>
      <c r="U275" s="18">
        <f t="shared" si="220"/>
        <v>1.0000108990178962</v>
      </c>
      <c r="V275" s="18">
        <f t="shared" si="221"/>
        <v>4.6688154614693989E-3</v>
      </c>
      <c r="W275" s="32" t="str">
        <f t="shared" ref="W275:W338" si="260">IMSUB(COMPLEX(1,0),IMDIV(COMPLEX(0,2*PI()*O275),COMPLEX(wz_rhp,0)))</f>
        <v>1-0.0773537176233881i</v>
      </c>
      <c r="X275" s="18">
        <f t="shared" si="222"/>
        <v>1.002987336724726</v>
      </c>
      <c r="Y275" s="18">
        <f t="shared" si="223"/>
        <v>-7.7199984665654461E-2</v>
      </c>
      <c r="Z275" s="32" t="str">
        <f t="shared" ref="Z275:Z338" si="261">IMSUM(COMPLEX(1,0),IMDIV(COMPLEX(0,2*PI()*O275),COMPLEX(Q*(wsl/2),0)),IMDIV(IMPOWER(COMPLEX(0,2*PI()*O275),2),IMPOWER(COMPLEX(wsl/2,0),2)))</f>
        <v>0.999714796639545+0.0351502713718922i</v>
      </c>
      <c r="AA275" s="18">
        <f t="shared" si="224"/>
        <v>1.0003325528030989</v>
      </c>
      <c r="AB275" s="18">
        <f t="shared" si="225"/>
        <v>3.5145821011114346E-2</v>
      </c>
      <c r="AC275" s="68" t="str">
        <f t="shared" si="226"/>
        <v>-0.0646042532404615-3.19988187932427i</v>
      </c>
      <c r="AD275" s="66">
        <f t="shared" si="227"/>
        <v>10.104448846496881</v>
      </c>
      <c r="AE275" s="63">
        <f t="shared" si="228"/>
        <v>-91.156620266334272</v>
      </c>
      <c r="AF275" s="51" t="str">
        <f t="shared" si="229"/>
        <v>42.1703962805665</v>
      </c>
      <c r="AG275" s="51" t="str">
        <f t="shared" ref="AG275:AG338" si="262">IMSUM(COMPLEX(1,0),IMDIV(COMPLEX(0,2*PI()*O275),COMPLEX(wp_lf_DCM,0)))</f>
        <v>1+2.05978649343791i</v>
      </c>
      <c r="AH275" s="51">
        <f t="shared" si="230"/>
        <v>2.2896987571620073</v>
      </c>
      <c r="AI275" s="51">
        <f t="shared" si="231"/>
        <v>1.1188262104276823</v>
      </c>
      <c r="AJ275" s="51" t="str">
        <f t="shared" ref="AJ275:AJ338" si="263">IMSUM(COMPLEX(1,0),IMDIV(COMPLEX(0,2*PI()*O275),COMPLEX(wz1_dcm,0)))</f>
        <v>1+0.00466884938512592i</v>
      </c>
      <c r="AK275" s="51">
        <f t="shared" si="232"/>
        <v>1.0000108990178962</v>
      </c>
      <c r="AL275" s="51">
        <f t="shared" si="233"/>
        <v>4.6688154614693989E-3</v>
      </c>
      <c r="AM275" s="51" t="str">
        <f t="shared" ref="AM275:AM338" si="264">IMSUB(COMPLEX(1,0),IMDIV(COMPLEX(0,2*PI()*O275),COMPLEX(wz2_dcm,0)))</f>
        <v>1-0.0121066831281288i</v>
      </c>
      <c r="AN275" s="51">
        <f t="shared" si="234"/>
        <v>1.0000732832029686</v>
      </c>
      <c r="AO275" s="51">
        <f t="shared" si="235"/>
        <v>-1.2106091680790961E-2</v>
      </c>
      <c r="AP275" s="60" t="str">
        <f t="shared" si="236"/>
        <v>7.92083337773258-16.6288820046372i</v>
      </c>
      <c r="AQ275" s="51">
        <f t="shared" si="237"/>
        <v>25.305317848604965</v>
      </c>
      <c r="AR275" s="63">
        <f t="shared" si="238"/>
        <v>-64.530144404562151</v>
      </c>
      <c r="AS275" s="32" t="str">
        <f t="shared" ref="AS275:AS338" si="265">COMPLEX(Adc_ea,0)</f>
        <v>-0.000133283554228113</v>
      </c>
      <c r="AT275" s="32" t="str">
        <f t="shared" ref="AT275:AT338" si="266">COMPLEX(0,2*PI()*O275*wp0_ea)</f>
        <v>0.00142633348715597i</v>
      </c>
      <c r="AU275" s="32">
        <f t="shared" si="239"/>
        <v>1.42633348715597E-3</v>
      </c>
      <c r="AV275" s="32">
        <f t="shared" si="240"/>
        <v>1.5707963267948966</v>
      </c>
      <c r="AW275" s="32" t="str">
        <f t="shared" ref="AW275:AW338" si="267">IMSUM(COMPLEX(1,0),IMDIV(COMPLEX(0,2*PI()*O275),COMPLEX(wp1_ea,0)))</f>
        <v>1+0.249383839029613i</v>
      </c>
      <c r="AX275" s="32">
        <f t="shared" si="241"/>
        <v>1.0306271387699568</v>
      </c>
      <c r="AY275" s="32">
        <f t="shared" si="242"/>
        <v>0.24439866289658563</v>
      </c>
      <c r="AZ275" s="32" t="str">
        <f t="shared" ref="AZ275:AZ338" si="268">IMSUM(COMPLEX(1,0),IMDIV(COMPLEX(0,2*PI()*O275),COMPLEX(wz_ea,0)))</f>
        <v>1+3.71642745480716i</v>
      </c>
      <c r="BA275" s="32">
        <f t="shared" si="243"/>
        <v>3.8486144294855547</v>
      </c>
      <c r="BB275" s="32">
        <f t="shared" si="244"/>
        <v>1.3079462694467086</v>
      </c>
      <c r="BC275" s="60" t="str">
        <f t="shared" si="245"/>
        <v>-0.305008290018255+0.16950901316916i</v>
      </c>
      <c r="BD275" s="51">
        <f t="shared" si="246"/>
        <v>-9.1448336725811892</v>
      </c>
      <c r="BE275" s="63">
        <f t="shared" si="247"/>
        <v>150.93678916656236</v>
      </c>
      <c r="BF275" s="60" t="str">
        <f t="shared" si="248"/>
        <v>0.562113652430914+0.965039497059775i</v>
      </c>
      <c r="BG275" s="66">
        <f t="shared" si="249"/>
        <v>0.95961517391569451</v>
      </c>
      <c r="BH275" s="63">
        <f t="shared" si="250"/>
        <v>59.780168900228091</v>
      </c>
      <c r="BI275" s="60" t="str">
        <f t="shared" si="255"/>
        <v>0.402825534650722+6.41459951448652i</v>
      </c>
      <c r="BJ275" s="66">
        <f t="shared" si="251"/>
        <v>16.160484176023779</v>
      </c>
      <c r="BK275" s="63">
        <f t="shared" si="256"/>
        <v>86.406644762000255</v>
      </c>
      <c r="BL275" s="51">
        <f t="shared" si="252"/>
        <v>0.95961517391569451</v>
      </c>
      <c r="BM275" s="63">
        <f t="shared" si="253"/>
        <v>59.780168900228091</v>
      </c>
    </row>
    <row r="276" spans="14:65" x14ac:dyDescent="0.35">
      <c r="N276" s="11">
        <v>58</v>
      </c>
      <c r="O276" s="52">
        <f t="shared" si="254"/>
        <v>3801.8939632056172</v>
      </c>
      <c r="P276" s="50" t="str">
        <f t="shared" si="257"/>
        <v>36.531007751938</v>
      </c>
      <c r="Q276" s="18" t="str">
        <f t="shared" si="258"/>
        <v>1+11.6662346528008i</v>
      </c>
      <c r="R276" s="18">
        <f t="shared" ref="R276:R339" si="269">IMABS(Q276)</f>
        <v>11.709014944657394</v>
      </c>
      <c r="S276" s="18">
        <f t="shared" ref="S276:S339" si="270">IMARGUMENT(Q276)</f>
        <v>1.4852878821704001</v>
      </c>
      <c r="T276" s="18" t="str">
        <f t="shared" si="259"/>
        <v>1+0.00477760085781366i</v>
      </c>
      <c r="U276" s="18">
        <f t="shared" ref="U276:U339" si="271">IMABS(T276)</f>
        <v>1.0000114126698538</v>
      </c>
      <c r="V276" s="18">
        <f t="shared" ref="V276:V339" si="272">IMARGUMENT(T276)</f>
        <v>4.7775645079831987E-3</v>
      </c>
      <c r="W276" s="32" t="str">
        <f t="shared" si="260"/>
        <v>1-0.0791555171708773i</v>
      </c>
      <c r="X276" s="18">
        <f t="shared" ref="X276:X339" si="273">IMABS(W276)</f>
        <v>1.0031279060511622</v>
      </c>
      <c r="Y276" s="18">
        <f t="shared" ref="Y276:Y339" si="274">IMARGUMENT(W276)</f>
        <v>-7.899081706758887E-2</v>
      </c>
      <c r="Z276" s="32" t="str">
        <f t="shared" si="261"/>
        <v>0.999701355419267+0.0359690263716241i</v>
      </c>
      <c r="AA276" s="18">
        <f t="shared" ref="AA276:AA339" si="275">IMABS(Z276)</f>
        <v>1.000348224812361</v>
      </c>
      <c r="AB276" s="18">
        <f t="shared" ref="AB276:AB339" si="276">IMARGUMENT(Z276)</f>
        <v>3.5964257784928767E-2</v>
      </c>
      <c r="AC276" s="68" t="str">
        <f t="shared" ref="AC276:AC339" si="277">(IMDIV(IMPRODUCT(P276,T276,W276),IMPRODUCT(Q276,Z276)))</f>
        <v>-0.0771720447229678-3.12765754020861i</v>
      </c>
      <c r="AD276" s="66">
        <f t="shared" ref="AD276:AD339" si="278">20*LOG(IMABS(AC276))</f>
        <v>9.9070271096476112</v>
      </c>
      <c r="AE276" s="63">
        <f t="shared" ref="AE276:AE339" si="279">(180/PI())*IMARGUMENT(AC276)</f>
        <v>-91.413433350289012</v>
      </c>
      <c r="AF276" s="51" t="str">
        <f t="shared" ref="AF276:AF339" si="280">COMPLEX($B$68,0)</f>
        <v>42.1703962805665</v>
      </c>
      <c r="AG276" s="51" t="str">
        <f t="shared" si="262"/>
        <v>1+2.10776508432956i</v>
      </c>
      <c r="AH276" s="51">
        <f t="shared" ref="AH276:AH339" si="281">IMABS(AG276)</f>
        <v>2.3329538466756681</v>
      </c>
      <c r="AI276" s="51">
        <f t="shared" ref="AI276:AI339" si="282">IMARGUMENT(AG276)</f>
        <v>1.1278081231916814</v>
      </c>
      <c r="AJ276" s="51" t="str">
        <f t="shared" si="263"/>
        <v>1+0.00477760085781366i</v>
      </c>
      <c r="AK276" s="51">
        <f t="shared" ref="AK276:AK339" si="283">IMABS(AJ276)</f>
        <v>1.0000114126698538</v>
      </c>
      <c r="AL276" s="51">
        <f t="shared" ref="AL276:AL339" si="284">IMARGUMENT(AJ276)</f>
        <v>4.7775645079831987E-3</v>
      </c>
      <c r="AM276" s="51" t="str">
        <f t="shared" si="264"/>
        <v>1-0.0123886840047778i</v>
      </c>
      <c r="AN276" s="51">
        <f t="shared" ref="AN276:AN339" si="285">IMABS(AM276)</f>
        <v>1.0000767368014167</v>
      </c>
      <c r="AO276" s="51">
        <f t="shared" ref="AO276:AO339" si="286">IMARGUMENT(AM276)</f>
        <v>-1.238805026016359E-2</v>
      </c>
      <c r="AP276" s="60" t="str">
        <f t="shared" ref="AP276:AP339" si="287">(IMDIV(IMPRODUCT(AF276,AJ276,AM276),IMPRODUCT(AG276)))</f>
        <v>7.62426366318148-16.3911191354083i</v>
      </c>
      <c r="AQ276" s="51">
        <f t="shared" ref="AQ276:AQ339" si="288">20*LOG(IMABS(AP276))</f>
        <v>25.14279633076486</v>
      </c>
      <c r="AR276" s="63">
        <f t="shared" ref="AR276:AR339" si="289">(180/PI())*IMARGUMENT(AP276)</f>
        <v>-65.054694273098107</v>
      </c>
      <c r="AS276" s="32" t="str">
        <f t="shared" si="265"/>
        <v>-0.000133283554228113</v>
      </c>
      <c r="AT276" s="32" t="str">
        <f t="shared" si="266"/>
        <v>0.00145955706206207i</v>
      </c>
      <c r="AU276" s="32">
        <f t="shared" ref="AU276:AU339" si="290">IMABS(AT276)</f>
        <v>1.4595570620620701E-3</v>
      </c>
      <c r="AV276" s="32">
        <f t="shared" ref="AV276:AV339" si="291">IMARGUMENT(AT276)</f>
        <v>1.5707963267948966</v>
      </c>
      <c r="AW276" s="32" t="str">
        <f t="shared" si="267"/>
        <v>1+0.255192734867074i</v>
      </c>
      <c r="AX276" s="32">
        <f t="shared" ref="AX276:AX339" si="292">IMABS(AW276)</f>
        <v>1.0320481248124707</v>
      </c>
      <c r="AY276" s="32">
        <f t="shared" ref="AY276:AY339" si="293">IMARGUMENT(AW276)</f>
        <v>0.2498599401437771</v>
      </c>
      <c r="AZ276" s="32" t="str">
        <f t="shared" si="268"/>
        <v>1+3.80299417082396i</v>
      </c>
      <c r="BA276" s="32">
        <f t="shared" ref="BA276:BA339" si="294">IMABS(AZ276)</f>
        <v>3.9322722010716675</v>
      </c>
      <c r="BB276" s="32">
        <f t="shared" ref="BB276:BB339" si="295">IMARGUMENT(AZ276)</f>
        <v>1.3136663920041722</v>
      </c>
      <c r="BC276" s="60" t="str">
        <f t="shared" ref="BC276:BC339" si="296">IMPRODUCT(AS276,IMDIV(AZ276,IMPRODUCT(AT276,AW276)))</f>
        <v>-0.304168960653052+0.168939518759834i</v>
      </c>
      <c r="BD276" s="51">
        <f t="shared" ref="BD276:BD339" si="297">20*LOG(IMABS(BC276))</f>
        <v>-9.1700177840923196</v>
      </c>
      <c r="BE276" s="63">
        <f t="shared" ref="BE276:BE339" si="298">(180/PI())*IMARGUMENT(BC276)</f>
        <v>150.95161991038762</v>
      </c>
      <c r="BF276" s="60" t="str">
        <f t="shared" ref="BF276:BF339" si="299">IMPRODUCT(AC276,BC276)</f>
        <v>0.551858300323265+0.938298935186723i</v>
      </c>
      <c r="BG276" s="66">
        <f t="shared" ref="BG276:BG339" si="300">20*LOG(IMABS(BF276))</f>
        <v>0.73700932555528764</v>
      </c>
      <c r="BH276" s="63">
        <f t="shared" ref="BH276:BH339" si="301">(180/PI())*IMARGUMENT(BF276)</f>
        <v>59.538186560098559</v>
      </c>
      <c r="BI276" s="60" t="str">
        <f t="shared" si="255"/>
        <v>0.450043424496243+6.27370910551346i</v>
      </c>
      <c r="BJ276" s="66">
        <f t="shared" ref="BJ276:BJ339" si="302">20*LOG(IMABS(BI276))</f>
        <v>15.97277854667254</v>
      </c>
      <c r="BK276" s="63">
        <f t="shared" si="256"/>
        <v>85.896925637289499</v>
      </c>
      <c r="BL276" s="51">
        <f t="shared" ref="BL276:BL339" si="303">IF($B$31=0,BJ276,BG276)</f>
        <v>0.73700932555528764</v>
      </c>
      <c r="BM276" s="63">
        <f t="shared" ref="BM276:BM339" si="304">IF($B$31=0,BK276,BH276)</f>
        <v>59.538186560098559</v>
      </c>
    </row>
    <row r="277" spans="14:65" x14ac:dyDescent="0.35">
      <c r="N277" s="11">
        <v>59</v>
      </c>
      <c r="O277" s="52">
        <f t="shared" si="254"/>
        <v>3890.451449942811</v>
      </c>
      <c r="P277" s="50" t="str">
        <f t="shared" si="257"/>
        <v>36.531007751938</v>
      </c>
      <c r="Q277" s="18" t="str">
        <f t="shared" si="258"/>
        <v>1+11.9379761665139i</v>
      </c>
      <c r="R277" s="18">
        <f t="shared" si="269"/>
        <v>11.979786097934051</v>
      </c>
      <c r="S277" s="18">
        <f t="shared" si="270"/>
        <v>1.4872251373821046</v>
      </c>
      <c r="T277" s="18" t="str">
        <f t="shared" si="259"/>
        <v>1+0.00488888547771524i</v>
      </c>
      <c r="U277" s="18">
        <f t="shared" si="271"/>
        <v>1.0000119505291996</v>
      </c>
      <c r="V277" s="18">
        <f t="shared" si="272"/>
        <v>4.888846528195297E-3</v>
      </c>
      <c r="W277" s="32" t="str">
        <f t="shared" si="260"/>
        <v>1-0.0809992860213177i</v>
      </c>
      <c r="X277" s="18">
        <f t="shared" si="273"/>
        <v>1.0032750790964378</v>
      </c>
      <c r="Y277" s="18">
        <f t="shared" si="274"/>
        <v>-8.0822837780512122E-2</v>
      </c>
      <c r="Z277" s="32" t="str">
        <f t="shared" si="261"/>
        <v>0.999687280733794+0.0368068526252446i</v>
      </c>
      <c r="AA277" s="18">
        <f t="shared" si="275"/>
        <v>1.0003646353510822</v>
      </c>
      <c r="AB277" s="18">
        <f t="shared" si="276"/>
        <v>3.6801743060750874E-2</v>
      </c>
      <c r="AC277" s="68" t="str">
        <f t="shared" si="277"/>
        <v>-0.0891811584421076-3.05699514096886i</v>
      </c>
      <c r="AD277" s="66">
        <f t="shared" si="278"/>
        <v>9.7095894737979691</v>
      </c>
      <c r="AE277" s="63">
        <f t="shared" si="279"/>
        <v>-91.671005334205589</v>
      </c>
      <c r="AF277" s="51" t="str">
        <f t="shared" si="280"/>
        <v>42.1703962805665</v>
      </c>
      <c r="AG277" s="51" t="str">
        <f t="shared" si="262"/>
        <v>1+2.1568612401685i</v>
      </c>
      <c r="AH277" s="51">
        <f t="shared" si="281"/>
        <v>2.3774041325237909</v>
      </c>
      <c r="AI277" s="51">
        <f t="shared" si="282"/>
        <v>1.1366601760831048</v>
      </c>
      <c r="AJ277" s="51" t="str">
        <f t="shared" si="263"/>
        <v>1+0.00488888547771524i</v>
      </c>
      <c r="AK277" s="51">
        <f t="shared" si="283"/>
        <v>1.0000119505291996</v>
      </c>
      <c r="AL277" s="51">
        <f t="shared" si="284"/>
        <v>4.888846528195297E-3</v>
      </c>
      <c r="AM277" s="51" t="str">
        <f t="shared" si="264"/>
        <v>1-0.0126772535256698i</v>
      </c>
      <c r="AN277" s="51">
        <f t="shared" si="285"/>
        <v>1.0000803531501627</v>
      </c>
      <c r="AO277" s="51">
        <f t="shared" si="286"/>
        <v>-1.2676574459027829E-2</v>
      </c>
      <c r="AP277" s="60" t="str">
        <f t="shared" si="287"/>
        <v>7.33620730254805-16.1516197476681i</v>
      </c>
      <c r="AQ277" s="51">
        <f t="shared" si="288"/>
        <v>24.978895088334141</v>
      </c>
      <c r="AR277" s="63">
        <f t="shared" si="289"/>
        <v>-65.572034772591707</v>
      </c>
      <c r="AS277" s="32" t="str">
        <f t="shared" si="265"/>
        <v>-0.000133283554228113</v>
      </c>
      <c r="AT277" s="32" t="str">
        <f t="shared" si="266"/>
        <v>0.001493554513442i</v>
      </c>
      <c r="AU277" s="32">
        <f t="shared" si="290"/>
        <v>1.4935545134420001E-3</v>
      </c>
      <c r="AV277" s="32">
        <f t="shared" si="291"/>
        <v>1.5707963267948966</v>
      </c>
      <c r="AW277" s="32" t="str">
        <f t="shared" si="267"/>
        <v>1+0.261136937270438i</v>
      </c>
      <c r="AX277" s="32">
        <f t="shared" si="292"/>
        <v>1.0335339858983761</v>
      </c>
      <c r="AY277" s="32">
        <f t="shared" si="293"/>
        <v>0.2554327102260911</v>
      </c>
      <c r="AZ277" s="32" t="str">
        <f t="shared" si="268"/>
        <v>1+3.89157728468872i</v>
      </c>
      <c r="BA277" s="32">
        <f t="shared" si="294"/>
        <v>4.0180061924672579</v>
      </c>
      <c r="BB277" s="32">
        <f t="shared" si="295"/>
        <v>1.319272985165296</v>
      </c>
      <c r="BC277" s="60" t="str">
        <f t="shared" si="296"/>
        <v>-0.303295011749308+0.168440693158783i</v>
      </c>
      <c r="BD277" s="51">
        <f t="shared" si="297"/>
        <v>-9.1951734729351049</v>
      </c>
      <c r="BE277" s="63">
        <f t="shared" si="298"/>
        <v>150.95355783005351</v>
      </c>
      <c r="BF277" s="60" t="str">
        <f t="shared" si="299"/>
        <v>0.541970581025342+0.912149641053036i</v>
      </c>
      <c r="BG277" s="66">
        <f t="shared" si="300"/>
        <v>0.51441600086286221</v>
      </c>
      <c r="BH277" s="63">
        <f t="shared" si="301"/>
        <v>59.282552495847945</v>
      </c>
      <c r="BI277" s="60" t="str">
        <f t="shared" si="255"/>
        <v>0.495554945912632+6.13442154433707i</v>
      </c>
      <c r="BJ277" s="66">
        <f t="shared" si="302"/>
        <v>15.783721615399038</v>
      </c>
      <c r="BK277" s="63">
        <f t="shared" si="256"/>
        <v>85.381523057461834</v>
      </c>
      <c r="BL277" s="51">
        <f t="shared" si="303"/>
        <v>0.51441600086286221</v>
      </c>
      <c r="BM277" s="63">
        <f t="shared" si="304"/>
        <v>59.282552495847945</v>
      </c>
    </row>
    <row r="278" spans="14:65" x14ac:dyDescent="0.35">
      <c r="N278" s="11">
        <v>60</v>
      </c>
      <c r="O278" s="52">
        <f t="shared" si="254"/>
        <v>3981.0717055349769</v>
      </c>
      <c r="P278" s="50" t="str">
        <f t="shared" si="257"/>
        <v>36.531007751938</v>
      </c>
      <c r="Q278" s="18" t="str">
        <f t="shared" si="258"/>
        <v>1+12.2160473532084i</v>
      </c>
      <c r="R278" s="18">
        <f t="shared" si="269"/>
        <v>12.256908783858595</v>
      </c>
      <c r="S278" s="18">
        <f t="shared" si="270"/>
        <v>1.4891189030200764</v>
      </c>
      <c r="T278" s="18" t="str">
        <f t="shared" si="259"/>
        <v>1+0.00500276224940914i</v>
      </c>
      <c r="U278" s="18">
        <f t="shared" si="271"/>
        <v>1.0000125137367653</v>
      </c>
      <c r="V278" s="18">
        <f t="shared" si="272"/>
        <v>5.0027205142747985E-3</v>
      </c>
      <c r="W278" s="32" t="str">
        <f t="shared" si="260"/>
        <v>1-0.0828860017653586i</v>
      </c>
      <c r="X278" s="18">
        <f t="shared" si="273"/>
        <v>1.0034291650578266</v>
      </c>
      <c r="Y278" s="18">
        <f t="shared" si="274"/>
        <v>-8.2696968948134247E-2</v>
      </c>
      <c r="Z278" s="32" t="str">
        <f t="shared" si="261"/>
        <v>0.99967254272883+0.0376641943593232i</v>
      </c>
      <c r="AA278" s="18">
        <f t="shared" si="275"/>
        <v>1.0003818192183729</v>
      </c>
      <c r="AB278" s="18">
        <f t="shared" si="276"/>
        <v>3.7658719438855938E-2</v>
      </c>
      <c r="AC278" s="68" t="str">
        <f t="shared" si="277"/>
        <v>-0.100655983461344-2.98786356389354i</v>
      </c>
      <c r="AD278" s="66">
        <f t="shared" si="278"/>
        <v>9.5121412585459044</v>
      </c>
      <c r="AE278" s="63">
        <f t="shared" si="279"/>
        <v>-91.929466549616095</v>
      </c>
      <c r="AF278" s="51" t="str">
        <f t="shared" si="280"/>
        <v>42.1703962805665</v>
      </c>
      <c r="AG278" s="51" t="str">
        <f t="shared" si="262"/>
        <v>1+2.20710099238639i</v>
      </c>
      <c r="AH278" s="51">
        <f t="shared" si="281"/>
        <v>2.4230754818191258</v>
      </c>
      <c r="AI278" s="51">
        <f t="shared" si="282"/>
        <v>1.1453815124719604</v>
      </c>
      <c r="AJ278" s="51" t="str">
        <f t="shared" si="263"/>
        <v>1+0.00500276224940914i</v>
      </c>
      <c r="AK278" s="51">
        <f t="shared" si="283"/>
        <v>1.0000125137367653</v>
      </c>
      <c r="AL278" s="51">
        <f t="shared" si="284"/>
        <v>5.0027205142747985E-3</v>
      </c>
      <c r="AM278" s="51" t="str">
        <f t="shared" si="264"/>
        <v>1-0.0129725446941844i</v>
      </c>
      <c r="AN278" s="51">
        <f t="shared" si="285"/>
        <v>1.0000841399181584</v>
      </c>
      <c r="AO278" s="51">
        <f t="shared" si="286"/>
        <v>-1.2971817064474251E-2</v>
      </c>
      <c r="AP278" s="60" t="str">
        <f t="shared" si="287"/>
        <v>7.05659525654851-15.9107072775634i</v>
      </c>
      <c r="AQ278" s="51">
        <f t="shared" si="288"/>
        <v>24.813654271398825</v>
      </c>
      <c r="AR278" s="63">
        <f t="shared" si="289"/>
        <v>-66.0821221958129</v>
      </c>
      <c r="AS278" s="32" t="str">
        <f t="shared" si="265"/>
        <v>-0.000133283554228113</v>
      </c>
      <c r="AT278" s="32" t="str">
        <f t="shared" si="266"/>
        <v>0.00152834386719449i</v>
      </c>
      <c r="AU278" s="32">
        <f t="shared" si="290"/>
        <v>1.52834386719449E-3</v>
      </c>
      <c r="AV278" s="32">
        <f t="shared" si="291"/>
        <v>1.5707963267948966</v>
      </c>
      <c r="AW278" s="32" t="str">
        <f t="shared" si="267"/>
        <v>1+0.267219597934497i</v>
      </c>
      <c r="AX278" s="32">
        <f t="shared" si="292"/>
        <v>1.0350875873665351</v>
      </c>
      <c r="AY278" s="32">
        <f t="shared" si="293"/>
        <v>0.26111854278655616</v>
      </c>
      <c r="AZ278" s="32" t="str">
        <f t="shared" si="268"/>
        <v>1+3.98222376434092i</v>
      </c>
      <c r="BA278" s="32">
        <f t="shared" si="294"/>
        <v>4.1058624074951133</v>
      </c>
      <c r="BB278" s="32">
        <f t="shared" si="295"/>
        <v>1.3247676111356359</v>
      </c>
      <c r="BC278" s="60" t="str">
        <f t="shared" si="296"/>
        <v>-0.302385241482908+0.1680110940089i</v>
      </c>
      <c r="BD278" s="51">
        <f t="shared" si="297"/>
        <v>-9.2203444455296832</v>
      </c>
      <c r="BE278" s="63">
        <f t="shared" si="298"/>
        <v>150.94260249942437</v>
      </c>
      <c r="BF278" s="60" t="str">
        <f t="shared" si="299"/>
        <v>0.532431109984743+0.886574523386048i</v>
      </c>
      <c r="BG278" s="66">
        <f t="shared" si="300"/>
        <v>0.29179681301622301</v>
      </c>
      <c r="BH278" s="63">
        <f t="shared" si="301"/>
        <v>59.013135949808238</v>
      </c>
      <c r="BI278" s="60" t="str">
        <f t="shared" si="255"/>
        <v>0.539365075460229+5.9967493513206i</v>
      </c>
      <c r="BJ278" s="66">
        <f t="shared" si="302"/>
        <v>15.59330982586914</v>
      </c>
      <c r="BK278" s="63">
        <f t="shared" si="256"/>
        <v>84.860480303611453</v>
      </c>
      <c r="BL278" s="51">
        <f t="shared" si="303"/>
        <v>0.29179681301622301</v>
      </c>
      <c r="BM278" s="63">
        <f t="shared" si="304"/>
        <v>59.013135949808238</v>
      </c>
    </row>
    <row r="279" spans="14:65" x14ac:dyDescent="0.35">
      <c r="N279" s="11">
        <v>61</v>
      </c>
      <c r="O279" s="52">
        <f t="shared" si="254"/>
        <v>4073.8027780411317</v>
      </c>
      <c r="P279" s="50" t="str">
        <f t="shared" si="257"/>
        <v>36.531007751938</v>
      </c>
      <c r="Q279" s="18" t="str">
        <f t="shared" si="258"/>
        <v>1+12.500595649908i</v>
      </c>
      <c r="R279" s="18">
        <f t="shared" si="269"/>
        <v>12.540529957003367</v>
      </c>
      <c r="S279" s="18">
        <f t="shared" si="270"/>
        <v>1.4909701288200579</v>
      </c>
      <c r="T279" s="18" t="str">
        <f t="shared" si="259"/>
        <v>1+0.00511929155186708i</v>
      </c>
      <c r="U279" s="18">
        <f t="shared" si="271"/>
        <v>1.0000131034871458</v>
      </c>
      <c r="V279" s="18">
        <f t="shared" si="272"/>
        <v>5.1192468318965734E-3</v>
      </c>
      <c r="W279" s="32" t="str">
        <f t="shared" si="260"/>
        <v>1-0.0848166647646618i</v>
      </c>
      <c r="X279" s="18">
        <f t="shared" si="273"/>
        <v>1.0035904875106185</v>
      </c>
      <c r="Y279" s="18">
        <f t="shared" si="274"/>
        <v>-8.4614151569178606E-2</v>
      </c>
      <c r="Z279" s="32" t="str">
        <f t="shared" si="261"/>
        <v>0.999657110143091+0.0385415061477958i</v>
      </c>
      <c r="AA279" s="18">
        <f t="shared" si="275"/>
        <v>1.0003998128527298</v>
      </c>
      <c r="AB279" s="18">
        <f t="shared" si="276"/>
        <v>3.8535639750684421E-2</v>
      </c>
      <c r="AC279" s="68" t="str">
        <f t="shared" si="277"/>
        <v>-0.111619869661733-2.92023208902536i</v>
      </c>
      <c r="AD279" s="66">
        <f t="shared" si="278"/>
        <v>9.3146877617862316</v>
      </c>
      <c r="AE279" s="63">
        <f t="shared" si="279"/>
        <v>-92.188947814257546</v>
      </c>
      <c r="AF279" s="51" t="str">
        <f t="shared" si="280"/>
        <v>42.1703962805665</v>
      </c>
      <c r="AG279" s="51" t="str">
        <f t="shared" si="262"/>
        <v>1+2.2585109787649i</v>
      </c>
      <c r="AH279" s="51">
        <f t="shared" si="281"/>
        <v>2.469994299831801</v>
      </c>
      <c r="AI279" s="51">
        <f t="shared" si="282"/>
        <v>1.1539714486187369</v>
      </c>
      <c r="AJ279" s="51" t="str">
        <f t="shared" si="263"/>
        <v>1+0.00511929155186708i</v>
      </c>
      <c r="AK279" s="51">
        <f t="shared" si="283"/>
        <v>1.0000131034871458</v>
      </c>
      <c r="AL279" s="51">
        <f t="shared" si="284"/>
        <v>5.1192468318965734E-3</v>
      </c>
      <c r="AM279" s="51" t="str">
        <f t="shared" si="264"/>
        <v>1-0.0132747140776078i</v>
      </c>
      <c r="AN279" s="51">
        <f t="shared" si="285"/>
        <v>1.0000881051356636</v>
      </c>
      <c r="AO279" s="51">
        <f t="shared" si="286"/>
        <v>-1.3273934412035962E-2</v>
      </c>
      <c r="AP279" s="60" t="str">
        <f t="shared" si="287"/>
        <v>6.78534509724594-15.6686937965845i</v>
      </c>
      <c r="AQ279" s="51">
        <f t="shared" si="288"/>
        <v>24.647113675342478</v>
      </c>
      <c r="AR279" s="63">
        <f t="shared" si="289"/>
        <v>-66.584922866041111</v>
      </c>
      <c r="AS279" s="32" t="str">
        <f t="shared" si="265"/>
        <v>-0.000133283554228113</v>
      </c>
      <c r="AT279" s="32" t="str">
        <f t="shared" si="266"/>
        <v>0.00156394356909539i</v>
      </c>
      <c r="AU279" s="32">
        <f t="shared" si="290"/>
        <v>1.5639435690953901E-3</v>
      </c>
      <c r="AV279" s="32">
        <f t="shared" si="291"/>
        <v>1.5707963267948966</v>
      </c>
      <c r="AW279" s="32" t="str">
        <f t="shared" si="267"/>
        <v>1+0.273443941966452i</v>
      </c>
      <c r="AX279" s="32">
        <f t="shared" si="292"/>
        <v>1.0367119124415194</v>
      </c>
      <c r="AY279" s="32">
        <f t="shared" si="293"/>
        <v>0.26691898139768877</v>
      </c>
      <c r="AZ279" s="32" t="str">
        <f t="shared" si="268"/>
        <v>1+4.07498167174395i</v>
      </c>
      <c r="BA279" s="32">
        <f t="shared" si="294"/>
        <v>4.1958879423846778</v>
      </c>
      <c r="BB279" s="32">
        <f t="shared" si="295"/>
        <v>1.3301518555744116</v>
      </c>
      <c r="BC279" s="60" t="str">
        <f t="shared" si="296"/>
        <v>-0.301438426579139+0.16764925038634i</v>
      </c>
      <c r="BD279" s="51">
        <f t="shared" si="297"/>
        <v>-9.2455744177711612</v>
      </c>
      <c r="BE279" s="63">
        <f t="shared" si="298"/>
        <v>150.91875632989024</v>
      </c>
      <c r="BF279" s="60" t="str">
        <f t="shared" si="299"/>
        <v>0.523221238565039+0.861557178684706i</v>
      </c>
      <c r="BG279" s="66">
        <f t="shared" si="300"/>
        <v>6.911334401507116E-2</v>
      </c>
      <c r="BH279" s="63">
        <f t="shared" si="301"/>
        <v>58.729808515632669</v>
      </c>
      <c r="BI279" s="60" t="str">
        <f t="shared" si="255"/>
        <v>0.581481019620196+5.86070442375866i</v>
      </c>
      <c r="BJ279" s="66">
        <f t="shared" si="302"/>
        <v>15.401539257571324</v>
      </c>
      <c r="BK279" s="63">
        <f t="shared" si="256"/>
        <v>84.333833463849146</v>
      </c>
      <c r="BL279" s="51">
        <f t="shared" si="303"/>
        <v>6.911334401507116E-2</v>
      </c>
      <c r="BM279" s="63">
        <f t="shared" si="304"/>
        <v>58.729808515632669</v>
      </c>
    </row>
    <row r="280" spans="14:65" x14ac:dyDescent="0.35">
      <c r="N280" s="11">
        <v>62</v>
      </c>
      <c r="O280" s="52">
        <f t="shared" si="254"/>
        <v>4168.6938347033583</v>
      </c>
      <c r="P280" s="50" t="str">
        <f t="shared" si="257"/>
        <v>36.531007751938</v>
      </c>
      <c r="Q280" s="18" t="str">
        <f t="shared" si="258"/>
        <v>1+12.7917719278861i</v>
      </c>
      <c r="R280" s="18">
        <f t="shared" si="269"/>
        <v>12.830800016174161</v>
      </c>
      <c r="S280" s="18">
        <f t="shared" si="270"/>
        <v>1.4927797455444305</v>
      </c>
      <c r="T280" s="18" t="str">
        <f t="shared" si="259"/>
        <v>1+0.00523853517046766i</v>
      </c>
      <c r="U280" s="18">
        <f t="shared" si="271"/>
        <v>1.0000137210312328</v>
      </c>
      <c r="V280" s="18">
        <f t="shared" si="272"/>
        <v>5.2384872521914431E-3</v>
      </c>
      <c r="W280" s="32" t="str">
        <f t="shared" si="260"/>
        <v>1-0.0867922986823045i</v>
      </c>
      <c r="X280" s="18">
        <f t="shared" si="273"/>
        <v>1.0037593850672373</v>
      </c>
      <c r="Y280" s="18">
        <f t="shared" si="274"/>
        <v>-8.6575345753691274E-2</v>
      </c>
      <c r="Z280" s="32" t="str">
        <f t="shared" si="261"/>
        <v>0.999640950241994+0.0394392531529851i</v>
      </c>
      <c r="AA280" s="18">
        <f t="shared" si="275"/>
        <v>1.0004186544092339</v>
      </c>
      <c r="AB280" s="18">
        <f t="shared" si="276"/>
        <v>3.9432967291565271E-2</v>
      </c>
      <c r="AC280" s="68" t="str">
        <f t="shared" si="277"/>
        <v>-0.122095169153025-2.85407040449573i</v>
      </c>
      <c r="AD280" s="66">
        <f t="shared" si="278"/>
        <v>9.1172342699951887</v>
      </c>
      <c r="AE280" s="63">
        <f t="shared" si="279"/>
        <v>-92.449580472781633</v>
      </c>
      <c r="AF280" s="51" t="str">
        <f t="shared" si="280"/>
        <v>42.1703962805665</v>
      </c>
      <c r="AG280" s="51" t="str">
        <f t="shared" si="262"/>
        <v>1+2.31111845755927i</v>
      </c>
      <c r="AH280" s="51">
        <f t="shared" si="281"/>
        <v>2.5181875475967113</v>
      </c>
      <c r="AI280" s="51">
        <f t="shared" si="282"/>
        <v>1.1624294673747346</v>
      </c>
      <c r="AJ280" s="51" t="str">
        <f t="shared" si="263"/>
        <v>1+0.00523853517046766i</v>
      </c>
      <c r="AK280" s="51">
        <f t="shared" si="283"/>
        <v>1.0000137210312328</v>
      </c>
      <c r="AL280" s="51">
        <f t="shared" si="284"/>
        <v>5.2384872521914431E-3</v>
      </c>
      <c r="AM280" s="51" t="str">
        <f t="shared" si="264"/>
        <v>1-0.0135839218901468i</v>
      </c>
      <c r="AN280" s="51">
        <f t="shared" si="285"/>
        <v>1.0000922572112623</v>
      </c>
      <c r="AO280" s="51">
        <f t="shared" si="286"/>
        <v>-1.3583086467597196E-2</v>
      </c>
      <c r="AP280" s="60" t="str">
        <f t="shared" si="287"/>
        <v>6.52236205553495-15.4258795985145i</v>
      </c>
      <c r="AQ280" s="51">
        <f t="shared" si="288"/>
        <v>24.479312680224332</v>
      </c>
      <c r="AR280" s="63">
        <f t="shared" si="289"/>
        <v>-67.080412778983458</v>
      </c>
      <c r="AS280" s="32" t="str">
        <f t="shared" si="265"/>
        <v>-0.000133283554228113</v>
      </c>
      <c r="AT280" s="32" t="str">
        <f t="shared" si="266"/>
        <v>0.00160037249457787i</v>
      </c>
      <c r="AU280" s="32">
        <f t="shared" si="290"/>
        <v>1.6003724945778701E-3</v>
      </c>
      <c r="AV280" s="32">
        <f t="shared" si="291"/>
        <v>1.5707963267948966</v>
      </c>
      <c r="AW280" s="32" t="str">
        <f t="shared" si="267"/>
        <v>1+0.279813269595896i</v>
      </c>
      <c r="AX280" s="32">
        <f t="shared" si="292"/>
        <v>1.0384100663234854</v>
      </c>
      <c r="AY280" s="32">
        <f t="shared" si="293"/>
        <v>0.27283553964457052</v>
      </c>
      <c r="AZ280" s="32" t="str">
        <f t="shared" si="268"/>
        <v>1+4.16990018836811i</v>
      </c>
      <c r="BA280" s="32">
        <f t="shared" si="294"/>
        <v>4.2881310125685754</v>
      </c>
      <c r="BB280" s="32">
        <f t="shared" si="295"/>
        <v>1.3354273240252763</v>
      </c>
      <c r="BC280" s="60" t="str">
        <f t="shared" si="296"/>
        <v>-0.300453323882963+0.167353659307033i</v>
      </c>
      <c r="BD280" s="51">
        <f t="shared" si="297"/>
        <v>-9.2709071420281202</v>
      </c>
      <c r="BE280" s="63">
        <f t="shared" si="298"/>
        <v>150.88202459028963</v>
      </c>
      <c r="BF280" s="60" t="str">
        <f t="shared" si="299"/>
        <v>0.514323025514343+0.837081866285265i</v>
      </c>
      <c r="BG280" s="66">
        <f t="shared" si="300"/>
        <v>-0.15367287203293095</v>
      </c>
      <c r="BH280" s="63">
        <f t="shared" si="301"/>
        <v>58.432444117507998</v>
      </c>
      <c r="BI280" s="60" t="str">
        <f t="shared" si="255"/>
        <v>0.621912039687516+5.72629795651118i</v>
      </c>
      <c r="BJ280" s="66">
        <f t="shared" si="302"/>
        <v>15.208405538196207</v>
      </c>
      <c r="BK280" s="63">
        <f t="shared" si="256"/>
        <v>83.801611811306159</v>
      </c>
      <c r="BL280" s="51">
        <f t="shared" si="303"/>
        <v>-0.15367287203293095</v>
      </c>
      <c r="BM280" s="63">
        <f t="shared" si="304"/>
        <v>58.432444117507998</v>
      </c>
    </row>
    <row r="281" spans="14:65" x14ac:dyDescent="0.35">
      <c r="N281" s="11">
        <v>63</v>
      </c>
      <c r="O281" s="52">
        <f t="shared" si="254"/>
        <v>4265.7951880159299</v>
      </c>
      <c r="P281" s="50" t="str">
        <f t="shared" si="257"/>
        <v>36.531007751938</v>
      </c>
      <c r="Q281" s="18" t="str">
        <f t="shared" si="258"/>
        <v>1+13.0897305726595i</v>
      </c>
      <c r="R281" s="18">
        <f t="shared" si="269"/>
        <v>13.127872884242015</v>
      </c>
      <c r="S281" s="18">
        <f t="shared" si="270"/>
        <v>1.4945486652416771</v>
      </c>
      <c r="T281" s="18" t="str">
        <f t="shared" si="259"/>
        <v>1+0.00536055632975582i</v>
      </c>
      <c r="U281" s="18">
        <f t="shared" si="271"/>
        <v>1.0000143676788671</v>
      </c>
      <c r="V281" s="18">
        <f t="shared" si="272"/>
        <v>5.360504984437622E-3</v>
      </c>
      <c r="W281" s="32" t="str">
        <f t="shared" si="260"/>
        <v>1-0.0888139510255403i</v>
      </c>
      <c r="X281" s="18">
        <f t="shared" si="273"/>
        <v>1.0039362120656705</v>
      </c>
      <c r="Y281" s="18">
        <f t="shared" si="274"/>
        <v>-8.8581530972823661E-2</v>
      </c>
      <c r="Z281" s="32" t="str">
        <f t="shared" si="261"/>
        <v>0.999624028748221+0.0403579113722363i</v>
      </c>
      <c r="AA281" s="18">
        <f t="shared" si="275"/>
        <v>1.000438383840381</v>
      </c>
      <c r="AB281" s="18">
        <f t="shared" si="276"/>
        <v>4.0351176058462723E-2</v>
      </c>
      <c r="AC281" s="68" t="str">
        <f t="shared" si="277"/>
        <v>-0.132103276262082-2.78934861540946i</v>
      </c>
      <c r="AD281" s="66">
        <f t="shared" si="278"/>
        <v>8.9197860684899339</v>
      </c>
      <c r="AE281" s="63">
        <f t="shared" si="279"/>
        <v>-92.711496437680907</v>
      </c>
      <c r="AF281" s="51" t="str">
        <f t="shared" si="280"/>
        <v>42.1703962805665</v>
      </c>
      <c r="AG281" s="51" t="str">
        <f t="shared" si="262"/>
        <v>1+2.3649513219511i</v>
      </c>
      <c r="AH281" s="51">
        <f t="shared" si="281"/>
        <v>2.5676827598436405</v>
      </c>
      <c r="AI281" s="51">
        <f t="shared" si="282"/>
        <v>1.1707552116814111</v>
      </c>
      <c r="AJ281" s="51" t="str">
        <f t="shared" si="263"/>
        <v>1+0.00536055632975582i</v>
      </c>
      <c r="AK281" s="51">
        <f t="shared" si="283"/>
        <v>1.0000143676788671</v>
      </c>
      <c r="AL281" s="51">
        <f t="shared" si="284"/>
        <v>5.360504984437622E-3</v>
      </c>
      <c r="AM281" s="51" t="str">
        <f t="shared" si="264"/>
        <v>1-0.0139003320778763i</v>
      </c>
      <c r="AN281" s="51">
        <f t="shared" si="285"/>
        <v>1.0000966049496796</v>
      </c>
      <c r="AO281" s="51">
        <f t="shared" si="286"/>
        <v>-1.3899436911156433E-2</v>
      </c>
      <c r="AP281" s="60" t="str">
        <f t="shared" si="287"/>
        <v>6.26754005790335-15.1825528727654i</v>
      </c>
      <c r="AQ281" s="51">
        <f t="shared" si="288"/>
        <v>24.310290195091312</v>
      </c>
      <c r="AR281" s="63">
        <f t="shared" si="289"/>
        <v>-67.568577233240646</v>
      </c>
      <c r="AS281" s="32" t="str">
        <f t="shared" si="265"/>
        <v>-0.000133283554228113</v>
      </c>
      <c r="AT281" s="32" t="str">
        <f t="shared" si="266"/>
        <v>0.0016376499587404i</v>
      </c>
      <c r="AU281" s="32">
        <f t="shared" si="290"/>
        <v>1.6376499587403999E-3</v>
      </c>
      <c r="AV281" s="32">
        <f t="shared" si="291"/>
        <v>1.5707963267948966</v>
      </c>
      <c r="AW281" s="32" t="str">
        <f t="shared" si="267"/>
        <v>1+0.286330957924646i</v>
      </c>
      <c r="AX281" s="32">
        <f t="shared" si="292"/>
        <v>1.0401852803544402</v>
      </c>
      <c r="AY281" s="32">
        <f t="shared" si="293"/>
        <v>0.27886969699874287</v>
      </c>
      <c r="AZ281" s="32" t="str">
        <f t="shared" si="268"/>
        <v>1+4.26702964126728i</v>
      </c>
      <c r="BA281" s="32">
        <f t="shared" si="294"/>
        <v>4.3826409799861059</v>
      </c>
      <c r="BB281" s="32">
        <f t="shared" si="295"/>
        <v>1.3405956385459761</v>
      </c>
      <c r="BC281" s="60" t="str">
        <f t="shared" si="296"/>
        <v>-0.299428672152421+0.167122782206017i</v>
      </c>
      <c r="BD281" s="51">
        <f t="shared" si="297"/>
        <v>-9.2963864337998512</v>
      </c>
      <c r="BE281" s="63">
        <f t="shared" si="298"/>
        <v>150.83241545021005</v>
      </c>
      <c r="BF281" s="60" t="str">
        <f t="shared" si="299"/>
        <v>0.50571920974787+0.8131334850148i</v>
      </c>
      <c r="BG281" s="66">
        <f t="shared" si="300"/>
        <v>-0.37660036530991514</v>
      </c>
      <c r="BH281" s="63">
        <f t="shared" si="301"/>
        <v>58.12091901252915</v>
      </c>
      <c r="BI281" s="60" t="str">
        <f t="shared" si="255"/>
        <v>0.660669279886402+5.59354037864054i</v>
      </c>
      <c r="BJ281" s="66">
        <f t="shared" si="302"/>
        <v>15.013903761291461</v>
      </c>
      <c r="BK281" s="63">
        <f t="shared" si="256"/>
        <v>83.263838216969418</v>
      </c>
      <c r="BL281" s="51">
        <f t="shared" si="303"/>
        <v>-0.37660036530991514</v>
      </c>
      <c r="BM281" s="63">
        <f t="shared" si="304"/>
        <v>58.12091901252915</v>
      </c>
    </row>
    <row r="282" spans="14:65" x14ac:dyDescent="0.35">
      <c r="N282" s="11">
        <v>64</v>
      </c>
      <c r="O282" s="52">
        <f t="shared" si="254"/>
        <v>4365.1583224016631</v>
      </c>
      <c r="P282" s="50" t="str">
        <f t="shared" si="257"/>
        <v>36.531007751938</v>
      </c>
      <c r="Q282" s="18" t="str">
        <f t="shared" si="258"/>
        <v>1+13.3946295658456i</v>
      </c>
      <c r="R282" s="18">
        <f t="shared" si="269"/>
        <v>13.431906089837923</v>
      </c>
      <c r="S282" s="18">
        <f t="shared" si="270"/>
        <v>1.4962777815110035</v>
      </c>
      <c r="T282" s="18" t="str">
        <f t="shared" si="259"/>
        <v>1+0.00548541972696536i</v>
      </c>
      <c r="U282" s="18">
        <f t="shared" si="271"/>
        <v>1.0000150448016174</v>
      </c>
      <c r="V282" s="18">
        <f t="shared" si="272"/>
        <v>5.4853647095103814E-3</v>
      </c>
      <c r="W282" s="32" t="str">
        <f t="shared" si="260"/>
        <v>1-0.0908826937012013i</v>
      </c>
      <c r="X282" s="18">
        <f t="shared" si="273"/>
        <v>1.0041213392884281</v>
      </c>
      <c r="Y282" s="18">
        <f t="shared" si="274"/>
        <v>-9.0633706301105427E-2</v>
      </c>
      <c r="Z282" s="32" t="str">
        <f t="shared" si="261"/>
        <v>0.999606309769016+0.0412979678902971i</v>
      </c>
      <c r="AA282" s="18">
        <f t="shared" si="275"/>
        <v>1.0004590429807199</v>
      </c>
      <c r="AB282" s="18">
        <f t="shared" si="276"/>
        <v>4.1290750992833275E-2</v>
      </c>
      <c r="AC282" s="68" t="str">
        <f t="shared" si="277"/>
        <v>-0.141664666125039-2.7260372513837i</v>
      </c>
      <c r="AD282" s="66">
        <f t="shared" si="278"/>
        <v>8.7223484516757459</v>
      </c>
      <c r="AE282" s="63">
        <f t="shared" si="279"/>
        <v>-92.974828230330033</v>
      </c>
      <c r="AF282" s="51" t="str">
        <f t="shared" si="280"/>
        <v>42.1703962805665</v>
      </c>
      <c r="AG282" s="51" t="str">
        <f t="shared" si="262"/>
        <v>1+2.42003811483767i</v>
      </c>
      <c r="AH282" s="51">
        <f t="shared" si="281"/>
        <v>2.6185080632427051</v>
      </c>
      <c r="AI282" s="51">
        <f t="shared" si="282"/>
        <v>1.178948477914435</v>
      </c>
      <c r="AJ282" s="51" t="str">
        <f t="shared" si="263"/>
        <v>1+0.00548541972696536i</v>
      </c>
      <c r="AK282" s="51">
        <f t="shared" si="283"/>
        <v>1.0000150448016174</v>
      </c>
      <c r="AL282" s="51">
        <f t="shared" si="284"/>
        <v>5.4853647095103814E-3</v>
      </c>
      <c r="AM282" s="51" t="str">
        <f t="shared" si="264"/>
        <v>1-0.0142241124056662i</v>
      </c>
      <c r="AN282" s="51">
        <f t="shared" si="285"/>
        <v>1.0001011575704375</v>
      </c>
      <c r="AO282" s="51">
        <f t="shared" si="286"/>
        <v>-1.4223153222484287E-2</v>
      </c>
      <c r="AP282" s="60" t="str">
        <f t="shared" si="287"/>
        <v>6.02076274621641-14.9389894594733i</v>
      </c>
      <c r="AQ282" s="51">
        <f t="shared" si="288"/>
        <v>24.140084607160638</v>
      </c>
      <c r="AR282" s="63">
        <f t="shared" si="289"/>
        <v>-68.04941045194073</v>
      </c>
      <c r="AS282" s="32" t="str">
        <f t="shared" si="265"/>
        <v>-0.000133283554228113</v>
      </c>
      <c r="AT282" s="32" t="str">
        <f t="shared" si="266"/>
        <v>0.00167579572658792i</v>
      </c>
      <c r="AU282" s="32">
        <f t="shared" si="290"/>
        <v>1.6757957265879199E-3</v>
      </c>
      <c r="AV282" s="32">
        <f t="shared" si="291"/>
        <v>1.5707963267948966</v>
      </c>
      <c r="AW282" s="32" t="str">
        <f t="shared" si="267"/>
        <v>1+0.293000462717325i</v>
      </c>
      <c r="AX282" s="32">
        <f t="shared" si="292"/>
        <v>1.0420409162564426</v>
      </c>
      <c r="AY282" s="32">
        <f t="shared" si="293"/>
        <v>0.28502289448046353</v>
      </c>
      <c r="AZ282" s="32" t="str">
        <f t="shared" si="268"/>
        <v>1+4.36642152976306i</v>
      </c>
      <c r="BA282" s="32">
        <f t="shared" si="294"/>
        <v>4.479468380910661</v>
      </c>
      <c r="BB282" s="32">
        <f t="shared" si="295"/>
        <v>1.3456584345319742</v>
      </c>
      <c r="BC282" s="60" t="str">
        <f t="shared" si="296"/>
        <v>-0.29836319408886+0.166955041401539i</v>
      </c>
      <c r="BD282" s="51">
        <f t="shared" si="297"/>
        <v>-9.3220561977791334</v>
      </c>
      <c r="BE282" s="63">
        <f t="shared" si="298"/>
        <v>150.76994004653051</v>
      </c>
      <c r="BF282" s="60" t="str">
        <f t="shared" si="299"/>
        <v>0.497393184441502+0.789697551330016i</v>
      </c>
      <c r="BG282" s="66">
        <f t="shared" si="300"/>
        <v>-0.59970774610338706</v>
      </c>
      <c r="BH282" s="63">
        <f t="shared" si="301"/>
        <v>57.795111816200439</v>
      </c>
      <c r="BI282" s="60" t="str">
        <f t="shared" si="255"/>
        <v>0.697765599891175+5.46244130515167i</v>
      </c>
      <c r="BJ282" s="66">
        <f t="shared" si="302"/>
        <v>14.818028409381512</v>
      </c>
      <c r="BK282" s="63">
        <f t="shared" si="256"/>
        <v>82.720529594589777</v>
      </c>
      <c r="BL282" s="51">
        <f t="shared" si="303"/>
        <v>-0.59970774610338706</v>
      </c>
      <c r="BM282" s="63">
        <f t="shared" si="304"/>
        <v>57.795111816200439</v>
      </c>
    </row>
    <row r="283" spans="14:65" x14ac:dyDescent="0.35">
      <c r="N283" s="11">
        <v>65</v>
      </c>
      <c r="O283" s="52">
        <f t="shared" si="254"/>
        <v>4466.8359215096343</v>
      </c>
      <c r="P283" s="50" t="str">
        <f t="shared" si="257"/>
        <v>36.531007751938</v>
      </c>
      <c r="Q283" s="18" t="str">
        <f t="shared" si="258"/>
        <v>1+13.7066305689264i</v>
      </c>
      <c r="R283" s="18">
        <f t="shared" si="269"/>
        <v>13.743060850954114</v>
      </c>
      <c r="S283" s="18">
        <f t="shared" si="270"/>
        <v>1.4979679697713115</v>
      </c>
      <c r="T283" s="18" t="str">
        <f t="shared" si="259"/>
        <v>1+0.00561319156632226i</v>
      </c>
      <c r="U283" s="18">
        <f t="shared" si="271"/>
        <v>1.0000157538356884</v>
      </c>
      <c r="V283" s="18">
        <f t="shared" si="272"/>
        <v>5.613132614107284E-3</v>
      </c>
      <c r="W283" s="32" t="str">
        <f t="shared" si="260"/>
        <v>1-0.0929996235840375i</v>
      </c>
      <c r="X283" s="18">
        <f t="shared" si="273"/>
        <v>1.0043151547132865</v>
      </c>
      <c r="Y283" s="18">
        <f t="shared" si="274"/>
        <v>-9.2732890650158911E-2</v>
      </c>
      <c r="Z283" s="32" t="str">
        <f t="shared" si="261"/>
        <v>0.999587755720048+0.0422599211375766i</v>
      </c>
      <c r="AA283" s="18">
        <f t="shared" si="275"/>
        <v>1.0004806756354649</v>
      </c>
      <c r="AB283" s="18">
        <f t="shared" si="276"/>
        <v>4.2252188228682978E-2</v>
      </c>
      <c r="AC283" s="68" t="str">
        <f t="shared" si="277"/>
        <v>-0.150798931911448-2.66410727283959i</v>
      </c>
      <c r="AD283" s="66">
        <f t="shared" si="278"/>
        <v>8.524926733295251</v>
      </c>
      <c r="AE283" s="63">
        <f t="shared" si="279"/>
        <v>-93.239709022039193</v>
      </c>
      <c r="AF283" s="51" t="str">
        <f t="shared" si="280"/>
        <v>42.1703962805665</v>
      </c>
      <c r="AG283" s="51" t="str">
        <f t="shared" si="262"/>
        <v>1+2.47640804396571i</v>
      </c>
      <c r="AH283" s="51">
        <f t="shared" si="281"/>
        <v>2.6706921949595901</v>
      </c>
      <c r="AI283" s="51">
        <f t="shared" si="282"/>
        <v>1.1870092091156135</v>
      </c>
      <c r="AJ283" s="51" t="str">
        <f t="shared" si="263"/>
        <v>1+0.00561319156632226i</v>
      </c>
      <c r="AK283" s="51">
        <f t="shared" si="283"/>
        <v>1.0000157538356884</v>
      </c>
      <c r="AL283" s="51">
        <f t="shared" si="284"/>
        <v>5.613132614107284E-3</v>
      </c>
      <c r="AM283" s="51" t="str">
        <f t="shared" si="264"/>
        <v>1-0.0145554345461319i</v>
      </c>
      <c r="AN283" s="51">
        <f t="shared" si="285"/>
        <v>1.0001059247273894</v>
      </c>
      <c r="AO283" s="51">
        <f t="shared" si="286"/>
        <v>-1.4554406768714327E-2</v>
      </c>
      <c r="AP283" s="60" t="str">
        <f t="shared" si="287"/>
        <v>5.78190447499129-14.6954526814054i</v>
      </c>
      <c r="AQ283" s="51">
        <f t="shared" si="288"/>
        <v>23.968733735779267</v>
      </c>
      <c r="AR283" s="63">
        <f t="shared" si="289"/>
        <v>-68.522915198014729</v>
      </c>
      <c r="AS283" s="32" t="str">
        <f t="shared" si="265"/>
        <v>-0.000133283554228113</v>
      </c>
      <c r="AT283" s="32" t="str">
        <f t="shared" si="266"/>
        <v>0.00171483002351145i</v>
      </c>
      <c r="AU283" s="32">
        <f t="shared" si="290"/>
        <v>1.71483002351145E-3</v>
      </c>
      <c r="AV283" s="32">
        <f t="shared" si="291"/>
        <v>1.5707963267948966</v>
      </c>
      <c r="AW283" s="32" t="str">
        <f t="shared" si="267"/>
        <v>1+0.299825320233657i</v>
      </c>
      <c r="AX283" s="32">
        <f t="shared" si="292"/>
        <v>1.0439804704366913</v>
      </c>
      <c r="AY283" s="32">
        <f t="shared" si="293"/>
        <v>0.29129653010783929</v>
      </c>
      <c r="AZ283" s="32" t="str">
        <f t="shared" si="268"/>
        <v>1+4.46812855275035i</v>
      </c>
      <c r="BA283" s="32">
        <f t="shared" si="294"/>
        <v>4.5786649543183371</v>
      </c>
      <c r="BB283" s="32">
        <f t="shared" si="295"/>
        <v>1.3506173577286782</v>
      </c>
      <c r="BC283" s="60" t="str">
        <f t="shared" si="296"/>
        <v>-0.297255598617505+0.166848816557624i</v>
      </c>
      <c r="BD283" s="51">
        <f t="shared" si="297"/>
        <v>-9.3479604530673335</v>
      </c>
      <c r="BE283" s="63">
        <f t="shared" si="298"/>
        <v>150.69461257297948</v>
      </c>
      <c r="BF283" s="60" t="str">
        <f t="shared" si="299"/>
        <v>0.489328972432063+0.766760178841602i</v>
      </c>
      <c r="BG283" s="66">
        <f t="shared" si="300"/>
        <v>-0.8230337197720804</v>
      </c>
      <c r="BH283" s="63">
        <f t="shared" si="301"/>
        <v>57.454903550940237</v>
      </c>
      <c r="BI283" s="60" t="str">
        <f t="shared" si="255"/>
        <v>0.733215412808286+5.33300950286791i</v>
      </c>
      <c r="BJ283" s="66">
        <f t="shared" si="302"/>
        <v>14.620773282711934</v>
      </c>
      <c r="BK283" s="63">
        <f t="shared" si="256"/>
        <v>82.171697374964751</v>
      </c>
      <c r="BL283" s="51">
        <f t="shared" si="303"/>
        <v>-0.8230337197720804</v>
      </c>
      <c r="BM283" s="63">
        <f t="shared" si="304"/>
        <v>57.454903550940237</v>
      </c>
    </row>
    <row r="284" spans="14:65" x14ac:dyDescent="0.35">
      <c r="N284" s="11">
        <v>66</v>
      </c>
      <c r="O284" s="52">
        <f t="shared" ref="O284:O318" si="305">10^(3+(N284/100))</f>
        <v>4570.8818961487532</v>
      </c>
      <c r="P284" s="50" t="str">
        <f t="shared" si="257"/>
        <v>36.531007751938</v>
      </c>
      <c r="Q284" s="18" t="str">
        <f t="shared" si="258"/>
        <v>1+14.0258990089636i</v>
      </c>
      <c r="R284" s="18">
        <f t="shared" si="269"/>
        <v>14.061502160496442</v>
      </c>
      <c r="S284" s="18">
        <f t="shared" si="270"/>
        <v>1.4996200875337715</v>
      </c>
      <c r="T284" s="18" t="str">
        <f t="shared" si="259"/>
        <v>1+0.005743939594147i</v>
      </c>
      <c r="U284" s="18">
        <f t="shared" si="271"/>
        <v>1.0000164962849669</v>
      </c>
      <c r="V284" s="18">
        <f t="shared" si="272"/>
        <v>5.7438764257668447E-3</v>
      </c>
      <c r="W284" s="32" t="str">
        <f t="shared" si="260"/>
        <v>1-0.0951658630982936i</v>
      </c>
      <c r="X284" s="18">
        <f t="shared" si="273"/>
        <v>1.0045180642971252</v>
      </c>
      <c r="Y284" s="18">
        <f t="shared" si="274"/>
        <v>-9.488012299272465E-2</v>
      </c>
      <c r="Z284" s="32" t="str">
        <f t="shared" si="261"/>
        <v>0.999568327245691+0.0432442811544195i</v>
      </c>
      <c r="AA284" s="18">
        <f t="shared" si="275"/>
        <v>1.0005033276732822</v>
      </c>
      <c r="AB284" s="18">
        <f t="shared" si="276"/>
        <v>4.3235995345912277E-2</v>
      </c>
      <c r="AC284" s="68" t="str">
        <f t="shared" si="277"/>
        <v>-0.159524820710217-2.60353007613915i</v>
      </c>
      <c r="AD284" s="66">
        <f t="shared" si="278"/>
        <v>8.3275262566937425</v>
      </c>
      <c r="AE284" s="63">
        <f t="shared" si="279"/>
        <v>-93.50627267501639</v>
      </c>
      <c r="AF284" s="51" t="str">
        <f t="shared" si="280"/>
        <v>42.1703962805665</v>
      </c>
      <c r="AG284" s="51" t="str">
        <f t="shared" si="262"/>
        <v>1+2.5340909974178i</v>
      </c>
      <c r="AH284" s="51">
        <f t="shared" si="281"/>
        <v>2.7242645215165764</v>
      </c>
      <c r="AI284" s="51">
        <f t="shared" si="282"/>
        <v>1.1949374881531047</v>
      </c>
      <c r="AJ284" s="51" t="str">
        <f t="shared" si="263"/>
        <v>1+0.005743939594147i</v>
      </c>
      <c r="AK284" s="51">
        <f t="shared" si="283"/>
        <v>1.0000164962849669</v>
      </c>
      <c r="AL284" s="51">
        <f t="shared" si="284"/>
        <v>5.7438764257668447E-3</v>
      </c>
      <c r="AM284" s="51" t="str">
        <f t="shared" si="264"/>
        <v>1-0.014894474170658i</v>
      </c>
      <c r="AN284" s="51">
        <f t="shared" si="285"/>
        <v>1.0001109165291719</v>
      </c>
      <c r="AO284" s="51">
        <f t="shared" si="286"/>
        <v>-1.4893372893909958E-2</v>
      </c>
      <c r="AP284" s="60" t="str">
        <f t="shared" si="287"/>
        <v>5.55083128134257-14.4521932475058i</v>
      </c>
      <c r="AQ284" s="51">
        <f t="shared" si="288"/>
        <v>23.796274791042144</v>
      </c>
      <c r="AR284" s="63">
        <f t="shared" si="289"/>
        <v>-68.989102385431153</v>
      </c>
      <c r="AS284" s="32" t="str">
        <f t="shared" si="265"/>
        <v>-0.000133283554228113</v>
      </c>
      <c r="AT284" s="32" t="str">
        <f t="shared" si="266"/>
        <v>0.00175477354601191i</v>
      </c>
      <c r="AU284" s="32">
        <f t="shared" si="290"/>
        <v>1.75477354601191E-3</v>
      </c>
      <c r="AV284" s="32">
        <f t="shared" si="291"/>
        <v>1.5707963267948966</v>
      </c>
      <c r="AW284" s="32" t="str">
        <f t="shared" si="267"/>
        <v>1+0.306809149103434i</v>
      </c>
      <c r="AX284" s="32">
        <f t="shared" si="292"/>
        <v>1.0460075783537963</v>
      </c>
      <c r="AY284" s="32">
        <f t="shared" si="293"/>
        <v>0.29769195413238142</v>
      </c>
      <c r="AZ284" s="32" t="str">
        <f t="shared" si="268"/>
        <v>1+4.57220463663898i</v>
      </c>
      <c r="BA284" s="32">
        <f t="shared" si="294"/>
        <v>4.6802836708155828</v>
      </c>
      <c r="BB284" s="32">
        <f t="shared" si="295"/>
        <v>1.3554740614265524</v>
      </c>
      <c r="BC284" s="60" t="str">
        <f t="shared" si="296"/>
        <v>-0.296104583431646+0.166802441160584i</v>
      </c>
      <c r="BD284" s="51">
        <f t="shared" si="297"/>
        <v>-9.3741433572880553</v>
      </c>
      <c r="BE284" s="63">
        <f t="shared" si="298"/>
        <v>150.60645039241038</v>
      </c>
      <c r="BF284" s="60" t="str">
        <f t="shared" si="299"/>
        <v>0.481511202918418+0.744308059126776i</v>
      </c>
      <c r="BG284" s="66">
        <f t="shared" si="300"/>
        <v>-1.0466171005943112</v>
      </c>
      <c r="BH284" s="63">
        <f t="shared" si="301"/>
        <v>57.100177717393997</v>
      </c>
      <c r="BI284" s="60" t="str">
        <f t="shared" si="255"/>
        <v>0.767034529547184+5.20525286942482i</v>
      </c>
      <c r="BJ284" s="66">
        <f t="shared" si="302"/>
        <v>14.42213143375408</v>
      </c>
      <c r="BK284" s="63">
        <f t="shared" si="256"/>
        <v>81.617348006979228</v>
      </c>
      <c r="BL284" s="51">
        <f t="shared" si="303"/>
        <v>-1.0466171005943112</v>
      </c>
      <c r="BM284" s="63">
        <f t="shared" si="304"/>
        <v>57.100177717393997</v>
      </c>
    </row>
    <row r="285" spans="14:65" x14ac:dyDescent="0.35">
      <c r="N285" s="11">
        <v>67</v>
      </c>
      <c r="O285" s="52">
        <f t="shared" si="305"/>
        <v>4677.3514128719844</v>
      </c>
      <c r="P285" s="50" t="str">
        <f t="shared" si="257"/>
        <v>36.531007751938</v>
      </c>
      <c r="Q285" s="18" t="str">
        <f t="shared" si="258"/>
        <v>1+14.35260416631i</v>
      </c>
      <c r="R285" s="18">
        <f t="shared" si="269"/>
        <v>14.387398873833281</v>
      </c>
      <c r="S285" s="18">
        <f t="shared" si="270"/>
        <v>1.5012349746773044</v>
      </c>
      <c r="T285" s="18" t="str">
        <f t="shared" si="259"/>
        <v>1+0.00587773313477458i</v>
      </c>
      <c r="U285" s="18">
        <f t="shared" si="271"/>
        <v>1.000017273724211</v>
      </c>
      <c r="V285" s="18">
        <f t="shared" si="272"/>
        <v>5.8776654486989086E-3</v>
      </c>
      <c r="W285" s="32" t="str">
        <f t="shared" si="260"/>
        <v>1-0.0973825608128334i</v>
      </c>
      <c r="X285" s="18">
        <f t="shared" si="273"/>
        <v>1.0047304927941947</v>
      </c>
      <c r="Y285" s="18">
        <f t="shared" si="274"/>
        <v>-9.7076462575787947E-2</v>
      </c>
      <c r="Z285" s="32" t="str">
        <f t="shared" si="261"/>
        <v>0.999547983135548+0.0442515698615361i</v>
      </c>
      <c r="AA285" s="18">
        <f t="shared" si="275"/>
        <v>1.0005270471234409</v>
      </c>
      <c r="AB285" s="18">
        <f t="shared" si="276"/>
        <v>4.4242691629037795E-2</v>
      </c>
      <c r="AC285" s="68" t="str">
        <f t="shared" si="277"/>
        <v>-0.167860268108358-2.54427749765437i</v>
      </c>
      <c r="AD285" s="66">
        <f t="shared" si="278"/>
        <v>8.1301524051144582</v>
      </c>
      <c r="AE285" s="63">
        <f t="shared" si="279"/>
        <v>-93.774653783133232</v>
      </c>
      <c r="AF285" s="51" t="str">
        <f t="shared" si="280"/>
        <v>42.1703962805665</v>
      </c>
      <c r="AG285" s="51" t="str">
        <f t="shared" si="262"/>
        <v>1+2.59311755945938i</v>
      </c>
      <c r="AH285" s="51">
        <f t="shared" si="281"/>
        <v>2.779255057956461</v>
      </c>
      <c r="AI285" s="51">
        <f t="shared" si="282"/>
        <v>1.2027335308474176</v>
      </c>
      <c r="AJ285" s="51" t="str">
        <f t="shared" si="263"/>
        <v>1+0.00587773313477458i</v>
      </c>
      <c r="AK285" s="51">
        <f t="shared" si="283"/>
        <v>1.000017273724211</v>
      </c>
      <c r="AL285" s="51">
        <f t="shared" si="284"/>
        <v>5.8776654486989086E-3</v>
      </c>
      <c r="AM285" s="51" t="str">
        <f t="shared" si="264"/>
        <v>1-0.015241411042541i</v>
      </c>
      <c r="AN285" s="51">
        <f t="shared" si="285"/>
        <v>1.0001161435606205</v>
      </c>
      <c r="AO285" s="51">
        <f t="shared" si="286"/>
        <v>-1.5240231010646213E-2</v>
      </c>
      <c r="AP285" s="60" t="str">
        <f t="shared" si="287"/>
        <v>5.3274018234752-14.2094492227636i</v>
      </c>
      <c r="AQ285" s="51">
        <f t="shared" si="288"/>
        <v>23.622744336931021</v>
      </c>
      <c r="AR285" s="63">
        <f t="shared" si="289"/>
        <v>-69.447990688538809</v>
      </c>
      <c r="AS285" s="32" t="str">
        <f t="shared" si="265"/>
        <v>-0.000133283554228113</v>
      </c>
      <c r="AT285" s="32" t="str">
        <f t="shared" si="266"/>
        <v>0.00179564747267364i</v>
      </c>
      <c r="AU285" s="32">
        <f t="shared" si="290"/>
        <v>1.7956474726736401E-3</v>
      </c>
      <c r="AV285" s="32">
        <f t="shared" si="291"/>
        <v>1.5707963267948966</v>
      </c>
      <c r="AW285" s="32" t="str">
        <f t="shared" si="267"/>
        <v>1+0.313955652245165i</v>
      </c>
      <c r="AX285" s="32">
        <f t="shared" si="292"/>
        <v>1.0481260189388903</v>
      </c>
      <c r="AY285" s="32">
        <f t="shared" si="293"/>
        <v>0.30421046406174351</v>
      </c>
      <c r="AZ285" s="32" t="str">
        <f t="shared" si="268"/>
        <v>1+4.67870496394624i</v>
      </c>
      <c r="BA285" s="32">
        <f t="shared" si="294"/>
        <v>4.7843787621440663</v>
      </c>
      <c r="BB285" s="32">
        <f t="shared" si="295"/>
        <v>1.3602302038331076</v>
      </c>
      <c r="BC285" s="60" t="str">
        <f t="shared" si="296"/>
        <v>-0.294908837813257+0.166814199026892i</v>
      </c>
      <c r="BD285" s="51">
        <f t="shared" si="297"/>
        <v>-9.4006492293440118</v>
      </c>
      <c r="BE285" s="63">
        <f t="shared" si="298"/>
        <v>150.5054741714026</v>
      </c>
      <c r="BF285" s="60" t="str">
        <f t="shared" si="299"/>
        <v>0.473925089456216+0.722328443734737i</v>
      </c>
      <c r="BG285" s="66">
        <f t="shared" si="300"/>
        <v>-1.2704968242295556</v>
      </c>
      <c r="BH285" s="63">
        <f t="shared" si="301"/>
        <v>56.730820388269407</v>
      </c>
      <c r="BI285" s="60" t="str">
        <f t="shared" si="255"/>
        <v>0.799240010383306+5.07917842432912i</v>
      </c>
      <c r="BJ285" s="66">
        <f t="shared" si="302"/>
        <v>14.222095107587007</v>
      </c>
      <c r="BK285" s="63">
        <f t="shared" si="256"/>
        <v>81.057483482863802</v>
      </c>
      <c r="BL285" s="51">
        <f t="shared" si="303"/>
        <v>-1.2704968242295556</v>
      </c>
      <c r="BM285" s="63">
        <f t="shared" si="304"/>
        <v>56.730820388269407</v>
      </c>
    </row>
    <row r="286" spans="14:65" x14ac:dyDescent="0.35">
      <c r="N286" s="11">
        <v>68</v>
      </c>
      <c r="O286" s="52">
        <f t="shared" si="305"/>
        <v>4786.3009232263848</v>
      </c>
      <c r="P286" s="50" t="str">
        <f t="shared" si="257"/>
        <v>36.531007751938</v>
      </c>
      <c r="Q286" s="18" t="str">
        <f t="shared" si="258"/>
        <v>1+14.6869192643646i</v>
      </c>
      <c r="R286" s="18">
        <f t="shared" si="269"/>
        <v>14.720923798388604</v>
      </c>
      <c r="S286" s="18">
        <f t="shared" si="270"/>
        <v>1.5028134537263305</v>
      </c>
      <c r="T286" s="18" t="str">
        <f t="shared" si="259"/>
        <v>1+0.00601464312731122i</v>
      </c>
      <c r="U286" s="18">
        <f t="shared" si="271"/>
        <v>1.0000180878023901</v>
      </c>
      <c r="V286" s="18">
        <f t="shared" si="272"/>
        <v>6.0145706004452928E-3</v>
      </c>
      <c r="W286" s="32" t="str">
        <f t="shared" si="260"/>
        <v>1-0.0996508920501268i</v>
      </c>
      <c r="X286" s="18">
        <f t="shared" si="273"/>
        <v>1.004952884610212</v>
      </c>
      <c r="Y286" s="18">
        <f t="shared" si="274"/>
        <v>-9.9322989121506527E-2</v>
      </c>
      <c r="Z286" s="32" t="str">
        <f t="shared" si="261"/>
        <v>0.999526680237032+0.0452823213367321i</v>
      </c>
      <c r="AA286" s="18">
        <f t="shared" si="275"/>
        <v>1.0005518842775247</v>
      </c>
      <c r="AB286" s="18">
        <f t="shared" si="276"/>
        <v>4.527280833137972E-2</v>
      </c>
      <c r="AC286" s="68" t="str">
        <f t="shared" si="277"/>
        <v>-0.175822431494555-2.48632181684977i</v>
      </c>
      <c r="AD286" s="66">
        <f t="shared" si="278"/>
        <v>7.9328106120363788</v>
      </c>
      <c r="AE286" s="63">
        <f t="shared" si="279"/>
        <v>-94.044987712387453</v>
      </c>
      <c r="AF286" s="51" t="str">
        <f t="shared" si="280"/>
        <v>42.1703962805665</v>
      </c>
      <c r="AG286" s="51" t="str">
        <f t="shared" si="262"/>
        <v>1+2.65351902675496i</v>
      </c>
      <c r="AH286" s="51">
        <f t="shared" si="281"/>
        <v>2.8356944873082841</v>
      </c>
      <c r="AI286" s="51">
        <f t="shared" si="282"/>
        <v>1.2103976790978441</v>
      </c>
      <c r="AJ286" s="51" t="str">
        <f t="shared" si="263"/>
        <v>1+0.00601464312731122i</v>
      </c>
      <c r="AK286" s="51">
        <f t="shared" si="283"/>
        <v>1.0000180878023901</v>
      </c>
      <c r="AL286" s="51">
        <f t="shared" si="284"/>
        <v>6.0145706004452928E-3</v>
      </c>
      <c r="AM286" s="51" t="str">
        <f t="shared" si="264"/>
        <v>1-0.0155964291123027i</v>
      </c>
      <c r="AN286" s="51">
        <f t="shared" si="285"/>
        <v>1.0001216169051916</v>
      </c>
      <c r="AO286" s="51">
        <f t="shared" si="286"/>
        <v>-1.5595164693650737E-2</v>
      </c>
      <c r="AP286" s="60" t="str">
        <f t="shared" si="287"/>
        <v>5.11146828426583-13.9674460590166i</v>
      </c>
      <c r="AQ286" s="51">
        <f t="shared" si="288"/>
        <v>23.44817825881691</v>
      </c>
      <c r="AR286" s="63">
        <f t="shared" si="289"/>
        <v>-69.89960615150531</v>
      </c>
      <c r="AS286" s="32" t="str">
        <f t="shared" si="265"/>
        <v>-0.000133283554228113</v>
      </c>
      <c r="AT286" s="32" t="str">
        <f t="shared" si="266"/>
        <v>0.00183747347539358i</v>
      </c>
      <c r="AU286" s="32">
        <f t="shared" si="290"/>
        <v>1.83747347539358E-3</v>
      </c>
      <c r="AV286" s="32">
        <f t="shared" si="291"/>
        <v>1.5707963267948966</v>
      </c>
      <c r="AW286" s="32" t="str">
        <f t="shared" si="267"/>
        <v>1+0.321268618829411i</v>
      </c>
      <c r="AX286" s="32">
        <f t="shared" si="292"/>
        <v>1.0503397190645307</v>
      </c>
      <c r="AY286" s="32">
        <f t="shared" si="293"/>
        <v>0.31085329947170204</v>
      </c>
      <c r="AZ286" s="32" t="str">
        <f t="shared" si="268"/>
        <v>1+4.78768600255536i</v>
      </c>
      <c r="BA286" s="32">
        <f t="shared" si="294"/>
        <v>4.8910057512810718</v>
      </c>
      <c r="BB286" s="32">
        <f t="shared" si="295"/>
        <v>1.364887445615538</v>
      </c>
      <c r="BC286" s="60" t="str">
        <f t="shared" si="296"/>
        <v>-0.293667045742199+0.166882320861752i</v>
      </c>
      <c r="BD286" s="51">
        <f t="shared" si="297"/>
        <v>-9.4275225705629691</v>
      </c>
      <c r="BE286" s="63">
        <f t="shared" si="298"/>
        <v>150.39170803671709</v>
      </c>
      <c r="BF286" s="60" t="str">
        <f t="shared" si="299"/>
        <v>0.466556409237314+0.700809127291281i</v>
      </c>
      <c r="BG286" s="66">
        <f t="shared" si="300"/>
        <v>-1.4947119585265891</v>
      </c>
      <c r="BH286" s="63">
        <f t="shared" si="301"/>
        <v>56.346720324329603</v>
      </c>
      <c r="BI286" s="60" t="str">
        <f t="shared" si="255"/>
        <v>0.829850024394729+4.95479231100444i</v>
      </c>
      <c r="BJ286" s="66">
        <f t="shared" si="302"/>
        <v>14.020655688253933</v>
      </c>
      <c r="BK286" s="63">
        <f t="shared" si="256"/>
        <v>80.492101885211767</v>
      </c>
      <c r="BL286" s="51">
        <f t="shared" si="303"/>
        <v>-1.4947119585265891</v>
      </c>
      <c r="BM286" s="63">
        <f t="shared" si="304"/>
        <v>56.346720324329603</v>
      </c>
    </row>
    <row r="287" spans="14:65" x14ac:dyDescent="0.35">
      <c r="N287" s="11">
        <v>69</v>
      </c>
      <c r="O287" s="52">
        <f t="shared" si="305"/>
        <v>4897.7881936844633</v>
      </c>
      <c r="P287" s="50" t="str">
        <f t="shared" si="257"/>
        <v>36.531007751938</v>
      </c>
      <c r="Q287" s="18" t="str">
        <f t="shared" si="258"/>
        <v>1+15.0290215614175i</v>
      </c>
      <c r="R287" s="18">
        <f t="shared" si="269"/>
        <v>15.062253785325492</v>
      </c>
      <c r="S287" s="18">
        <f t="shared" si="270"/>
        <v>1.5043563301301934</v>
      </c>
      <c r="T287" s="18" t="str">
        <f t="shared" si="259"/>
        <v>1+0.00615474216324718i</v>
      </c>
      <c r="U287" s="18">
        <f t="shared" si="271"/>
        <v>1.0000189402461817</v>
      </c>
      <c r="V287" s="18">
        <f t="shared" si="272"/>
        <v>6.1546644493896858E-3</v>
      </c>
      <c r="W287" s="32" t="str">
        <f t="shared" si="260"/>
        <v>1-0.101972059509421i</v>
      </c>
      <c r="X287" s="18">
        <f t="shared" si="273"/>
        <v>1.0051857046937112</v>
      </c>
      <c r="Y287" s="18">
        <f t="shared" si="274"/>
        <v>-0.10162080301454648</v>
      </c>
      <c r="Z287" s="32" t="str">
        <f t="shared" si="261"/>
        <v>0.999504373363839+0.0463370820980833i</v>
      </c>
      <c r="AA287" s="18">
        <f t="shared" si="275"/>
        <v>1.0005778917959385</v>
      </c>
      <c r="AB287" s="18">
        <f t="shared" si="276"/>
        <v>4.6326888944799749E-2</v>
      </c>
      <c r="AC287" s="68" t="str">
        <f t="shared" si="277"/>
        <v>-0.183427722120288-2.42963575845534i</v>
      </c>
      <c r="AD287" s="66">
        <f t="shared" si="278"/>
        <v>7.7355063715689223</v>
      </c>
      <c r="AE287" s="63">
        <f t="shared" si="279"/>
        <v>-94.317410640952133</v>
      </c>
      <c r="AF287" s="51" t="str">
        <f t="shared" si="280"/>
        <v>42.1703962805665</v>
      </c>
      <c r="AG287" s="51" t="str">
        <f t="shared" si="262"/>
        <v>1+2.715327424962i</v>
      </c>
      <c r="AH287" s="51">
        <f t="shared" si="281"/>
        <v>2.8936141803548665</v>
      </c>
      <c r="AI287" s="51">
        <f t="shared" si="282"/>
        <v>1.2179303940409929</v>
      </c>
      <c r="AJ287" s="51" t="str">
        <f t="shared" si="263"/>
        <v>1+0.00615474216324718i</v>
      </c>
      <c r="AK287" s="51">
        <f t="shared" si="283"/>
        <v>1.0000189402461817</v>
      </c>
      <c r="AL287" s="51">
        <f t="shared" si="284"/>
        <v>6.1546644493896858E-3</v>
      </c>
      <c r="AM287" s="51" t="str">
        <f t="shared" si="264"/>
        <v>1-0.015959716615223i</v>
      </c>
      <c r="AN287" s="51">
        <f t="shared" si="285"/>
        <v>1.0001273481684412</v>
      </c>
      <c r="AO287" s="51">
        <f t="shared" si="286"/>
        <v>-1.5958361775544719E-2</v>
      </c>
      <c r="AP287" s="60" t="str">
        <f t="shared" si="287"/>
        <v>4.90287723710799-13.7263966813019i</v>
      </c>
      <c r="AQ287" s="51">
        <f t="shared" si="288"/>
        <v>23.27261173515523</v>
      </c>
      <c r="AR287" s="63">
        <f t="shared" si="289"/>
        <v>-70.343981799666579</v>
      </c>
      <c r="AS287" s="32" t="str">
        <f t="shared" si="265"/>
        <v>-0.000133283554228113</v>
      </c>
      <c r="AT287" s="32" t="str">
        <f t="shared" si="266"/>
        <v>0.00188027373087201i</v>
      </c>
      <c r="AU287" s="32">
        <f t="shared" si="290"/>
        <v>1.8802737308720101E-3</v>
      </c>
      <c r="AV287" s="32">
        <f t="shared" si="291"/>
        <v>1.5707963267948966</v>
      </c>
      <c r="AW287" s="32" t="str">
        <f t="shared" si="267"/>
        <v>1+0.328751926287853i</v>
      </c>
      <c r="AX287" s="32">
        <f t="shared" si="292"/>
        <v>1.0526527580536584</v>
      </c>
      <c r="AY287" s="32">
        <f t="shared" si="293"/>
        <v>0.31762163661092246</v>
      </c>
      <c r="AZ287" s="32" t="str">
        <f t="shared" si="268"/>
        <v>1+4.89920553565557i</v>
      </c>
      <c r="BA287" s="32">
        <f t="shared" si="294"/>
        <v>5.0002214831543395</v>
      </c>
      <c r="BB287" s="32">
        <f t="shared" si="295"/>
        <v>1.3694474476076219</v>
      </c>
      <c r="BC287" s="60" t="str">
        <f t="shared" si="296"/>
        <v>-0.292377889305317+0.16700498088979i</v>
      </c>
      <c r="BD287" s="51">
        <f t="shared" si="297"/>
        <v>-9.4548080839769035</v>
      </c>
      <c r="BE287" s="63">
        <f t="shared" si="298"/>
        <v>150.26517975303594</v>
      </c>
      <c r="BF287" s="60" t="str">
        <f t="shared" si="299"/>
        <v>0.459391483643596+0.679738431610539i</v>
      </c>
      <c r="BG287" s="66">
        <f t="shared" si="300"/>
        <v>-1.7193017124079835</v>
      </c>
      <c r="BH287" s="63">
        <f t="shared" si="301"/>
        <v>55.947769112083854</v>
      </c>
      <c r="BI287" s="60" t="str">
        <f t="shared" si="255"/>
        <v>0.858883717337782+4.83209980873476i</v>
      </c>
      <c r="BJ287" s="66">
        <f t="shared" si="302"/>
        <v>13.817803651178318</v>
      </c>
      <c r="BK287" s="63">
        <f t="shared" si="256"/>
        <v>79.921197953369386</v>
      </c>
      <c r="BL287" s="51">
        <f t="shared" si="303"/>
        <v>-1.7193017124079835</v>
      </c>
      <c r="BM287" s="63">
        <f t="shared" si="304"/>
        <v>55.947769112083854</v>
      </c>
    </row>
    <row r="288" spans="14:65" x14ac:dyDescent="0.35">
      <c r="N288" s="11">
        <v>70</v>
      </c>
      <c r="O288" s="52">
        <f t="shared" si="305"/>
        <v>5011.8723362727324</v>
      </c>
      <c r="P288" s="50" t="str">
        <f t="shared" si="257"/>
        <v>36.531007751938</v>
      </c>
      <c r="Q288" s="18" t="str">
        <f t="shared" si="258"/>
        <v>1+15.3790924446349i</v>
      </c>
      <c r="R288" s="18">
        <f t="shared" si="269"/>
        <v>15.411569823370566</v>
      </c>
      <c r="S288" s="18">
        <f t="shared" si="270"/>
        <v>1.505864392543717</v>
      </c>
      <c r="T288" s="18" t="str">
        <f t="shared" si="259"/>
        <v>1+0.00629810452494574i</v>
      </c>
      <c r="U288" s="18">
        <f t="shared" si="271"/>
        <v>1.0000198328636323</v>
      </c>
      <c r="V288" s="18">
        <f t="shared" si="272"/>
        <v>6.2980212531363452E-3</v>
      </c>
      <c r="W288" s="32" t="str">
        <f t="shared" si="260"/>
        <v>1-0.104347293904427i</v>
      </c>
      <c r="X288" s="18">
        <f t="shared" si="273"/>
        <v>1.0054294394661303</v>
      </c>
      <c r="Y288" s="18">
        <f t="shared" si="274"/>
        <v>-0.10397102547433745</v>
      </c>
      <c r="Z288" s="32" t="str">
        <f t="shared" si="261"/>
        <v>0.999481015200101+0.0474164113937067i</v>
      </c>
      <c r="AA288" s="18">
        <f t="shared" si="275"/>
        <v>1.0006051248194172</v>
      </c>
      <c r="AB288" s="18">
        <f t="shared" si="276"/>
        <v>4.7405489475078527E-2</v>
      </c>
      <c r="AC288" s="68" t="str">
        <f t="shared" si="277"/>
        <v>-0.190691835951794-2.3741924938015i</v>
      </c>
      <c r="AD288" s="66">
        <f t="shared" si="278"/>
        <v>7.5382452489162146</v>
      </c>
      <c r="AE288" s="63">
        <f t="shared" si="279"/>
        <v>-94.592059598698597</v>
      </c>
      <c r="AF288" s="51" t="str">
        <f t="shared" si="280"/>
        <v>42.1703962805665</v>
      </c>
      <c r="AG288" s="51" t="str">
        <f t="shared" si="262"/>
        <v>1+2.77857552571136i</v>
      </c>
      <c r="AH288" s="51">
        <f t="shared" si="281"/>
        <v>2.9530462157037363</v>
      </c>
      <c r="AI288" s="51">
        <f t="shared" si="282"/>
        <v>1.2253322492702037</v>
      </c>
      <c r="AJ288" s="51" t="str">
        <f t="shared" si="263"/>
        <v>1+0.00629810452494574i</v>
      </c>
      <c r="AK288" s="51">
        <f t="shared" si="283"/>
        <v>1.0000198328636323</v>
      </c>
      <c r="AL288" s="51">
        <f t="shared" si="284"/>
        <v>6.2980212531363452E-3</v>
      </c>
      <c r="AM288" s="51" t="str">
        <f t="shared" si="264"/>
        <v>1-0.0163314661711444i</v>
      </c>
      <c r="AN288" s="51">
        <f t="shared" si="285"/>
        <v>1.0001333495026046</v>
      </c>
      <c r="AO288" s="51">
        <f t="shared" si="286"/>
        <v>-1.6330014444727519E-2</v>
      </c>
      <c r="AP288" s="60" t="str">
        <f t="shared" si="287"/>
        <v>4.70147047179062-13.4865016244185i</v>
      </c>
      <c r="AQ288" s="51">
        <f t="shared" si="288"/>
        <v>23.096079213189459</v>
      </c>
      <c r="AR288" s="63">
        <f t="shared" si="289"/>
        <v>-70.781157254436977</v>
      </c>
      <c r="AS288" s="32" t="str">
        <f t="shared" si="265"/>
        <v>-0.000133283554228113</v>
      </c>
      <c r="AT288" s="32" t="str">
        <f t="shared" si="266"/>
        <v>0.00192407093237092i</v>
      </c>
      <c r="AU288" s="32">
        <f t="shared" si="290"/>
        <v>1.92407093237092E-3</v>
      </c>
      <c r="AV288" s="32">
        <f t="shared" si="291"/>
        <v>1.5707963267948966</v>
      </c>
      <c r="AW288" s="32" t="str">
        <f t="shared" si="267"/>
        <v>1+0.33640954236916i</v>
      </c>
      <c r="AX288" s="32">
        <f t="shared" si="292"/>
        <v>1.055069372220153</v>
      </c>
      <c r="AY288" s="32">
        <f t="shared" si="293"/>
        <v>0.32451658280366641</v>
      </c>
      <c r="AZ288" s="32" t="str">
        <f t="shared" si="268"/>
        <v>1+5.01332269237943i</v>
      </c>
      <c r="BA288" s="32">
        <f t="shared" si="294"/>
        <v>5.1120841559902486</v>
      </c>
      <c r="BB288" s="32">
        <f t="shared" si="295"/>
        <v>1.3739118686743921</v>
      </c>
      <c r="BC288" s="60" t="str">
        <f t="shared" si="296"/>
        <v>-0.291040052415647+0.167180293581384i</v>
      </c>
      <c r="BD288" s="51">
        <f t="shared" si="297"/>
        <v>-9.4825506914786928</v>
      </c>
      <c r="BE288" s="63">
        <f t="shared" si="298"/>
        <v>150.12592092131703</v>
      </c>
      <c r="BF288" s="60" t="str">
        <f t="shared" si="299"/>
        <v>0.452417160063099+0.65910519072283i</v>
      </c>
      <c r="BG288" s="66">
        <f t="shared" si="300"/>
        <v>-1.9443054425624819</v>
      </c>
      <c r="BH288" s="63">
        <f t="shared" si="301"/>
        <v>55.533861322618428</v>
      </c>
      <c r="BI288" s="60" t="str">
        <f t="shared" si="255"/>
        <v>0.886361088415538+4.71110535341263i</v>
      </c>
      <c r="BJ288" s="66">
        <f t="shared" si="302"/>
        <v>13.61352852171076</v>
      </c>
      <c r="BK288" s="63">
        <f t="shared" si="256"/>
        <v>79.344763666880056</v>
      </c>
      <c r="BL288" s="51">
        <f t="shared" si="303"/>
        <v>-1.9443054425624819</v>
      </c>
      <c r="BM288" s="63">
        <f t="shared" si="304"/>
        <v>55.533861322618428</v>
      </c>
    </row>
    <row r="289" spans="14:65" x14ac:dyDescent="0.35">
      <c r="N289" s="11">
        <v>71</v>
      </c>
      <c r="O289" s="52">
        <f t="shared" si="305"/>
        <v>5128.6138399136489</v>
      </c>
      <c r="P289" s="50" t="str">
        <f t="shared" si="257"/>
        <v>36.531007751938</v>
      </c>
      <c r="Q289" s="18" t="str">
        <f t="shared" si="258"/>
        <v>1+15.7373175262328i</v>
      </c>
      <c r="R289" s="18">
        <f t="shared" si="269"/>
        <v>15.769057134828135</v>
      </c>
      <c r="S289" s="18">
        <f t="shared" si="270"/>
        <v>1.5073384131083887</v>
      </c>
      <c r="T289" s="18" t="str">
        <f t="shared" si="259"/>
        <v>1+0.00644480622502866i</v>
      </c>
      <c r="U289" s="18">
        <f t="shared" si="271"/>
        <v>1.0000207675479935</v>
      </c>
      <c r="V289" s="18">
        <f t="shared" si="272"/>
        <v>6.444716997777389E-3</v>
      </c>
      <c r="W289" s="32" t="str">
        <f t="shared" si="260"/>
        <v>1-0.10677785461586i</v>
      </c>
      <c r="X289" s="18">
        <f t="shared" si="273"/>
        <v>1.0056845977921536</v>
      </c>
      <c r="Y289" s="18">
        <f t="shared" si="274"/>
        <v>-0.10637479871065515</v>
      </c>
      <c r="Z289" s="32" t="str">
        <f t="shared" si="261"/>
        <v>0.999456556200022+0.0485208814982812i</v>
      </c>
      <c r="AA289" s="18">
        <f t="shared" si="275"/>
        <v>1.0006336410857761</v>
      </c>
      <c r="AB289" s="18">
        <f t="shared" si="276"/>
        <v>4.8509178723017313E-2</v>
      </c>
      <c r="AC289" s="68" t="str">
        <f t="shared" si="277"/>
        <v>-0.1976297833465-2.31996564138328i</v>
      </c>
      <c r="AD289" s="66">
        <f t="shared" si="278"/>
        <v>7.3410328909234437</v>
      </c>
      <c r="AE289" s="63">
        <f t="shared" si="279"/>
        <v>-94.869072506077671</v>
      </c>
      <c r="AF289" s="51" t="str">
        <f t="shared" si="280"/>
        <v>42.1703962805665</v>
      </c>
      <c r="AG289" s="51" t="str">
        <f t="shared" si="262"/>
        <v>1+2.84329686398324i</v>
      </c>
      <c r="AH289" s="51">
        <f t="shared" si="281"/>
        <v>3.0140234001641275</v>
      </c>
      <c r="AI289" s="51">
        <f t="shared" si="282"/>
        <v>1.2326039241417213</v>
      </c>
      <c r="AJ289" s="51" t="str">
        <f t="shared" si="263"/>
        <v>1+0.00644480622502866i</v>
      </c>
      <c r="AK289" s="51">
        <f t="shared" si="283"/>
        <v>1.0000207675479935</v>
      </c>
      <c r="AL289" s="51">
        <f t="shared" si="284"/>
        <v>6.444716997777389E-3</v>
      </c>
      <c r="AM289" s="51" t="str">
        <f t="shared" si="264"/>
        <v>1-0.0167118748866022i</v>
      </c>
      <c r="AN289" s="51">
        <f t="shared" si="285"/>
        <v>1.0001396336323372</v>
      </c>
      <c r="AO289" s="51">
        <f t="shared" si="286"/>
        <v>-1.6710319345449847E-2</v>
      </c>
      <c r="AP289" s="60" t="str">
        <f t="shared" si="287"/>
        <v>4.50708577873426-13.2479492144769i</v>
      </c>
      <c r="AQ289" s="51">
        <f t="shared" si="288"/>
        <v>22.918614388471561</v>
      </c>
      <c r="AR289" s="63">
        <f t="shared" si="289"/>
        <v>-71.211178353265296</v>
      </c>
      <c r="AS289" s="32" t="str">
        <f t="shared" si="265"/>
        <v>-0.000133283554228113</v>
      </c>
      <c r="AT289" s="32" t="str">
        <f t="shared" si="266"/>
        <v>0.00196888830174626i</v>
      </c>
      <c r="AU289" s="32">
        <f t="shared" si="290"/>
        <v>1.9688883017462602E-3</v>
      </c>
      <c r="AV289" s="32">
        <f t="shared" si="291"/>
        <v>1.5707963267948966</v>
      </c>
      <c r="AW289" s="32" t="str">
        <f t="shared" si="267"/>
        <v>1+0.344245527242736i</v>
      </c>
      <c r="AX289" s="32">
        <f t="shared" si="292"/>
        <v>1.0575939594317989</v>
      </c>
      <c r="AY289" s="32">
        <f t="shared" si="293"/>
        <v>0.33153917065734612</v>
      </c>
      <c r="AZ289" s="32" t="str">
        <f t="shared" si="268"/>
        <v>1+5.13009797915393i</v>
      </c>
      <c r="BA289" s="32">
        <f t="shared" si="294"/>
        <v>5.2266533533150277</v>
      </c>
      <c r="BB289" s="32">
        <f t="shared" si="295"/>
        <v>1.3782823637280408</v>
      </c>
      <c r="BC289" s="60" t="str">
        <f t="shared" si="296"/>
        <v>-0.289652224850594+0.16740631050021i</v>
      </c>
      <c r="BD289" s="51">
        <f t="shared" si="297"/>
        <v>-9.5107955486017239</v>
      </c>
      <c r="BE289" s="63">
        <f t="shared" si="298"/>
        <v>149.9739671969983</v>
      </c>
      <c r="BF289" s="60" t="str">
        <f t="shared" si="299"/>
        <v>0.445620794954283+0.638898736728609i</v>
      </c>
      <c r="BG289" s="66">
        <f t="shared" si="300"/>
        <v>-2.1697626576782811</v>
      </c>
      <c r="BH289" s="63">
        <f t="shared" si="301"/>
        <v>55.104894690920624</v>
      </c>
      <c r="BI289" s="60" t="str">
        <f t="shared" si="255"/>
        <v>0.912302876286883+4.59181256600678i</v>
      </c>
      <c r="BJ289" s="66">
        <f t="shared" si="302"/>
        <v>13.407818839869829</v>
      </c>
      <c r="BK289" s="63">
        <f t="shared" si="256"/>
        <v>78.762788843732991</v>
      </c>
      <c r="BL289" s="51">
        <f t="shared" si="303"/>
        <v>-2.1697626576782811</v>
      </c>
      <c r="BM289" s="63">
        <f t="shared" si="304"/>
        <v>55.104894690920624</v>
      </c>
    </row>
    <row r="290" spans="14:65" x14ac:dyDescent="0.35">
      <c r="N290" s="11">
        <v>72</v>
      </c>
      <c r="O290" s="52">
        <f t="shared" si="305"/>
        <v>5248.0746024977261</v>
      </c>
      <c r="P290" s="50" t="str">
        <f t="shared" si="257"/>
        <v>36.531007751938</v>
      </c>
      <c r="Q290" s="18" t="str">
        <f t="shared" si="258"/>
        <v>1+16.1038867418911i</v>
      </c>
      <c r="R290" s="18">
        <f t="shared" si="269"/>
        <v>16.134905273835852</v>
      </c>
      <c r="S290" s="18">
        <f t="shared" si="270"/>
        <v>1.508779147733714</v>
      </c>
      <c r="T290" s="18" t="str">
        <f t="shared" si="259"/>
        <v>1+0.00659492504667922i</v>
      </c>
      <c r="U290" s="18">
        <f t="shared" si="271"/>
        <v>1.0000217462817353</v>
      </c>
      <c r="V290" s="18">
        <f t="shared" si="272"/>
        <v>6.5948294380692189E-3</v>
      </c>
      <c r="W290" s="32" t="str">
        <f t="shared" si="260"/>
        <v>1-0.109265030359182i</v>
      </c>
      <c r="X290" s="18">
        <f t="shared" si="273"/>
        <v>1.0059517119918795</v>
      </c>
      <c r="Y290" s="18">
        <f t="shared" si="274"/>
        <v>-0.10883328606083256</v>
      </c>
      <c r="Z290" s="32" t="str">
        <f t="shared" si="261"/>
        <v>0.999430944482781+0.0496510780164762i</v>
      </c>
      <c r="AA290" s="18">
        <f t="shared" si="275"/>
        <v>1.0006635010521479</v>
      </c>
      <c r="AB290" s="18">
        <f t="shared" si="276"/>
        <v>4.9638538571349471E-2</v>
      </c>
      <c r="AC290" s="68" t="str">
        <f t="shared" si="277"/>
        <v>-0.204255917587724-2.26692926671676i</v>
      </c>
      <c r="AD290" s="66">
        <f t="shared" si="278"/>
        <v>7.1438750367179669</v>
      </c>
      <c r="AE290" s="63">
        <f t="shared" si="279"/>
        <v>-95.148588212238465</v>
      </c>
      <c r="AF290" s="51" t="str">
        <f t="shared" si="280"/>
        <v>42.1703962805665</v>
      </c>
      <c r="AG290" s="51" t="str">
        <f t="shared" si="262"/>
        <v>1+2.9095257558879i</v>
      </c>
      <c r="AH290" s="51">
        <f t="shared" si="281"/>
        <v>3.0765792894341368</v>
      </c>
      <c r="AI290" s="51">
        <f t="shared" si="282"/>
        <v>1.2397461971907267</v>
      </c>
      <c r="AJ290" s="51" t="str">
        <f t="shared" si="263"/>
        <v>1+0.00659492504667922i</v>
      </c>
      <c r="AK290" s="51">
        <f t="shared" si="283"/>
        <v>1.0000217462817353</v>
      </c>
      <c r="AL290" s="51">
        <f t="shared" si="284"/>
        <v>6.5948294380692189E-3</v>
      </c>
      <c r="AM290" s="51" t="str">
        <f t="shared" si="264"/>
        <v>1-0.0171011444593328i</v>
      </c>
      <c r="AN290" s="51">
        <f t="shared" si="285"/>
        <v>1.0001462138816599</v>
      </c>
      <c r="AO290" s="51">
        <f t="shared" si="286"/>
        <v>-1.7099477680118165E-2</v>
      </c>
      <c r="AP290" s="60" t="str">
        <f t="shared" si="287"/>
        <v>4.31955769041884-13.0109157903594i</v>
      </c>
      <c r="AQ290" s="51">
        <f t="shared" si="288"/>
        <v>22.740250187999713</v>
      </c>
      <c r="AR290" s="63">
        <f t="shared" si="289"/>
        <v>-71.634096775961012</v>
      </c>
      <c r="AS290" s="32" t="str">
        <f t="shared" si="265"/>
        <v>-0.000133283554228113</v>
      </c>
      <c r="AT290" s="32" t="str">
        <f t="shared" si="266"/>
        <v>0.0020147496017605i</v>
      </c>
      <c r="AU290" s="32">
        <f t="shared" si="290"/>
        <v>2.0147496017605001E-3</v>
      </c>
      <c r="AV290" s="32">
        <f t="shared" si="291"/>
        <v>1.5707963267948966</v>
      </c>
      <c r="AW290" s="32" t="str">
        <f t="shared" si="267"/>
        <v>1+0.352264035651486i</v>
      </c>
      <c r="AX290" s="32">
        <f t="shared" si="292"/>
        <v>1.0602310836857554</v>
      </c>
      <c r="AY290" s="32">
        <f t="shared" si="293"/>
        <v>0.3386903520837794</v>
      </c>
      <c r="AZ290" s="32" t="str">
        <f t="shared" si="268"/>
        <v>1+5.24959331178189i</v>
      </c>
      <c r="BA290" s="32">
        <f t="shared" si="294"/>
        <v>5.3439900766286188</v>
      </c>
      <c r="BB290" s="32">
        <f t="shared" si="295"/>
        <v>1.3825605818885069</v>
      </c>
      <c r="BC290" s="60" t="str">
        <f t="shared" si="296"/>
        <v>-0.288213106616322+0.167681017299812i</v>
      </c>
      <c r="BD290" s="51">
        <f t="shared" si="297"/>
        <v>-9.5395880566674265</v>
      </c>
      <c r="BE290" s="63">
        <f t="shared" si="298"/>
        <v>149.80935852716212</v>
      </c>
      <c r="BF290" s="60" t="str">
        <f t="shared" si="299"/>
        <v>0.438990238142509+0.619108886389282i</v>
      </c>
      <c r="BG290" s="66">
        <f t="shared" si="300"/>
        <v>-2.3957130199494596</v>
      </c>
      <c r="BH290" s="63">
        <f t="shared" si="301"/>
        <v>54.66077031492361</v>
      </c>
      <c r="BI290" s="60" t="str">
        <f t="shared" si="255"/>
        <v>0.936730454565613+4.4742242876775i</v>
      </c>
      <c r="BJ290" s="66">
        <f t="shared" si="302"/>
        <v>13.20066213133229</v>
      </c>
      <c r="BK290" s="63">
        <f t="shared" si="256"/>
        <v>78.175261751201106</v>
      </c>
      <c r="BL290" s="51">
        <f t="shared" si="303"/>
        <v>-2.3957130199494596</v>
      </c>
      <c r="BM290" s="63">
        <f t="shared" si="304"/>
        <v>54.66077031492361</v>
      </c>
    </row>
    <row r="291" spans="14:65" x14ac:dyDescent="0.35">
      <c r="N291" s="11">
        <v>73</v>
      </c>
      <c r="O291" s="52">
        <f t="shared" si="305"/>
        <v>5370.3179637025269</v>
      </c>
      <c r="P291" s="50" t="str">
        <f t="shared" si="257"/>
        <v>36.531007751938</v>
      </c>
      <c r="Q291" s="18" t="str">
        <f t="shared" si="258"/>
        <v>1+16.4789944514601i</v>
      </c>
      <c r="R291" s="18">
        <f t="shared" si="269"/>
        <v>16.509308226914072</v>
      </c>
      <c r="S291" s="18">
        <f t="shared" si="270"/>
        <v>1.5101873363783156</v>
      </c>
      <c r="T291" s="18" t="str">
        <f t="shared" si="259"/>
        <v>1+0.00674854058488366i</v>
      </c>
      <c r="U291" s="18">
        <f t="shared" si="271"/>
        <v>1.0000227711407506</v>
      </c>
      <c r="V291" s="18">
        <f t="shared" si="272"/>
        <v>6.7484381385382866E-3</v>
      </c>
      <c r="W291" s="32" t="str">
        <f t="shared" si="260"/>
        <v>1-0.111810139867895i</v>
      </c>
      <c r="X291" s="18">
        <f t="shared" si="273"/>
        <v>1.0062313388964181</v>
      </c>
      <c r="Y291" s="18">
        <f t="shared" si="274"/>
        <v>-0.11134767210677889</v>
      </c>
      <c r="Z291" s="32" t="str">
        <f t="shared" si="261"/>
        <v>0.999404125722494+0.050807600193445i</v>
      </c>
      <c r="AA291" s="18">
        <f t="shared" si="275"/>
        <v>1.000694768022977</v>
      </c>
      <c r="AB291" s="18">
        <f t="shared" si="276"/>
        <v>5.0794164277540174E-2</v>
      </c>
      <c r="AC291" s="68" t="str">
        <f t="shared" si="277"/>
        <v>-0.210583962311461-2.2150578815466i</v>
      </c>
      <c r="AD291" s="66">
        <f t="shared" si="278"/>
        <v>6.9467775284567868</v>
      </c>
      <c r="AE291" s="63">
        <f t="shared" si="279"/>
        <v>-95.430746532259903</v>
      </c>
      <c r="AF291" s="51" t="str">
        <f t="shared" si="280"/>
        <v>42.1703962805665</v>
      </c>
      <c r="AG291" s="51" t="str">
        <f t="shared" si="262"/>
        <v>1+2.97729731686045i</v>
      </c>
      <c r="AH291" s="51">
        <f t="shared" si="281"/>
        <v>3.1407482091031169</v>
      </c>
      <c r="AI291" s="51">
        <f t="shared" si="282"/>
        <v>1.2467599396775848</v>
      </c>
      <c r="AJ291" s="51" t="str">
        <f t="shared" si="263"/>
        <v>1+0.00674854058488366i</v>
      </c>
      <c r="AK291" s="51">
        <f t="shared" si="283"/>
        <v>1.0000227711407506</v>
      </c>
      <c r="AL291" s="51">
        <f t="shared" si="284"/>
        <v>6.7484381385382866E-3</v>
      </c>
      <c r="AM291" s="51" t="str">
        <f t="shared" si="264"/>
        <v>1-0.0174994812852161i</v>
      </c>
      <c r="AN291" s="51">
        <f t="shared" si="285"/>
        <v>1.0001531042021774</v>
      </c>
      <c r="AO291" s="51">
        <f t="shared" si="286"/>
        <v>-1.7497695313875759E-2</v>
      </c>
      <c r="AP291" s="60" t="str">
        <f t="shared" si="287"/>
        <v>4.13871817930278-12.7755659602016i</v>
      </c>
      <c r="AQ291" s="51">
        <f t="shared" si="288"/>
        <v>22.561018756769855</v>
      </c>
      <c r="AR291" s="63">
        <f t="shared" si="289"/>
        <v>-72.049969678558242</v>
      </c>
      <c r="AS291" s="32" t="str">
        <f t="shared" si="265"/>
        <v>-0.000133283554228113</v>
      </c>
      <c r="AT291" s="32" t="str">
        <f t="shared" si="266"/>
        <v>0.00206167914868196i</v>
      </c>
      <c r="AU291" s="32">
        <f t="shared" si="290"/>
        <v>2.0616791486819598E-3</v>
      </c>
      <c r="AV291" s="32">
        <f t="shared" si="291"/>
        <v>1.5707963267948966</v>
      </c>
      <c r="AW291" s="32" t="str">
        <f t="shared" si="267"/>
        <v>1+0.360469319114702i</v>
      </c>
      <c r="AX291" s="32">
        <f t="shared" si="292"/>
        <v>1.0629854796858784</v>
      </c>
      <c r="AY291" s="32">
        <f t="shared" si="293"/>
        <v>0.34597099214500387</v>
      </c>
      <c r="AZ291" s="32" t="str">
        <f t="shared" si="268"/>
        <v>1+5.37187204827031i</v>
      </c>
      <c r="BA291" s="32">
        <f t="shared" si="294"/>
        <v>5.4641567787708887</v>
      </c>
      <c r="BB291" s="32">
        <f t="shared" si="295"/>
        <v>1.3867481647822002</v>
      </c>
      <c r="BC291" s="60" t="str">
        <f t="shared" si="296"/>
        <v>-0.286721412643664+0.168002330898975i</v>
      </c>
      <c r="BD291" s="51">
        <f t="shared" si="297"/>
        <v>-9.5689738720492894</v>
      </c>
      <c r="BE291" s="63">
        <f t="shared" si="298"/>
        <v>149.63213940567002</v>
      </c>
      <c r="BF291" s="60" t="str">
        <f t="shared" si="299"/>
        <v>0.432513818330017+0.599725928366256i</v>
      </c>
      <c r="BG291" s="66">
        <f t="shared" si="300"/>
        <v>-2.6221963435924982</v>
      </c>
      <c r="BH291" s="63">
        <f t="shared" si="301"/>
        <v>54.201392873410128</v>
      </c>
      <c r="BI291" s="60" t="str">
        <f t="shared" si="255"/>
        <v>0.959665736963764+4.35834262048814i</v>
      </c>
      <c r="BJ291" s="66">
        <f t="shared" si="302"/>
        <v>12.992044884720567</v>
      </c>
      <c r="BK291" s="63">
        <f t="shared" si="256"/>
        <v>77.582169727111804</v>
      </c>
      <c r="BL291" s="51">
        <f t="shared" si="303"/>
        <v>-2.6221963435924982</v>
      </c>
      <c r="BM291" s="63">
        <f t="shared" si="304"/>
        <v>54.201392873410128</v>
      </c>
    </row>
    <row r="292" spans="14:65" x14ac:dyDescent="0.35">
      <c r="N292" s="11">
        <v>74</v>
      </c>
      <c r="O292" s="52">
        <f t="shared" si="305"/>
        <v>5495.4087385762541</v>
      </c>
      <c r="P292" s="50" t="str">
        <f t="shared" si="257"/>
        <v>36.531007751938</v>
      </c>
      <c r="Q292" s="18" t="str">
        <f t="shared" si="258"/>
        <v>1+16.8628395420126i</v>
      </c>
      <c r="R292" s="18">
        <f t="shared" si="269"/>
        <v>16.892464515862208</v>
      </c>
      <c r="S292" s="18">
        <f t="shared" si="270"/>
        <v>1.5115637033303888</v>
      </c>
      <c r="T292" s="18" t="str">
        <f t="shared" si="259"/>
        <v>1+0.00690573428863372i</v>
      </c>
      <c r="U292" s="18">
        <f t="shared" si="271"/>
        <v>1.0000238442987572</v>
      </c>
      <c r="V292" s="18">
        <f t="shared" si="272"/>
        <v>6.9056245155382648E-3</v>
      </c>
      <c r="W292" s="32" t="str">
        <f t="shared" si="260"/>
        <v>1-0.114414532592748i</v>
      </c>
      <c r="X292" s="18">
        <f t="shared" si="273"/>
        <v>1.0065240609485782</v>
      </c>
      <c r="Y292" s="18">
        <f t="shared" si="274"/>
        <v>-0.11391916276987218</v>
      </c>
      <c r="Z292" s="32" t="str">
        <f t="shared" si="261"/>
        <v>0.999376043032975+0.0519910612325546i</v>
      </c>
      <c r="AA292" s="18">
        <f t="shared" si="275"/>
        <v>1.0007275082840152</v>
      </c>
      <c r="AB292" s="18">
        <f t="shared" si="276"/>
        <v>5.1976664772563512E-2</v>
      </c>
      <c r="AC292" s="68" t="str">
        <f t="shared" si="277"/>
        <v>-0.216627037859035-2.16432644246011i</v>
      </c>
      <c r="AD292" s="66">
        <f t="shared" si="278"/>
        <v>6.7497463221933183</v>
      </c>
      <c r="AE292" s="63">
        <f t="shared" si="279"/>
        <v>-95.715688283365466</v>
      </c>
      <c r="AF292" s="51" t="str">
        <f t="shared" si="280"/>
        <v>42.1703962805665</v>
      </c>
      <c r="AG292" s="51" t="str">
        <f t="shared" si="262"/>
        <v>1+3.04664748027959i</v>
      </c>
      <c r="AH292" s="51">
        <f t="shared" si="281"/>
        <v>3.2065652759758336</v>
      </c>
      <c r="AI292" s="51">
        <f t="shared" si="282"/>
        <v>1.2536461092821043</v>
      </c>
      <c r="AJ292" s="51" t="str">
        <f t="shared" si="263"/>
        <v>1+0.00690573428863372i</v>
      </c>
      <c r="AK292" s="51">
        <f t="shared" si="283"/>
        <v>1.0000238442987572</v>
      </c>
      <c r="AL292" s="51">
        <f t="shared" si="284"/>
        <v>6.9056245155382648E-3</v>
      </c>
      <c r="AM292" s="51" t="str">
        <f t="shared" si="264"/>
        <v>1-0.0179070965677098i</v>
      </c>
      <c r="AN292" s="51">
        <f t="shared" si="285"/>
        <v>1.0001603192026194</v>
      </c>
      <c r="AO292" s="51">
        <f t="shared" si="286"/>
        <v>-1.7905182881507085E-2</v>
      </c>
      <c r="AP292" s="60" t="str">
        <f t="shared" si="287"/>
        <v>3.96439731195222-12.5420528882211i</v>
      </c>
      <c r="AQ292" s="51">
        <f t="shared" si="288"/>
        <v>22.380951447534617</v>
      </c>
      <c r="AR292" s="63">
        <f t="shared" si="289"/>
        <v>-72.458859335738737</v>
      </c>
      <c r="AS292" s="32" t="str">
        <f t="shared" si="265"/>
        <v>-0.000133283554228113</v>
      </c>
      <c r="AT292" s="32" t="str">
        <f t="shared" si="266"/>
        <v>0.0021097018251776i</v>
      </c>
      <c r="AU292" s="32">
        <f t="shared" si="290"/>
        <v>2.1097018251776001E-3</v>
      </c>
      <c r="AV292" s="32">
        <f t="shared" si="291"/>
        <v>1.5707963267948966</v>
      </c>
      <c r="AW292" s="32" t="str">
        <f t="shared" si="267"/>
        <v>1+0.36886572818229i</v>
      </c>
      <c r="AX292" s="32">
        <f t="shared" si="292"/>
        <v>1.0658620574105502</v>
      </c>
      <c r="AY292" s="32">
        <f t="shared" si="293"/>
        <v>0.3533818627368045</v>
      </c>
      <c r="AZ292" s="32" t="str">
        <f t="shared" si="268"/>
        <v>1+5.49699902242388i</v>
      </c>
      <c r="BA292" s="32">
        <f t="shared" si="294"/>
        <v>5.5872173980013606</v>
      </c>
      <c r="BB292" s="32">
        <f t="shared" si="295"/>
        <v>1.3908467449724349</v>
      </c>
      <c r="BC292" s="60" t="str">
        <f t="shared" si="296"/>
        <v>-0.285175877818668+0.168368096867869i</v>
      </c>
      <c r="BD292" s="51">
        <f t="shared" si="297"/>
        <v>-9.5989989123019299</v>
      </c>
      <c r="BE292" s="63">
        <f t="shared" si="298"/>
        <v>149.44235914513843</v>
      </c>
      <c r="BF292" s="60" t="str">
        <f t="shared" si="299"/>
        <v>0.426180329798522+0.580740611020267i</v>
      </c>
      <c r="BG292" s="66">
        <f t="shared" si="300"/>
        <v>-2.849252590108613</v>
      </c>
      <c r="BH292" s="63">
        <f t="shared" si="301"/>
        <v>53.72667086177298</v>
      </c>
      <c r="BI292" s="60" t="str">
        <f t="shared" si="255"/>
        <v>0.981131092148004+4.2441689726881i</v>
      </c>
      <c r="BJ292" s="66">
        <f t="shared" si="302"/>
        <v>12.781952535232682</v>
      </c>
      <c r="BK292" s="63">
        <f t="shared" si="256"/>
        <v>76.983499809399675</v>
      </c>
      <c r="BL292" s="51">
        <f t="shared" si="303"/>
        <v>-2.849252590108613</v>
      </c>
      <c r="BM292" s="63">
        <f t="shared" si="304"/>
        <v>53.72667086177298</v>
      </c>
    </row>
    <row r="293" spans="14:65" x14ac:dyDescent="0.35">
      <c r="N293" s="11">
        <v>75</v>
      </c>
      <c r="O293" s="52">
        <f t="shared" si="305"/>
        <v>5623.4132519034993</v>
      </c>
      <c r="P293" s="50" t="str">
        <f t="shared" si="257"/>
        <v>36.531007751938</v>
      </c>
      <c r="Q293" s="18" t="str">
        <f t="shared" si="258"/>
        <v>1+17.2556255332962i</v>
      </c>
      <c r="R293" s="18">
        <f t="shared" si="269"/>
        <v>17.284577303056729</v>
      </c>
      <c r="S293" s="18">
        <f t="shared" si="270"/>
        <v>1.5129089574871617</v>
      </c>
      <c r="T293" s="18" t="str">
        <f t="shared" si="259"/>
        <v>1+0.0070665895041118i</v>
      </c>
      <c r="U293" s="18">
        <f t="shared" si="271"/>
        <v>1.0000249680319084</v>
      </c>
      <c r="V293" s="18">
        <f t="shared" si="272"/>
        <v>7.0664718802794348E-3</v>
      </c>
      <c r="W293" s="32" t="str">
        <f t="shared" si="260"/>
        <v>1-0.117079589417237i</v>
      </c>
      <c r="X293" s="18">
        <f t="shared" si="273"/>
        <v>1.0068304873503329</v>
      </c>
      <c r="Y293" s="18">
        <f t="shared" si="274"/>
        <v>-0.11654898538167266</v>
      </c>
      <c r="Z293" s="32" t="str">
        <f t="shared" si="261"/>
        <v>0.999346636847073+0.0532020886205127i</v>
      </c>
      <c r="AA293" s="18">
        <f t="shared" si="275"/>
        <v>1.0007617912426217</v>
      </c>
      <c r="AB293" s="18">
        <f t="shared" si="276"/>
        <v>5.3186662965727459E-2</v>
      </c>
      <c r="AC293" s="68" t="str">
        <f t="shared" si="277"/>
        <v>-0.222397686589112-2.11471034895884i</v>
      </c>
      <c r="AD293" s="66">
        <f t="shared" si="278"/>
        <v>6.5527874988726236</v>
      </c>
      <c r="AE293" s="63">
        <f t="shared" si="279"/>
        <v>-96.003555319986447</v>
      </c>
      <c r="AF293" s="51" t="str">
        <f t="shared" si="280"/>
        <v>42.1703962805665</v>
      </c>
      <c r="AG293" s="51" t="str">
        <f t="shared" si="262"/>
        <v>1+3.11761301651992i</v>
      </c>
      <c r="AH293" s="51">
        <f t="shared" si="281"/>
        <v>3.2740664197255431</v>
      </c>
      <c r="AI293" s="51">
        <f t="shared" si="282"/>
        <v>1.260405743961077</v>
      </c>
      <c r="AJ293" s="51" t="str">
        <f t="shared" si="263"/>
        <v>1+0.0070665895041118i</v>
      </c>
      <c r="AK293" s="51">
        <f t="shared" si="283"/>
        <v>1.0000249680319084</v>
      </c>
      <c r="AL293" s="51">
        <f t="shared" si="284"/>
        <v>7.0664718802794348E-3</v>
      </c>
      <c r="AM293" s="51" t="str">
        <f t="shared" si="264"/>
        <v>1-0.0183242064298322i</v>
      </c>
      <c r="AN293" s="51">
        <f t="shared" si="285"/>
        <v>1.0001678741797715</v>
      </c>
      <c r="AO293" s="51">
        <f t="shared" si="286"/>
        <v>-1.832215589670998E-2</v>
      </c>
      <c r="AP293" s="60" t="str">
        <f t="shared" si="287"/>
        <v>3.79642385947545-12.3105186074599i</v>
      </c>
      <c r="AQ293" s="51">
        <f t="shared" si="288"/>
        <v>22.200078813564588</v>
      </c>
      <c r="AR293" s="63">
        <f t="shared" si="289"/>
        <v>-72.860832792690687</v>
      </c>
      <c r="AS293" s="32" t="str">
        <f t="shared" si="265"/>
        <v>-0.000133283554228113</v>
      </c>
      <c r="AT293" s="32" t="str">
        <f t="shared" si="266"/>
        <v>0.00215884309350616i</v>
      </c>
      <c r="AU293" s="32">
        <f t="shared" si="290"/>
        <v>2.15884309350616E-3</v>
      </c>
      <c r="AV293" s="32">
        <f t="shared" si="291"/>
        <v>1.5707963267948966</v>
      </c>
      <c r="AW293" s="32" t="str">
        <f t="shared" si="267"/>
        <v>1+0.377457714741475i</v>
      </c>
      <c r="AX293" s="32">
        <f t="shared" si="292"/>
        <v>1.0688659066589488</v>
      </c>
      <c r="AY293" s="32">
        <f t="shared" si="293"/>
        <v>0.36092363612536255</v>
      </c>
      <c r="AZ293" s="32" t="str">
        <f t="shared" si="268"/>
        <v>1+5.62504057822051i</v>
      </c>
      <c r="BA293" s="32">
        <f t="shared" si="294"/>
        <v>5.7132373928121822</v>
      </c>
      <c r="BB293" s="32">
        <f t="shared" si="295"/>
        <v>1.3948579445151559</v>
      </c>
      <c r="BC293" s="60" t="str">
        <f t="shared" si="296"/>
        <v>-0.283575262348298+0.168776087058744i</v>
      </c>
      <c r="BD293" s="51">
        <f t="shared" si="297"/>
        <v>-9.6297093589102207</v>
      </c>
      <c r="BE293" s="63">
        <f t="shared" si="298"/>
        <v>149.24007216451284</v>
      </c>
      <c r="BF293" s="60" t="str">
        <f t="shared" si="299"/>
        <v>0.419979020280066+0.562144130683237i</v>
      </c>
      <c r="BG293" s="66">
        <f t="shared" si="300"/>
        <v>-3.0769218600375972</v>
      </c>
      <c r="BH293" s="63">
        <f t="shared" si="301"/>
        <v>53.236516844526392</v>
      </c>
      <c r="BI293" s="60" t="str">
        <f t="shared" si="255"/>
        <v>1.00114926829485+4.13170410757277i</v>
      </c>
      <c r="BJ293" s="66">
        <f t="shared" si="302"/>
        <v>12.570369454654371</v>
      </c>
      <c r="BK293" s="63">
        <f t="shared" si="256"/>
        <v>76.379239371822166</v>
      </c>
      <c r="BL293" s="51">
        <f t="shared" si="303"/>
        <v>-3.0769218600375972</v>
      </c>
      <c r="BM293" s="63">
        <f t="shared" si="304"/>
        <v>53.236516844526392</v>
      </c>
    </row>
    <row r="294" spans="14:65" x14ac:dyDescent="0.35">
      <c r="N294" s="11">
        <v>76</v>
      </c>
      <c r="O294" s="52">
        <f t="shared" si="305"/>
        <v>5754.399373371567</v>
      </c>
      <c r="P294" s="50" t="str">
        <f t="shared" si="257"/>
        <v>36.531007751938</v>
      </c>
      <c r="Q294" s="18" t="str">
        <f t="shared" si="258"/>
        <v>1+17.6575606856429i</v>
      </c>
      <c r="R294" s="18">
        <f t="shared" si="269"/>
        <v>17.685854499208165</v>
      </c>
      <c r="S294" s="18">
        <f t="shared" si="270"/>
        <v>1.5142237926330371</v>
      </c>
      <c r="T294" s="18" t="str">
        <f t="shared" si="259"/>
        <v>1+0.00723119151888232i</v>
      </c>
      <c r="U294" s="18">
        <f t="shared" si="271"/>
        <v>1.0000261447236181</v>
      </c>
      <c r="V294" s="18">
        <f t="shared" si="272"/>
        <v>7.2310654828531482E-3</v>
      </c>
      <c r="W294" s="32" t="str">
        <f t="shared" si="260"/>
        <v>1-0.119806723389766i</v>
      </c>
      <c r="X294" s="18">
        <f t="shared" si="273"/>
        <v>1.0071512552588078</v>
      </c>
      <c r="Y294" s="18">
        <f t="shared" si="274"/>
        <v>-0.11923838872825245</v>
      </c>
      <c r="Z294" s="32" t="str">
        <f t="shared" si="261"/>
        <v>0.999315844790325+0.0544413244600702i</v>
      </c>
      <c r="AA294" s="18">
        <f t="shared" si="275"/>
        <v>1.0007976895746551</v>
      </c>
      <c r="AB294" s="18">
        <f t="shared" si="276"/>
        <v>5.4424796055629665E-2</v>
      </c>
      <c r="AC294" s="68" t="str">
        <f t="shared" si="277"/>
        <v>-0.227907897182315-2.06618544103616i</v>
      </c>
      <c r="AD294" s="66">
        <f t="shared" si="278"/>
        <v>6.355907275466965</v>
      </c>
      <c r="AE294" s="63">
        <f t="shared" si="279"/>
        <v>-96.294490567532549</v>
      </c>
      <c r="AF294" s="51" t="str">
        <f t="shared" si="280"/>
        <v>42.1703962805665</v>
      </c>
      <c r="AG294" s="51" t="str">
        <f t="shared" si="262"/>
        <v>1+3.19023155244809i</v>
      </c>
      <c r="AH294" s="51">
        <f t="shared" si="281"/>
        <v>3.3432884048845311</v>
      </c>
      <c r="AI294" s="51">
        <f t="shared" si="282"/>
        <v>1.2670399559820651</v>
      </c>
      <c r="AJ294" s="51" t="str">
        <f t="shared" si="263"/>
        <v>1+0.00723119151888232i</v>
      </c>
      <c r="AK294" s="51">
        <f t="shared" si="283"/>
        <v>1.0000261447236181</v>
      </c>
      <c r="AL294" s="51">
        <f t="shared" si="284"/>
        <v>7.2310654828531482E-3</v>
      </c>
      <c r="AM294" s="51" t="str">
        <f t="shared" si="264"/>
        <v>1-0.0187510320287532i</v>
      </c>
      <c r="AN294" s="51">
        <f t="shared" si="285"/>
        <v>1.0001757851508621</v>
      </c>
      <c r="AO294" s="51">
        <f t="shared" si="286"/>
        <v>-1.8748834863782503E-2</v>
      </c>
      <c r="AP294" s="60" t="str">
        <f t="shared" si="287"/>
        <v>3.63462586468738-12.0810943542598i</v>
      </c>
      <c r="AQ294" s="51">
        <f t="shared" si="288"/>
        <v>22.018430604205797</v>
      </c>
      <c r="AR294" s="63">
        <f t="shared" si="289"/>
        <v>-73.255961527146212</v>
      </c>
      <c r="AS294" s="32" t="str">
        <f t="shared" si="265"/>
        <v>-0.000133283554228113</v>
      </c>
      <c r="AT294" s="32" t="str">
        <f t="shared" si="266"/>
        <v>0.00220912900901855i</v>
      </c>
      <c r="AU294" s="32">
        <f t="shared" si="290"/>
        <v>2.20912900901855E-3</v>
      </c>
      <c r="AV294" s="32">
        <f t="shared" si="291"/>
        <v>1.5707963267948966</v>
      </c>
      <c r="AW294" s="32" t="str">
        <f t="shared" si="267"/>
        <v>1+0.386249834377258i</v>
      </c>
      <c r="AX294" s="32">
        <f t="shared" si="292"/>
        <v>1.072002301563042</v>
      </c>
      <c r="AY294" s="32">
        <f t="shared" si="293"/>
        <v>0.36859687835501975</v>
      </c>
      <c r="AZ294" s="32" t="str">
        <f t="shared" si="268"/>
        <v>1+5.75606460498792i</v>
      </c>
      <c r="BA294" s="32">
        <f t="shared" si="294"/>
        <v>5.8422837774961547</v>
      </c>
      <c r="BB294" s="32">
        <f t="shared" si="295"/>
        <v>1.3987833736337274</v>
      </c>
      <c r="BC294" s="60" t="str">
        <f t="shared" si="296"/>
        <v>-0.281918357458934+0.169223997516917i</v>
      </c>
      <c r="BD294" s="51">
        <f t="shared" si="297"/>
        <v>-9.6611516564164006</v>
      </c>
      <c r="BE294" s="63">
        <f t="shared" si="298"/>
        <v>149.02533829084368</v>
      </c>
      <c r="BF294" s="60" t="str">
        <f t="shared" si="299"/>
        <v>0.413899579968951+0.543928120315612i</v>
      </c>
      <c r="BG294" s="66">
        <f t="shared" si="300"/>
        <v>-3.3052443809494281</v>
      </c>
      <c r="BH294" s="63">
        <f t="shared" si="301"/>
        <v>52.730847723311157</v>
      </c>
      <c r="BI294" s="60" t="str">
        <f t="shared" si="255"/>
        <v>1.01974332725648+4.0209481949601i</v>
      </c>
      <c r="BJ294" s="66">
        <f t="shared" si="302"/>
        <v>12.357278947789395</v>
      </c>
      <c r="BK294" s="63">
        <f t="shared" si="256"/>
        <v>75.769376763697423</v>
      </c>
      <c r="BL294" s="51">
        <f t="shared" si="303"/>
        <v>-3.3052443809494281</v>
      </c>
      <c r="BM294" s="63">
        <f t="shared" si="304"/>
        <v>52.730847723311157</v>
      </c>
    </row>
    <row r="295" spans="14:65" x14ac:dyDescent="0.35">
      <c r="N295" s="11">
        <v>77</v>
      </c>
      <c r="O295" s="52">
        <f t="shared" si="305"/>
        <v>5888.4365535558973</v>
      </c>
      <c r="P295" s="50" t="str">
        <f t="shared" si="257"/>
        <v>36.531007751938</v>
      </c>
      <c r="Q295" s="18" t="str">
        <f t="shared" si="258"/>
        <v>1+18.0688581103905i</v>
      </c>
      <c r="R295" s="18">
        <f t="shared" si="269"/>
        <v>18.096508873631528</v>
      </c>
      <c r="S295" s="18">
        <f t="shared" si="270"/>
        <v>1.5155088877161162</v>
      </c>
      <c r="T295" s="18" t="str">
        <f t="shared" si="259"/>
        <v>1+0.00739962760711232i</v>
      </c>
      <c r="U295" s="18">
        <f t="shared" si="271"/>
        <v>1.0000273768696155</v>
      </c>
      <c r="V295" s="18">
        <f t="shared" si="272"/>
        <v>7.3994925572735855E-3</v>
      </c>
      <c r="W295" s="32" t="str">
        <f t="shared" si="260"/>
        <v>1-0.122597380472867i</v>
      </c>
      <c r="X295" s="18">
        <f t="shared" si="273"/>
        <v>1.0074870310325632</v>
      </c>
      <c r="Y295" s="18">
        <f t="shared" si="274"/>
        <v>-0.12198864306582022</v>
      </c>
      <c r="Z295" s="32" t="str">
        <f t="shared" si="261"/>
        <v>0.999283601548652+0.0557094258104728i</v>
      </c>
      <c r="AA295" s="18">
        <f t="shared" si="275"/>
        <v>1.0008352793782689</v>
      </c>
      <c r="AB295" s="18">
        <f t="shared" si="276"/>
        <v>5.5691715847315054E-2</v>
      </c>
      <c r="AC295" s="68" t="str">
        <f t="shared" si="277"/>
        <v>-0.233169127971248-2.0187279963058i</v>
      </c>
      <c r="AD295" s="66">
        <f t="shared" si="278"/>
        <v>6.1591120162621458</v>
      </c>
      <c r="AE295" s="63">
        <f t="shared" si="279"/>
        <v>-96.588638054721315</v>
      </c>
      <c r="AF295" s="51" t="str">
        <f t="shared" si="280"/>
        <v>42.1703962805665</v>
      </c>
      <c r="AG295" s="51" t="str">
        <f t="shared" si="262"/>
        <v>1+3.26454159137309i</v>
      </c>
      <c r="AH295" s="51">
        <f t="shared" si="281"/>
        <v>3.4142688531814165</v>
      </c>
      <c r="AI295" s="51">
        <f t="shared" si="282"/>
        <v>1.2735499261441763</v>
      </c>
      <c r="AJ295" s="51" t="str">
        <f t="shared" si="263"/>
        <v>1+0.00739962760711232i</v>
      </c>
      <c r="AK295" s="51">
        <f t="shared" si="283"/>
        <v>1.0000273768696155</v>
      </c>
      <c r="AL295" s="51">
        <f t="shared" si="284"/>
        <v>7.3994925572735855E-3</v>
      </c>
      <c r="AM295" s="51" t="str">
        <f t="shared" si="264"/>
        <v>1-0.0191877996730552i</v>
      </c>
      <c r="AN295" s="51">
        <f t="shared" si="285"/>
        <v>1.000184068887469</v>
      </c>
      <c r="AO295" s="51">
        <f t="shared" si="286"/>
        <v>-1.9185445391772353E-2</v>
      </c>
      <c r="AP295" s="60" t="str">
        <f t="shared" si="287"/>
        <v>3.47883116671781-11.8539009205596i</v>
      </c>
      <c r="AQ295" s="51">
        <f t="shared" si="288"/>
        <v>21.836035763031756</v>
      </c>
      <c r="AR295" s="63">
        <f t="shared" si="289"/>
        <v>-73.644321122216056</v>
      </c>
      <c r="AS295" s="32" t="str">
        <f t="shared" si="265"/>
        <v>-0.000133283554228113</v>
      </c>
      <c r="AT295" s="32" t="str">
        <f t="shared" si="266"/>
        <v>0.00226058623397281i</v>
      </c>
      <c r="AU295" s="32">
        <f t="shared" si="290"/>
        <v>2.2605862339728101E-3</v>
      </c>
      <c r="AV295" s="32">
        <f t="shared" si="291"/>
        <v>1.5707963267948966</v>
      </c>
      <c r="AW295" s="32" t="str">
        <f t="shared" si="267"/>
        <v>1+0.395246748787851i</v>
      </c>
      <c r="AX295" s="32">
        <f t="shared" si="292"/>
        <v>1.0752767050519445</v>
      </c>
      <c r="AY295" s="32">
        <f t="shared" si="293"/>
        <v>0.376402042547692</v>
      </c>
      <c r="AZ295" s="32" t="str">
        <f t="shared" si="268"/>
        <v>1+5.89014057339944i</v>
      </c>
      <c r="BA295" s="32">
        <f t="shared" si="294"/>
        <v>5.9744251584906714</v>
      </c>
      <c r="BB295" s="32">
        <f t="shared" si="295"/>
        <v>1.4026246295066405</v>
      </c>
      <c r="BC295" s="60" t="str">
        <f t="shared" si="296"/>
        <v>-0.280203991422068+0.169709446709295i</v>
      </c>
      <c r="BD295" s="51">
        <f t="shared" si="297"/>
        <v>-9.6933725076917217</v>
      </c>
      <c r="BE295" s="63">
        <f t="shared" si="298"/>
        <v>148.79822307374502</v>
      </c>
      <c r="BF295" s="60" t="str">
        <f t="shared" si="299"/>
        <v>0.407932131643568+0.52608463846267i</v>
      </c>
      <c r="BG295" s="66">
        <f t="shared" si="300"/>
        <v>-3.5342604914295683</v>
      </c>
      <c r="BH295" s="63">
        <f t="shared" si="301"/>
        <v>52.209585019023727</v>
      </c>
      <c r="BI295" s="60" t="str">
        <f t="shared" si="255"/>
        <v>1.03693658817715+3.91190086436126i</v>
      </c>
      <c r="BJ295" s="66">
        <f t="shared" si="302"/>
        <v>12.142663255340045</v>
      </c>
      <c r="BK295" s="63">
        <f t="shared" si="256"/>
        <v>75.153901951529036</v>
      </c>
      <c r="BL295" s="51">
        <f t="shared" si="303"/>
        <v>-3.5342604914295683</v>
      </c>
      <c r="BM295" s="63">
        <f t="shared" si="304"/>
        <v>52.209585019023727</v>
      </c>
    </row>
    <row r="296" spans="14:65" x14ac:dyDescent="0.35">
      <c r="N296" s="11">
        <v>78</v>
      </c>
      <c r="O296" s="52">
        <f t="shared" si="305"/>
        <v>6025.595860743585</v>
      </c>
      <c r="P296" s="50" t="str">
        <f t="shared" si="257"/>
        <v>36.531007751938</v>
      </c>
      <c r="Q296" s="18" t="str">
        <f t="shared" si="258"/>
        <v>1+18.4897358828779i</v>
      </c>
      <c r="R296" s="18">
        <f t="shared" si="269"/>
        <v>18.516758167092384</v>
      </c>
      <c r="S296" s="18">
        <f t="shared" si="270"/>
        <v>1.5167649071228482</v>
      </c>
      <c r="T296" s="18" t="str">
        <f t="shared" si="259"/>
        <v>1+0.00757198707584524i</v>
      </c>
      <c r="U296" s="18">
        <f t="shared" si="271"/>
        <v>1.0000286670832377</v>
      </c>
      <c r="V296" s="18">
        <f t="shared" si="272"/>
        <v>7.5718423675599084E-3</v>
      </c>
      <c r="W296" s="32" t="str">
        <f t="shared" si="260"/>
        <v>1-0.125453040309862i</v>
      </c>
      <c r="X296" s="18">
        <f t="shared" si="273"/>
        <v>1.007838511529991</v>
      </c>
      <c r="Y296" s="18">
        <f t="shared" si="274"/>
        <v>-0.12480104010515124</v>
      </c>
      <c r="Z296" s="32" t="str">
        <f t="shared" si="261"/>
        <v>0.999249838729814+0.0570070650358413i</v>
      </c>
      <c r="AA296" s="18">
        <f t="shared" si="275"/>
        <v>1.0008746403349222</v>
      </c>
      <c r="AB296" s="18">
        <f t="shared" si="276"/>
        <v>5.6988089075706003E-2</v>
      </c>
      <c r="AC296" s="68" t="str">
        <f t="shared" si="277"/>
        <v>-0.238192329328286-1.97231472672283i</v>
      </c>
      <c r="AD296" s="66">
        <f t="shared" si="278"/>
        <v>5.9624082443021074</v>
      </c>
      <c r="AE296" s="63">
        <f t="shared" si="279"/>
        <v>-96.88614294431359</v>
      </c>
      <c r="AF296" s="51" t="str">
        <f t="shared" si="280"/>
        <v>42.1703962805665</v>
      </c>
      <c r="AG296" s="51" t="str">
        <f t="shared" si="262"/>
        <v>1+3.34058253346114i</v>
      </c>
      <c r="AH296" s="51">
        <f t="shared" si="281"/>
        <v>3.487046266235315</v>
      </c>
      <c r="AI296" s="51">
        <f t="shared" si="282"/>
        <v>1.2799368981945145</v>
      </c>
      <c r="AJ296" s="51" t="str">
        <f t="shared" si="263"/>
        <v>1+0.00757198707584524i</v>
      </c>
      <c r="AK296" s="51">
        <f t="shared" si="283"/>
        <v>1.0000286670832377</v>
      </c>
      <c r="AL296" s="51">
        <f t="shared" si="284"/>
        <v>7.5718423675599084E-3</v>
      </c>
      <c r="AM296" s="51" t="str">
        <f t="shared" si="264"/>
        <v>1-0.0196347409427243i</v>
      </c>
      <c r="AN296" s="51">
        <f t="shared" si="285"/>
        <v>1.0001927429510213</v>
      </c>
      <c r="AO296" s="51">
        <f t="shared" si="286"/>
        <v>-1.9632218311134417E-2</v>
      </c>
      <c r="AP296" s="60" t="str">
        <f t="shared" si="287"/>
        <v>3.32886788402556-11.6290490203767i</v>
      </c>
      <c r="AQ296" s="51">
        <f t="shared" si="288"/>
        <v>21.652922428392074</v>
      </c>
      <c r="AR296" s="63">
        <f t="shared" si="289"/>
        <v>-74.025990950519244</v>
      </c>
      <c r="AS296" s="32" t="str">
        <f t="shared" si="265"/>
        <v>-0.000133283554228113</v>
      </c>
      <c r="AT296" s="32" t="str">
        <f t="shared" si="266"/>
        <v>0.00231324205167072i</v>
      </c>
      <c r="AU296" s="32">
        <f t="shared" si="290"/>
        <v>2.3132420516707199E-3</v>
      </c>
      <c r="AV296" s="32">
        <f t="shared" si="291"/>
        <v>1.5707963267948966</v>
      </c>
      <c r="AW296" s="32" t="str">
        <f t="shared" si="267"/>
        <v>1+0.40445322825636i</v>
      </c>
      <c r="AX296" s="32">
        <f t="shared" si="292"/>
        <v>1.0786947732546919</v>
      </c>
      <c r="AY296" s="32">
        <f t="shared" si="293"/>
        <v>0.38433946211720271</v>
      </c>
      <c r="AZ296" s="32" t="str">
        <f t="shared" si="268"/>
        <v>1+6.02733957230819i</v>
      </c>
      <c r="BA296" s="32">
        <f t="shared" si="294"/>
        <v>6.109731771519292</v>
      </c>
      <c r="BB296" s="32">
        <f t="shared" si="295"/>
        <v>1.4063832951621638</v>
      </c>
      <c r="BC296" s="60" t="str">
        <f t="shared" si="296"/>
        <v>-0.278431035898023+0.170229974109238i</v>
      </c>
      <c r="BD296" s="51">
        <f t="shared" si="297"/>
        <v>-9.7264188651255026</v>
      </c>
      <c r="BE296" s="63">
        <f t="shared" si="298"/>
        <v>148.55879811084958</v>
      </c>
      <c r="BF296" s="60" t="str">
        <f t="shared" si="299"/>
        <v>0.402067221863134+0.50860615842379i</v>
      </c>
      <c r="BG296" s="66">
        <f t="shared" si="300"/>
        <v>-3.7640106208234005</v>
      </c>
      <c r="BH296" s="63">
        <f t="shared" si="301"/>
        <v>51.672655166535968</v>
      </c>
      <c r="BI296" s="60" t="str">
        <f t="shared" si="255"/>
        <v>1.05275258033689+3.80456125896312i</v>
      </c>
      <c r="BJ296" s="66">
        <f t="shared" si="302"/>
        <v>11.926503563266575</v>
      </c>
      <c r="BK296" s="63">
        <f t="shared" si="256"/>
        <v>74.532807160330321</v>
      </c>
      <c r="BL296" s="51">
        <f t="shared" si="303"/>
        <v>-3.7640106208234005</v>
      </c>
      <c r="BM296" s="63">
        <f t="shared" si="304"/>
        <v>51.672655166535968</v>
      </c>
    </row>
    <row r="297" spans="14:65" x14ac:dyDescent="0.35">
      <c r="N297" s="11">
        <v>79</v>
      </c>
      <c r="O297" s="52">
        <f t="shared" si="305"/>
        <v>6165.9500186148289</v>
      </c>
      <c r="P297" s="50" t="str">
        <f t="shared" si="257"/>
        <v>36.531007751938</v>
      </c>
      <c r="Q297" s="18" t="str">
        <f t="shared" si="258"/>
        <v>1+18.920417158071i</v>
      </c>
      <c r="R297" s="18">
        <f t="shared" si="269"/>
        <v>18.946825207285453</v>
      </c>
      <c r="S297" s="18">
        <f t="shared" si="270"/>
        <v>1.5179925009505493</v>
      </c>
      <c r="T297" s="18" t="str">
        <f t="shared" si="259"/>
        <v>1+0.00774836131235288i</v>
      </c>
      <c r="U297" s="18">
        <f t="shared" si="271"/>
        <v>1.0000300181009703</v>
      </c>
      <c r="V297" s="18">
        <f t="shared" si="272"/>
        <v>7.7482062548828966E-3</v>
      </c>
      <c r="W297" s="32" t="str">
        <f t="shared" si="260"/>
        <v>1-0.128375217009397i</v>
      </c>
      <c r="X297" s="18">
        <f t="shared" si="273"/>
        <v>1.0082064254616758</v>
      </c>
      <c r="Y297" s="18">
        <f t="shared" si="274"/>
        <v>-0.1276768929622199</v>
      </c>
      <c r="Z297" s="32" t="str">
        <f t="shared" si="261"/>
        <v>0.999214484718346+0.0583349301616697i</v>
      </c>
      <c r="AA297" s="18">
        <f t="shared" si="275"/>
        <v>1.0009158558779636</v>
      </c>
      <c r="AB297" s="18">
        <f t="shared" si="276"/>
        <v>5.8314597735375229E-2</v>
      </c>
      <c r="AC297" s="68" t="str">
        <f t="shared" si="277"/>
        <v>-0.242987965142963-1.92692277493657i</v>
      </c>
      <c r="AD297" s="66">
        <f t="shared" si="278"/>
        <v>5.7658026530023276</v>
      </c>
      <c r="AE297" s="63">
        <f t="shared" si="279"/>
        <v>-97.187151562092339</v>
      </c>
      <c r="AF297" s="51" t="str">
        <f t="shared" si="280"/>
        <v>42.1703962805665</v>
      </c>
      <c r="AG297" s="51" t="str">
        <f t="shared" si="262"/>
        <v>1+3.41839469662628i</v>
      </c>
      <c r="AH297" s="51">
        <f t="shared" si="281"/>
        <v>3.5616600486181551</v>
      </c>
      <c r="AI297" s="51">
        <f t="shared" si="282"/>
        <v>1.2862021734471158</v>
      </c>
      <c r="AJ297" s="51" t="str">
        <f t="shared" si="263"/>
        <v>1+0.00774836131235288i</v>
      </c>
      <c r="AK297" s="51">
        <f t="shared" si="283"/>
        <v>1.0000300181009703</v>
      </c>
      <c r="AL297" s="51">
        <f t="shared" si="284"/>
        <v>7.7482062548828966E-3</v>
      </c>
      <c r="AM297" s="51" t="str">
        <f t="shared" si="264"/>
        <v>1-0.0200920928119378i</v>
      </c>
      <c r="AN297" s="51">
        <f t="shared" si="285"/>
        <v>1.0002018257299692</v>
      </c>
      <c r="AO297" s="51">
        <f t="shared" si="286"/>
        <v>-2.008938979294669E-2</v>
      </c>
      <c r="AP297" s="60" t="str">
        <f t="shared" si="287"/>
        <v>3.1845648569888-11.4066396671113i</v>
      </c>
      <c r="AQ297" s="51">
        <f t="shared" si="288"/>
        <v>21.469117936163705</v>
      </c>
      <c r="AR297" s="63">
        <f t="shared" si="289"/>
        <v>-74.401053870000538</v>
      </c>
      <c r="AS297" s="32" t="str">
        <f t="shared" si="265"/>
        <v>-0.000133283554228113</v>
      </c>
      <c r="AT297" s="32" t="str">
        <f t="shared" si="266"/>
        <v>0.0023671243809238i</v>
      </c>
      <c r="AU297" s="32">
        <f t="shared" si="290"/>
        <v>2.3671243809237998E-3</v>
      </c>
      <c r="AV297" s="32">
        <f t="shared" si="291"/>
        <v>1.5707963267948966</v>
      </c>
      <c r="AW297" s="32" t="str">
        <f t="shared" si="267"/>
        <v>1+0.413874154180062i</v>
      </c>
      <c r="AX297" s="32">
        <f t="shared" si="292"/>
        <v>1.0822623598269792</v>
      </c>
      <c r="AY297" s="32">
        <f t="shared" si="293"/>
        <v>0.3924093439246531</v>
      </c>
      <c r="AZ297" s="32" t="str">
        <f t="shared" si="268"/>
        <v>1+6.16773434643945i</v>
      </c>
      <c r="BA297" s="32">
        <f t="shared" si="294"/>
        <v>6.2482755195532853</v>
      </c>
      <c r="BB297" s="32">
        <f t="shared" si="295"/>
        <v>1.4100609384741387</v>
      </c>
      <c r="BC297" s="60" t="str">
        <f t="shared" si="296"/>
        <v>-0.276598412584589+0.170783039177559i</v>
      </c>
      <c r="BD297" s="51">
        <f t="shared" si="297"/>
        <v>-9.7603379175168641</v>
      </c>
      <c r="BE297" s="63">
        <f t="shared" si="298"/>
        <v>148.30714138244394</v>
      </c>
      <c r="BF297" s="60" t="str">
        <f t="shared" si="299"/>
        <v>0.396295813199826+0.491485557549861i</v>
      </c>
      <c r="BG297" s="66">
        <f t="shared" si="300"/>
        <v>-3.9945352645145302</v>
      </c>
      <c r="BH297" s="63">
        <f t="shared" si="301"/>
        <v>51.119989820351627</v>
      </c>
      <c r="BI297" s="60" t="str">
        <f t="shared" si="255"/>
        <v>1.0672150049368+3.69892808958199i</v>
      </c>
      <c r="BJ297" s="66">
        <f t="shared" si="302"/>
        <v>11.708780018646852</v>
      </c>
      <c r="BK297" s="63">
        <f t="shared" si="256"/>
        <v>73.906087512443364</v>
      </c>
      <c r="BL297" s="51">
        <f t="shared" si="303"/>
        <v>-3.9945352645145302</v>
      </c>
      <c r="BM297" s="63">
        <f t="shared" si="304"/>
        <v>51.119989820351627</v>
      </c>
    </row>
    <row r="298" spans="14:65" x14ac:dyDescent="0.35">
      <c r="N298" s="11">
        <v>80</v>
      </c>
      <c r="O298" s="52">
        <f t="shared" si="305"/>
        <v>6309.5734448019384</v>
      </c>
      <c r="P298" s="50" t="str">
        <f t="shared" si="257"/>
        <v>36.531007751938</v>
      </c>
      <c r="Q298" s="18" t="str">
        <f t="shared" si="258"/>
        <v>1+19.3611302888825i</v>
      </c>
      <c r="R298" s="18">
        <f t="shared" si="269"/>
        <v>19.386938027008892</v>
      </c>
      <c r="S298" s="18">
        <f t="shared" si="270"/>
        <v>1.5191923052775849</v>
      </c>
      <c r="T298" s="18" t="str">
        <f t="shared" si="259"/>
        <v>1+0.00792884383259i</v>
      </c>
      <c r="U298" s="18">
        <f t="shared" si="271"/>
        <v>1.0000314327882507</v>
      </c>
      <c r="V298" s="18">
        <f t="shared" si="272"/>
        <v>7.9286776857995407E-3</v>
      </c>
      <c r="W298" s="32" t="str">
        <f t="shared" si="260"/>
        <v>1-0.131365459948237i</v>
      </c>
      <c r="X298" s="18">
        <f t="shared" si="273"/>
        <v>1.0085915347986081</v>
      </c>
      <c r="Y298" s="18">
        <f t="shared" si="274"/>
        <v>-0.13061753607222609</v>
      </c>
      <c r="Z298" s="32" t="str">
        <f t="shared" si="261"/>
        <v>0.99917746452365+0.0596937252396237i</v>
      </c>
      <c r="AA298" s="18">
        <f t="shared" si="275"/>
        <v>1.0009590133691257</v>
      </c>
      <c r="AB298" s="18">
        <f t="shared" si="276"/>
        <v>5.9671939416720013E-2</v>
      </c>
      <c r="AC298" s="68" t="str">
        <f t="shared" si="277"/>
        <v>-0.247566033420145-1.88252971031159i</v>
      </c>
      <c r="AD298" s="66">
        <f t="shared" si="278"/>
        <v>5.5693021179387276</v>
      </c>
      <c r="AE298" s="63">
        <f t="shared" si="279"/>
        <v>-97.491811423914612</v>
      </c>
      <c r="AF298" s="51" t="str">
        <f t="shared" si="280"/>
        <v>42.1703962805665</v>
      </c>
      <c r="AG298" s="51" t="str">
        <f t="shared" si="262"/>
        <v>1+3.49801933790736i</v>
      </c>
      <c r="AH298" s="51">
        <f t="shared" si="281"/>
        <v>3.6381505312966156</v>
      </c>
      <c r="AI298" s="51">
        <f t="shared" si="282"/>
        <v>1.2923471056093803</v>
      </c>
      <c r="AJ298" s="51" t="str">
        <f t="shared" si="263"/>
        <v>1+0.00792884383259i</v>
      </c>
      <c r="AK298" s="51">
        <f t="shared" si="283"/>
        <v>1.0000314327882507</v>
      </c>
      <c r="AL298" s="51">
        <f t="shared" si="284"/>
        <v>7.9286776857995407E-3</v>
      </c>
      <c r="AM298" s="51" t="str">
        <f t="shared" si="264"/>
        <v>1-0.0205600977747104i</v>
      </c>
      <c r="AN298" s="51">
        <f t="shared" si="285"/>
        <v>1.0002113364786991</v>
      </c>
      <c r="AO298" s="51">
        <f t="shared" si="286"/>
        <v>-2.0557201470729924E-2</v>
      </c>
      <c r="AP298" s="60" t="str">
        <f t="shared" si="287"/>
        <v>3.04575205141762-11.1867645585895i</v>
      </c>
      <c r="AQ298" s="51">
        <f t="shared" si="288"/>
        <v>21.284648824518577</v>
      </c>
      <c r="AR298" s="63">
        <f t="shared" si="289"/>
        <v>-74.769595931722222</v>
      </c>
      <c r="AS298" s="32" t="str">
        <f t="shared" si="265"/>
        <v>-0.000133283554228113</v>
      </c>
      <c r="AT298" s="32" t="str">
        <f t="shared" si="266"/>
        <v>0.00242226179085625i</v>
      </c>
      <c r="AU298" s="32">
        <f t="shared" si="290"/>
        <v>2.4222617908562501E-3</v>
      </c>
      <c r="AV298" s="32">
        <f t="shared" si="291"/>
        <v>1.5707963267948966</v>
      </c>
      <c r="AW298" s="32" t="str">
        <f t="shared" si="267"/>
        <v>1+0.423514521658581i</v>
      </c>
      <c r="AX298" s="32">
        <f t="shared" si="292"/>
        <v>1.0859855201869391</v>
      </c>
      <c r="AY298" s="32">
        <f t="shared" si="293"/>
        <v>0.40061176140376542</v>
      </c>
      <c r="AZ298" s="32" t="str">
        <f t="shared" si="268"/>
        <v>1+6.3113993349608i</v>
      </c>
      <c r="BA298" s="32">
        <f t="shared" si="294"/>
        <v>6.3901300116150717</v>
      </c>
      <c r="BB298" s="32">
        <f t="shared" si="295"/>
        <v>1.4136591112532726</v>
      </c>
      <c r="BC298" s="60" t="str">
        <f t="shared" si="296"/>
        <v>-0.274705100153162+0.171366020780382i</v>
      </c>
      <c r="BD298" s="51">
        <f t="shared" si="297"/>
        <v>-9.7951770724664993</v>
      </c>
      <c r="BE298" s="63">
        <f t="shared" si="298"/>
        <v>148.04333759328972</v>
      </c>
      <c r="BF298" s="60" t="str">
        <f t="shared" si="299"/>
        <v>0.390609277462144+0.474716106584855i</v>
      </c>
      <c r="BG298" s="66">
        <f t="shared" si="300"/>
        <v>-4.2258749545277761</v>
      </c>
      <c r="BH298" s="63">
        <f t="shared" si="301"/>
        <v>50.55152616937513</v>
      </c>
      <c r="BI298" s="60" t="str">
        <f t="shared" si="255"/>
        <v>1.08034770548611+3.59499968779229i</v>
      </c>
      <c r="BJ298" s="66">
        <f t="shared" si="302"/>
        <v>11.489471752052062</v>
      </c>
      <c r="BK298" s="63">
        <f t="shared" si="256"/>
        <v>73.273741661567527</v>
      </c>
      <c r="BL298" s="51">
        <f t="shared" si="303"/>
        <v>-4.2258749545277761</v>
      </c>
      <c r="BM298" s="63">
        <f t="shared" si="304"/>
        <v>50.55152616937513</v>
      </c>
    </row>
    <row r="299" spans="14:65" x14ac:dyDescent="0.35">
      <c r="N299" s="11">
        <v>81</v>
      </c>
      <c r="O299" s="52">
        <f t="shared" si="305"/>
        <v>6456.5422903465615</v>
      </c>
      <c r="P299" s="50" t="str">
        <f t="shared" si="257"/>
        <v>36.531007751938</v>
      </c>
      <c r="Q299" s="18" t="str">
        <f t="shared" si="258"/>
        <v>1+19.8121089472482i</v>
      </c>
      <c r="R299" s="18">
        <f t="shared" si="269"/>
        <v>19.837329985097089</v>
      </c>
      <c r="S299" s="18">
        <f t="shared" si="270"/>
        <v>1.5203649424310144</v>
      </c>
      <c r="T299" s="18" t="str">
        <f t="shared" si="259"/>
        <v>1+0.00811353033077784i</v>
      </c>
      <c r="U299" s="18">
        <f t="shared" si="271"/>
        <v>1.0000329141455437</v>
      </c>
      <c r="V299" s="18">
        <f t="shared" si="272"/>
        <v>8.1133523016008232E-3</v>
      </c>
      <c r="W299" s="32" t="str">
        <f t="shared" si="260"/>
        <v>1-0.134425354592769i</v>
      </c>
      <c r="X299" s="18">
        <f t="shared" si="273"/>
        <v>1.0089946362381672</v>
      </c>
      <c r="Y299" s="18">
        <f t="shared" si="274"/>
        <v>-0.133624325064091</v>
      </c>
      <c r="Z299" s="32" t="str">
        <f t="shared" si="261"/>
        <v>0.999138699620929+0.0610841707208398i</v>
      </c>
      <c r="AA299" s="18">
        <f t="shared" si="275"/>
        <v>1.0010042042833056</v>
      </c>
      <c r="AB299" s="18">
        <f t="shared" si="276"/>
        <v>6.1060827648602455E-2</v>
      </c>
      <c r="AC299" s="68" t="str">
        <f t="shared" si="277"/>
        <v>-0.251936086029627-1.83911352465059i</v>
      </c>
      <c r="AD299" s="66">
        <f t="shared" si="278"/>
        <v>5.3729137088185492</v>
      </c>
      <c r="AE299" s="63">
        <f t="shared" si="279"/>
        <v>-97.800271260660267</v>
      </c>
      <c r="AF299" s="51" t="str">
        <f t="shared" si="280"/>
        <v>42.1703962805665</v>
      </c>
      <c r="AG299" s="51" t="str">
        <f t="shared" si="262"/>
        <v>1+3.57949867534318i</v>
      </c>
      <c r="AH299" s="51">
        <f t="shared" si="281"/>
        <v>3.7165589954665834</v>
      </c>
      <c r="AI299" s="51">
        <f t="shared" si="282"/>
        <v>1.2983730958194586</v>
      </c>
      <c r="AJ299" s="51" t="str">
        <f t="shared" si="263"/>
        <v>1+0.00811353033077784i</v>
      </c>
      <c r="AK299" s="51">
        <f t="shared" si="283"/>
        <v>1.0000329141455437</v>
      </c>
      <c r="AL299" s="51">
        <f t="shared" si="284"/>
        <v>8.1133523016008232E-3</v>
      </c>
      <c r="AM299" s="51" t="str">
        <f t="shared" si="264"/>
        <v>1-0.0210390039734683i</v>
      </c>
      <c r="AN299" s="51">
        <f t="shared" si="285"/>
        <v>1.0002212953582801</v>
      </c>
      <c r="AO299" s="51">
        <f t="shared" si="286"/>
        <v>-2.1035900564922102E-2</v>
      </c>
      <c r="AP299" s="60" t="str">
        <f t="shared" si="287"/>
        <v>2.91226092447319-10.9695064670318i</v>
      </c>
      <c r="AQ299" s="51">
        <f t="shared" si="288"/>
        <v>21.09954084052633</v>
      </c>
      <c r="AR299" s="63">
        <f t="shared" si="289"/>
        <v>-75.131706099832286</v>
      </c>
      <c r="AS299" s="32" t="str">
        <f t="shared" si="265"/>
        <v>-0.000133283554228113</v>
      </c>
      <c r="AT299" s="32" t="str">
        <f t="shared" si="266"/>
        <v>0.00247868351605263i</v>
      </c>
      <c r="AU299" s="32">
        <f t="shared" si="290"/>
        <v>2.4786835160526301E-3</v>
      </c>
      <c r="AV299" s="32">
        <f t="shared" si="291"/>
        <v>1.5707963267948966</v>
      </c>
      <c r="AW299" s="32" t="str">
        <f t="shared" si="267"/>
        <v>1+0.433379442142362i</v>
      </c>
      <c r="AX299" s="32">
        <f t="shared" si="292"/>
        <v>1.0898705156446911</v>
      </c>
      <c r="AY299" s="32">
        <f t="shared" si="293"/>
        <v>0.40894664768810923</v>
      </c>
      <c r="AZ299" s="32" t="str">
        <f t="shared" si="268"/>
        <v>1+6.45841071095081i</v>
      </c>
      <c r="BA299" s="32">
        <f t="shared" si="294"/>
        <v>6.5353706024466698</v>
      </c>
      <c r="BB299" s="32">
        <f t="shared" si="295"/>
        <v>1.4171793484284918</v>
      </c>
      <c r="BC299" s="60" t="str">
        <f t="shared" si="296"/>
        <v>-0.272750141450492+0.171976217084902i</v>
      </c>
      <c r="BD299" s="51">
        <f t="shared" si="297"/>
        <v>-9.8309839340800789</v>
      </c>
      <c r="BE299" s="63">
        <f t="shared" si="298"/>
        <v>147.76747851950043</v>
      </c>
      <c r="BF299" s="60" t="str">
        <f t="shared" si="299"/>
        <v>0.384999389860153+0.45829145896941i</v>
      </c>
      <c r="BG299" s="66">
        <f t="shared" si="300"/>
        <v>-4.4580702252615261</v>
      </c>
      <c r="BH299" s="63">
        <f t="shared" si="301"/>
        <v>49.967207258840212</v>
      </c>
      <c r="BI299" s="60" t="str">
        <f t="shared" si="255"/>
        <v>1.09217464639769+3.49277405748009i</v>
      </c>
      <c r="BJ299" s="66">
        <f t="shared" si="302"/>
        <v>11.268556906446252</v>
      </c>
      <c r="BK299" s="63">
        <f t="shared" si="256"/>
        <v>72.635772419668214</v>
      </c>
      <c r="BL299" s="51">
        <f t="shared" si="303"/>
        <v>-4.4580702252615261</v>
      </c>
      <c r="BM299" s="63">
        <f t="shared" si="304"/>
        <v>49.967207258840212</v>
      </c>
    </row>
    <row r="300" spans="14:65" x14ac:dyDescent="0.35">
      <c r="N300" s="11">
        <v>82</v>
      </c>
      <c r="O300" s="52">
        <f t="shared" si="305"/>
        <v>6606.9344800759654</v>
      </c>
      <c r="P300" s="50" t="str">
        <f t="shared" si="257"/>
        <v>36.531007751938</v>
      </c>
      <c r="Q300" s="18" t="str">
        <f t="shared" si="258"/>
        <v>1+20.2735922480219i</v>
      </c>
      <c r="R300" s="18">
        <f t="shared" si="269"/>
        <v>20.298239890174067</v>
      </c>
      <c r="S300" s="18">
        <f t="shared" si="270"/>
        <v>1.5215110212515159</v>
      </c>
      <c r="T300" s="18" t="str">
        <f t="shared" si="259"/>
        <v>1+0.0083025187301423i</v>
      </c>
      <c r="U300" s="18">
        <f t="shared" si="271"/>
        <v>1.0000344653147033</v>
      </c>
      <c r="V300" s="18">
        <f t="shared" si="272"/>
        <v>8.302327968797308E-3</v>
      </c>
      <c r="W300" s="32" t="str">
        <f t="shared" si="260"/>
        <v>1-0.137556523339636i</v>
      </c>
      <c r="X300" s="18">
        <f t="shared" si="273"/>
        <v>1.0094165627298215</v>
      </c>
      <c r="Y300" s="18">
        <f t="shared" si="274"/>
        <v>-0.13669863659229667</v>
      </c>
      <c r="Z300" s="32" t="str">
        <f t="shared" si="261"/>
        <v>0.999098107784628+0.0625070038379165i</v>
      </c>
      <c r="AA300" s="18">
        <f t="shared" si="275"/>
        <v>1.0010515244020248</v>
      </c>
      <c r="AB300" s="18">
        <f t="shared" si="276"/>
        <v>6.2481992247503608E-2</v>
      </c>
      <c r="AC300" s="68" t="str">
        <f t="shared" si="277"/>
        <v>-0.256107247637029-1.796652627651i</v>
      </c>
      <c r="AD300" s="66">
        <f t="shared" si="278"/>
        <v>5.1766447016403969</v>
      </c>
      <c r="AE300" s="63">
        <f t="shared" si="279"/>
        <v>-98.112681040888347</v>
      </c>
      <c r="AF300" s="51" t="str">
        <f t="shared" si="280"/>
        <v>42.1703962805665</v>
      </c>
      <c r="AG300" s="51" t="str">
        <f t="shared" si="262"/>
        <v>1+3.66287591035691i</v>
      </c>
      <c r="AH300" s="51">
        <f t="shared" si="281"/>
        <v>3.7969276967928898</v>
      </c>
      <c r="AI300" s="51">
        <f t="shared" si="282"/>
        <v>1.3042815878965401</v>
      </c>
      <c r="AJ300" s="51" t="str">
        <f t="shared" si="263"/>
        <v>1+0.0083025187301423i</v>
      </c>
      <c r="AK300" s="51">
        <f t="shared" si="283"/>
        <v>1.0000344653147033</v>
      </c>
      <c r="AL300" s="51">
        <f t="shared" si="284"/>
        <v>8.302327968797308E-3</v>
      </c>
      <c r="AM300" s="51" t="str">
        <f t="shared" si="264"/>
        <v>1-0.0215290653306171i</v>
      </c>
      <c r="AN300" s="51">
        <f t="shared" si="285"/>
        <v>1.0002317234791196</v>
      </c>
      <c r="AO300" s="51">
        <f t="shared" si="286"/>
        <v>-2.1525740010054091E-2</v>
      </c>
      <c r="AP300" s="60" t="str">
        <f t="shared" si="287"/>
        <v>2.78392475459042-10.7549396314009i</v>
      </c>
      <c r="AQ300" s="51">
        <f t="shared" si="288"/>
        <v>20.91381894842015</v>
      </c>
      <c r="AR300" s="63">
        <f t="shared" si="289"/>
        <v>-75.487475983819522</v>
      </c>
      <c r="AS300" s="32" t="str">
        <f t="shared" si="265"/>
        <v>-0.000133283554228113</v>
      </c>
      <c r="AT300" s="32" t="str">
        <f t="shared" si="266"/>
        <v>0.00253641947205847i</v>
      </c>
      <c r="AU300" s="32">
        <f t="shared" si="290"/>
        <v>2.5364194720584698E-3</v>
      </c>
      <c r="AV300" s="32">
        <f t="shared" si="291"/>
        <v>1.5707963267948966</v>
      </c>
      <c r="AW300" s="32" t="str">
        <f t="shared" si="267"/>
        <v>1+0.443474146142821i</v>
      </c>
      <c r="AX300" s="32">
        <f t="shared" si="292"/>
        <v>1.0939238174101085</v>
      </c>
      <c r="AY300" s="32">
        <f t="shared" si="293"/>
        <v>0.41741378877501095</v>
      </c>
      <c r="AZ300" s="32" t="str">
        <f t="shared" si="268"/>
        <v>1+6.60884642178692i</v>
      </c>
      <c r="BA300" s="32">
        <f t="shared" si="294"/>
        <v>6.6840744330659412</v>
      </c>
      <c r="BB300" s="32">
        <f t="shared" si="295"/>
        <v>1.420623167313094</v>
      </c>
      <c r="BC300" s="60" t="str">
        <f t="shared" si="296"/>
        <v>-0.270732650939168+0.172610845974057i</v>
      </c>
      <c r="BD300" s="51">
        <f t="shared" si="297"/>
        <v>-9.8678062758148695</v>
      </c>
      <c r="BE300" s="63">
        <f t="shared" si="298"/>
        <v>147.47966335817441</v>
      </c>
      <c r="BF300" s="60" t="str">
        <f t="shared" si="299"/>
        <v>0.379458324057858+0.442205640026062i</v>
      </c>
      <c r="BG300" s="66">
        <f t="shared" si="300"/>
        <v>-4.6911615741744788</v>
      </c>
      <c r="BH300" s="63">
        <f t="shared" si="301"/>
        <v>49.366982317286059</v>
      </c>
      <c r="BI300" s="60" t="str">
        <f t="shared" si="255"/>
        <v>1.10271989935058+3.39224892411786i</v>
      </c>
      <c r="BJ300" s="66">
        <f t="shared" si="302"/>
        <v>11.046012672605288</v>
      </c>
      <c r="BK300" s="63">
        <f t="shared" si="256"/>
        <v>71.992187374354984</v>
      </c>
      <c r="BL300" s="51">
        <f t="shared" si="303"/>
        <v>-4.6911615741744788</v>
      </c>
      <c r="BM300" s="63">
        <f t="shared" si="304"/>
        <v>49.366982317286059</v>
      </c>
    </row>
    <row r="301" spans="14:65" x14ac:dyDescent="0.35">
      <c r="N301" s="11">
        <v>83</v>
      </c>
      <c r="O301" s="52">
        <f t="shared" si="305"/>
        <v>6760.8297539198229</v>
      </c>
      <c r="P301" s="50" t="str">
        <f t="shared" si="257"/>
        <v>36.531007751938</v>
      </c>
      <c r="Q301" s="18" t="str">
        <f t="shared" si="258"/>
        <v>1+20.7458248757582i</v>
      </c>
      <c r="R301" s="18">
        <f t="shared" si="269"/>
        <v>20.769912127296728</v>
      </c>
      <c r="S301" s="18">
        <f t="shared" si="270"/>
        <v>1.5226311373554453</v>
      </c>
      <c r="T301" s="18" t="str">
        <f t="shared" si="259"/>
        <v>1+0.00849590923483432i</v>
      </c>
      <c r="U301" s="18">
        <f t="shared" si="271"/>
        <v>1.0000360895856342</v>
      </c>
      <c r="V301" s="18">
        <f t="shared" si="272"/>
        <v>8.4957048307688666E-3</v>
      </c>
      <c r="W301" s="32" t="str">
        <f t="shared" si="260"/>
        <v>1-0.140760626375953i</v>
      </c>
      <c r="X301" s="18">
        <f t="shared" si="273"/>
        <v>1.0098581850625119</v>
      </c>
      <c r="Y301" s="18">
        <f t="shared" si="274"/>
        <v>-0.13984186812278693</v>
      </c>
      <c r="Z301" s="32" t="str">
        <f t="shared" si="261"/>
        <v>0.999055602914019+0.0639629789958062i</v>
      </c>
      <c r="AA301" s="18">
        <f t="shared" si="275"/>
        <v>1.0011010740159616</v>
      </c>
      <c r="AB301" s="18">
        <f t="shared" si="276"/>
        <v>6.3936179673246302E-2</v>
      </c>
      <c r="AC301" s="68" t="str">
        <f t="shared" si="277"/>
        <v>-0.260088233845222-1.75512584212421i</v>
      </c>
      <c r="AD301" s="66">
        <f t="shared" si="278"/>
        <v>4.9805025910462319</v>
      </c>
      <c r="AE301" s="63">
        <f t="shared" si="279"/>
        <v>-98.429191991007244</v>
      </c>
      <c r="AF301" s="51" t="str">
        <f t="shared" si="280"/>
        <v>42.1703962805665</v>
      </c>
      <c r="AG301" s="51" t="str">
        <f t="shared" si="262"/>
        <v>1+3.74819525066221i</v>
      </c>
      <c r="AH301" s="51">
        <f t="shared" si="281"/>
        <v>3.8792998900686642</v>
      </c>
      <c r="AI301" s="51">
        <f t="shared" si="282"/>
        <v>1.3100740638047379</v>
      </c>
      <c r="AJ301" s="51" t="str">
        <f t="shared" si="263"/>
        <v>1+0.00849590923483432i</v>
      </c>
      <c r="AK301" s="51">
        <f t="shared" si="283"/>
        <v>1.0000360895856342</v>
      </c>
      <c r="AL301" s="51">
        <f t="shared" si="284"/>
        <v>8.4957048307688666E-3</v>
      </c>
      <c r="AM301" s="51" t="str">
        <f t="shared" si="264"/>
        <v>1-0.022030541683175i</v>
      </c>
      <c r="AN301" s="51">
        <f t="shared" si="285"/>
        <v>1.0002426429456275</v>
      </c>
      <c r="AO301" s="51">
        <f t="shared" si="286"/>
        <v>-2.2026978584677222E-2</v>
      </c>
      <c r="AP301" s="60" t="str">
        <f t="shared" si="287"/>
        <v>2.66057893708114-10.5431301498378i</v>
      </c>
      <c r="AQ301" s="51">
        <f t="shared" si="288"/>
        <v>20.727507339359708</v>
      </c>
      <c r="AR301" s="63">
        <f t="shared" si="289"/>
        <v>-75.836999583099114</v>
      </c>
      <c r="AS301" s="32" t="str">
        <f t="shared" si="265"/>
        <v>-0.000133283554228113</v>
      </c>
      <c r="AT301" s="32" t="str">
        <f t="shared" si="266"/>
        <v>0.00259550027124189i</v>
      </c>
      <c r="AU301" s="32">
        <f t="shared" si="290"/>
        <v>2.5955002712418902E-3</v>
      </c>
      <c r="AV301" s="32">
        <f t="shared" si="291"/>
        <v>1.5707963267948966</v>
      </c>
      <c r="AW301" s="32" t="str">
        <f t="shared" si="267"/>
        <v>1+0.45380398600564i</v>
      </c>
      <c r="AX301" s="32">
        <f t="shared" si="292"/>
        <v>1.0981521104631211</v>
      </c>
      <c r="AY301" s="32">
        <f t="shared" si="293"/>
        <v>0.42601281676390695</v>
      </c>
      <c r="AZ301" s="32" t="str">
        <f t="shared" si="268"/>
        <v>1+6.76278623047429i</v>
      </c>
      <c r="BA301" s="32">
        <f t="shared" si="294"/>
        <v>6.8363204722345081</v>
      </c>
      <c r="BB301" s="32">
        <f t="shared" si="295"/>
        <v>1.4239920669506485</v>
      </c>
      <c r="BC301" s="60" t="str">
        <f t="shared" si="296"/>
        <v>-0.268651822344934+0.173267046020589i</v>
      </c>
      <c r="BD301" s="51">
        <f t="shared" si="297"/>
        <v>-9.9056920083197202</v>
      </c>
      <c r="BE301" s="63">
        <f t="shared" si="298"/>
        <v>147.17999907733088</v>
      </c>
      <c r="BF301" s="60" t="str">
        <f t="shared" si="299"/>
        <v>0.373978648052255+0.426453035948282i</v>
      </c>
      <c r="BG301" s="66">
        <f t="shared" si="300"/>
        <v>-4.9251894172734891</v>
      </c>
      <c r="BH301" s="63">
        <f t="shared" si="301"/>
        <v>48.750807086323604</v>
      </c>
      <c r="BI301" s="60" t="str">
        <f t="shared" si="255"/>
        <v>1.11200763693361+3.29342178110639i</v>
      </c>
      <c r="BJ301" s="66">
        <f t="shared" si="302"/>
        <v>10.821815331039986</v>
      </c>
      <c r="BK301" s="63">
        <f t="shared" si="256"/>
        <v>71.342999494231776</v>
      </c>
      <c r="BL301" s="51">
        <f t="shared" si="303"/>
        <v>-4.9251894172734891</v>
      </c>
      <c r="BM301" s="63">
        <f t="shared" si="304"/>
        <v>48.750807086323604</v>
      </c>
    </row>
    <row r="302" spans="14:65" x14ac:dyDescent="0.35">
      <c r="N302" s="11">
        <v>84</v>
      </c>
      <c r="O302" s="52">
        <f t="shared" si="305"/>
        <v>6918.3097091893687</v>
      </c>
      <c r="P302" s="50" t="str">
        <f t="shared" si="257"/>
        <v>36.531007751938</v>
      </c>
      <c r="Q302" s="18" t="str">
        <f t="shared" si="258"/>
        <v>1+21.2290572144471i</v>
      </c>
      <c r="R302" s="18">
        <f t="shared" si="269"/>
        <v>21.252596787552068</v>
      </c>
      <c r="S302" s="18">
        <f t="shared" si="270"/>
        <v>1.523725873393879</v>
      </c>
      <c r="T302" s="18" t="str">
        <f t="shared" si="259"/>
        <v>1+0.0086938043830593i</v>
      </c>
      <c r="U302" s="18">
        <f t="shared" si="271"/>
        <v>1.0000377904032682</v>
      </c>
      <c r="V302" s="18">
        <f t="shared" si="272"/>
        <v>8.6935853606041093E-3</v>
      </c>
      <c r="W302" s="32" t="str">
        <f t="shared" si="260"/>
        <v>1-0.144039362559562i</v>
      </c>
      <c r="X302" s="18">
        <f t="shared" si="273"/>
        <v>1.0103204135157149</v>
      </c>
      <c r="Y302" s="18">
        <f t="shared" si="274"/>
        <v>-0.14305543766946313</v>
      </c>
      <c r="Z302" s="32" t="str">
        <f t="shared" si="261"/>
        <v>0.999011094850573+0.0654528681718095i</v>
      </c>
      <c r="AA302" s="18">
        <f t="shared" si="275"/>
        <v>1.0011529581369958</v>
      </c>
      <c r="AB302" s="18">
        <f t="shared" si="276"/>
        <v>6.5424153391323167E-2</v>
      </c>
      <c r="AC302" s="68" t="str">
        <f t="shared" si="277"/>
        <v>-0.263887368574778-1.71451239900496i</v>
      </c>
      <c r="AD302" s="66">
        <f t="shared" si="278"/>
        <v>4.7844951028700509</v>
      </c>
      <c r="AE302" s="63">
        <f t="shared" si="279"/>
        <v>-98.749956612751546</v>
      </c>
      <c r="AF302" s="51" t="str">
        <f t="shared" si="280"/>
        <v>42.1703962805665</v>
      </c>
      <c r="AG302" s="51" t="str">
        <f t="shared" si="262"/>
        <v>1+3.83550193370264i</v>
      </c>
      <c r="AH302" s="51">
        <f t="shared" si="281"/>
        <v>3.9637198543081587</v>
      </c>
      <c r="AI302" s="51">
        <f t="shared" si="282"/>
        <v>1.3157520393300113</v>
      </c>
      <c r="AJ302" s="51" t="str">
        <f t="shared" si="263"/>
        <v>1+0.0086938043830593i</v>
      </c>
      <c r="AK302" s="51">
        <f t="shared" si="283"/>
        <v>1.0000377904032682</v>
      </c>
      <c r="AL302" s="51">
        <f t="shared" si="284"/>
        <v>8.6935853606041093E-3</v>
      </c>
      <c r="AM302" s="51" t="str">
        <f t="shared" si="264"/>
        <v>1-0.022543698920542i</v>
      </c>
      <c r="AN302" s="51">
        <f t="shared" si="285"/>
        <v>1.0002540769029737</v>
      </c>
      <c r="AO302" s="51">
        <f t="shared" si="286"/>
        <v>-2.2539881044091107E-2</v>
      </c>
      <c r="AP302" s="60" t="str">
        <f t="shared" si="287"/>
        <v>2.54206124715439-10.3341363701409i</v>
      </c>
      <c r="AQ302" s="51">
        <f t="shared" si="288"/>
        <v>20.540629442533369</v>
      </c>
      <c r="AR302" s="63">
        <f t="shared" si="289"/>
        <v>-76.180373043894747</v>
      </c>
      <c r="AS302" s="32" t="str">
        <f t="shared" si="265"/>
        <v>-0.000133283554228113</v>
      </c>
      <c r="AT302" s="32" t="str">
        <f t="shared" si="266"/>
        <v>0.00265595723902462i</v>
      </c>
      <c r="AU302" s="32">
        <f t="shared" si="290"/>
        <v>2.65595723902462E-3</v>
      </c>
      <c r="AV302" s="32">
        <f t="shared" si="291"/>
        <v>1.5707963267948966</v>
      </c>
      <c r="AW302" s="32" t="str">
        <f t="shared" si="267"/>
        <v>1+0.464374438748645i</v>
      </c>
      <c r="AX302" s="32">
        <f t="shared" si="292"/>
        <v>1.1025622972708249</v>
      </c>
      <c r="AY302" s="32">
        <f t="shared" si="293"/>
        <v>0.43474320320969945</v>
      </c>
      <c r="AZ302" s="32" t="str">
        <f t="shared" si="268"/>
        <v>1+6.92031175793711i</v>
      </c>
      <c r="BA302" s="32">
        <f t="shared" si="294"/>
        <v>6.9921895588608445</v>
      </c>
      <c r="BB302" s="32">
        <f t="shared" si="295"/>
        <v>1.4272875275357781</v>
      </c>
      <c r="BC302" s="60" t="str">
        <f t="shared" si="296"/>
        <v>-0.266506936473595+0.173941878059798i</v>
      </c>
      <c r="BD302" s="51">
        <f t="shared" si="297"/>
        <v>-9.9446891421428205</v>
      </c>
      <c r="BE302" s="63">
        <f t="shared" si="298"/>
        <v>146.86860076354819</v>
      </c>
      <c r="BF302" s="60" t="str">
        <f t="shared" si="299"/>
        <v>0.368553320812675+0.411028382518651i</v>
      </c>
      <c r="BG302" s="66">
        <f t="shared" si="300"/>
        <v>-5.160194039272767</v>
      </c>
      <c r="BH302" s="63">
        <f t="shared" si="301"/>
        <v>48.118644150796648</v>
      </c>
      <c r="BI302" s="60" t="str">
        <f t="shared" si="255"/>
        <v>1.12006213304101+3.19628993257968i</v>
      </c>
      <c r="BJ302" s="66">
        <f t="shared" si="302"/>
        <v>10.595940300390563</v>
      </c>
      <c r="BK302" s="63">
        <f t="shared" si="256"/>
        <v>70.688227719653469</v>
      </c>
      <c r="BL302" s="51">
        <f t="shared" si="303"/>
        <v>-5.160194039272767</v>
      </c>
      <c r="BM302" s="63">
        <f t="shared" si="304"/>
        <v>48.118644150796648</v>
      </c>
    </row>
    <row r="303" spans="14:65" x14ac:dyDescent="0.35">
      <c r="N303" s="11">
        <v>85</v>
      </c>
      <c r="O303" s="52">
        <f t="shared" si="305"/>
        <v>7079.4578438413828</v>
      </c>
      <c r="P303" s="50" t="str">
        <f t="shared" si="257"/>
        <v>36.531007751938</v>
      </c>
      <c r="Q303" s="18" t="str">
        <f t="shared" si="258"/>
        <v>1+21.7235454802709i</v>
      </c>
      <c r="R303" s="18">
        <f t="shared" si="269"/>
        <v>21.746549800678686</v>
      </c>
      <c r="S303" s="18">
        <f t="shared" si="270"/>
        <v>1.5247957993085233</v>
      </c>
      <c r="T303" s="18" t="str">
        <f t="shared" si="259"/>
        <v>1+0.00889630910144428i</v>
      </c>
      <c r="U303" s="18">
        <f t="shared" si="271"/>
        <v>1.0000395713748673</v>
      </c>
      <c r="V303" s="18">
        <f t="shared" si="272"/>
        <v>8.896074415156812E-3</v>
      </c>
      <c r="W303" s="32" t="str">
        <f t="shared" si="260"/>
        <v>1-0.147394470319787i</v>
      </c>
      <c r="X303" s="18">
        <f t="shared" si="273"/>
        <v>1.0108041995761843</v>
      </c>
      <c r="Y303" s="18">
        <f t="shared" si="274"/>
        <v>-0.146340783477617</v>
      </c>
      <c r="Z303" s="32" t="str">
        <f t="shared" si="261"/>
        <v>0.998964489186721+0.0669774613248886i</v>
      </c>
      <c r="AA303" s="18">
        <f t="shared" si="275"/>
        <v>1.0012072867201944</v>
      </c>
      <c r="AB303" s="18">
        <f t="shared" si="276"/>
        <v>6.6946694241870469E-2</v>
      </c>
      <c r="AC303" s="68" t="str">
        <f t="shared" si="277"/>
        <v>-0.267512600711152-1.67479193217614i</v>
      </c>
      <c r="AD303" s="66">
        <f t="shared" si="278"/>
        <v>4.5886302068849467</v>
      </c>
      <c r="AE303" s="63">
        <f t="shared" si="279"/>
        <v>-99.07512869774969</v>
      </c>
      <c r="AF303" s="51" t="str">
        <f t="shared" si="280"/>
        <v>42.1703962805665</v>
      </c>
      <c r="AG303" s="51" t="str">
        <f t="shared" si="262"/>
        <v>1+3.92484225063719i</v>
      </c>
      <c r="AH303" s="51">
        <f t="shared" si="281"/>
        <v>4.0502329182883789</v>
      </c>
      <c r="AI303" s="51">
        <f t="shared" si="282"/>
        <v>1.3213170599685922</v>
      </c>
      <c r="AJ303" s="51" t="str">
        <f t="shared" si="263"/>
        <v>1+0.00889630910144428i</v>
      </c>
      <c r="AK303" s="51">
        <f t="shared" si="283"/>
        <v>1.0000395713748673</v>
      </c>
      <c r="AL303" s="51">
        <f t="shared" si="284"/>
        <v>8.896074415156812E-3</v>
      </c>
      <c r="AM303" s="51" t="str">
        <f t="shared" si="264"/>
        <v>1-0.0230688091254778i</v>
      </c>
      <c r="AN303" s="51">
        <f t="shared" si="285"/>
        <v>1.0002660495860427</v>
      </c>
      <c r="AO303" s="51">
        <f t="shared" si="286"/>
        <v>-2.3064718255920456E-2</v>
      </c>
      <c r="AP303" s="60" t="str">
        <f t="shared" si="287"/>
        <v>2.42821207212452-10.1280092764814i</v>
      </c>
      <c r="AQ303" s="51">
        <f t="shared" si="288"/>
        <v>20.353207937452915</v>
      </c>
      <c r="AR303" s="63">
        <f t="shared" si="289"/>
        <v>-76.51769442833438</v>
      </c>
      <c r="AS303" s="32" t="str">
        <f t="shared" si="265"/>
        <v>-0.000133283554228113</v>
      </c>
      <c r="AT303" s="32" t="str">
        <f t="shared" si="266"/>
        <v>0.00271782243049123i</v>
      </c>
      <c r="AU303" s="32">
        <f t="shared" si="290"/>
        <v>2.7178224304912298E-3</v>
      </c>
      <c r="AV303" s="32">
        <f t="shared" si="291"/>
        <v>1.5707963267948966</v>
      </c>
      <c r="AW303" s="32" t="str">
        <f t="shared" si="267"/>
        <v>1+0.475191108965796i</v>
      </c>
      <c r="AX303" s="32">
        <f t="shared" si="292"/>
        <v>1.1071615013358</v>
      </c>
      <c r="AY303" s="32">
        <f t="shared" si="293"/>
        <v>0.44360425263446845</v>
      </c>
      <c r="AZ303" s="32" t="str">
        <f t="shared" si="268"/>
        <v>1+7.08150652629515i</v>
      </c>
      <c r="BA303" s="32">
        <f t="shared" si="294"/>
        <v>7.1517644453631721</v>
      </c>
      <c r="BB303" s="32">
        <f t="shared" si="295"/>
        <v>1.4305110099051699</v>
      </c>
      <c r="BC303" s="60" t="str">
        <f t="shared" si="296"/>
        <v>-0.26429736915473+0.1746323273985i</v>
      </c>
      <c r="BD303" s="51">
        <f t="shared" si="297"/>
        <v>-9.9848457452104249</v>
      </c>
      <c r="BE303" s="63">
        <f t="shared" si="298"/>
        <v>146.54559196455324</v>
      </c>
      <c r="BF303" s="60" t="str">
        <f t="shared" si="299"/>
        <v>0.363175689607847+0.395926753485107i</v>
      </c>
      <c r="BG303" s="66">
        <f t="shared" si="300"/>
        <v>-5.3962155383254808</v>
      </c>
      <c r="BH303" s="63">
        <f t="shared" si="301"/>
        <v>47.470463266803598</v>
      </c>
      <c r="BI303" s="60" t="str">
        <f t="shared" si="255"/>
        <v>1.12690776945328+3.10085053212097i</v>
      </c>
      <c r="BJ303" s="66">
        <f t="shared" si="302"/>
        <v>10.368362192242479</v>
      </c>
      <c r="BK303" s="63">
        <f t="shared" si="256"/>
        <v>70.027897536218831</v>
      </c>
      <c r="BL303" s="51">
        <f t="shared" si="303"/>
        <v>-5.3962155383254808</v>
      </c>
      <c r="BM303" s="63">
        <f t="shared" si="304"/>
        <v>47.470463266803598</v>
      </c>
    </row>
    <row r="304" spans="14:65" x14ac:dyDescent="0.35">
      <c r="N304" s="11">
        <v>86</v>
      </c>
      <c r="O304" s="52">
        <f t="shared" si="305"/>
        <v>7244.3596007499036</v>
      </c>
      <c r="P304" s="50" t="str">
        <f t="shared" si="257"/>
        <v>36.531007751938</v>
      </c>
      <c r="Q304" s="18" t="str">
        <f t="shared" si="258"/>
        <v>1+22.2295518574535i</v>
      </c>
      <c r="R304" s="18">
        <f t="shared" si="269"/>
        <v>22.252033070782865</v>
      </c>
      <c r="S304" s="18">
        <f t="shared" si="270"/>
        <v>1.525841472584379</v>
      </c>
      <c r="T304" s="18" t="str">
        <f t="shared" si="259"/>
        <v>1+0.00910353076067144i</v>
      </c>
      <c r="U304" s="18">
        <f t="shared" si="271"/>
        <v>1.0000414362776726</v>
      </c>
      <c r="V304" s="18">
        <f t="shared" si="272"/>
        <v>9.1032792903464905E-3</v>
      </c>
      <c r="W304" s="32" t="str">
        <f t="shared" si="260"/>
        <v>1-0.150827728579172i</v>
      </c>
      <c r="X304" s="18">
        <f t="shared" si="273"/>
        <v>1.0113105377223914</v>
      </c>
      <c r="Y304" s="18">
        <f t="shared" si="274"/>
        <v>-0.14969936365046571</v>
      </c>
      <c r="Z304" s="32" t="str">
        <f t="shared" si="261"/>
        <v>0.9989156870656+0.0685375668145139i</v>
      </c>
      <c r="AA304" s="18">
        <f t="shared" si="275"/>
        <v>1.0012641748962128</v>
      </c>
      <c r="AB304" s="18">
        <f t="shared" si="276"/>
        <v>6.8504600815313052E-2</v>
      </c>
      <c r="AC304" s="68" t="str">
        <f t="shared" si="277"/>
        <v>-0.270971520045599-1.63594447313229i</v>
      </c>
      <c r="AD304" s="66">
        <f t="shared" si="278"/>
        <v>4.392916129748123</v>
      </c>
      <c r="AE304" s="63">
        <f t="shared" si="279"/>
        <v>-99.404863338957441</v>
      </c>
      <c r="AF304" s="51" t="str">
        <f t="shared" si="280"/>
        <v>42.1703962805665</v>
      </c>
      <c r="AG304" s="51" t="str">
        <f t="shared" si="262"/>
        <v>1+4.01626357088447i</v>
      </c>
      <c r="AH304" s="51">
        <f t="shared" si="281"/>
        <v>4.1388854865547646</v>
      </c>
      <c r="AI304" s="51">
        <f t="shared" si="282"/>
        <v>1.3267706970244069</v>
      </c>
      <c r="AJ304" s="51" t="str">
        <f t="shared" si="263"/>
        <v>1+0.00910353076067144i</v>
      </c>
      <c r="AK304" s="51">
        <f t="shared" si="283"/>
        <v>1.0000414362776726</v>
      </c>
      <c r="AL304" s="51">
        <f t="shared" si="284"/>
        <v>9.1032792903464905E-3</v>
      </c>
      <c r="AM304" s="51" t="str">
        <f t="shared" si="264"/>
        <v>1-0.0236061507183638i</v>
      </c>
      <c r="AN304" s="51">
        <f t="shared" si="285"/>
        <v>1.000278586370686</v>
      </c>
      <c r="AO304" s="51">
        <f t="shared" si="286"/>
        <v>-2.3601767338590776E-2</v>
      </c>
      <c r="AP304" s="60" t="str">
        <f t="shared" si="287"/>
        <v>2.3188746145938-9.92479287076416i</v>
      </c>
      <c r="AQ304" s="51">
        <f t="shared" si="288"/>
        <v>20.165264767297998</v>
      </c>
      <c r="AR304" s="63">
        <f t="shared" si="289"/>
        <v>-76.849063495614189</v>
      </c>
      <c r="AS304" s="32" t="str">
        <f t="shared" si="265"/>
        <v>-0.000133283554228113</v>
      </c>
      <c r="AT304" s="32" t="str">
        <f t="shared" si="266"/>
        <v>0.00278112864738512i</v>
      </c>
      <c r="AU304" s="32">
        <f t="shared" si="290"/>
        <v>2.7811286473851198E-3</v>
      </c>
      <c r="AV304" s="32">
        <f t="shared" si="291"/>
        <v>1.5707963267948966</v>
      </c>
      <c r="AW304" s="32" t="str">
        <f t="shared" si="267"/>
        <v>1+0.48625973179882i</v>
      </c>
      <c r="AX304" s="32">
        <f t="shared" si="292"/>
        <v>1.1119570705603075</v>
      </c>
      <c r="AY304" s="32">
        <f t="shared" si="293"/>
        <v>0.45259509624346311</v>
      </c>
      <c r="AZ304" s="32" t="str">
        <f t="shared" si="268"/>
        <v>1+7.24645600314826i</v>
      </c>
      <c r="BA304" s="32">
        <f t="shared" si="294"/>
        <v>7.3151298420167121</v>
      </c>
      <c r="BB304" s="32">
        <f t="shared" si="295"/>
        <v>1.4336639550943557</v>
      </c>
      <c r="BC304" s="60" t="str">
        <f t="shared" si="296"/>
        <v>-0.262022599263975+0.175335306695315i</v>
      </c>
      <c r="BD304" s="51">
        <f t="shared" si="297"/>
        <v>-10.026209895006577</v>
      </c>
      <c r="BE304" s="63">
        <f t="shared" si="298"/>
        <v>146.21110502387205</v>
      </c>
      <c r="BF304" s="60" t="str">
        <f t="shared" si="299"/>
        <v>0.357839487942014+0.381143548528766i</v>
      </c>
      <c r="BG304" s="66">
        <f t="shared" si="300"/>
        <v>-5.6332937652584514</v>
      </c>
      <c r="BH304" s="63">
        <f t="shared" si="301"/>
        <v>46.806241684914596</v>
      </c>
      <c r="BI304" s="60" t="str">
        <f t="shared" si="255"/>
        <v>1.13256904799979+3.00710061689198i</v>
      </c>
      <c r="BJ304" s="66">
        <f t="shared" si="302"/>
        <v>10.139054872291425</v>
      </c>
      <c r="BK304" s="63">
        <f t="shared" si="256"/>
        <v>69.362041528257961</v>
      </c>
      <c r="BL304" s="51">
        <f t="shared" si="303"/>
        <v>-5.6332937652584514</v>
      </c>
      <c r="BM304" s="63">
        <f t="shared" si="304"/>
        <v>46.806241684914596</v>
      </c>
    </row>
    <row r="305" spans="14:65" x14ac:dyDescent="0.35">
      <c r="N305" s="11">
        <v>87</v>
      </c>
      <c r="O305" s="52">
        <f t="shared" si="305"/>
        <v>7413.1024130091773</v>
      </c>
      <c r="P305" s="50" t="str">
        <f t="shared" si="257"/>
        <v>36.531007751938</v>
      </c>
      <c r="Q305" s="18" t="str">
        <f t="shared" si="258"/>
        <v>1+22.7473446372738i</v>
      </c>
      <c r="R305" s="18">
        <f t="shared" si="269"/>
        <v>22.769314615220836</v>
      </c>
      <c r="S305" s="18">
        <f t="shared" si="270"/>
        <v>1.5268634384990669</v>
      </c>
      <c r="T305" s="18" t="str">
        <f t="shared" si="259"/>
        <v>1+0.00931557923240736i</v>
      </c>
      <c r="U305" s="18">
        <f t="shared" si="271"/>
        <v>1.000043389066912</v>
      </c>
      <c r="V305" s="18">
        <f t="shared" si="272"/>
        <v>9.3153097777308926E-3</v>
      </c>
      <c r="W305" s="32" t="str">
        <f t="shared" si="260"/>
        <v>1-0.15434095769669i</v>
      </c>
      <c r="X305" s="18">
        <f t="shared" si="273"/>
        <v>1.0118404672786769</v>
      </c>
      <c r="Y305" s="18">
        <f t="shared" si="274"/>
        <v>-0.15313265571475315</v>
      </c>
      <c r="Z305" s="32" t="str">
        <f t="shared" si="261"/>
        <v>0.998864584971369+0.070134011829266i</v>
      </c>
      <c r="AA305" s="18">
        <f t="shared" si="275"/>
        <v>1.0013237432145974</v>
      </c>
      <c r="AB305" s="18">
        <f t="shared" si="276"/>
        <v>7.0098689834700537E-2</v>
      </c>
      <c r="AC305" s="68" t="str">
        <f t="shared" si="277"/>
        <v>-0.274271372536021-1.59795044550394i</v>
      </c>
      <c r="AD305" s="66">
        <f t="shared" si="278"/>
        <v>4.1973613681443416</v>
      </c>
      <c r="AE305" s="63">
        <f t="shared" si="279"/>
        <v>-99.739316938718503</v>
      </c>
      <c r="AF305" s="51" t="str">
        <f t="shared" si="280"/>
        <v>42.1703962805665</v>
      </c>
      <c r="AG305" s="51" t="str">
        <f t="shared" si="262"/>
        <v>1+4.10981436723855i</v>
      </c>
      <c r="AH305" s="51">
        <f t="shared" si="281"/>
        <v>4.2297250659068135</v>
      </c>
      <c r="AI305" s="51">
        <f t="shared" si="282"/>
        <v>1.332114543912198</v>
      </c>
      <c r="AJ305" s="51" t="str">
        <f t="shared" si="263"/>
        <v>1+0.00931557923240736i</v>
      </c>
      <c r="AK305" s="51">
        <f t="shared" si="283"/>
        <v>1.000043389066912</v>
      </c>
      <c r="AL305" s="51">
        <f t="shared" si="284"/>
        <v>9.3153097777308926E-3</v>
      </c>
      <c r="AM305" s="51" t="str">
        <f t="shared" si="264"/>
        <v>1-0.0241560086048249i</v>
      </c>
      <c r="AN305" s="51">
        <f t="shared" si="285"/>
        <v>1.0002917138273797</v>
      </c>
      <c r="AO305" s="51">
        <f t="shared" si="286"/>
        <v>-2.4151311802751121E-2</v>
      </c>
      <c r="AP305" s="60" t="str">
        <f t="shared" si="287"/>
        <v>2.21389506839494-9.7245245472567i</v>
      </c>
      <c r="AQ305" s="51">
        <f t="shared" si="288"/>
        <v>19.97682115318019</v>
      </c>
      <c r="AR305" s="63">
        <f t="shared" si="289"/>
        <v>-77.17458149504472</v>
      </c>
      <c r="AS305" s="32" t="str">
        <f t="shared" si="265"/>
        <v>-0.000133283554228113</v>
      </c>
      <c r="AT305" s="32" t="str">
        <f t="shared" si="266"/>
        <v>0.00284590945550045i</v>
      </c>
      <c r="AU305" s="32">
        <f t="shared" si="290"/>
        <v>2.8459094555004501E-3</v>
      </c>
      <c r="AV305" s="32">
        <f t="shared" si="291"/>
        <v>1.5707963267948966</v>
      </c>
      <c r="AW305" s="32" t="str">
        <f t="shared" si="267"/>
        <v>1+0.497586175978051i</v>
      </c>
      <c r="AX305" s="32">
        <f t="shared" si="292"/>
        <v>1.116956580411459</v>
      </c>
      <c r="AY305" s="32">
        <f t="shared" si="293"/>
        <v>0.46171468589369191</v>
      </c>
      <c r="AZ305" s="32" t="str">
        <f t="shared" si="268"/>
        <v>1+7.41524764689242i</v>
      </c>
      <c r="BA305" s="32">
        <f t="shared" si="294"/>
        <v>7.4823724623105718</v>
      </c>
      <c r="BB305" s="32">
        <f t="shared" si="295"/>
        <v>1.4367477839560039</v>
      </c>
      <c r="BC305" s="60" t="str">
        <f t="shared" si="296"/>
        <v>-0.259682216770052+0.176047659544129i</v>
      </c>
      <c r="BD305" s="51">
        <f t="shared" si="297"/>
        <v>-10.068829625419069</v>
      </c>
      <c r="BE305" s="63">
        <f t="shared" si="298"/>
        <v>145.86528140453581</v>
      </c>
      <c r="BF305" s="60" t="str">
        <f t="shared" si="299"/>
        <v>0.352538834015186+0.366674480762233i</v>
      </c>
      <c r="BG305" s="66">
        <f t="shared" si="300"/>
        <v>-5.871468257274719</v>
      </c>
      <c r="BH305" s="63">
        <f t="shared" si="301"/>
        <v>46.12596446581729</v>
      </c>
      <c r="BI305" s="60" t="str">
        <f t="shared" si="255"/>
        <v>1.13707060766689+2.91503713673362i</v>
      </c>
      <c r="BJ305" s="66">
        <f t="shared" si="302"/>
        <v>9.9079915277611121</v>
      </c>
      <c r="BK305" s="63">
        <f t="shared" si="256"/>
        <v>68.690699909491059</v>
      </c>
      <c r="BL305" s="51">
        <f t="shared" si="303"/>
        <v>-5.871468257274719</v>
      </c>
      <c r="BM305" s="63">
        <f t="shared" si="304"/>
        <v>46.12596446581729</v>
      </c>
    </row>
    <row r="306" spans="14:65" x14ac:dyDescent="0.35">
      <c r="N306" s="11">
        <v>88</v>
      </c>
      <c r="O306" s="52">
        <f t="shared" si="305"/>
        <v>7585.7757502918394</v>
      </c>
      <c r="P306" s="50" t="str">
        <f t="shared" si="257"/>
        <v>36.531007751938</v>
      </c>
      <c r="Q306" s="18" t="str">
        <f t="shared" si="258"/>
        <v>1+23.2771983603174i</v>
      </c>
      <c r="R306" s="18">
        <f t="shared" si="269"/>
        <v>23.298668706721489</v>
      </c>
      <c r="S306" s="18">
        <f t="shared" si="270"/>
        <v>1.5278622303687346</v>
      </c>
      <c r="T306" s="18" t="str">
        <f t="shared" si="259"/>
        <v>1+0.00953256694755858i</v>
      </c>
      <c r="U306" s="18">
        <f t="shared" si="271"/>
        <v>1.000045433884186</v>
      </c>
      <c r="V306" s="18">
        <f t="shared" si="272"/>
        <v>9.5322782223793059E-3</v>
      </c>
      <c r="W306" s="32" t="str">
        <f t="shared" si="260"/>
        <v>1-0.157936020432923i</v>
      </c>
      <c r="X306" s="18">
        <f t="shared" si="273"/>
        <v>1.0123950743411332</v>
      </c>
      <c r="Y306" s="18">
        <f t="shared" si="274"/>
        <v>-0.15664215612118751</v>
      </c>
      <c r="Z306" s="32" t="str">
        <f t="shared" si="261"/>
        <v>0.998811074509634+0.0717676428254234i</v>
      </c>
      <c r="AA306" s="18">
        <f t="shared" si="275"/>
        <v>1.0013861178984893</v>
      </c>
      <c r="AB306" s="18">
        <f t="shared" si="276"/>
        <v>7.1729796544749411E-2</v>
      </c>
      <c r="AC306" s="68" t="str">
        <f t="shared" si="277"/>
        <v>-0.277419074913171-1.56079065946253i</v>
      </c>
      <c r="AD306" s="66">
        <f t="shared" si="278"/>
        <v>4.0019747021224878</v>
      </c>
      <c r="AE306" s="63">
        <f t="shared" si="279"/>
        <v>-100.07864721320604</v>
      </c>
      <c r="AF306" s="51" t="str">
        <f t="shared" si="280"/>
        <v>42.1703962805665</v>
      </c>
      <c r="AG306" s="51" t="str">
        <f t="shared" si="262"/>
        <v>1+4.20554424156997i</v>
      </c>
      <c r="AH306" s="51">
        <f t="shared" si="281"/>
        <v>4.3228002923801991</v>
      </c>
      <c r="AI306" s="51">
        <f t="shared" si="282"/>
        <v>1.3373502126623651</v>
      </c>
      <c r="AJ306" s="51" t="str">
        <f t="shared" si="263"/>
        <v>1+0.00953256694755858i</v>
      </c>
      <c r="AK306" s="51">
        <f t="shared" si="283"/>
        <v>1.000045433884186</v>
      </c>
      <c r="AL306" s="51">
        <f t="shared" si="284"/>
        <v>9.5322782223793059E-3</v>
      </c>
      <c r="AM306" s="51" t="str">
        <f t="shared" si="264"/>
        <v>1-0.024718674326791i</v>
      </c>
      <c r="AN306" s="51">
        <f t="shared" si="285"/>
        <v>1.0003054597773993</v>
      </c>
      <c r="AO306" s="51">
        <f t="shared" si="286"/>
        <v>-2.4713641695694417E-2</v>
      </c>
      <c r="AP306" s="60" t="str">
        <f t="shared" si="287"/>
        <v>2.11312276906201-9.52723545930058i</v>
      </c>
      <c r="AQ306" s="51">
        <f t="shared" si="288"/>
        <v>19.787897609202187</v>
      </c>
      <c r="AR306" s="63">
        <f t="shared" si="289"/>
        <v>-77.49435097075164</v>
      </c>
      <c r="AS306" s="32" t="str">
        <f t="shared" si="265"/>
        <v>-0.000133283554228113</v>
      </c>
      <c r="AT306" s="32" t="str">
        <f t="shared" si="266"/>
        <v>0.00291219920247915i</v>
      </c>
      <c r="AU306" s="32">
        <f t="shared" si="290"/>
        <v>2.9121992024791501E-3</v>
      </c>
      <c r="AV306" s="32">
        <f t="shared" si="291"/>
        <v>1.5707963267948966</v>
      </c>
      <c r="AW306" s="32" t="str">
        <f t="shared" si="267"/>
        <v>1+0.509176446934118i</v>
      </c>
      <c r="AX306" s="32">
        <f t="shared" si="292"/>
        <v>1.1221678368731001</v>
      </c>
      <c r="AY306" s="32">
        <f t="shared" si="293"/>
        <v>0.47096178836560432</v>
      </c>
      <c r="AZ306" s="32" t="str">
        <f t="shared" si="268"/>
        <v>1+7.58797095309136i</v>
      </c>
      <c r="BA306" s="32">
        <f t="shared" si="294"/>
        <v>7.6535810693399071</v>
      </c>
      <c r="BB306" s="32">
        <f t="shared" si="295"/>
        <v>1.4397638968356632</v>
      </c>
      <c r="BC306" s="60" t="str">
        <f t="shared" si="296"/>
        <v>-0.257275930747223+0.17676616478869i</v>
      </c>
      <c r="BD306" s="51">
        <f t="shared" si="297"/>
        <v>-10.112752868253256</v>
      </c>
      <c r="BE306" s="63">
        <f t="shared" si="298"/>
        <v>145.50827199870974</v>
      </c>
      <c r="BF306" s="60" t="str">
        <f t="shared" si="299"/>
        <v>0.347268229616521+0.352515563703167i</v>
      </c>
      <c r="BG306" s="66">
        <f t="shared" si="300"/>
        <v>-6.110778166130773</v>
      </c>
      <c r="BH306" s="63">
        <f t="shared" si="301"/>
        <v>45.429624785503755</v>
      </c>
      <c r="BI306" s="60" t="str">
        <f t="shared" ref="BI306:BI369" si="306">IMPRODUCT(AP306,BC306)</f>
        <v>1.1404372459858+2.82465697785425i</v>
      </c>
      <c r="BJ306" s="66">
        <f t="shared" si="302"/>
        <v>9.6751447409489266</v>
      </c>
      <c r="BK306" s="63">
        <f t="shared" ref="BK306:BK369" si="307">(180/PI())*IMARGUMENT(BI306)</f>
        <v>68.013921027958091</v>
      </c>
      <c r="BL306" s="51">
        <f t="shared" si="303"/>
        <v>-6.110778166130773</v>
      </c>
      <c r="BM306" s="63">
        <f t="shared" si="304"/>
        <v>45.429624785503755</v>
      </c>
    </row>
    <row r="307" spans="14:65" x14ac:dyDescent="0.35">
      <c r="N307" s="11">
        <v>89</v>
      </c>
      <c r="O307" s="52">
        <f t="shared" si="305"/>
        <v>7762.4711662869322</v>
      </c>
      <c r="P307" s="50" t="str">
        <f t="shared" si="257"/>
        <v>36.531007751938</v>
      </c>
      <c r="Q307" s="18" t="str">
        <f t="shared" si="258"/>
        <v>1+23.8193939620419i</v>
      </c>
      <c r="R307" s="18">
        <f t="shared" si="269"/>
        <v>23.840376018824831</v>
      </c>
      <c r="S307" s="18">
        <f t="shared" si="270"/>
        <v>1.5288383697904728</v>
      </c>
      <c r="T307" s="18" t="str">
        <f t="shared" si="259"/>
        <v>1+0.00975460895588384i</v>
      </c>
      <c r="U307" s="18">
        <f t="shared" si="271"/>
        <v>1.0000475750662476</v>
      </c>
      <c r="V307" s="18">
        <f t="shared" si="272"/>
        <v>9.7542995820752293E-3</v>
      </c>
      <c r="W307" s="32" t="str">
        <f t="shared" si="260"/>
        <v>1-0.161614822937721i</v>
      </c>
      <c r="X307" s="18">
        <f t="shared" si="273"/>
        <v>1.0129754937772142</v>
      </c>
      <c r="Y307" s="18">
        <f t="shared" si="274"/>
        <v>-0.16022937967528164</v>
      </c>
      <c r="Z307" s="32" t="str">
        <f t="shared" si="261"/>
        <v>0.998755042177532+0.073439325975764i</v>
      </c>
      <c r="AA307" s="18">
        <f t="shared" si="275"/>
        <v>1.0014514311112737</v>
      </c>
      <c r="AB307" s="18">
        <f t="shared" si="276"/>
        <v>7.3398775107587563E-2</v>
      </c>
      <c r="AC307" s="68" t="str">
        <f t="shared" si="277"/>
        <v>-0.280421228656852-1.52444630602503i</v>
      </c>
      <c r="AD307" s="66">
        <f t="shared" si="278"/>
        <v>3.8067652086221737</v>
      </c>
      <c r="AE307" s="63">
        <f t="shared" si="279"/>
        <v>-100.42301319298353</v>
      </c>
      <c r="AF307" s="51" t="str">
        <f t="shared" si="280"/>
        <v>42.1703962805665</v>
      </c>
      <c r="AG307" s="51" t="str">
        <f t="shared" si="262"/>
        <v>1+4.30350395112524i</v>
      </c>
      <c r="AH307" s="51">
        <f t="shared" si="281"/>
        <v>4.4181609587418329</v>
      </c>
      <c r="AI307" s="51">
        <f t="shared" si="282"/>
        <v>1.3424793306229155</v>
      </c>
      <c r="AJ307" s="51" t="str">
        <f t="shared" si="263"/>
        <v>1+0.00975460895588384i</v>
      </c>
      <c r="AK307" s="51">
        <f t="shared" si="283"/>
        <v>1.0000475750662476</v>
      </c>
      <c r="AL307" s="51">
        <f t="shared" si="284"/>
        <v>9.7542995820752293E-3</v>
      </c>
      <c r="AM307" s="51" t="str">
        <f t="shared" si="264"/>
        <v>1-0.0252944462170754i</v>
      </c>
      <c r="AN307" s="51">
        <f t="shared" si="285"/>
        <v>1.0003198533516311</v>
      </c>
      <c r="AO307" s="51">
        <f t="shared" si="286"/>
        <v>-2.5289053748821216E-2</v>
      </c>
      <c r="AP307" s="60" t="str">
        <f t="shared" si="287"/>
        <v>2.01641032056976-9.33295087710165i</v>
      </c>
      <c r="AQ307" s="51">
        <f t="shared" si="288"/>
        <v>19.598513958197692</v>
      </c>
      <c r="AR307" s="63">
        <f t="shared" si="289"/>
        <v>-77.808475577768746</v>
      </c>
      <c r="AS307" s="32" t="str">
        <f t="shared" si="265"/>
        <v>-0.000133283554228113</v>
      </c>
      <c r="AT307" s="32" t="str">
        <f t="shared" si="266"/>
        <v>0.00298003303602252i</v>
      </c>
      <c r="AU307" s="32">
        <f t="shared" si="290"/>
        <v>2.98003303602252E-3</v>
      </c>
      <c r="AV307" s="32">
        <f t="shared" si="291"/>
        <v>1.5707963267948966</v>
      </c>
      <c r="AW307" s="32" t="str">
        <f t="shared" si="267"/>
        <v>1+0.521036689982097i</v>
      </c>
      <c r="AX307" s="32">
        <f t="shared" si="292"/>
        <v>1.1275988791709133</v>
      </c>
      <c r="AY307" s="32">
        <f t="shared" si="293"/>
        <v>0.4803349799901388</v>
      </c>
      <c r="AZ307" s="32" t="str">
        <f t="shared" si="268"/>
        <v>1+7.76471750192831i</v>
      </c>
      <c r="BA307" s="32">
        <f t="shared" si="294"/>
        <v>7.8288465232594646</v>
      </c>
      <c r="BB307" s="32">
        <f t="shared" si="295"/>
        <v>1.4427136733010868</v>
      </c>
      <c r="BC307" s="60" t="str">
        <f t="shared" si="296"/>
        <v>-0.25480357728862+0.177487541591471i</v>
      </c>
      <c r="BD307" s="51">
        <f t="shared" si="297"/>
        <v>-10.158027389454825</v>
      </c>
      <c r="BE307" s="63">
        <f t="shared" si="298"/>
        <v>145.14023742003246</v>
      </c>
      <c r="BF307" s="60" t="str">
        <f t="shared" si="299"/>
        <v>0.342022559354018+0.338663097675236i</v>
      </c>
      <c r="BG307" s="66">
        <f t="shared" si="300"/>
        <v>-6.3512621808326415</v>
      </c>
      <c r="BH307" s="63">
        <f t="shared" si="301"/>
        <v>44.717224227048945</v>
      </c>
      <c r="BI307" s="60" t="str">
        <f t="shared" si="306"/>
        <v>1.14269394400787+2.73595698078206i</v>
      </c>
      <c r="BJ307" s="66">
        <f t="shared" si="302"/>
        <v>9.4404865687428678</v>
      </c>
      <c r="BK307" s="63">
        <f t="shared" si="307"/>
        <v>67.33176184226366</v>
      </c>
      <c r="BL307" s="51">
        <f t="shared" si="303"/>
        <v>-6.3512621808326415</v>
      </c>
      <c r="BM307" s="63">
        <f t="shared" si="304"/>
        <v>44.717224227048945</v>
      </c>
    </row>
    <row r="308" spans="14:65" x14ac:dyDescent="0.35">
      <c r="N308" s="11">
        <v>90</v>
      </c>
      <c r="O308" s="52">
        <f t="shared" si="305"/>
        <v>7943.2823472428154</v>
      </c>
      <c r="P308" s="50" t="str">
        <f t="shared" si="257"/>
        <v>36.531007751938</v>
      </c>
      <c r="Q308" s="18" t="str">
        <f t="shared" si="258"/>
        <v>1+24.3742189217319i</v>
      </c>
      <c r="R308" s="18">
        <f t="shared" si="269"/>
        <v>24.394723774712293</v>
      </c>
      <c r="S308" s="18">
        <f t="shared" si="270"/>
        <v>1.5297923668811826</v>
      </c>
      <c r="T308" s="18" t="str">
        <f t="shared" si="259"/>
        <v>1+0.009981822986995i</v>
      </c>
      <c r="U308" s="18">
        <f t="shared" si="271"/>
        <v>1.0000498171541974</v>
      </c>
      <c r="V308" s="18">
        <f t="shared" si="272"/>
        <v>9.9814914878784099E-3</v>
      </c>
      <c r="W308" s="32" t="str">
        <f t="shared" si="260"/>
        <v>1-0.165379315760864i</v>
      </c>
      <c r="X308" s="18">
        <f t="shared" si="273"/>
        <v>1.0135829113010595</v>
      </c>
      <c r="Y308" s="18">
        <f t="shared" si="274"/>
        <v>-0.16389585889396649</v>
      </c>
      <c r="Z308" s="32" t="str">
        <f t="shared" si="261"/>
        <v>0.998696369122975+0.0751499476288211i</v>
      </c>
      <c r="AA308" s="18">
        <f t="shared" si="275"/>
        <v>1.0015198212357197</v>
      </c>
      <c r="AB308" s="18">
        <f t="shared" si="276"/>
        <v>7.5106499005195199E-2</v>
      </c>
      <c r="AC308" s="68" t="str">
        <f t="shared" si="277"/>
        <v>-0.28328413336603-1.48889895127531i</v>
      </c>
      <c r="AD308" s="66">
        <f t="shared" si="278"/>
        <v>3.6117422751818342</v>
      </c>
      <c r="AE308" s="63">
        <f t="shared" si="279"/>
        <v>-100.77257521941652</v>
      </c>
      <c r="AF308" s="51" t="str">
        <f t="shared" si="280"/>
        <v>42.1703962805665</v>
      </c>
      <c r="AG308" s="51" t="str">
        <f t="shared" si="262"/>
        <v>1+4.40374543543898i</v>
      </c>
      <c r="AH308" s="51">
        <f t="shared" si="281"/>
        <v>4.5158580425152488</v>
      </c>
      <c r="AI308" s="51">
        <f t="shared" si="282"/>
        <v>1.3475035373534505</v>
      </c>
      <c r="AJ308" s="51" t="str">
        <f t="shared" si="263"/>
        <v>1+0.009981822986995i</v>
      </c>
      <c r="AK308" s="51">
        <f t="shared" si="283"/>
        <v>1.0000498171541974</v>
      </c>
      <c r="AL308" s="51">
        <f t="shared" si="284"/>
        <v>9.9814914878784099E-3</v>
      </c>
      <c r="AM308" s="51" t="str">
        <f t="shared" si="264"/>
        <v>1-0.0258836295575556i</v>
      </c>
      <c r="AN308" s="51">
        <f t="shared" si="285"/>
        <v>1.0003349250521412</v>
      </c>
      <c r="AO308" s="51">
        <f t="shared" si="286"/>
        <v>-2.5877851528198503E-2</v>
      </c>
      <c r="AP308" s="60" t="str">
        <f t="shared" si="287"/>
        <v>1.92361370004113-9.14169053576149i</v>
      </c>
      <c r="AQ308" s="51">
        <f t="shared" si="288"/>
        <v>19.408689348044781</v>
      </c>
      <c r="AR308" s="63">
        <f t="shared" si="289"/>
        <v>-78.117059909232566</v>
      </c>
      <c r="AS308" s="32" t="str">
        <f t="shared" si="265"/>
        <v>-0.000133283554228113</v>
      </c>
      <c r="AT308" s="32" t="str">
        <f t="shared" si="266"/>
        <v>0.00304944692252697i</v>
      </c>
      <c r="AU308" s="32">
        <f t="shared" si="290"/>
        <v>3.0494469225269701E-3</v>
      </c>
      <c r="AV308" s="32">
        <f t="shared" si="291"/>
        <v>1.5707963267948966</v>
      </c>
      <c r="AW308" s="32" t="str">
        <f t="shared" si="267"/>
        <v>1+0.533173193579838i</v>
      </c>
      <c r="AX308" s="32">
        <f t="shared" si="292"/>
        <v>1.1332579822582867</v>
      </c>
      <c r="AY308" s="32">
        <f t="shared" si="293"/>
        <v>0.48983264168492391</v>
      </c>
      <c r="AZ308" s="32" t="str">
        <f t="shared" si="268"/>
        <v>1+7.94558100676295i</v>
      </c>
      <c r="BA308" s="32">
        <f t="shared" si="294"/>
        <v>8.0082618298250043</v>
      </c>
      <c r="BB308" s="32">
        <f t="shared" si="295"/>
        <v>1.4455984719214625</v>
      </c>
      <c r="BC308" s="60" t="str">
        <f t="shared" si="296"/>
        <v>-0.252265127250918+0.178208455274402i</v>
      </c>
      <c r="BD308" s="51">
        <f t="shared" si="297"/>
        <v>-10.204700720125022</v>
      </c>
      <c r="BE308" s="63">
        <f t="shared" si="298"/>
        <v>144.76134827537084</v>
      </c>
      <c r="BF308" s="60" t="str">
        <f t="shared" si="299"/>
        <v>0.336797090118198+0.325113655596316i</v>
      </c>
      <c r="BG308" s="66">
        <f t="shared" si="300"/>
        <v>-6.5929584449431893</v>
      </c>
      <c r="BH308" s="63">
        <f t="shared" si="301"/>
        <v>43.988773055954233</v>
      </c>
      <c r="BI308" s="60" t="str">
        <f t="shared" si="306"/>
        <v>1.14386589415219+2.64893395232139i</v>
      </c>
      <c r="BJ308" s="66">
        <f t="shared" si="302"/>
        <v>9.203988627919756</v>
      </c>
      <c r="BK308" s="63">
        <f t="shared" si="307"/>
        <v>66.644288366138269</v>
      </c>
      <c r="BL308" s="51">
        <f t="shared" si="303"/>
        <v>-6.5929584449431893</v>
      </c>
      <c r="BM308" s="63">
        <f t="shared" si="304"/>
        <v>43.988773055954233</v>
      </c>
    </row>
    <row r="309" spans="14:65" x14ac:dyDescent="0.35">
      <c r="N309" s="11">
        <v>91</v>
      </c>
      <c r="O309" s="52">
        <f t="shared" si="305"/>
        <v>8128.3051616410066</v>
      </c>
      <c r="P309" s="50" t="str">
        <f t="shared" si="257"/>
        <v>36.531007751938</v>
      </c>
      <c r="Q309" s="18" t="str">
        <f t="shared" si="258"/>
        <v>1+24.9419674149253i</v>
      </c>
      <c r="R309" s="18">
        <f t="shared" si="269"/>
        <v>24.962005899510469</v>
      </c>
      <c r="S309" s="18">
        <f t="shared" si="270"/>
        <v>1.5307247205128489</v>
      </c>
      <c r="T309" s="18" t="str">
        <f t="shared" si="259"/>
        <v>1+0.010214329512779i</v>
      </c>
      <c r="U309" s="18">
        <f t="shared" si="271"/>
        <v>1.0000521649031093</v>
      </c>
      <c r="V309" s="18">
        <f t="shared" si="272"/>
        <v>1.0213974306076595E-2</v>
      </c>
      <c r="W309" s="32" t="str">
        <f t="shared" si="260"/>
        <v>1-0.169231494886279i</v>
      </c>
      <c r="X309" s="18">
        <f t="shared" si="273"/>
        <v>1.014218565626485</v>
      </c>
      <c r="Y309" s="18">
        <f t="shared" si="274"/>
        <v>-0.16764314328316296</v>
      </c>
      <c r="Z309" s="32" t="str">
        <f t="shared" si="261"/>
        <v>0.998634930892546+0.0769004147788385i</v>
      </c>
      <c r="AA309" s="18">
        <f t="shared" si="275"/>
        <v>1.0015914331661975</v>
      </c>
      <c r="AB309" s="18">
        <f t="shared" si="276"/>
        <v>7.6853861448522326E-2</v>
      </c>
      <c r="AC309" s="68" t="str">
        <f t="shared" si="277"/>
        <v>-0.286013799545922-1.45413053051838i</v>
      </c>
      <c r="AD309" s="66">
        <f t="shared" si="278"/>
        <v>3.4169156138189183</v>
      </c>
      <c r="AE309" s="63">
        <f t="shared" si="279"/>
        <v>-101.12749493665119</v>
      </c>
      <c r="AF309" s="51" t="str">
        <f t="shared" si="280"/>
        <v>42.1703962805665</v>
      </c>
      <c r="AG309" s="51" t="str">
        <f t="shared" si="262"/>
        <v>1+4.50632184387308i</v>
      </c>
      <c r="AH309" s="51">
        <f t="shared" si="281"/>
        <v>4.6159437345539285</v>
      </c>
      <c r="AI309" s="51">
        <f t="shared" si="282"/>
        <v>1.3524244817056879</v>
      </c>
      <c r="AJ309" s="51" t="str">
        <f t="shared" si="263"/>
        <v>1+0.010214329512779i</v>
      </c>
      <c r="AK309" s="51">
        <f t="shared" si="283"/>
        <v>1.0000521649031093</v>
      </c>
      <c r="AL309" s="51">
        <f t="shared" si="284"/>
        <v>1.0213974306076595E-2</v>
      </c>
      <c r="AM309" s="51" t="str">
        <f t="shared" si="264"/>
        <v>1-0.0264865367410378i</v>
      </c>
      <c r="AN309" s="51">
        <f t="shared" si="285"/>
        <v>1.0003507068166315</v>
      </c>
      <c r="AO309" s="51">
        <f t="shared" si="286"/>
        <v>-2.648034558825892E-2</v>
      </c>
      <c r="AP309" s="60" t="str">
        <f t="shared" si="287"/>
        <v>1.83459234207403-8.95346897286565i</v>
      </c>
      <c r="AQ309" s="51">
        <f t="shared" si="288"/>
        <v>19.218442268453629</v>
      </c>
      <c r="AR309" s="63">
        <f t="shared" si="289"/>
        <v>-78.420209334365595</v>
      </c>
      <c r="AS309" s="32" t="str">
        <f t="shared" si="265"/>
        <v>-0.000133283554228113</v>
      </c>
      <c r="AT309" s="32" t="str">
        <f t="shared" si="266"/>
        <v>0.00312047766615397i</v>
      </c>
      <c r="AU309" s="32">
        <f t="shared" si="290"/>
        <v>3.1204776661539701E-3</v>
      </c>
      <c r="AV309" s="32">
        <f t="shared" si="291"/>
        <v>1.5707963267948966</v>
      </c>
      <c r="AW309" s="32" t="str">
        <f t="shared" si="267"/>
        <v>1+0.5455923926622i</v>
      </c>
      <c r="AX309" s="32">
        <f t="shared" si="292"/>
        <v>1.1391536590516944</v>
      </c>
      <c r="AY309" s="32">
        <f t="shared" si="293"/>
        <v>0.49945295445443988</v>
      </c>
      <c r="AZ309" s="32" t="str">
        <f t="shared" si="268"/>
        <v>1+8.13065736381961i</v>
      </c>
      <c r="BA309" s="32">
        <f t="shared" si="294"/>
        <v>8.191922190050029</v>
      </c>
      <c r="BB309" s="32">
        <f t="shared" si="295"/>
        <v>1.4484196300930556</v>
      </c>
      <c r="BC309" s="60" t="str">
        <f t="shared" si="296"/>
        <v>-0.249660693756291+0.178925523942654i</v>
      </c>
      <c r="BD309" s="51">
        <f t="shared" si="297"/>
        <v>-10.252820082457157</v>
      </c>
      <c r="BE309" s="63">
        <f t="shared" si="298"/>
        <v>144.37178541265283</v>
      </c>
      <c r="BF309" s="60" t="str">
        <f t="shared" si="299"/>
        <v>0.331587470672518+0.311864068122839i</v>
      </c>
      <c r="BG309" s="66">
        <f t="shared" si="300"/>
        <v>-6.8359044686382395</v>
      </c>
      <c r="BH309" s="63">
        <f t="shared" si="301"/>
        <v>43.244290476001659</v>
      </c>
      <c r="BI309" s="60" t="str">
        <f t="shared" si="306"/>
        <v>1.1439785301921+2.56358467131784i</v>
      </c>
      <c r="BJ309" s="66">
        <f t="shared" si="302"/>
        <v>8.9656221859964678</v>
      </c>
      <c r="BK309" s="63">
        <f t="shared" si="307"/>
        <v>65.951576078287275</v>
      </c>
      <c r="BL309" s="51">
        <f t="shared" si="303"/>
        <v>-6.8359044686382395</v>
      </c>
      <c r="BM309" s="63">
        <f t="shared" si="304"/>
        <v>43.244290476001659</v>
      </c>
    </row>
    <row r="310" spans="14:65" x14ac:dyDescent="0.35">
      <c r="N310" s="11">
        <v>92</v>
      </c>
      <c r="O310" s="52">
        <f t="shared" si="305"/>
        <v>8317.6377110267094</v>
      </c>
      <c r="P310" s="50" t="str">
        <f t="shared" si="257"/>
        <v>36.531007751938</v>
      </c>
      <c r="Q310" s="18" t="str">
        <f t="shared" si="258"/>
        <v>1+25.522940469388i</v>
      </c>
      <c r="R310" s="18">
        <f t="shared" si="269"/>
        <v>25.542523176145377</v>
      </c>
      <c r="S310" s="18">
        <f t="shared" si="270"/>
        <v>1.5316359185441757</v>
      </c>
      <c r="T310" s="18" t="str">
        <f t="shared" si="259"/>
        <v>1+0.0104522518112732i</v>
      </c>
      <c r="U310" s="18">
        <f t="shared" si="271"/>
        <v>1.000054623292111</v>
      </c>
      <c r="V310" s="18">
        <f t="shared" si="272"/>
        <v>1.0451871201557012E-2</v>
      </c>
      <c r="W310" s="32" t="str">
        <f t="shared" si="260"/>
        <v>1-0.173173402790325i</v>
      </c>
      <c r="X310" s="18">
        <f t="shared" si="273"/>
        <v>1.0148837506995469</v>
      </c>
      <c r="Y310" s="18">
        <f t="shared" si="274"/>
        <v>-0.17147279853124692</v>
      </c>
      <c r="Z310" s="32" t="str">
        <f t="shared" si="261"/>
        <v>0.998570597167523+0.0786916555466687i</v>
      </c>
      <c r="AA310" s="18">
        <f t="shared" si="275"/>
        <v>1.00166641861459</v>
      </c>
      <c r="AB310" s="18">
        <f t="shared" si="276"/>
        <v>7.8641775793243218E-2</v>
      </c>
      <c r="AC310" s="68" t="str">
        <f t="shared" si="277"/>
        <v>-0.2886159608344-1.4201233423823i</v>
      </c>
      <c r="AD310" s="66">
        <f t="shared" si="278"/>
        <v>3.2222952750698552</v>
      </c>
      <c r="AE310" s="63">
        <f t="shared" si="279"/>
        <v>-101.48793527886527</v>
      </c>
      <c r="AF310" s="51" t="str">
        <f t="shared" si="280"/>
        <v>42.1703962805665</v>
      </c>
      <c r="AG310" s="51" t="str">
        <f t="shared" si="262"/>
        <v>1+4.61128756379701i</v>
      </c>
      <c r="AH310" s="51">
        <f t="shared" si="281"/>
        <v>4.7184714681800246</v>
      </c>
      <c r="AI310" s="51">
        <f t="shared" si="282"/>
        <v>1.3572438190846616</v>
      </c>
      <c r="AJ310" s="51" t="str">
        <f t="shared" si="263"/>
        <v>1+0.0104522518112732i</v>
      </c>
      <c r="AK310" s="51">
        <f t="shared" si="283"/>
        <v>1.000054623292111</v>
      </c>
      <c r="AL310" s="51">
        <f t="shared" si="284"/>
        <v>1.0451871201557012E-2</v>
      </c>
      <c r="AM310" s="51" t="str">
        <f t="shared" si="264"/>
        <v>1-0.0271034874368906i</v>
      </c>
      <c r="AN310" s="51">
        <f t="shared" si="285"/>
        <v>1.0003672320859185</v>
      </c>
      <c r="AO310" s="51">
        <f t="shared" si="286"/>
        <v>-2.7096853628687193E-2</v>
      </c>
      <c r="AP310" s="60" t="str">
        <f t="shared" si="287"/>
        <v>1.74920920428339-8.76829585508465i</v>
      </c>
      <c r="AQ310" s="51">
        <f t="shared" si="288"/>
        <v>19.027790568138148</v>
      </c>
      <c r="AR310" s="63">
        <f t="shared" si="289"/>
        <v>-78.718029846912572</v>
      </c>
      <c r="AS310" s="32" t="str">
        <f t="shared" si="265"/>
        <v>-0.000133283554228113</v>
      </c>
      <c r="AT310" s="32" t="str">
        <f t="shared" si="266"/>
        <v>0.00319316292834395i</v>
      </c>
      <c r="AU310" s="32">
        <f t="shared" si="290"/>
        <v>3.1931629283439501E-3</v>
      </c>
      <c r="AV310" s="32">
        <f t="shared" si="291"/>
        <v>1.5707963267948966</v>
      </c>
      <c r="AW310" s="32" t="str">
        <f t="shared" si="267"/>
        <v>1+0.558300872052918i</v>
      </c>
      <c r="AX310" s="32">
        <f t="shared" si="292"/>
        <v>1.1452946624057272</v>
      </c>
      <c r="AY310" s="32">
        <f t="shared" si="293"/>
        <v>0.50919389540946869</v>
      </c>
      <c r="AZ310" s="32" t="str">
        <f t="shared" si="268"/>
        <v>1+8.3200447030325i</v>
      </c>
      <c r="BA310" s="32">
        <f t="shared" si="294"/>
        <v>8.3799250510048822</v>
      </c>
      <c r="BB310" s="32">
        <f t="shared" si="295"/>
        <v>1.4511784639079475</v>
      </c>
      <c r="BC310" s="60" t="str">
        <f t="shared" si="296"/>
        <v>-0.246990539373557+0.179635325895459i</v>
      </c>
      <c r="BD310" s="51">
        <f t="shared" si="297"/>
        <v>-10.302432310771945</v>
      </c>
      <c r="BE310" s="63">
        <f t="shared" si="298"/>
        <v>143.97174014141484</v>
      </c>
      <c r="BF310" s="60" t="str">
        <f t="shared" si="299"/>
        <v>0.326389731258899+0.298911408128864i</v>
      </c>
      <c r="BG310" s="66">
        <f t="shared" si="300"/>
        <v>-7.0801370357020934</v>
      </c>
      <c r="BH310" s="63">
        <f t="shared" si="301"/>
        <v>42.483804862549526</v>
      </c>
      <c r="BI310" s="60" t="str">
        <f t="shared" si="306"/>
        <v>1.14305755863279+2.47990588810507i</v>
      </c>
      <c r="BJ310" s="66">
        <f t="shared" si="302"/>
        <v>8.7253582573662154</v>
      </c>
      <c r="BK310" s="63">
        <f t="shared" si="307"/>
        <v>65.253710294502284</v>
      </c>
      <c r="BL310" s="51">
        <f t="shared" si="303"/>
        <v>-7.0801370357020934</v>
      </c>
      <c r="BM310" s="63">
        <f t="shared" si="304"/>
        <v>42.483804862549526</v>
      </c>
    </row>
    <row r="311" spans="14:65" x14ac:dyDescent="0.35">
      <c r="N311" s="11">
        <v>93</v>
      </c>
      <c r="O311" s="52">
        <f t="shared" si="305"/>
        <v>8511.3803820237772</v>
      </c>
      <c r="P311" s="50" t="str">
        <f t="shared" si="257"/>
        <v>36.531007751938</v>
      </c>
      <c r="Q311" s="18" t="str">
        <f t="shared" si="258"/>
        <v>1+26.1174461247236i</v>
      </c>
      <c r="R311" s="18">
        <f t="shared" si="269"/>
        <v>26.136583404833917</v>
      </c>
      <c r="S311" s="18">
        <f t="shared" si="270"/>
        <v>1.5325264380485593</v>
      </c>
      <c r="T311" s="18" t="str">
        <f t="shared" si="259"/>
        <v>1+0.0106957160320297i</v>
      </c>
      <c r="U311" s="18">
        <f t="shared" si="271"/>
        <v>1.0000571975349399</v>
      </c>
      <c r="V311" s="18">
        <f t="shared" si="272"/>
        <v>1.0695308202630819E-2</v>
      </c>
      <c r="W311" s="32" t="str">
        <f t="shared" si="260"/>
        <v>1-0.177207129524752i</v>
      </c>
      <c r="X311" s="18">
        <f t="shared" si="273"/>
        <v>1.015579818012549</v>
      </c>
      <c r="Y311" s="18">
        <f t="shared" si="274"/>
        <v>-0.17538640561322377</v>
      </c>
      <c r="Z311" s="32" t="str">
        <f t="shared" si="261"/>
        <v>0.998503231487448+0.0805246196718771i</v>
      </c>
      <c r="AA311" s="18">
        <f t="shared" si="275"/>
        <v>1.0017449364305151</v>
      </c>
      <c r="AB311" s="18">
        <f t="shared" si="276"/>
        <v>8.0471175962110161E-2</v>
      </c>
      <c r="AC311" s="68" t="str">
        <f t="shared" si="277"/>
        <v>-0.291096085689344-1.38686004288141i</v>
      </c>
      <c r="AD311" s="66">
        <f t="shared" si="278"/>
        <v>3.0278916621743224</v>
      </c>
      <c r="AE311" s="63">
        <f t="shared" si="279"/>
        <v>-101.8540604524881</v>
      </c>
      <c r="AF311" s="51" t="str">
        <f t="shared" si="280"/>
        <v>42.1703962805665</v>
      </c>
      <c r="AG311" s="51" t="str">
        <f t="shared" si="262"/>
        <v>1+4.71869824942487i</v>
      </c>
      <c r="AH311" s="51">
        <f t="shared" si="281"/>
        <v>4.823495948907321</v>
      </c>
      <c r="AI311" s="51">
        <f t="shared" si="282"/>
        <v>1.3619632088845346</v>
      </c>
      <c r="AJ311" s="51" t="str">
        <f t="shared" si="263"/>
        <v>1+0.0106957160320297i</v>
      </c>
      <c r="AK311" s="51">
        <f t="shared" si="283"/>
        <v>1.0000571975349399</v>
      </c>
      <c r="AL311" s="51">
        <f t="shared" si="284"/>
        <v>1.0695308202630819E-2</v>
      </c>
      <c r="AM311" s="51" t="str">
        <f t="shared" si="264"/>
        <v>1-0.0277348087605397i</v>
      </c>
      <c r="AN311" s="51">
        <f t="shared" si="285"/>
        <v>1.0003845358745724</v>
      </c>
      <c r="AO311" s="51">
        <f t="shared" si="286"/>
        <v>-2.7727700654544187E-2</v>
      </c>
      <c r="AP311" s="60" t="str">
        <f t="shared" si="287"/>
        <v>1.66733081559203-8.58617629336882i</v>
      </c>
      <c r="AQ311" s="51">
        <f t="shared" si="288"/>
        <v>18.836751472286743</v>
      </c>
      <c r="AR311" s="63">
        <f t="shared" si="289"/>
        <v>-79.010627923683472</v>
      </c>
      <c r="AS311" s="32" t="str">
        <f t="shared" si="265"/>
        <v>-0.000133283554228113</v>
      </c>
      <c r="AT311" s="32" t="str">
        <f t="shared" si="266"/>
        <v>0.00326754124778507i</v>
      </c>
      <c r="AU311" s="32">
        <f t="shared" si="290"/>
        <v>3.2675412477850699E-3</v>
      </c>
      <c r="AV311" s="32">
        <f t="shared" si="291"/>
        <v>1.5707963267948966</v>
      </c>
      <c r="AW311" s="32" t="str">
        <f t="shared" si="267"/>
        <v>1+0.571305369955986i</v>
      </c>
      <c r="AX311" s="32">
        <f t="shared" si="292"/>
        <v>1.1516899868196067</v>
      </c>
      <c r="AY311" s="32">
        <f t="shared" si="293"/>
        <v>0.51905323436126749</v>
      </c>
      <c r="AZ311" s="32" t="str">
        <f t="shared" si="268"/>
        <v>1+8.51384344007578i</v>
      </c>
      <c r="BA311" s="32">
        <f t="shared" si="294"/>
        <v>8.5723701577872493</v>
      </c>
      <c r="BB311" s="32">
        <f t="shared" si="295"/>
        <v>1.4538762680627437</v>
      </c>
      <c r="BC311" s="60" t="str">
        <f t="shared" si="296"/>
        <v>-0.244255082897109+0.180334407819986i</v>
      </c>
      <c r="BD311" s="51">
        <f t="shared" si="297"/>
        <v>-10.353583767878931</v>
      </c>
      <c r="BE311" s="63">
        <f t="shared" si="298"/>
        <v>143.56141442271056</v>
      </c>
      <c r="BF311" s="60" t="str">
        <f t="shared" si="299"/>
        <v>0.321200283103294+0.286252974509183i</v>
      </c>
      <c r="BG311" s="66">
        <f t="shared" si="300"/>
        <v>-7.3256921057046087</v>
      </c>
      <c r="BH311" s="63">
        <f t="shared" si="301"/>
        <v>41.707353970222449</v>
      </c>
      <c r="BI311" s="60" t="str">
        <f t="shared" si="306"/>
        <v>1.14112899072333+2.3978943175758i</v>
      </c>
      <c r="BJ311" s="66">
        <f t="shared" si="302"/>
        <v>8.4831677044078209</v>
      </c>
      <c r="BK311" s="63">
        <f t="shared" si="307"/>
        <v>64.550786499027183</v>
      </c>
      <c r="BL311" s="51">
        <f t="shared" si="303"/>
        <v>-7.3256921057046087</v>
      </c>
      <c r="BM311" s="63">
        <f t="shared" si="304"/>
        <v>41.707353970222449</v>
      </c>
    </row>
    <row r="312" spans="14:65" x14ac:dyDescent="0.35">
      <c r="N312" s="11">
        <v>94</v>
      </c>
      <c r="O312" s="52">
        <f t="shared" si="305"/>
        <v>8709.6358995608189</v>
      </c>
      <c r="P312" s="50" t="str">
        <f t="shared" si="257"/>
        <v>36.531007751938</v>
      </c>
      <c r="Q312" s="18" t="str">
        <f t="shared" si="258"/>
        <v>1+26.7257995956998i</v>
      </c>
      <c r="R312" s="18">
        <f t="shared" si="269"/>
        <v>26.744501566294101</v>
      </c>
      <c r="S312" s="18">
        <f t="shared" si="270"/>
        <v>1.5333967455383708</v>
      </c>
      <c r="T312" s="18" t="str">
        <f t="shared" si="259"/>
        <v>1+0.0109448512630009i</v>
      </c>
      <c r="U312" s="18">
        <f t="shared" si="271"/>
        <v>1.0000598930909934</v>
      </c>
      <c r="V312" s="18">
        <f t="shared" si="272"/>
        <v>1.0944414267340241E-2</v>
      </c>
      <c r="W312" s="32" t="str">
        <f t="shared" si="260"/>
        <v>1-0.181334813824867i</v>
      </c>
      <c r="X312" s="18">
        <f t="shared" si="273"/>
        <v>1.0163081790012807</v>
      </c>
      <c r="Y312" s="18">
        <f t="shared" si="274"/>
        <v>-0.17938555980015136</v>
      </c>
      <c r="Z312" s="32" t="str">
        <f t="shared" si="261"/>
        <v>0.998432690960684+0.0824002790163047i</v>
      </c>
      <c r="AA312" s="18">
        <f t="shared" si="275"/>
        <v>1.0018271529365519</v>
      </c>
      <c r="AB312" s="18">
        <f t="shared" si="276"/>
        <v>8.2343016873833039E-2</v>
      </c>
      <c r="AC312" s="68" t="str">
        <f t="shared" si="277"/>
        <v>-0.293459388557698-1.35432363945359i</v>
      </c>
      <c r="AD312" s="66">
        <f t="shared" si="278"/>
        <v>2.8337155453858682</v>
      </c>
      <c r="AE312" s="63">
        <f t="shared" si="279"/>
        <v>-102.22603591306857</v>
      </c>
      <c r="AF312" s="51" t="str">
        <f t="shared" si="280"/>
        <v>42.1703962805665</v>
      </c>
      <c r="AG312" s="51" t="str">
        <f t="shared" si="262"/>
        <v>1+4.82861085132393i</v>
      </c>
      <c r="AH312" s="51">
        <f t="shared" si="281"/>
        <v>4.9310731847664977</v>
      </c>
      <c r="AI312" s="51">
        <f t="shared" si="282"/>
        <v>1.3665843120927041</v>
      </c>
      <c r="AJ312" s="51" t="str">
        <f t="shared" si="263"/>
        <v>1+0.0109448512630009i</v>
      </c>
      <c r="AK312" s="51">
        <f t="shared" si="283"/>
        <v>1.0000598930909934</v>
      </c>
      <c r="AL312" s="51">
        <f t="shared" si="284"/>
        <v>1.0944414267340241E-2</v>
      </c>
      <c r="AM312" s="51" t="str">
        <f t="shared" si="264"/>
        <v>1-0.0283808354469071i</v>
      </c>
      <c r="AN312" s="51">
        <f t="shared" si="285"/>
        <v>1.0004026548448701</v>
      </c>
      <c r="AO312" s="51">
        <f t="shared" si="286"/>
        <v>-2.8373219139667789E-2</v>
      </c>
      <c r="AP312" s="60" t="str">
        <f t="shared" si="287"/>
        <v>1.58882730873904-8.40711114643416i</v>
      </c>
      <c r="AQ312" s="51">
        <f t="shared" si="288"/>
        <v>18.645341600256458</v>
      </c>
      <c r="AR312" s="63">
        <f t="shared" si="289"/>
        <v>-79.298110392842304</v>
      </c>
      <c r="AS312" s="32" t="str">
        <f t="shared" si="265"/>
        <v>-0.000133283554228113</v>
      </c>
      <c r="AT312" s="32" t="str">
        <f t="shared" si="266"/>
        <v>0.00334365206084677i</v>
      </c>
      <c r="AU312" s="32">
        <f t="shared" si="290"/>
        <v>3.3436520608467698E-3</v>
      </c>
      <c r="AV312" s="32">
        <f t="shared" si="291"/>
        <v>1.5707963267948966</v>
      </c>
      <c r="AW312" s="32" t="str">
        <f t="shared" si="267"/>
        <v>1+0.584612781528324i</v>
      </c>
      <c r="AX312" s="32">
        <f t="shared" si="292"/>
        <v>1.1583488698687816</v>
      </c>
      <c r="AY312" s="32">
        <f t="shared" si="293"/>
        <v>0.5290285310451972</v>
      </c>
      <c r="AZ312" s="32" t="str">
        <f t="shared" si="268"/>
        <v>1+8.71215632960501i</v>
      </c>
      <c r="BA312" s="32">
        <f t="shared" si="294"/>
        <v>8.7693596066917365</v>
      </c>
      <c r="BB312" s="32">
        <f t="shared" si="295"/>
        <v>1.456514315804267</v>
      </c>
      <c r="BC312" s="60" t="str">
        <f t="shared" si="296"/>
        <v>-0.241454905639742+0.181019293755609i</v>
      </c>
      <c r="BD312" s="51">
        <f t="shared" si="297"/>
        <v>-10.406320257042429</v>
      </c>
      <c r="BE312" s="63">
        <f t="shared" si="298"/>
        <v>143.14102102507397</v>
      </c>
      <c r="BF312" s="60" t="str">
        <f t="shared" si="299"/>
        <v>0.31601591770371+0.273886275307271i</v>
      </c>
      <c r="BG312" s="66">
        <f t="shared" si="300"/>
        <v>-7.5726047116565649</v>
      </c>
      <c r="BH312" s="63">
        <f t="shared" si="301"/>
        <v>40.91498511200539</v>
      </c>
      <c r="BI312" s="60" t="str">
        <f t="shared" si="306"/>
        <v>1.13821917434299+2.31754662589265i</v>
      </c>
      <c r="BJ312" s="66">
        <f t="shared" si="302"/>
        <v>8.2390213432140342</v>
      </c>
      <c r="BK312" s="63">
        <f t="shared" si="307"/>
        <v>63.842910632231671</v>
      </c>
      <c r="BL312" s="51">
        <f t="shared" si="303"/>
        <v>-7.5726047116565649</v>
      </c>
      <c r="BM312" s="63">
        <f t="shared" si="304"/>
        <v>40.91498511200539</v>
      </c>
    </row>
    <row r="313" spans="14:65" x14ac:dyDescent="0.35">
      <c r="N313" s="11">
        <v>95</v>
      </c>
      <c r="O313" s="52">
        <f t="shared" si="305"/>
        <v>8912.5093813374679</v>
      </c>
      <c r="P313" s="50" t="str">
        <f t="shared" si="257"/>
        <v>36.531007751938</v>
      </c>
      <c r="Q313" s="18" t="str">
        <f t="shared" si="258"/>
        <v>1+27.3483234393794i</v>
      </c>
      <c r="R313" s="18">
        <f t="shared" si="269"/>
        <v>27.366599988762008</v>
      </c>
      <c r="S313" s="18">
        <f t="shared" si="270"/>
        <v>1.5342472971855401</v>
      </c>
      <c r="T313" s="18" t="str">
        <f t="shared" si="259"/>
        <v>1+0.011199789598984i</v>
      </c>
      <c r="U313" s="18">
        <f t="shared" si="271"/>
        <v>1.0000627156769026</v>
      </c>
      <c r="V313" s="18">
        <f t="shared" si="272"/>
        <v>1.119932135128324E-2</v>
      </c>
      <c r="W313" s="32" t="str">
        <f t="shared" si="260"/>
        <v>1-0.185558644243521i</v>
      </c>
      <c r="X313" s="18">
        <f t="shared" si="273"/>
        <v>1.0170703075272101</v>
      </c>
      <c r="Y313" s="18">
        <f t="shared" si="274"/>
        <v>-0.18347186956822997</v>
      </c>
      <c r="Z313" s="32" t="str">
        <f t="shared" si="261"/>
        <v>0.998358825961313+0.0843196280793635i</v>
      </c>
      <c r="AA313" s="18">
        <f t="shared" si="275"/>
        <v>1.0019132422791373</v>
      </c>
      <c r="AB313" s="18">
        <f t="shared" si="276"/>
        <v>8.4258274878416389E-2</v>
      </c>
      <c r="AC313" s="68" t="str">
        <f t="shared" si="277"/>
        <v>-0.295710840546411-1.32249748498309i</v>
      </c>
      <c r="AD313" s="66">
        <f t="shared" si="278"/>
        <v>2.639778076386492</v>
      </c>
      <c r="AE313" s="63">
        <f t="shared" si="279"/>
        <v>-102.60402833646668</v>
      </c>
      <c r="AF313" s="51" t="str">
        <f t="shared" si="280"/>
        <v>42.1703962805665</v>
      </c>
      <c r="AG313" s="51" t="str">
        <f t="shared" si="262"/>
        <v>1+4.94108364661059i</v>
      </c>
      <c r="AH313" s="51">
        <f t="shared" si="281"/>
        <v>5.0412605172518719</v>
      </c>
      <c r="AI313" s="51">
        <f t="shared" si="282"/>
        <v>1.3711087890557829</v>
      </c>
      <c r="AJ313" s="51" t="str">
        <f t="shared" si="263"/>
        <v>1+0.011199789598984i</v>
      </c>
      <c r="AK313" s="51">
        <f t="shared" si="283"/>
        <v>1.0000627156769026</v>
      </c>
      <c r="AL313" s="51">
        <f t="shared" si="284"/>
        <v>1.119932135128324E-2</v>
      </c>
      <c r="AM313" s="51" t="str">
        <f t="shared" si="264"/>
        <v>1-0.0290419100278932i</v>
      </c>
      <c r="AN313" s="51">
        <f t="shared" si="285"/>
        <v>1.0004216273842086</v>
      </c>
      <c r="AO313" s="51">
        <f t="shared" si="286"/>
        <v>-2.9033749193401567E-2</v>
      </c>
      <c r="AP313" s="60" t="str">
        <f t="shared" si="287"/>
        <v>1.51357243840534-8.23109731233786i</v>
      </c>
      <c r="AQ313" s="51">
        <f t="shared" si="288"/>
        <v>18.453576983420472</v>
      </c>
      <c r="AR313" s="63">
        <f t="shared" si="289"/>
        <v>-79.58058431157346</v>
      </c>
      <c r="AS313" s="32" t="str">
        <f t="shared" si="265"/>
        <v>-0.000133283554228113</v>
      </c>
      <c r="AT313" s="32" t="str">
        <f t="shared" si="266"/>
        <v>0.0034215357224896i</v>
      </c>
      <c r="AU313" s="32">
        <f t="shared" si="290"/>
        <v>3.4215357224896001E-3</v>
      </c>
      <c r="AV313" s="32">
        <f t="shared" si="291"/>
        <v>1.5707963267948966</v>
      </c>
      <c r="AW313" s="32" t="str">
        <f t="shared" si="267"/>
        <v>1+0.598230162535693i</v>
      </c>
      <c r="AX313" s="32">
        <f t="shared" si="292"/>
        <v>1.165280793357327</v>
      </c>
      <c r="AY313" s="32">
        <f t="shared" si="293"/>
        <v>0.53911713302744624</v>
      </c>
      <c r="AZ313" s="32" t="str">
        <f t="shared" si="268"/>
        <v>1+8.91508851973922i</v>
      </c>
      <c r="BA313" s="32">
        <f t="shared" si="294"/>
        <v>8.9709978996088307</v>
      </c>
      <c r="BB313" s="32">
        <f t="shared" si="295"/>
        <v>1.459093858909448</v>
      </c>
      <c r="BC313" s="60" t="str">
        <f t="shared" si="296"/>
        <v>-0.23859075715383+0.181686494806564i</v>
      </c>
      <c r="BD313" s="51">
        <f t="shared" si="297"/>
        <v>-10.460686929885448</v>
      </c>
      <c r="BE313" s="63">
        <f t="shared" si="298"/>
        <v>142.71078364330276</v>
      </c>
      <c r="BF313" s="60" t="str">
        <f t="shared" si="299"/>
        <v>0.310833805781638+0.261809010180971i</v>
      </c>
      <c r="BG313" s="66">
        <f t="shared" si="300"/>
        <v>-7.8209088534989526</v>
      </c>
      <c r="BH313" s="63">
        <f t="shared" si="301"/>
        <v>40.106755306836021</v>
      </c>
      <c r="BI313" s="60" t="str">
        <f t="shared" si="306"/>
        <v>1.1343548250041+2.23885941092724i</v>
      </c>
      <c r="BJ313" s="66">
        <f t="shared" si="302"/>
        <v>7.992890053535044</v>
      </c>
      <c r="BK313" s="63">
        <f t="shared" si="307"/>
        <v>63.130199331729273</v>
      </c>
      <c r="BL313" s="51">
        <f t="shared" si="303"/>
        <v>-7.8209088534989526</v>
      </c>
      <c r="BM313" s="63">
        <f t="shared" si="304"/>
        <v>40.106755306836021</v>
      </c>
    </row>
    <row r="314" spans="14:65" x14ac:dyDescent="0.35">
      <c r="N314" s="11">
        <v>96</v>
      </c>
      <c r="O314" s="52">
        <f t="shared" si="305"/>
        <v>9120.1083935591087</v>
      </c>
      <c r="P314" s="50" t="str">
        <f t="shared" si="257"/>
        <v>36.531007751938</v>
      </c>
      <c r="Q314" s="18" t="str">
        <f t="shared" si="258"/>
        <v>1+27.9853477261444i</v>
      </c>
      <c r="R314" s="18">
        <f t="shared" si="269"/>
        <v>28.003208518903964</v>
      </c>
      <c r="S314" s="18">
        <f t="shared" si="270"/>
        <v>1.5350785390384267</v>
      </c>
      <c r="T314" s="18" t="str">
        <f t="shared" si="259"/>
        <v>1+0.0114606662116592i</v>
      </c>
      <c r="U314" s="18">
        <f t="shared" si="271"/>
        <v>1.0000656712786491</v>
      </c>
      <c r="V314" s="18">
        <f t="shared" si="272"/>
        <v>1.1460164476987644E-2</v>
      </c>
      <c r="W314" s="32" t="str">
        <f t="shared" si="260"/>
        <v>1-0.189880860311513i</v>
      </c>
      <c r="X314" s="18">
        <f t="shared" si="273"/>
        <v>1.0178677424462572</v>
      </c>
      <c r="Y314" s="18">
        <f t="shared" si="274"/>
        <v>-0.18764695540176746</v>
      </c>
      <c r="Z314" s="32" t="str">
        <f t="shared" si="261"/>
        <v>0.998281479811771+0.0862836845253321i</v>
      </c>
      <c r="AA314" s="18">
        <f t="shared" si="275"/>
        <v>1.0020033867958962</v>
      </c>
      <c r="AB314" s="18">
        <f t="shared" si="276"/>
        <v>8.6217948198848274E-2</v>
      </c>
      <c r="AC314" s="68" t="str">
        <f t="shared" si="277"/>
        <v>-0.297855179614586-1.29136527181986i</v>
      </c>
      <c r="AD314" s="66">
        <f t="shared" si="278"/>
        <v>2.4460908027808621</v>
      </c>
      <c r="AE314" s="63">
        <f t="shared" si="279"/>
        <v>-102.98820558402551</v>
      </c>
      <c r="AF314" s="51" t="str">
        <f t="shared" si="280"/>
        <v>42.1703962805665</v>
      </c>
      <c r="AG314" s="51" t="str">
        <f t="shared" si="262"/>
        <v>1+5.05617626984964i</v>
      </c>
      <c r="AH314" s="51">
        <f t="shared" si="281"/>
        <v>5.1541166529086846</v>
      </c>
      <c r="AI314" s="51">
        <f t="shared" si="282"/>
        <v>1.3755382974009371</v>
      </c>
      <c r="AJ314" s="51" t="str">
        <f t="shared" si="263"/>
        <v>1+0.0114606662116592i</v>
      </c>
      <c r="AK314" s="51">
        <f t="shared" si="283"/>
        <v>1.0000656712786491</v>
      </c>
      <c r="AL314" s="51">
        <f t="shared" si="284"/>
        <v>1.1460164476987644E-2</v>
      </c>
      <c r="AM314" s="51" t="str">
        <f t="shared" si="264"/>
        <v>1-0.0297183830139913i</v>
      </c>
      <c r="AN314" s="51">
        <f t="shared" si="285"/>
        <v>1.0004414936861457</v>
      </c>
      <c r="AO314" s="51">
        <f t="shared" si="286"/>
        <v>-2.9709638730689936E-2</v>
      </c>
      <c r="AP314" s="60" t="str">
        <f t="shared" si="287"/>
        <v>1.44144358628495-8.05812800803362i</v>
      </c>
      <c r="AQ314" s="51">
        <f t="shared" si="288"/>
        <v>18.261473083105553</v>
      </c>
      <c r="AR314" s="63">
        <f t="shared" si="289"/>
        <v>-79.858156852754547</v>
      </c>
      <c r="AS314" s="32" t="str">
        <f t="shared" si="265"/>
        <v>-0.000133283554228113</v>
      </c>
      <c r="AT314" s="32" t="str">
        <f t="shared" si="266"/>
        <v>0.00350123352766187i</v>
      </c>
      <c r="AU314" s="32">
        <f t="shared" si="290"/>
        <v>3.5012335276618698E-3</v>
      </c>
      <c r="AV314" s="32">
        <f t="shared" si="291"/>
        <v>1.5707963267948966</v>
      </c>
      <c r="AW314" s="32" t="str">
        <f t="shared" si="267"/>
        <v>1+0.612164733093751i</v>
      </c>
      <c r="AX314" s="32">
        <f t="shared" si="292"/>
        <v>1.1724954841890622</v>
      </c>
      <c r="AY314" s="32">
        <f t="shared" si="293"/>
        <v>0.54931617434649083</v>
      </c>
      <c r="AZ314" s="32" t="str">
        <f t="shared" si="268"/>
        <v>1+9.12274760781174i</v>
      </c>
      <c r="BA314" s="32">
        <f t="shared" si="294"/>
        <v>9.1773919996824169</v>
      </c>
      <c r="BB314" s="32">
        <f t="shared" si="295"/>
        <v>1.4616161276967516</v>
      </c>
      <c r="BC314" s="60" t="str">
        <f t="shared" si="296"/>
        <v>-0.235663560294903+0.182332519571172i</v>
      </c>
      <c r="BD314" s="51">
        <f t="shared" si="297"/>
        <v>-10.516728190615236</v>
      </c>
      <c r="BE314" s="63">
        <f t="shared" si="298"/>
        <v>142.27093697695202</v>
      </c>
      <c r="BF314" s="60" t="str">
        <f t="shared" si="299"/>
        <v>0.305651495777878+0.250019052231812i</v>
      </c>
      <c r="BG314" s="66">
        <f t="shared" si="300"/>
        <v>-8.0706373878343687</v>
      </c>
      <c r="BH314" s="63">
        <f t="shared" si="301"/>
        <v>39.282731392926479</v>
      </c>
      <c r="BI314" s="60" t="str">
        <f t="shared" si="306"/>
        <v>1.12956305522363+2.16182917659232i</v>
      </c>
      <c r="BJ314" s="66">
        <f t="shared" si="302"/>
        <v>7.7447448924903108</v>
      </c>
      <c r="BK314" s="63">
        <f t="shared" si="307"/>
        <v>62.412780124197582</v>
      </c>
      <c r="BL314" s="51">
        <f t="shared" si="303"/>
        <v>-8.0706373878343687</v>
      </c>
      <c r="BM314" s="63">
        <f t="shared" si="304"/>
        <v>39.282731392926479</v>
      </c>
    </row>
    <row r="315" spans="14:65" x14ac:dyDescent="0.35">
      <c r="N315" s="11">
        <v>97</v>
      </c>
      <c r="O315" s="52">
        <f t="shared" si="305"/>
        <v>9332.5430079699217</v>
      </c>
      <c r="P315" s="50" t="str">
        <f t="shared" si="257"/>
        <v>36.531007751938</v>
      </c>
      <c r="Q315" s="18" t="str">
        <f t="shared" si="258"/>
        <v>1+28.6372102147037i</v>
      </c>
      <c r="R315" s="18">
        <f t="shared" si="269"/>
        <v>28.654664696714384</v>
      </c>
      <c r="S315" s="18">
        <f t="shared" si="270"/>
        <v>1.5358909072349811</v>
      </c>
      <c r="T315" s="18" t="str">
        <f t="shared" si="259"/>
        <v>1+0.0117276194212596i</v>
      </c>
      <c r="U315" s="18">
        <f t="shared" si="271"/>
        <v>1.0000687661642522</v>
      </c>
      <c r="V315" s="18">
        <f t="shared" si="272"/>
        <v>1.172708180486947E-2</v>
      </c>
      <c r="W315" s="32" t="str">
        <f t="shared" si="260"/>
        <v>1-0.194303753725012i</v>
      </c>
      <c r="X315" s="18">
        <f t="shared" si="273"/>
        <v>1.0187020902656625</v>
      </c>
      <c r="Y315" s="18">
        <f t="shared" si="274"/>
        <v>-0.1919124484840532</v>
      </c>
      <c r="Z315" s="32" t="str">
        <f t="shared" si="261"/>
        <v>0.998200488450504+0.0882934897229356i</v>
      </c>
      <c r="AA315" s="18">
        <f t="shared" si="275"/>
        <v>1.0020977774001292</v>
      </c>
      <c r="AB315" s="18">
        <f t="shared" si="276"/>
        <v>8.8223057379033437E-2</v>
      </c>
      <c r="AC315" s="68" t="str">
        <f t="shared" si="277"/>
        <v>-0.299896920305546-1.26091102580508i</v>
      </c>
      <c r="AD315" s="66">
        <f t="shared" si="278"/>
        <v>2.2526656826396239</v>
      </c>
      <c r="AE315" s="63">
        <f t="shared" si="279"/>
        <v>-103.37873666137698</v>
      </c>
      <c r="AF315" s="51" t="str">
        <f t="shared" si="280"/>
        <v>42.1703962805665</v>
      </c>
      <c r="AG315" s="51" t="str">
        <f t="shared" si="262"/>
        <v>1+5.17394974467338i</v>
      </c>
      <c r="AH315" s="51">
        <f t="shared" si="281"/>
        <v>5.2697016955806655</v>
      </c>
      <c r="AI315" s="51">
        <f t="shared" si="282"/>
        <v>1.3798744901060389</v>
      </c>
      <c r="AJ315" s="51" t="str">
        <f t="shared" si="263"/>
        <v>1+0.0117276194212596i</v>
      </c>
      <c r="AK315" s="51">
        <f t="shared" si="283"/>
        <v>1.0000687661642522</v>
      </c>
      <c r="AL315" s="51">
        <f t="shared" si="284"/>
        <v>1.172708180486947E-2</v>
      </c>
      <c r="AM315" s="51" t="str">
        <f t="shared" si="264"/>
        <v>1-0.0304106130801327i</v>
      </c>
      <c r="AN315" s="51">
        <f t="shared" si="285"/>
        <v>1.0004622958352352</v>
      </c>
      <c r="AO315" s="51">
        <f t="shared" si="286"/>
        <v>-3.0401243645583557E-2</v>
      </c>
      <c r="AP315" s="60" t="str">
        <f t="shared" si="287"/>
        <v>1.37232175435916-7.8881930368783i</v>
      </c>
      <c r="AQ315" s="51">
        <f t="shared" si="288"/>
        <v>18.069044808562811</v>
      </c>
      <c r="AR315" s="63">
        <f t="shared" si="289"/>
        <v>-80.130935200259685</v>
      </c>
      <c r="AS315" s="32" t="str">
        <f t="shared" si="265"/>
        <v>-0.000133283554228113</v>
      </c>
      <c r="AT315" s="32" t="str">
        <f t="shared" si="266"/>
        <v>0.00358278773319482i</v>
      </c>
      <c r="AU315" s="32">
        <f t="shared" si="290"/>
        <v>3.58278773319482E-3</v>
      </c>
      <c r="AV315" s="32">
        <f t="shared" si="291"/>
        <v>1.5707963267948966</v>
      </c>
      <c r="AW315" s="32" t="str">
        <f t="shared" si="267"/>
        <v>1+0.626423881496253i</v>
      </c>
      <c r="AX315" s="32">
        <f t="shared" si="292"/>
        <v>1.1800029149577689</v>
      </c>
      <c r="AY315" s="32">
        <f t="shared" si="293"/>
        <v>0.5596225749383763</v>
      </c>
      <c r="AZ315" s="32" t="str">
        <f t="shared" si="268"/>
        <v>1+9.33524369741976i</v>
      </c>
      <c r="BA315" s="32">
        <f t="shared" si="294"/>
        <v>9.3886513882567471</v>
      </c>
      <c r="BB315" s="32">
        <f t="shared" si="295"/>
        <v>1.4640823310666524</v>
      </c>
      <c r="BC315" s="60" t="str">
        <f t="shared" si="296"/>
        <v>-0.232674415542213+0.182953885245469i</v>
      </c>
      <c r="BD315" s="51">
        <f t="shared" si="297"/>
        <v>-10.574487597011293</v>
      </c>
      <c r="BE315" s="63">
        <f t="shared" si="298"/>
        <v>141.82172676558199</v>
      </c>
      <c r="BF315" s="60" t="str">
        <f t="shared" si="299"/>
        <v>0.300466911774892+0.238514429236879i</v>
      </c>
      <c r="BG315" s="66">
        <f t="shared" si="300"/>
        <v>-8.3218219143716592</v>
      </c>
      <c r="BH315" s="63">
        <f t="shared" si="301"/>
        <v>38.442990104205016</v>
      </c>
      <c r="BI315" s="60" t="str">
        <f t="shared" si="306"/>
        <v>1.12387140153176+2.0864523013067i</v>
      </c>
      <c r="BJ315" s="66">
        <f t="shared" si="302"/>
        <v>7.4945572115515278</v>
      </c>
      <c r="BK315" s="63">
        <f t="shared" si="307"/>
        <v>61.690791565322286</v>
      </c>
      <c r="BL315" s="51">
        <f t="shared" si="303"/>
        <v>-8.3218219143716592</v>
      </c>
      <c r="BM315" s="63">
        <f t="shared" si="304"/>
        <v>38.442990104205016</v>
      </c>
    </row>
    <row r="316" spans="14:65" x14ac:dyDescent="0.35">
      <c r="N316" s="11">
        <v>98</v>
      </c>
      <c r="O316" s="52">
        <f t="shared" si="305"/>
        <v>9549.9258602143691</v>
      </c>
      <c r="P316" s="50" t="str">
        <f t="shared" si="257"/>
        <v>36.531007751938</v>
      </c>
      <c r="Q316" s="18" t="str">
        <f t="shared" si="258"/>
        <v>1+29.3042565311772i</v>
      </c>
      <c r="R316" s="18">
        <f t="shared" si="269"/>
        <v>29.321313934492117</v>
      </c>
      <c r="S316" s="18">
        <f t="shared" si="270"/>
        <v>1.5366848282121965</v>
      </c>
      <c r="T316" s="18" t="str">
        <f t="shared" si="259"/>
        <v>1+0.0120007907699107i</v>
      </c>
      <c r="U316" s="18">
        <f t="shared" si="271"/>
        <v>1.000072006897055</v>
      </c>
      <c r="V316" s="18">
        <f t="shared" si="272"/>
        <v>1.2000214705810008E-2</v>
      </c>
      <c r="W316" s="32" t="str">
        <f t="shared" si="260"/>
        <v>1-0.19882966956065i</v>
      </c>
      <c r="X316" s="18">
        <f t="shared" si="273"/>
        <v>1.0195750278903446</v>
      </c>
      <c r="Y316" s="18">
        <f t="shared" si="274"/>
        <v>-0.19626998927005568</v>
      </c>
      <c r="Z316" s="32" t="str">
        <f t="shared" si="261"/>
        <v>0.998115680083975+0.0903501092974929i</v>
      </c>
      <c r="AA316" s="18">
        <f t="shared" si="275"/>
        <v>1.0021966139832865</v>
      </c>
      <c r="AB316" s="18">
        <f t="shared" si="276"/>
        <v>9.0274645737828826E-2</v>
      </c>
      <c r="AC316" s="68" t="str">
        <f t="shared" si="277"/>
        <v>-0.301840363036781-1.23111910031224i</v>
      </c>
      <c r="AD316" s="66">
        <f t="shared" si="278"/>
        <v>2.0595150990596549</v>
      </c>
      <c r="AE316" s="63">
        <f t="shared" si="279"/>
        <v>-103.77579167051945</v>
      </c>
      <c r="AF316" s="51" t="str">
        <f t="shared" si="280"/>
        <v>42.1703962805665</v>
      </c>
      <c r="AG316" s="51" t="str">
        <f t="shared" si="262"/>
        <v>1+5.29446651613707i</v>
      </c>
      <c r="AH316" s="51">
        <f t="shared" si="281"/>
        <v>5.3880771793374125</v>
      </c>
      <c r="AI316" s="51">
        <f t="shared" si="282"/>
        <v>1.3841190137120702</v>
      </c>
      <c r="AJ316" s="51" t="str">
        <f t="shared" si="263"/>
        <v>1+0.0120007907699107i</v>
      </c>
      <c r="AK316" s="51">
        <f t="shared" si="283"/>
        <v>1.000072006897055</v>
      </c>
      <c r="AL316" s="51">
        <f t="shared" si="284"/>
        <v>1.2000214705810008E-2</v>
      </c>
      <c r="AM316" s="51" t="str">
        <f t="shared" si="264"/>
        <v>1-0.0311189672558612i</v>
      </c>
      <c r="AN316" s="51">
        <f t="shared" si="285"/>
        <v>1.000484077895831</v>
      </c>
      <c r="AO316" s="51">
        <f t="shared" si="286"/>
        <v>-3.1108927988195617E-2</v>
      </c>
      <c r="AP316" s="60" t="str">
        <f t="shared" si="287"/>
        <v>1.30609154755839-7.72127904413189i</v>
      </c>
      <c r="AQ316" s="51">
        <f t="shared" si="288"/>
        <v>17.876306534920168</v>
      </c>
      <c r="AR316" s="63">
        <f t="shared" si="289"/>
        <v>-80.399026452518029</v>
      </c>
      <c r="AS316" s="32" t="str">
        <f t="shared" si="265"/>
        <v>-0.000133283554228113</v>
      </c>
      <c r="AT316" s="32" t="str">
        <f t="shared" si="266"/>
        <v>0.00366624158020771i</v>
      </c>
      <c r="AU316" s="32">
        <f t="shared" si="290"/>
        <v>3.6662415802077102E-3</v>
      </c>
      <c r="AV316" s="32">
        <f t="shared" si="291"/>
        <v>1.5707963267948966</v>
      </c>
      <c r="AW316" s="32" t="str">
        <f t="shared" si="267"/>
        <v>1+0.641015168132426i</v>
      </c>
      <c r="AX316" s="32">
        <f t="shared" si="292"/>
        <v>1.1878133042594876</v>
      </c>
      <c r="AY316" s="32">
        <f t="shared" si="293"/>
        <v>0.57003304089152074</v>
      </c>
      <c r="AZ316" s="32" t="str">
        <f t="shared" si="268"/>
        <v>1+9.55268945680273i</v>
      </c>
      <c r="BA316" s="32">
        <f t="shared" si="294"/>
        <v>9.6048881231438639</v>
      </c>
      <c r="BB316" s="32">
        <f t="shared" si="295"/>
        <v>1.4664936565688056</v>
      </c>
      <c r="BC316" s="60" t="str">
        <f t="shared" si="296"/>
        <v>-0.229624604492903+0.183547129348568i</v>
      </c>
      <c r="BD316" s="51">
        <f t="shared" si="297"/>
        <v>-10.634007758666433</v>
      </c>
      <c r="BE316" s="63">
        <f t="shared" si="298"/>
        <v>141.36340977800768</v>
      </c>
      <c r="BF316" s="60" t="str">
        <f t="shared" si="299"/>
        <v>0.295278350730818+0.227293304335926i</v>
      </c>
      <c r="BG316" s="66">
        <f t="shared" si="300"/>
        <v>-8.5744926596067828</v>
      </c>
      <c r="BH316" s="63">
        <f t="shared" si="301"/>
        <v>37.587618107488268</v>
      </c>
      <c r="BI316" s="60" t="str">
        <f t="shared" si="306"/>
        <v>1.11730784841004+2.0127250009089i</v>
      </c>
      <c r="BJ316" s="66">
        <f t="shared" si="302"/>
        <v>7.2422987762537385</v>
      </c>
      <c r="BK316" s="63">
        <f t="shared" si="307"/>
        <v>60.964383325489791</v>
      </c>
      <c r="BL316" s="51">
        <f t="shared" si="303"/>
        <v>-8.5744926596067828</v>
      </c>
      <c r="BM316" s="63">
        <f t="shared" si="304"/>
        <v>37.587618107488268</v>
      </c>
    </row>
    <row r="317" spans="14:65" x14ac:dyDescent="0.35">
      <c r="N317" s="11">
        <v>99</v>
      </c>
      <c r="O317" s="52">
        <f t="shared" si="305"/>
        <v>9772.3722095581161</v>
      </c>
      <c r="P317" s="50" t="str">
        <f t="shared" si="257"/>
        <v>36.531007751938</v>
      </c>
      <c r="Q317" s="18" t="str">
        <f t="shared" si="258"/>
        <v>1+29.9868403523511i</v>
      </c>
      <c r="R317" s="18">
        <f t="shared" si="269"/>
        <v>30.003509699989969</v>
      </c>
      <c r="S317" s="18">
        <f t="shared" si="270"/>
        <v>1.5374607189118625</v>
      </c>
      <c r="T317" s="18" t="str">
        <f t="shared" si="259"/>
        <v>1+0.0122803250966771i</v>
      </c>
      <c r="U317" s="18">
        <f t="shared" si="271"/>
        <v>1.0000754003496337</v>
      </c>
      <c r="V317" s="18">
        <f t="shared" si="272"/>
        <v>1.2279707835385614E-2</v>
      </c>
      <c r="W317" s="32" t="str">
        <f t="shared" si="260"/>
        <v>1-0.203461007518911i</v>
      </c>
      <c r="X317" s="18">
        <f t="shared" si="273"/>
        <v>1.0204883054599942</v>
      </c>
      <c r="Y317" s="18">
        <f t="shared" si="274"/>
        <v>-0.20072122593468097</v>
      </c>
      <c r="Z317" s="32" t="str">
        <f t="shared" si="261"/>
        <v>0.99802687482227+0.0924546336959248i</v>
      </c>
      <c r="AA317" s="18">
        <f t="shared" si="275"/>
        <v>1.0023001058362484</v>
      </c>
      <c r="AB317" s="18">
        <f t="shared" si="276"/>
        <v>9.2373779829024713E-2</v>
      </c>
      <c r="AC317" s="68" t="str">
        <f t="shared" si="277"/>
        <v>-0.303689602965102-1.20197417031202i</v>
      </c>
      <c r="AD317" s="66">
        <f t="shared" si="278"/>
        <v>1.8666518747022487</v>
      </c>
      <c r="AE317" s="63">
        <f t="shared" si="279"/>
        <v>-104.17954175480068</v>
      </c>
      <c r="AF317" s="51" t="str">
        <f t="shared" si="280"/>
        <v>42.1703962805665</v>
      </c>
      <c r="AG317" s="51" t="str">
        <f t="shared" si="262"/>
        <v>1+5.41779048382817i</v>
      </c>
      <c r="AH317" s="51">
        <f t="shared" si="281"/>
        <v>5.5093061021020677</v>
      </c>
      <c r="AI317" s="51">
        <f t="shared" si="282"/>
        <v>1.3882735066712879</v>
      </c>
      <c r="AJ317" s="51" t="str">
        <f t="shared" si="263"/>
        <v>1+0.0122803250966771i</v>
      </c>
      <c r="AK317" s="51">
        <f t="shared" si="283"/>
        <v>1.0000754003496337</v>
      </c>
      <c r="AL317" s="51">
        <f t="shared" si="284"/>
        <v>1.2279707835385614E-2</v>
      </c>
      <c r="AM317" s="51" t="str">
        <f t="shared" si="264"/>
        <v>1-0.0318438211199371i</v>
      </c>
      <c r="AN317" s="51">
        <f t="shared" si="285"/>
        <v>1.0005068860050481</v>
      </c>
      <c r="AO317" s="51">
        <f t="shared" si="286"/>
        <v>-3.1833064145146688E-2</v>
      </c>
      <c r="AP317" s="60" t="str">
        <f t="shared" si="287"/>
        <v>1.24264114692456-7.55736976055535i</v>
      </c>
      <c r="AQ317" s="51">
        <f t="shared" si="288"/>
        <v>17.683272121070999</v>
      </c>
      <c r="AR317" s="63">
        <f t="shared" si="289"/>
        <v>-80.662537533956524</v>
      </c>
      <c r="AS317" s="32" t="str">
        <f t="shared" si="265"/>
        <v>-0.000133283554228113</v>
      </c>
      <c r="AT317" s="32" t="str">
        <f t="shared" si="266"/>
        <v>0.00375163931703486i</v>
      </c>
      <c r="AU317" s="32">
        <f t="shared" si="290"/>
        <v>3.7516393170348599E-3</v>
      </c>
      <c r="AV317" s="32">
        <f t="shared" si="291"/>
        <v>1.5707963267948966</v>
      </c>
      <c r="AW317" s="32" t="str">
        <f t="shared" si="267"/>
        <v>1+0.655946329495581i</v>
      </c>
      <c r="AX317" s="32">
        <f t="shared" si="292"/>
        <v>1.1959371167326172</v>
      </c>
      <c r="AY317" s="32">
        <f t="shared" si="293"/>
        <v>0.58054406557262683</v>
      </c>
      <c r="AZ317" s="32" t="str">
        <f t="shared" si="268"/>
        <v>1+9.77520017858048i</v>
      </c>
      <c r="BA317" s="32">
        <f t="shared" si="294"/>
        <v>9.8262168982431817</v>
      </c>
      <c r="BB317" s="32">
        <f t="shared" si="295"/>
        <v>1.4688512704936965</v>
      </c>
      <c r="BC317" s="60" t="str">
        <f t="shared" si="296"/>
        <v>-0.226515592449653+0.184108822006392i</v>
      </c>
      <c r="BD317" s="51">
        <f t="shared" si="297"/>
        <v>-10.695330233023794</v>
      </c>
      <c r="BE317" s="63">
        <f t="shared" si="298"/>
        <v>140.89625375303996</v>
      </c>
      <c r="BF317" s="60" t="str">
        <f t="shared" si="299"/>
        <v>0.290084478914696+0.216353956239913i</v>
      </c>
      <c r="BG317" s="66">
        <f t="shared" si="300"/>
        <v>-8.8286783583215573</v>
      </c>
      <c r="BH317" s="63">
        <f t="shared" si="301"/>
        <v>36.716711998239248</v>
      </c>
      <c r="BI317" s="60" t="str">
        <f t="shared" si="306"/>
        <v>1.10990084848464+1.94064328641024i</v>
      </c>
      <c r="BJ317" s="66">
        <f t="shared" si="302"/>
        <v>6.9879418880472022</v>
      </c>
      <c r="BK317" s="63">
        <f t="shared" si="307"/>
        <v>60.233716219083469</v>
      </c>
      <c r="BL317" s="51">
        <f t="shared" si="303"/>
        <v>-8.8286783583215573</v>
      </c>
      <c r="BM317" s="63">
        <f t="shared" si="304"/>
        <v>36.716711998239248</v>
      </c>
    </row>
    <row r="318" spans="14:65" x14ac:dyDescent="0.35">
      <c r="N318" s="11">
        <v>100</v>
      </c>
      <c r="O318" s="52">
        <f t="shared" si="305"/>
        <v>10000</v>
      </c>
      <c r="P318" s="50" t="str">
        <f t="shared" si="257"/>
        <v>36.531007751938</v>
      </c>
      <c r="Q318" s="18" t="str">
        <f t="shared" si="258"/>
        <v>1+30.6853235932026i</v>
      </c>
      <c r="R318" s="18">
        <f t="shared" si="269"/>
        <v>30.701613703835765</v>
      </c>
      <c r="S318" s="18">
        <f t="shared" si="270"/>
        <v>1.5382189869826335</v>
      </c>
      <c r="T318" s="18" t="str">
        <f t="shared" si="259"/>
        <v>1+0.0125663706143592i</v>
      </c>
      <c r="U318" s="18">
        <f t="shared" si="271"/>
        <v>1.0000789537183639</v>
      </c>
      <c r="V318" s="18">
        <f t="shared" si="272"/>
        <v>1.2565709209789116E-2</v>
      </c>
      <c r="W318" s="32" t="str">
        <f t="shared" si="260"/>
        <v>1-0.208200223196484i</v>
      </c>
      <c r="X318" s="18">
        <f t="shared" si="273"/>
        <v>1.0214437492779842</v>
      </c>
      <c r="Y318" s="18">
        <f t="shared" si="274"/>
        <v>-0.20526781269023947</v>
      </c>
      <c r="Z318" s="32" t="str">
        <f t="shared" si="261"/>
        <v>0.997933884297521+0.0946081787649238i</v>
      </c>
      <c r="AA318" s="18">
        <f t="shared" si="275"/>
        <v>1.0024084720902722</v>
      </c>
      <c r="AB318" s="18">
        <f t="shared" si="276"/>
        <v>9.4521549907090469E-2</v>
      </c>
      <c r="AC318" s="68" t="str">
        <f t="shared" si="277"/>
        <v>-0.305448538443622-1.17346122646877i</v>
      </c>
      <c r="AD318" s="66">
        <f t="shared" si="278"/>
        <v>1.6740892862667209</v>
      </c>
      <c r="AE318" s="63">
        <f t="shared" si="279"/>
        <v>-104.59015903642826</v>
      </c>
      <c r="AF318" s="51" t="str">
        <f t="shared" si="280"/>
        <v>42.1703962805665</v>
      </c>
      <c r="AG318" s="51" t="str">
        <f t="shared" si="262"/>
        <v>1+5.54398703574671i</v>
      </c>
      <c r="AH318" s="51">
        <f t="shared" si="281"/>
        <v>5.6334529599995413</v>
      </c>
      <c r="AI318" s="51">
        <f t="shared" si="282"/>
        <v>1.3923395978247042</v>
      </c>
      <c r="AJ318" s="51" t="str">
        <f t="shared" si="263"/>
        <v>1+0.0125663706143592i</v>
      </c>
      <c r="AK318" s="51">
        <f t="shared" si="283"/>
        <v>1.0000789537183639</v>
      </c>
      <c r="AL318" s="51">
        <f t="shared" si="284"/>
        <v>1.2565709209789116E-2</v>
      </c>
      <c r="AM318" s="51" t="str">
        <f t="shared" si="264"/>
        <v>1-0.0325855589994734i</v>
      </c>
      <c r="AN318" s="51">
        <f t="shared" si="285"/>
        <v>1.0005307684700697</v>
      </c>
      <c r="AO318" s="51">
        <f t="shared" si="286"/>
        <v>-3.2574033023534128E-2</v>
      </c>
      <c r="AP318" s="60" t="str">
        <f t="shared" si="287"/>
        <v>1.18186227431654-7.39644623426457i</v>
      </c>
      <c r="AQ318" s="51">
        <f t="shared" si="288"/>
        <v>17.489954927458772</v>
      </c>
      <c r="AR318" s="63">
        <f t="shared" si="289"/>
        <v>-80.921575113956621</v>
      </c>
      <c r="AS318" s="32" t="str">
        <f t="shared" si="265"/>
        <v>-0.000133283554228113</v>
      </c>
      <c r="AT318" s="32" t="str">
        <f t="shared" si="266"/>
        <v>0.00383902622268673i</v>
      </c>
      <c r="AU318" s="32">
        <f t="shared" si="290"/>
        <v>3.8390262226867299E-3</v>
      </c>
      <c r="AV318" s="32">
        <f t="shared" si="291"/>
        <v>1.5707963267948966</v>
      </c>
      <c r="AW318" s="32" t="str">
        <f t="shared" si="267"/>
        <v>1+0.67122528228511i</v>
      </c>
      <c r="AX318" s="32">
        <f t="shared" si="292"/>
        <v>1.2043850628344432</v>
      </c>
      <c r="AY318" s="32">
        <f t="shared" si="293"/>
        <v>0.59115193166043334</v>
      </c>
      <c r="AZ318" s="32" t="str">
        <f t="shared" si="268"/>
        <v>1+10.002893840883i</v>
      </c>
      <c r="BA318" s="32">
        <f t="shared" si="294"/>
        <v>10.052755104545971</v>
      </c>
      <c r="BB318" s="32">
        <f t="shared" si="295"/>
        <v>1.4711563179867009</v>
      </c>
      <c r="BC318" s="60" t="str">
        <f t="shared" si="296"/>
        <v>-0.223349030026411+0.184635578719827i</v>
      </c>
      <c r="BD318" s="51">
        <f t="shared" si="297"/>
        <v>-10.758495419800633</v>
      </c>
      <c r="BE318" s="63">
        <f t="shared" si="298"/>
        <v>140.42053728949512</v>
      </c>
      <c r="BF318" s="60" t="str">
        <f t="shared" si="299"/>
        <v>0.284884327438707+0.205694759040739i</v>
      </c>
      <c r="BG318" s="66">
        <f t="shared" si="300"/>
        <v>-9.0844061335339141</v>
      </c>
      <c r="BH318" s="63">
        <f t="shared" si="301"/>
        <v>35.83037825306689</v>
      </c>
      <c r="BI318" s="60" t="str">
        <f t="shared" si="306"/>
        <v>1.10167933834012+1.87020291705106i</v>
      </c>
      <c r="BJ318" s="66">
        <f t="shared" si="302"/>
        <v>6.7314595076581547</v>
      </c>
      <c r="BK318" s="63">
        <f t="shared" si="307"/>
        <v>59.498962175538459</v>
      </c>
      <c r="BL318" s="51">
        <f t="shared" si="303"/>
        <v>-9.0844061335339141</v>
      </c>
      <c r="BM318" s="63">
        <f t="shared" si="304"/>
        <v>35.83037825306689</v>
      </c>
    </row>
    <row r="319" spans="14:65" x14ac:dyDescent="0.35">
      <c r="N319" s="11">
        <v>1</v>
      </c>
      <c r="O319" s="52">
        <f>10^(4+(N319/100))</f>
        <v>10232.929922807549</v>
      </c>
      <c r="P319" s="50" t="str">
        <f t="shared" si="257"/>
        <v>36.531007751938</v>
      </c>
      <c r="Q319" s="18" t="str">
        <f t="shared" si="258"/>
        <v>1+31.4000765987915i</v>
      </c>
      <c r="R319" s="18">
        <f t="shared" si="269"/>
        <v>31.415996091322228</v>
      </c>
      <c r="S319" s="18">
        <f t="shared" si="270"/>
        <v>1.5389600309784297</v>
      </c>
      <c r="T319" s="18" t="str">
        <f t="shared" si="259"/>
        <v>1+0.0128590789880765i</v>
      </c>
      <c r="U319" s="18">
        <f t="shared" si="271"/>
        <v>1.0000826745386711</v>
      </c>
      <c r="V319" s="18">
        <f t="shared" si="272"/>
        <v>1.2858370283475277E-2</v>
      </c>
      <c r="W319" s="32" t="str">
        <f t="shared" si="260"/>
        <v>1-0.213049829388251i</v>
      </c>
      <c r="X319" s="18">
        <f t="shared" si="273"/>
        <v>1.0224432648329993</v>
      </c>
      <c r="Y319" s="18">
        <f t="shared" si="274"/>
        <v>-0.20991140796666308</v>
      </c>
      <c r="Z319" s="32" t="str">
        <f t="shared" si="261"/>
        <v>0.997836511264358+0.0968118863425913i</v>
      </c>
      <c r="AA319" s="18">
        <f t="shared" si="275"/>
        <v>1.0025219421785421</v>
      </c>
      <c r="AB319" s="18">
        <f t="shared" si="276"/>
        <v>9.6719070398473758E-2</v>
      </c>
      <c r="AC319" s="68" t="str">
        <f t="shared" si="277"/>
        <v>-0.307120879086635-1.14556556927578i</v>
      </c>
      <c r="AD319" s="66">
        <f t="shared" si="278"/>
        <v>1.4818410788519301</v>
      </c>
      <c r="AE319" s="63">
        <f t="shared" si="279"/>
        <v>-105.00781654612666</v>
      </c>
      <c r="AF319" s="51" t="str">
        <f t="shared" si="280"/>
        <v>42.1703962805665</v>
      </c>
      <c r="AG319" s="51" t="str">
        <f t="shared" si="262"/>
        <v>1+5.67312308297496i</v>
      </c>
      <c r="AH319" s="51">
        <f t="shared" si="281"/>
        <v>5.7605837824462993</v>
      </c>
      <c r="AI319" s="51">
        <f t="shared" si="282"/>
        <v>1.3963189050025542</v>
      </c>
      <c r="AJ319" s="51" t="str">
        <f t="shared" si="263"/>
        <v>1+0.0128590789880765i</v>
      </c>
      <c r="AK319" s="51">
        <f t="shared" si="283"/>
        <v>1.0000826745386711</v>
      </c>
      <c r="AL319" s="51">
        <f t="shared" si="284"/>
        <v>1.2858370283475277E-2</v>
      </c>
      <c r="AM319" s="51" t="str">
        <f t="shared" si="264"/>
        <v>1-0.0333445741737122i</v>
      </c>
      <c r="AN319" s="51">
        <f t="shared" si="285"/>
        <v>1.0005557758700043</v>
      </c>
      <c r="AO319" s="51">
        <f t="shared" si="286"/>
        <v>-3.3332224238462591E-2</v>
      </c>
      <c r="AP319" s="60" t="str">
        <f t="shared" si="287"/>
        <v>1.12365014963132-7.23848705104363i</v>
      </c>
      <c r="AQ319" s="51">
        <f t="shared" si="288"/>
        <v>17.296367833721085</v>
      </c>
      <c r="AR319" s="63">
        <f t="shared" si="289"/>
        <v>-81.176245532962909</v>
      </c>
      <c r="AS319" s="32" t="str">
        <f t="shared" si="265"/>
        <v>-0.000133283554228113</v>
      </c>
      <c r="AT319" s="32" t="str">
        <f t="shared" si="266"/>
        <v>0.00392844863085738i</v>
      </c>
      <c r="AU319" s="32">
        <f t="shared" si="290"/>
        <v>3.9284486308573804E-3</v>
      </c>
      <c r="AV319" s="32">
        <f t="shared" si="291"/>
        <v>1.5707963267948966</v>
      </c>
      <c r="AW319" s="32" t="str">
        <f t="shared" si="267"/>
        <v>1+0.686860127604024i</v>
      </c>
      <c r="AX319" s="32">
        <f t="shared" si="292"/>
        <v>1.2131680983656865</v>
      </c>
      <c r="AY319" s="32">
        <f t="shared" si="293"/>
        <v>0.60185271411840069</v>
      </c>
      <c r="AZ319" s="32" t="str">
        <f t="shared" si="268"/>
        <v>1+10.2358911699039i</v>
      </c>
      <c r="BA319" s="32">
        <f t="shared" si="294"/>
        <v>10.284622892557442</v>
      </c>
      <c r="BB319" s="32">
        <f t="shared" si="295"/>
        <v>1.4734099231825895</v>
      </c>
      <c r="BC319" s="60" t="str">
        <f t="shared" si="296"/>
        <v>-0.220126753703029+0.185124073533031i</v>
      </c>
      <c r="BD319" s="51">
        <f t="shared" si="297"/>
        <v>-10.823542454434143</v>
      </c>
      <c r="BE319" s="63">
        <f t="shared" si="298"/>
        <v>139.93654968357919</v>
      </c>
      <c r="BF319" s="60" t="str">
        <f t="shared" si="299"/>
        <v>0.279677286791279+0.195314161715076i</v>
      </c>
      <c r="BG319" s="66">
        <f t="shared" si="300"/>
        <v>-9.3417013755822254</v>
      </c>
      <c r="BH319" s="63">
        <f t="shared" si="301"/>
        <v>34.928733137452475</v>
      </c>
      <c r="BI319" s="60" t="str">
        <f t="shared" si="306"/>
        <v>1.09267274936903+1.8013993491934i</v>
      </c>
      <c r="BJ319" s="66">
        <f t="shared" si="302"/>
        <v>6.4728253792869612</v>
      </c>
      <c r="BK319" s="63">
        <f t="shared" si="307"/>
        <v>58.760304150616292</v>
      </c>
      <c r="BL319" s="51">
        <f t="shared" si="303"/>
        <v>-9.3417013755822254</v>
      </c>
      <c r="BM319" s="63">
        <f t="shared" si="304"/>
        <v>34.928733137452475</v>
      </c>
    </row>
    <row r="320" spans="14:65" x14ac:dyDescent="0.35">
      <c r="N320" s="11">
        <v>2</v>
      </c>
      <c r="O320" s="52">
        <f t="shared" ref="O320:O383" si="308">10^(4+(N320/100))</f>
        <v>10471.285480509003</v>
      </c>
      <c r="P320" s="50" t="str">
        <f t="shared" si="257"/>
        <v>36.531007751938</v>
      </c>
      <c r="Q320" s="18" t="str">
        <f t="shared" si="258"/>
        <v>1+32.1314783406223i</v>
      </c>
      <c r="R320" s="18">
        <f t="shared" si="269"/>
        <v>32.147035638669394</v>
      </c>
      <c r="S320" s="18">
        <f t="shared" si="270"/>
        <v>1.5396842405531934</v>
      </c>
      <c r="T320" s="18" t="str">
        <f t="shared" si="259"/>
        <v>1+0.0131586054156834i</v>
      </c>
      <c r="U320" s="18">
        <f t="shared" si="271"/>
        <v>1.0000865707009996</v>
      </c>
      <c r="V320" s="18">
        <f t="shared" si="272"/>
        <v>1.3157846028571724E-2</v>
      </c>
      <c r="W320" s="32" t="str">
        <f t="shared" si="260"/>
        <v>1-0.218012397419607i</v>
      </c>
      <c r="X320" s="18">
        <f t="shared" si="273"/>
        <v>1.023488839914068</v>
      </c>
      <c r="Y320" s="18">
        <f t="shared" si="274"/>
        <v>-0.21465367244796066</v>
      </c>
      <c r="Z320" s="32" t="str">
        <f t="shared" si="261"/>
        <v>0.997734549181522+0.0990669248638546i</v>
      </c>
      <c r="AA320" s="18">
        <f t="shared" si="275"/>
        <v>1.002640756319249</v>
      </c>
      <c r="AB320" s="18">
        <f t="shared" si="276"/>
        <v>9.896748037821694E-2</v>
      </c>
      <c r="AC320" s="68" t="str">
        <f t="shared" si="277"/>
        <v>-0.3087101534577-1.11827280323578i</v>
      </c>
      <c r="AD320" s="66">
        <f t="shared" si="278"/>
        <v>1.2899214801513301</v>
      </c>
      <c r="AE320" s="63">
        <f t="shared" si="279"/>
        <v>-105.43268814455055</v>
      </c>
      <c r="AF320" s="51" t="str">
        <f t="shared" si="280"/>
        <v>42.1703962805665</v>
      </c>
      <c r="AG320" s="51" t="str">
        <f t="shared" si="262"/>
        <v>1+5.80526709515447i</v>
      </c>
      <c r="AH320" s="51">
        <f t="shared" si="281"/>
        <v>5.8907661680025303</v>
      </c>
      <c r="AI320" s="51">
        <f t="shared" si="282"/>
        <v>1.4002130337415251</v>
      </c>
      <c r="AJ320" s="51" t="str">
        <f t="shared" si="263"/>
        <v>1+0.0131586054156834i</v>
      </c>
      <c r="AK320" s="51">
        <f t="shared" si="283"/>
        <v>1.0000865707009996</v>
      </c>
      <c r="AL320" s="51">
        <f t="shared" si="284"/>
        <v>1.3157846028571724E-2</v>
      </c>
      <c r="AM320" s="51" t="str">
        <f t="shared" si="264"/>
        <v>1-0.0341212690825456i</v>
      </c>
      <c r="AN320" s="51">
        <f t="shared" si="285"/>
        <v>1.0005819611625044</v>
      </c>
      <c r="AO320" s="51">
        <f t="shared" si="286"/>
        <v>-3.4108036304163362E-2</v>
      </c>
      <c r="AP320" s="60" t="str">
        <f t="shared" si="287"/>
        <v>1.06790344144681-7.08346854336121i</v>
      </c>
      <c r="AQ320" s="51">
        <f t="shared" si="288"/>
        <v>17.102523256163195</v>
      </c>
      <c r="AR320" s="63">
        <f t="shared" si="289"/>
        <v>-81.426654735385952</v>
      </c>
      <c r="AS320" s="32" t="str">
        <f t="shared" si="265"/>
        <v>-0.000133283554228113</v>
      </c>
      <c r="AT320" s="32" t="str">
        <f t="shared" si="266"/>
        <v>0.00401995395449128i</v>
      </c>
      <c r="AU320" s="32">
        <f t="shared" si="290"/>
        <v>4.01995395449128E-3</v>
      </c>
      <c r="AV320" s="32">
        <f t="shared" si="291"/>
        <v>1.5707963267948966</v>
      </c>
      <c r="AW320" s="32" t="str">
        <f t="shared" si="267"/>
        <v>1+0.702859155254263i</v>
      </c>
      <c r="AX320" s="32">
        <f t="shared" si="292"/>
        <v>1.2222974237577104</v>
      </c>
      <c r="AY320" s="32">
        <f t="shared" si="293"/>
        <v>0.61264228413110577</v>
      </c>
      <c r="AZ320" s="32" t="str">
        <f t="shared" si="268"/>
        <v>1+10.4743157039111i</v>
      </c>
      <c r="BA320" s="32">
        <f t="shared" si="294"/>
        <v>10.521943236170717</v>
      </c>
      <c r="BB320" s="32">
        <f t="shared" si="295"/>
        <v>1.475613189358657</v>
      </c>
      <c r="BC320" s="60" t="str">
        <f t="shared" si="296"/>
        <v>-0.216850785267242+0.185571052507775i</v>
      </c>
      <c r="BD320" s="51">
        <f t="shared" si="297"/>
        <v>-10.890509101226639</v>
      </c>
      <c r="BE320" s="63">
        <f t="shared" si="298"/>
        <v>139.44459071212285</v>
      </c>
      <c r="BF320" s="60" t="str">
        <f t="shared" si="299"/>
        <v>0.274463100284557+0.185210667427697i</v>
      </c>
      <c r="BG320" s="66">
        <f t="shared" si="300"/>
        <v>-9.6005876210752987</v>
      </c>
      <c r="BH320" s="63">
        <f t="shared" si="301"/>
        <v>34.011902567572299</v>
      </c>
      <c r="BI320" s="60" t="str">
        <f t="shared" si="306"/>
        <v>1.08291101312992+1.73422768164964i</v>
      </c>
      <c r="BJ320" s="66">
        <f t="shared" si="302"/>
        <v>6.2120141549365293</v>
      </c>
      <c r="BK320" s="63">
        <f t="shared" si="307"/>
        <v>58.01793597673695</v>
      </c>
      <c r="BL320" s="51">
        <f t="shared" si="303"/>
        <v>-9.6005876210752987</v>
      </c>
      <c r="BM320" s="63">
        <f t="shared" si="304"/>
        <v>34.011902567572299</v>
      </c>
    </row>
    <row r="321" spans="14:65" x14ac:dyDescent="0.35">
      <c r="N321" s="11">
        <v>3</v>
      </c>
      <c r="O321" s="52">
        <f t="shared" si="308"/>
        <v>10715.193052376071</v>
      </c>
      <c r="P321" s="50" t="str">
        <f t="shared" si="257"/>
        <v>36.531007751938</v>
      </c>
      <c r="Q321" s="18" t="str">
        <f t="shared" si="258"/>
        <v>1+32.8799166175796i</v>
      </c>
      <c r="R321" s="18">
        <f t="shared" si="269"/>
        <v>32.895119953862263</v>
      </c>
      <c r="S321" s="18">
        <f t="shared" si="270"/>
        <v>1.5403919966520245</v>
      </c>
      <c r="T321" s="18" t="str">
        <f t="shared" si="259"/>
        <v>1+0.0134651087100564i</v>
      </c>
      <c r="U321" s="18">
        <f t="shared" si="271"/>
        <v>1.0000906504675331</v>
      </c>
      <c r="V321" s="18">
        <f t="shared" si="272"/>
        <v>1.3464295016089487E-2</v>
      </c>
      <c r="W321" s="32" t="str">
        <f t="shared" si="260"/>
        <v>1-0.223090558509811i</v>
      </c>
      <c r="X321" s="18">
        <f t="shared" si="273"/>
        <v>1.0245825478194617</v>
      </c>
      <c r="Y321" s="18">
        <f t="shared" si="274"/>
        <v>-0.21949626695835281</v>
      </c>
      <c r="Z321" s="32" t="str">
        <f t="shared" si="261"/>
        <v>0.997627781773767+0.101374489979986i</v>
      </c>
      <c r="AA321" s="18">
        <f t="shared" si="275"/>
        <v>1.0027651660212122</v>
      </c>
      <c r="AB321" s="18">
        <f t="shared" si="276"/>
        <v>0.10126794405162301</v>
      </c>
      <c r="AC321" s="68" t="str">
        <f t="shared" si="277"/>
        <v>-0.310219716395803-1.09156883109283i</v>
      </c>
      <c r="AD321" s="66">
        <f t="shared" si="278"/>
        <v>1.098345214423109</v>
      </c>
      <c r="AE321" s="63">
        <f t="shared" si="279"/>
        <v>-105.8649484350654</v>
      </c>
      <c r="AF321" s="51" t="str">
        <f t="shared" si="280"/>
        <v>42.1703962805665</v>
      </c>
      <c r="AG321" s="51" t="str">
        <f t="shared" si="262"/>
        <v>1+5.94048913678962i</v>
      </c>
      <c r="AH321" s="51">
        <f t="shared" si="281"/>
        <v>6.0240693210084721</v>
      </c>
      <c r="AI321" s="51">
        <f t="shared" si="282"/>
        <v>1.4040235761126869</v>
      </c>
      <c r="AJ321" s="51" t="str">
        <f t="shared" si="263"/>
        <v>1+0.0134651087100564i</v>
      </c>
      <c r="AK321" s="51">
        <f t="shared" si="283"/>
        <v>1.0000906504675331</v>
      </c>
      <c r="AL321" s="51">
        <f t="shared" si="284"/>
        <v>1.3464295016089487E-2</v>
      </c>
      <c r="AM321" s="51" t="str">
        <f t="shared" si="264"/>
        <v>1-0.0349160555398948i</v>
      </c>
      <c r="AN321" s="51">
        <f t="shared" si="285"/>
        <v>1.000609379795365</v>
      </c>
      <c r="AO321" s="51">
        <f t="shared" si="286"/>
        <v>-3.4901876828734489E-2</v>
      </c>
      <c r="AP321" s="60" t="str">
        <f t="shared" si="287"/>
        <v>1.01452421192607-6.93136498836452i</v>
      </c>
      <c r="AQ321" s="51">
        <f t="shared" si="288"/>
        <v>16.90843316503307</v>
      </c>
      <c r="AR321" s="63">
        <f t="shared" si="289"/>
        <v>-81.672908208952848</v>
      </c>
      <c r="AS321" s="32" t="str">
        <f t="shared" si="265"/>
        <v>-0.000133283554228113</v>
      </c>
      <c r="AT321" s="32" t="str">
        <f t="shared" si="266"/>
        <v>0.00411359071092224i</v>
      </c>
      <c r="AU321" s="32">
        <f t="shared" si="290"/>
        <v>4.1135907109222398E-3</v>
      </c>
      <c r="AV321" s="32">
        <f t="shared" si="291"/>
        <v>1.5707963267948966</v>
      </c>
      <c r="AW321" s="32" t="str">
        <f t="shared" si="267"/>
        <v>1+0.719230848132057i</v>
      </c>
      <c r="AX321" s="32">
        <f t="shared" si="292"/>
        <v>1.2317844831401141</v>
      </c>
      <c r="AY321" s="32">
        <f t="shared" si="293"/>
        <v>0.62351631402210628</v>
      </c>
      <c r="AZ321" s="32" t="str">
        <f t="shared" si="268"/>
        <v>1+10.7182938587485i</v>
      </c>
      <c r="BA321" s="32">
        <f t="shared" si="294"/>
        <v>10.764841998026997</v>
      </c>
      <c r="BB321" s="32">
        <f t="shared" si="295"/>
        <v>1.4777671991047538</v>
      </c>
      <c r="BC321" s="60" t="str">
        <f t="shared" si="296"/>
        <v>-0.2135233300916+0.185973347400615i</v>
      </c>
      <c r="BD321" s="51">
        <f t="shared" si="297"/>
        <v>-10.959431646900288</v>
      </c>
      <c r="BE321" s="63">
        <f t="shared" si="298"/>
        <v>138.94497036055074</v>
      </c>
      <c r="BF321" s="60" t="str">
        <f t="shared" si="299"/>
        <v>0.269241856341414+0.175382812751339i</v>
      </c>
      <c r="BG321" s="66">
        <f t="shared" si="300"/>
        <v>-9.8610864324771779</v>
      </c>
      <c r="BH321" s="63">
        <f t="shared" si="301"/>
        <v>33.080021925485269</v>
      </c>
      <c r="BI321" s="60" t="str">
        <f t="shared" si="306"/>
        <v>1.07242456075256+1.66868259810678i</v>
      </c>
      <c r="BJ321" s="66">
        <f t="shared" si="302"/>
        <v>5.9490015181327749</v>
      </c>
      <c r="BK321" s="63">
        <f t="shared" si="307"/>
        <v>57.27206215159805</v>
      </c>
      <c r="BL321" s="51">
        <f t="shared" si="303"/>
        <v>-9.8610864324771779</v>
      </c>
      <c r="BM321" s="63">
        <f t="shared" si="304"/>
        <v>33.080021925485269</v>
      </c>
    </row>
    <row r="322" spans="14:65" x14ac:dyDescent="0.35">
      <c r="N322" s="11">
        <v>4</v>
      </c>
      <c r="O322" s="52">
        <f t="shared" si="308"/>
        <v>10964.781961431856</v>
      </c>
      <c r="P322" s="50" t="str">
        <f t="shared" si="257"/>
        <v>36.531007751938</v>
      </c>
      <c r="Q322" s="18" t="str">
        <f t="shared" si="258"/>
        <v>1+33.6457882615447i</v>
      </c>
      <c r="R322" s="18">
        <f t="shared" si="269"/>
        <v>33.660645682171619</v>
      </c>
      <c r="S322" s="18">
        <f t="shared" si="270"/>
        <v>1.5410836716987268</v>
      </c>
      <c r="T322" s="18" t="str">
        <f t="shared" si="259"/>
        <v>1+0.0137787513832993i</v>
      </c>
      <c r="U322" s="18">
        <f t="shared" si="271"/>
        <v>1.0000949224897018</v>
      </c>
      <c r="V322" s="18">
        <f t="shared" si="272"/>
        <v>1.3777879498974587E-2</v>
      </c>
      <c r="W322" s="32" t="str">
        <f t="shared" si="260"/>
        <v>1-0.228287005167089i</v>
      </c>
      <c r="X322" s="18">
        <f t="shared" si="273"/>
        <v>1.0257265506596573</v>
      </c>
      <c r="Y322" s="18">
        <f t="shared" si="274"/>
        <v>-0.22444085019153825</v>
      </c>
      <c r="Z322" s="32" t="str">
        <f t="shared" si="261"/>
        <v>0.997515982573104+0.103735805192556i</v>
      </c>
      <c r="AA322" s="18">
        <f t="shared" si="275"/>
        <v>1.0028954346130672</v>
      </c>
      <c r="AB322" s="18">
        <f t="shared" si="276"/>
        <v>0.10362165124067739</v>
      </c>
      <c r="AC322" s="68" t="str">
        <f t="shared" si="277"/>
        <v>-0.311652755993725-1.06543984812104i</v>
      </c>
      <c r="AD322" s="66">
        <f t="shared" si="278"/>
        <v>0.90712751616907517</v>
      </c>
      <c r="AE322" s="63">
        <f t="shared" si="279"/>
        <v>-106.304772667501</v>
      </c>
      <c r="AF322" s="51" t="str">
        <f t="shared" si="280"/>
        <v>42.1703962805665</v>
      </c>
      <c r="AG322" s="51" t="str">
        <f t="shared" si="262"/>
        <v>1+6.07886090439676i</v>
      </c>
      <c r="AH322" s="51">
        <f t="shared" si="281"/>
        <v>6.160564089026539</v>
      </c>
      <c r="AI322" s="51">
        <f t="shared" si="282"/>
        <v>1.4077521096542001</v>
      </c>
      <c r="AJ322" s="51" t="str">
        <f t="shared" si="263"/>
        <v>1+0.0137787513832993i</v>
      </c>
      <c r="AK322" s="51">
        <f t="shared" si="283"/>
        <v>1.0000949224897018</v>
      </c>
      <c r="AL322" s="51">
        <f t="shared" si="284"/>
        <v>1.3777879498974587E-2</v>
      </c>
      <c r="AM322" s="51" t="str">
        <f t="shared" si="264"/>
        <v>1-0.03572935495206i</v>
      </c>
      <c r="AN322" s="51">
        <f t="shared" si="285"/>
        <v>1.0006380898233338</v>
      </c>
      <c r="AO322" s="51">
        <f t="shared" si="286"/>
        <v>-3.5714162712526462E-2</v>
      </c>
      <c r="AP322" s="60" t="str">
        <f t="shared" si="287"/>
        <v>0.963417856760751-6.7821487951529i</v>
      </c>
      <c r="AQ322" s="51">
        <f t="shared" si="288"/>
        <v>16.714109101575346</v>
      </c>
      <c r="AR322" s="63">
        <f t="shared" si="289"/>
        <v>-81.915110930163735</v>
      </c>
      <c r="AS322" s="32" t="str">
        <f t="shared" si="265"/>
        <v>-0.000133283554228113</v>
      </c>
      <c r="AT322" s="32" t="str">
        <f t="shared" si="266"/>
        <v>0.00420940854759793i</v>
      </c>
      <c r="AU322" s="32">
        <f t="shared" si="290"/>
        <v>4.2094085475979301E-3</v>
      </c>
      <c r="AV322" s="32">
        <f t="shared" si="291"/>
        <v>1.5707963267948966</v>
      </c>
      <c r="AW322" s="32" t="str">
        <f t="shared" si="267"/>
        <v>1+0.735983886725677i</v>
      </c>
      <c r="AX322" s="32">
        <f t="shared" si="292"/>
        <v>1.2416409632095078</v>
      </c>
      <c r="AY322" s="32">
        <f t="shared" si="293"/>
        <v>0.6344702831634208</v>
      </c>
      <c r="AZ322" s="32" t="str">
        <f t="shared" si="268"/>
        <v>1+10.9679549948631i</v>
      </c>
      <c r="BA322" s="32">
        <f t="shared" si="294"/>
        <v>11.013447996397058</v>
      </c>
      <c r="BB322" s="32">
        <f t="shared" si="295"/>
        <v>1.4798730145086099</v>
      </c>
      <c r="BC322" s="60" t="str">
        <f t="shared" si="296"/>
        <v>-0.210146774203367+0.186327889431425i</v>
      </c>
      <c r="BD322" s="51">
        <f t="shared" si="297"/>
        <v>-11.030344795304423</v>
      </c>
      <c r="BE322" s="63">
        <f t="shared" si="298"/>
        <v>138.43800849491146</v>
      </c>
      <c r="BF322" s="60" t="str">
        <f t="shared" si="299"/>
        <v>0.264013979560202+0.165829146930564i</v>
      </c>
      <c r="BG322" s="66">
        <f t="shared" si="300"/>
        <v>-10.123217279135343</v>
      </c>
      <c r="BH322" s="63">
        <f t="shared" si="301"/>
        <v>32.133235827410431</v>
      </c>
      <c r="BI322" s="60" t="str">
        <f t="shared" si="306"/>
        <v>1.06124431600253+1.60475830735941i</v>
      </c>
      <c r="BJ322" s="66">
        <f t="shared" si="302"/>
        <v>5.6837643062709198</v>
      </c>
      <c r="BK322" s="63">
        <f t="shared" si="307"/>
        <v>56.522897564747687</v>
      </c>
      <c r="BL322" s="51">
        <f t="shared" si="303"/>
        <v>-10.123217279135343</v>
      </c>
      <c r="BM322" s="63">
        <f t="shared" si="304"/>
        <v>32.133235827410431</v>
      </c>
    </row>
    <row r="323" spans="14:65" x14ac:dyDescent="0.35">
      <c r="N323" s="11">
        <v>5</v>
      </c>
      <c r="O323" s="52">
        <f t="shared" si="308"/>
        <v>11220.184543019639</v>
      </c>
      <c r="P323" s="50" t="str">
        <f t="shared" si="257"/>
        <v>36.531007751938</v>
      </c>
      <c r="Q323" s="18" t="str">
        <f t="shared" si="258"/>
        <v>1+34.4294993478008i</v>
      </c>
      <c r="R323" s="18">
        <f t="shared" si="269"/>
        <v>34.444018716465351</v>
      </c>
      <c r="S323" s="18">
        <f t="shared" si="270"/>
        <v>1.5417596297797924</v>
      </c>
      <c r="T323" s="18" t="str">
        <f t="shared" si="259"/>
        <v>1+0.0140996997329089i</v>
      </c>
      <c r="U323" s="18">
        <f t="shared" si="271"/>
        <v>1.0000993958265139</v>
      </c>
      <c r="V323" s="18">
        <f t="shared" si="272"/>
        <v>1.4098765497037712E-2</v>
      </c>
      <c r="W323" s="32" t="str">
        <f t="shared" si="260"/>
        <v>1-0.233604492616242i</v>
      </c>
      <c r="X323" s="18">
        <f t="shared" si="273"/>
        <v>1.0269231027542869</v>
      </c>
      <c r="Y323" s="18">
        <f t="shared" si="274"/>
        <v>-0.22948907627660492</v>
      </c>
      <c r="Z323" s="32" t="str">
        <f t="shared" si="261"/>
        <v>0.997398914438442+0.106152122502144i</v>
      </c>
      <c r="AA323" s="18">
        <f t="shared" si="275"/>
        <v>1.0030318377971321</v>
      </c>
      <c r="AB323" s="18">
        <f t="shared" si="276"/>
        <v>0.10602981787487493</v>
      </c>
      <c r="AC323" s="68" t="str">
        <f t="shared" si="277"/>
        <v>-0.313012300242288-1.03987233647534i</v>
      </c>
      <c r="AD323" s="66">
        <f t="shared" si="278"/>
        <v>0.71628414345092062</v>
      </c>
      <c r="AE323" s="63">
        <f t="shared" si="279"/>
        <v>-106.75233663248591</v>
      </c>
      <c r="AF323" s="51" t="str">
        <f t="shared" si="280"/>
        <v>42.1703962805665</v>
      </c>
      <c r="AG323" s="51" t="str">
        <f t="shared" si="262"/>
        <v>1+6.22045576451865i</v>
      </c>
      <c r="AH323" s="51">
        <f t="shared" si="281"/>
        <v>6.3003230011113951</v>
      </c>
      <c r="AI323" s="51">
        <f t="shared" si="282"/>
        <v>1.4114001964030563</v>
      </c>
      <c r="AJ323" s="51" t="str">
        <f t="shared" si="263"/>
        <v>1+0.0140996997329089i</v>
      </c>
      <c r="AK323" s="51">
        <f t="shared" si="283"/>
        <v>1.0000993958265139</v>
      </c>
      <c r="AL323" s="51">
        <f t="shared" si="284"/>
        <v>1.4098765497037712E-2</v>
      </c>
      <c r="AM323" s="51" t="str">
        <f t="shared" si="264"/>
        <v>1-0.0365615985411546i</v>
      </c>
      <c r="AN323" s="51">
        <f t="shared" si="285"/>
        <v>1.0006681520303744</v>
      </c>
      <c r="AO323" s="51">
        <f t="shared" si="286"/>
        <v>-3.6545320350193304E-2</v>
      </c>
      <c r="AP323" s="60" t="str">
        <f t="shared" si="287"/>
        <v>0.914493040870765-6.63579068165444i</v>
      </c>
      <c r="AQ323" s="51">
        <f t="shared" si="288"/>
        <v>16.519562194844987</v>
      </c>
      <c r="AR323" s="63">
        <f t="shared" si="289"/>
        <v>-82.153367315525315</v>
      </c>
      <c r="AS323" s="32" t="str">
        <f t="shared" si="265"/>
        <v>-0.000133283554228113</v>
      </c>
      <c r="AT323" s="32" t="str">
        <f t="shared" si="266"/>
        <v>0.00430745826840367i</v>
      </c>
      <c r="AU323" s="32">
        <f t="shared" si="290"/>
        <v>4.3074582684036701E-3</v>
      </c>
      <c r="AV323" s="32">
        <f t="shared" si="291"/>
        <v>1.5707963267948966</v>
      </c>
      <c r="AW323" s="32" t="str">
        <f t="shared" si="267"/>
        <v>1+0.753127153717938i</v>
      </c>
      <c r="AX323" s="32">
        <f t="shared" si="292"/>
        <v>1.2518787919232768</v>
      </c>
      <c r="AY323" s="32">
        <f t="shared" si="293"/>
        <v>0.64549948487857278</v>
      </c>
      <c r="AZ323" s="32" t="str">
        <f t="shared" si="268"/>
        <v>1+11.2234314858941i</v>
      </c>
      <c r="BA323" s="32">
        <f t="shared" si="294"/>
        <v>11.26789307362113</v>
      </c>
      <c r="BB323" s="32">
        <f t="shared" si="295"/>
        <v>1.4819316773549587</v>
      </c>
      <c r="BC323" s="60" t="str">
        <f t="shared" si="296"/>
        <v>-0.206723680117306+0.186631723024868i</v>
      </c>
      <c r="BD323" s="51">
        <f t="shared" si="297"/>
        <v>-11.103281564036148</v>
      </c>
      <c r="BE323" s="63">
        <f t="shared" si="298"/>
        <v>137.92403447777099</v>
      </c>
      <c r="BF323" s="60" t="str">
        <f t="shared" si="299"/>
        <v>0.258780220510357+0.156548211326168i</v>
      </c>
      <c r="BG323" s="66">
        <f t="shared" si="300"/>
        <v>-10.386997420585228</v>
      </c>
      <c r="BH323" s="63">
        <f t="shared" si="301"/>
        <v>31.171697845285031</v>
      </c>
      <c r="BI323" s="60" t="str">
        <f t="shared" si="306"/>
        <v>1.04940168169906+1.54244848211169i</v>
      </c>
      <c r="BJ323" s="66">
        <f t="shared" si="302"/>
        <v>5.4162806308088163</v>
      </c>
      <c r="BK323" s="63">
        <f t="shared" si="307"/>
        <v>55.770667162245644</v>
      </c>
      <c r="BL323" s="51">
        <f t="shared" si="303"/>
        <v>-10.386997420585228</v>
      </c>
      <c r="BM323" s="63">
        <f t="shared" si="304"/>
        <v>31.171697845285031</v>
      </c>
    </row>
    <row r="324" spans="14:65" x14ac:dyDescent="0.35">
      <c r="N324" s="11">
        <v>6</v>
      </c>
      <c r="O324" s="52">
        <f t="shared" si="308"/>
        <v>11481.536214968832</v>
      </c>
      <c r="P324" s="50" t="str">
        <f t="shared" si="257"/>
        <v>36.531007751938</v>
      </c>
      <c r="Q324" s="18" t="str">
        <f t="shared" si="258"/>
        <v>1+35.2314654103393i</v>
      </c>
      <c r="R324" s="18">
        <f t="shared" si="269"/>
        <v>35.245654412422738</v>
      </c>
      <c r="S324" s="18">
        <f t="shared" si="270"/>
        <v>1.542420226824863</v>
      </c>
      <c r="T324" s="18" t="str">
        <f t="shared" si="259"/>
        <v>1+0.0144281239299485i</v>
      </c>
      <c r="U324" s="18">
        <f t="shared" si="271"/>
        <v>1.0001040799637495</v>
      </c>
      <c r="V324" s="18">
        <f t="shared" si="272"/>
        <v>1.4427122883803359E-2</v>
      </c>
      <c r="W324" s="32" t="str">
        <f t="shared" si="260"/>
        <v>1-0.239045840259502i</v>
      </c>
      <c r="X324" s="18">
        <f t="shared" si="273"/>
        <v>1.0281745541226799</v>
      </c>
      <c r="Y324" s="18">
        <f t="shared" si="274"/>
        <v>-0.23464259217417011</v>
      </c>
      <c r="Z324" s="32" t="str">
        <f t="shared" si="261"/>
        <v>0.997276329052569+0.108624723072172i</v>
      </c>
      <c r="AA324" s="18">
        <f t="shared" si="275"/>
        <v>1.0031746642290533</v>
      </c>
      <c r="AB324" s="18">
        <f t="shared" si="276"/>
        <v>0.10849368648610594</v>
      </c>
      <c r="AC324" s="68" t="str">
        <f t="shared" si="277"/>
        <v>-0.314301223353578-1.01485305960897i</v>
      </c>
      <c r="AD324" s="66">
        <f t="shared" si="278"/>
        <v>0.52583139076478613</v>
      </c>
      <c r="AE324" s="63">
        <f t="shared" si="279"/>
        <v>-107.207816545976</v>
      </c>
      <c r="AF324" s="51" t="str">
        <f t="shared" si="280"/>
        <v>42.1703962805665</v>
      </c>
      <c r="AG324" s="51" t="str">
        <f t="shared" si="262"/>
        <v>1+6.36534879262436i</v>
      </c>
      <c r="AH324" s="51">
        <f t="shared" si="281"/>
        <v>6.4434203069305047</v>
      </c>
      <c r="AI324" s="51">
        <f t="shared" si="282"/>
        <v>1.4149693820202887</v>
      </c>
      <c r="AJ324" s="51" t="str">
        <f t="shared" si="263"/>
        <v>1+0.0144281239299485i</v>
      </c>
      <c r="AK324" s="51">
        <f t="shared" si="283"/>
        <v>1.0001040799637495</v>
      </c>
      <c r="AL324" s="51">
        <f t="shared" si="284"/>
        <v>1.4427122883803359E-2</v>
      </c>
      <c r="AM324" s="51" t="str">
        <f t="shared" si="264"/>
        <v>1-0.0374132275737458i</v>
      </c>
      <c r="AN324" s="51">
        <f t="shared" si="285"/>
        <v>1.0006996300576336</v>
      </c>
      <c r="AO324" s="51">
        <f t="shared" si="286"/>
        <v>-3.7395785836430696E-2</v>
      </c>
      <c r="AP324" s="60" t="str">
        <f t="shared" si="287"/>
        <v>0.867661630519897-6.49225984144513i</v>
      </c>
      <c r="AQ324" s="51">
        <f t="shared" si="288"/>
        <v>16.324803178264236</v>
      </c>
      <c r="AR324" s="63">
        <f t="shared" si="289"/>
        <v>-82.387781178240829</v>
      </c>
      <c r="AS324" s="32" t="str">
        <f t="shared" si="265"/>
        <v>-0.000133283554228113</v>
      </c>
      <c r="AT324" s="32" t="str">
        <f t="shared" si="266"/>
        <v>0.00440779186059927i</v>
      </c>
      <c r="AU324" s="32">
        <f t="shared" si="290"/>
        <v>4.4077918605992701E-3</v>
      </c>
      <c r="AV324" s="32">
        <f t="shared" si="291"/>
        <v>1.5707963267948966</v>
      </c>
      <c r="AW324" s="32" t="str">
        <f t="shared" si="267"/>
        <v>1+0.770669738695916i</v>
      </c>
      <c r="AX324" s="32">
        <f t="shared" si="292"/>
        <v>1.2625101370450977</v>
      </c>
      <c r="AY324" s="32">
        <f t="shared" si="293"/>
        <v>0.65659903433256195</v>
      </c>
      <c r="AZ324" s="32" t="str">
        <f t="shared" si="268"/>
        <v>1+11.4848587888586i</v>
      </c>
      <c r="BA324" s="32">
        <f t="shared" si="294"/>
        <v>11.528312166142216</v>
      </c>
      <c r="BB324" s="32">
        <f t="shared" si="295"/>
        <v>1.4839442093370392</v>
      </c>
      <c r="BC324" s="60" t="str">
        <f t="shared" si="296"/>
        <v>-0.203256781414072+0.186882019400602i</v>
      </c>
      <c r="BD324" s="51">
        <f t="shared" si="297"/>
        <v>-11.178273183754845</v>
      </c>
      <c r="BE324" s="63">
        <f t="shared" si="298"/>
        <v>137.40338672826897</v>
      </c>
      <c r="BF324" s="60" t="str">
        <f t="shared" si="299"/>
        <v>0.253541644227957+0.147538519183946i</v>
      </c>
      <c r="BG324" s="66">
        <f t="shared" si="300"/>
        <v>-10.652441792990077</v>
      </c>
      <c r="BH324" s="63">
        <f t="shared" si="301"/>
        <v>30.195570182292965</v>
      </c>
      <c r="BI324" s="60" t="str">
        <f t="shared" si="306"/>
        <v>1.03692851926674+1.48174619714395i</v>
      </c>
      <c r="BJ324" s="66">
        <f t="shared" si="302"/>
        <v>5.1465299945094038</v>
      </c>
      <c r="BK324" s="63">
        <f t="shared" si="307"/>
        <v>55.015605550028127</v>
      </c>
      <c r="BL324" s="51">
        <f t="shared" si="303"/>
        <v>-10.652441792990077</v>
      </c>
      <c r="BM324" s="63">
        <f t="shared" si="304"/>
        <v>30.195570182292965</v>
      </c>
    </row>
    <row r="325" spans="14:65" x14ac:dyDescent="0.35">
      <c r="N325" s="11">
        <v>7</v>
      </c>
      <c r="O325" s="52">
        <f t="shared" si="308"/>
        <v>11748.975549395318</v>
      </c>
      <c r="P325" s="50" t="str">
        <f t="shared" si="257"/>
        <v>36.531007751938</v>
      </c>
      <c r="Q325" s="18" t="str">
        <f t="shared" si="258"/>
        <v>1+36.0521116621821i</v>
      </c>
      <c r="R325" s="18">
        <f t="shared" si="269"/>
        <v>36.065977808766618</v>
      </c>
      <c r="S325" s="18">
        <f t="shared" si="270"/>
        <v>1.5430658107837008</v>
      </c>
      <c r="T325" s="18" t="str">
        <f t="shared" si="259"/>
        <v>1+0.0147641981092746i</v>
      </c>
      <c r="U325" s="18">
        <f t="shared" si="271"/>
        <v>1.0001089848340579</v>
      </c>
      <c r="V325" s="18">
        <f t="shared" si="272"/>
        <v>1.4763125475317584E-2</v>
      </c>
      <c r="W325" s="32" t="str">
        <f t="shared" si="260"/>
        <v>1-0.244613933171413i</v>
      </c>
      <c r="X325" s="18">
        <f t="shared" si="273"/>
        <v>1.0294833540672663</v>
      </c>
      <c r="Y325" s="18">
        <f t="shared" si="274"/>
        <v>-0.23990303489649772</v>
      </c>
      <c r="Z325" s="32" t="str">
        <f t="shared" si="261"/>
        <v>0.997147966395449+0.111154917908191i</v>
      </c>
      <c r="AA325" s="18">
        <f t="shared" si="275"/>
        <v>1.0033242161244571</v>
      </c>
      <c r="AB325" s="18">
        <f t="shared" si="276"/>
        <v>0.11101452670716175</v>
      </c>
      <c r="AC325" s="68" t="str">
        <f t="shared" si="277"/>
        <v>-0.315522251775648-0.990369056761986i</v>
      </c>
      <c r="AD325" s="66">
        <f t="shared" si="278"/>
        <v>0.33578610138736176</v>
      </c>
      <c r="AE325" s="63">
        <f t="shared" si="279"/>
        <v>-107.67138892359247</v>
      </c>
      <c r="AF325" s="51" t="str">
        <f t="shared" si="280"/>
        <v>42.1703962805665</v>
      </c>
      <c r="AG325" s="51" t="str">
        <f t="shared" si="262"/>
        <v>1+6.51361681291527i</v>
      </c>
      <c r="AH325" s="51">
        <f t="shared" si="281"/>
        <v>6.5899320167580244</v>
      </c>
      <c r="AI325" s="51">
        <f t="shared" si="282"/>
        <v>1.4184611950042718</v>
      </c>
      <c r="AJ325" s="51" t="str">
        <f t="shared" si="263"/>
        <v>1+0.0147641981092746i</v>
      </c>
      <c r="AK325" s="51">
        <f t="shared" si="283"/>
        <v>1.0001089848340579</v>
      </c>
      <c r="AL325" s="51">
        <f t="shared" si="284"/>
        <v>1.4763125475317584E-2</v>
      </c>
      <c r="AM325" s="51" t="str">
        <f t="shared" si="264"/>
        <v>1-0.0382846935948192i</v>
      </c>
      <c r="AN325" s="51">
        <f t="shared" si="285"/>
        <v>1.000732590537377</v>
      </c>
      <c r="AO325" s="51">
        <f t="shared" si="286"/>
        <v>-3.8266005175411247E-2</v>
      </c>
      <c r="AP325" s="60" t="str">
        <f t="shared" si="287"/>
        <v>0.822838622452452-6.35152410086302i</v>
      </c>
      <c r="AQ325" s="51">
        <f t="shared" si="288"/>
        <v>16.129842405910168</v>
      </c>
      <c r="AR325" s="63">
        <f t="shared" si="289"/>
        <v>-82.618455690047085</v>
      </c>
      <c r="AS325" s="32" t="str">
        <f t="shared" si="265"/>
        <v>-0.000133283554228113</v>
      </c>
      <c r="AT325" s="32" t="str">
        <f t="shared" si="266"/>
        <v>0.00451046252238338i</v>
      </c>
      <c r="AU325" s="32">
        <f t="shared" si="290"/>
        <v>4.5104625223833803E-3</v>
      </c>
      <c r="AV325" s="32">
        <f t="shared" si="291"/>
        <v>1.5707963267948966</v>
      </c>
      <c r="AW325" s="32" t="str">
        <f t="shared" si="267"/>
        <v>1+0.788620942970373i</v>
      </c>
      <c r="AX325" s="32">
        <f t="shared" si="292"/>
        <v>1.2735474045717654</v>
      </c>
      <c r="AY325" s="32">
        <f t="shared" si="293"/>
        <v>0.66776387739312926</v>
      </c>
      <c r="AZ325" s="32" t="str">
        <f t="shared" si="268"/>
        <v>1+11.7523755159731i</v>
      </c>
      <c r="BA325" s="32">
        <f t="shared" si="294"/>
        <v>11.794843376172656</v>
      </c>
      <c r="BB325" s="32">
        <f t="shared" si="295"/>
        <v>1.4859116122791816</v>
      </c>
      <c r="BC325" s="60" t="str">
        <f t="shared" si="296"/>
        <v>-0.199748976060983+0.187076089883984i</v>
      </c>
      <c r="BD325" s="51">
        <f t="shared" si="297"/>
        <v>-11.255349000972672</v>
      </c>
      <c r="BE325" s="63">
        <f t="shared" si="298"/>
        <v>136.87641222715891</v>
      </c>
      <c r="BF325" s="60" t="str">
        <f t="shared" si="299"/>
        <v>0.248299617397763+0.13879853587711i</v>
      </c>
      <c r="BG325" s="66">
        <f t="shared" si="300"/>
        <v>-10.919562899585317</v>
      </c>
      <c r="BH325" s="63">
        <f t="shared" si="301"/>
        <v>29.205023303566438</v>
      </c>
      <c r="BI325" s="60" t="str">
        <f t="shared" si="306"/>
        <v>1.02385712129503+1.42264386766797i</v>
      </c>
      <c r="BJ325" s="66">
        <f t="shared" si="302"/>
        <v>4.8744934049374757</v>
      </c>
      <c r="BK325" s="63">
        <f t="shared" si="307"/>
        <v>54.257956537111887</v>
      </c>
      <c r="BL325" s="51">
        <f t="shared" si="303"/>
        <v>-10.919562899585317</v>
      </c>
      <c r="BM325" s="63">
        <f t="shared" si="304"/>
        <v>29.205023303566438</v>
      </c>
    </row>
    <row r="326" spans="14:65" x14ac:dyDescent="0.35">
      <c r="N326" s="11">
        <v>8</v>
      </c>
      <c r="O326" s="52">
        <f t="shared" si="308"/>
        <v>12022.644346174151</v>
      </c>
      <c r="P326" s="50" t="str">
        <f t="shared" si="257"/>
        <v>36.531007751938</v>
      </c>
      <c r="Q326" s="18" t="str">
        <f t="shared" si="258"/>
        <v>1+36.8918732208341i</v>
      </c>
      <c r="R326" s="18">
        <f t="shared" si="269"/>
        <v>36.905423852627628</v>
      </c>
      <c r="S326" s="18">
        <f t="shared" si="270"/>
        <v>1.5436967217997086</v>
      </c>
      <c r="T326" s="18" t="str">
        <f t="shared" si="259"/>
        <v>1+0.0151081004618654i</v>
      </c>
      <c r="U326" s="18">
        <f t="shared" si="271"/>
        <v>1.000114120838</v>
      </c>
      <c r="V326" s="18">
        <f t="shared" si="272"/>
        <v>1.5106951120956127E-2</v>
      </c>
      <c r="W326" s="32" t="str">
        <f t="shared" si="260"/>
        <v>1-0.25031172362854i</v>
      </c>
      <c r="X326" s="18">
        <f t="shared" si="273"/>
        <v>1.0308520548487501</v>
      </c>
      <c r="Y326" s="18">
        <f t="shared" si="274"/>
        <v>-0.24527202854555979</v>
      </c>
      <c r="Z326" s="32" t="str">
        <f t="shared" si="261"/>
        <v>0.997013554192674+0.113744048552994i</v>
      </c>
      <c r="AA326" s="18">
        <f t="shared" si="275"/>
        <v>1.0034808098938086</v>
      </c>
      <c r="AB326" s="18">
        <f t="shared" si="276"/>
        <v>0.11359363577342299</v>
      </c>
      <c r="AC326" s="68" t="str">
        <f t="shared" si="277"/>
        <v>-0.316677969910834-0.966407637524952i</v>
      </c>
      <c r="AD326" s="66">
        <f t="shared" si="278"/>
        <v>0.14616567910138797</v>
      </c>
      <c r="AE326" s="63">
        <f t="shared" si="279"/>
        <v>-108.14323044439909</v>
      </c>
      <c r="AF326" s="51" t="str">
        <f t="shared" si="280"/>
        <v>42.1703962805665</v>
      </c>
      <c r="AG326" s="51" t="str">
        <f t="shared" si="262"/>
        <v>1+6.66533843905829i</v>
      </c>
      <c r="AH326" s="51">
        <f t="shared" si="281"/>
        <v>6.7399359423653289</v>
      </c>
      <c r="AI326" s="51">
        <f t="shared" si="282"/>
        <v>1.4218771459869337</v>
      </c>
      <c r="AJ326" s="51" t="str">
        <f t="shared" si="263"/>
        <v>1+0.0151081004618654i</v>
      </c>
      <c r="AK326" s="51">
        <f t="shared" si="283"/>
        <v>1.000114120838</v>
      </c>
      <c r="AL326" s="51">
        <f t="shared" si="284"/>
        <v>1.5106951120956127E-2</v>
      </c>
      <c r="AM326" s="51" t="str">
        <f t="shared" si="264"/>
        <v>1-0.0391764586671943i</v>
      </c>
      <c r="AN326" s="51">
        <f t="shared" si="285"/>
        <v>1.000767103233166</v>
      </c>
      <c r="AO326" s="51">
        <f t="shared" si="286"/>
        <v>-3.9156434493928867E-2</v>
      </c>
      <c r="AP326" s="60" t="str">
        <f t="shared" si="287"/>
        <v>0.779942070604197-6.21355006677821i</v>
      </c>
      <c r="AQ326" s="51">
        <f t="shared" si="288"/>
        <v>15.934689868522636</v>
      </c>
      <c r="AR326" s="63">
        <f t="shared" si="289"/>
        <v>-82.845493347899506</v>
      </c>
      <c r="AS326" s="32" t="str">
        <f t="shared" si="265"/>
        <v>-0.000133283554228113</v>
      </c>
      <c r="AT326" s="32" t="str">
        <f t="shared" si="266"/>
        <v>0.00461552469109989i</v>
      </c>
      <c r="AU326" s="32">
        <f t="shared" si="290"/>
        <v>4.6155246910998902E-3</v>
      </c>
      <c r="AV326" s="32">
        <f t="shared" si="291"/>
        <v>1.5707963267948966</v>
      </c>
      <c r="AW326" s="32" t="str">
        <f t="shared" si="267"/>
        <v>1+0.806990284507422i</v>
      </c>
      <c r="AX326" s="32">
        <f t="shared" si="292"/>
        <v>1.2850032370734985</v>
      </c>
      <c r="AY326" s="32">
        <f t="shared" si="293"/>
        <v>0.67898880043847154</v>
      </c>
      <c r="AZ326" s="32" t="str">
        <f t="shared" si="268"/>
        <v>1+12.0261235081472i</v>
      </c>
      <c r="BA326" s="32">
        <f t="shared" si="294"/>
        <v>12.06762804503067</v>
      </c>
      <c r="BB326" s="32">
        <f t="shared" si="295"/>
        <v>1.4878348683692384</v>
      </c>
      <c r="BC326" s="60" t="str">
        <f t="shared" si="296"/>
        <v>-0.196203318486553+0.187211398806572i</v>
      </c>
      <c r="BD326" s="51">
        <f t="shared" si="297"/>
        <v>-11.334536385104377</v>
      </c>
      <c r="BE326" s="63">
        <f t="shared" si="298"/>
        <v>136.34346596818486</v>
      </c>
      <c r="BF326" s="60" t="str">
        <f t="shared" si="299"/>
        <v>0.243055794226491+0.130326659774913i</v>
      </c>
      <c r="BG326" s="66">
        <f t="shared" si="300"/>
        <v>-11.18837070600299</v>
      </c>
      <c r="BH326" s="63">
        <f t="shared" si="301"/>
        <v>28.20023552378586</v>
      </c>
      <c r="BI326" s="60" t="str">
        <f t="shared" si="306"/>
        <v>1.0102201770764+1.36513318871013i</v>
      </c>
      <c r="BJ326" s="66">
        <f t="shared" si="302"/>
        <v>4.6001534834182412</v>
      </c>
      <c r="BK326" s="63">
        <f t="shared" si="307"/>
        <v>53.497972620285324</v>
      </c>
      <c r="BL326" s="51">
        <f t="shared" si="303"/>
        <v>-11.18837070600299</v>
      </c>
      <c r="BM326" s="63">
        <f t="shared" si="304"/>
        <v>28.20023552378586</v>
      </c>
    </row>
    <row r="327" spans="14:65" x14ac:dyDescent="0.35">
      <c r="N327" s="11">
        <v>9</v>
      </c>
      <c r="O327" s="52">
        <f t="shared" si="308"/>
        <v>12302.687708123816</v>
      </c>
      <c r="P327" s="50" t="str">
        <f t="shared" si="257"/>
        <v>36.531007751938</v>
      </c>
      <c r="Q327" s="18" t="str">
        <f t="shared" si="258"/>
        <v>1+37.7511953389895i</v>
      </c>
      <c r="R327" s="18">
        <f t="shared" si="269"/>
        <v>37.76443763016394</v>
      </c>
      <c r="S327" s="18">
        <f t="shared" si="270"/>
        <v>1.5443132923800418</v>
      </c>
      <c r="T327" s="18" t="str">
        <f t="shared" si="259"/>
        <v>1+0.0154600133293005i</v>
      </c>
      <c r="U327" s="18">
        <f t="shared" si="271"/>
        <v>1.0001194988660815</v>
      </c>
      <c r="V327" s="18">
        <f t="shared" si="272"/>
        <v>1.5458781796275195E-2</v>
      </c>
      <c r="W327" s="32" t="str">
        <f t="shared" si="260"/>
        <v>1-0.256142232674801i</v>
      </c>
      <c r="X327" s="18">
        <f t="shared" si="273"/>
        <v>1.0322833154515441</v>
      </c>
      <c r="Y327" s="18">
        <f t="shared" si="274"/>
        <v>-0.25075118116326106</v>
      </c>
      <c r="Z327" s="32" t="str">
        <f t="shared" si="261"/>
        <v>0.996872807337942+0.116393487797921i</v>
      </c>
      <c r="AA327" s="18">
        <f t="shared" si="275"/>
        <v>1.0036447768068115</v>
      </c>
      <c r="AB327" s="18">
        <f t="shared" si="276"/>
        <v>0.11623233902722087</v>
      </c>
      <c r="AC327" s="68" t="str">
        <f t="shared" si="277"/>
        <v>-0.317770825549155-0.942956376481354i</v>
      </c>
      <c r="AD327" s="66">
        <f t="shared" si="278"/>
        <v>-4.3011900802538479E-2</v>
      </c>
      <c r="AE327" s="63">
        <f t="shared" si="279"/>
        <v>-108.62351780375751</v>
      </c>
      <c r="AF327" s="51" t="str">
        <f t="shared" si="280"/>
        <v>42.1703962805665</v>
      </c>
      <c r="AG327" s="51" t="str">
        <f t="shared" si="262"/>
        <v>1+6.82059411586789i</v>
      </c>
      <c r="AH327" s="51">
        <f t="shared" si="281"/>
        <v>6.8935117388317906</v>
      </c>
      <c r="AI327" s="51">
        <f t="shared" si="282"/>
        <v>1.4252187271078909</v>
      </c>
      <c r="AJ327" s="51" t="str">
        <f t="shared" si="263"/>
        <v>1+0.0154600133293005i</v>
      </c>
      <c r="AK327" s="51">
        <f t="shared" si="283"/>
        <v>1.0001194988660815</v>
      </c>
      <c r="AL327" s="51">
        <f t="shared" si="284"/>
        <v>1.5458781796275195E-2</v>
      </c>
      <c r="AM327" s="51" t="str">
        <f t="shared" si="264"/>
        <v>1-0.0400889956165165i</v>
      </c>
      <c r="AN327" s="51">
        <f t="shared" si="285"/>
        <v>1.0008032411865686</v>
      </c>
      <c r="AO327" s="51">
        <f t="shared" si="286"/>
        <v>-4.0067540258254812E-2</v>
      </c>
      <c r="AP327" s="60" t="str">
        <f t="shared" si="287"/>
        <v>0.738893010892028-6.07830326538502i</v>
      </c>
      <c r="AQ327" s="51">
        <f t="shared" si="288"/>
        <v>15.739355209225058</v>
      </c>
      <c r="AR327" s="63">
        <f t="shared" si="289"/>
        <v>-83.068995945217836</v>
      </c>
      <c r="AS327" s="32" t="str">
        <f t="shared" si="265"/>
        <v>-0.000133283554228113</v>
      </c>
      <c r="AT327" s="32" t="str">
        <f t="shared" si="266"/>
        <v>0.0047230340721013i</v>
      </c>
      <c r="AU327" s="32">
        <f t="shared" si="290"/>
        <v>4.7230340721012998E-3</v>
      </c>
      <c r="AV327" s="32">
        <f t="shared" si="291"/>
        <v>1.5707963267948966</v>
      </c>
      <c r="AW327" s="32" t="str">
        <f t="shared" si="267"/>
        <v>1+0.825787502975096i</v>
      </c>
      <c r="AX327" s="32">
        <f t="shared" si="292"/>
        <v>1.2968905119823508</v>
      </c>
      <c r="AY327" s="32">
        <f t="shared" si="293"/>
        <v>0.69026844107729279</v>
      </c>
      <c r="AZ327" s="32" t="str">
        <f t="shared" si="268"/>
        <v>1+12.3062479101898i</v>
      </c>
      <c r="BA327" s="32">
        <f t="shared" si="294"/>
        <v>12.346810828187609</v>
      </c>
      <c r="BB327" s="32">
        <f t="shared" si="295"/>
        <v>1.4897149403997327</v>
      </c>
      <c r="BC327" s="60" t="str">
        <f t="shared" si="296"/>
        <v>-0.192623010435475+0.18728557586526i</v>
      </c>
      <c r="BD327" s="51">
        <f t="shared" si="297"/>
        <v>-11.415860640545333</v>
      </c>
      <c r="BE327" s="63">
        <f t="shared" si="298"/>
        <v>135.80491035768404</v>
      </c>
      <c r="BF327" s="60" t="str">
        <f t="shared" si="299"/>
        <v>0.237812101030974+0.122121203891013i</v>
      </c>
      <c r="BG327" s="66">
        <f t="shared" si="300"/>
        <v>-11.45887254134786</v>
      </c>
      <c r="BH327" s="63">
        <f t="shared" si="301"/>
        <v>27.1813925539265</v>
      </c>
      <c r="BI327" s="60" t="str">
        <f t="shared" si="306"/>
        <v>0.996050731193569+1.30920507636597i</v>
      </c>
      <c r="BJ327" s="66">
        <f t="shared" si="302"/>
        <v>4.323494568679731</v>
      </c>
      <c r="BK327" s="63">
        <f t="shared" si="307"/>
        <v>52.735914412466201</v>
      </c>
      <c r="BL327" s="51">
        <f t="shared" si="303"/>
        <v>-11.45887254134786</v>
      </c>
      <c r="BM327" s="63">
        <f t="shared" si="304"/>
        <v>27.1813925539265</v>
      </c>
    </row>
    <row r="328" spans="14:65" x14ac:dyDescent="0.35">
      <c r="N328" s="11">
        <v>10</v>
      </c>
      <c r="O328" s="52">
        <f t="shared" si="308"/>
        <v>12589.254117941671</v>
      </c>
      <c r="P328" s="50" t="str">
        <f t="shared" si="257"/>
        <v>36.531007751938</v>
      </c>
      <c r="Q328" s="18" t="str">
        <f t="shared" si="258"/>
        <v>1+38.6305336406098i</v>
      </c>
      <c r="R328" s="18">
        <f t="shared" si="269"/>
        <v>38.64347460255464</v>
      </c>
      <c r="S328" s="18">
        <f t="shared" si="270"/>
        <v>1.5449158475623495</v>
      </c>
      <c r="T328" s="18" t="str">
        <f t="shared" si="259"/>
        <v>1+0.0158201233004402i</v>
      </c>
      <c r="U328" s="18">
        <f t="shared" si="271"/>
        <v>1.0001251303218219</v>
      </c>
      <c r="V328" s="18">
        <f t="shared" si="272"/>
        <v>1.5818803697945399E-2</v>
      </c>
      <c r="W328" s="32" t="str">
        <f t="shared" si="260"/>
        <v>1-0.26210855172327i</v>
      </c>
      <c r="X328" s="18">
        <f t="shared" si="273"/>
        <v>1.0337799054375501</v>
      </c>
      <c r="Y328" s="18">
        <f t="shared" si="274"/>
        <v>-0.25634208138842868</v>
      </c>
      <c r="Z328" s="32" t="str">
        <f t="shared" si="261"/>
        <v>0.996725427288303+0.119104640410728i</v>
      </c>
      <c r="AA328" s="18">
        <f t="shared" si="275"/>
        <v>1.0038164636876701</v>
      </c>
      <c r="AB328" s="18">
        <f t="shared" si="276"/>
        <v>0.11893199042431836</v>
      </c>
      <c r="AC328" s="68" t="str">
        <f t="shared" si="277"/>
        <v>-0.318803135027969-0.920003107932324i</v>
      </c>
      <c r="AD328" s="66">
        <f t="shared" si="278"/>
        <v>-0.23172808135605308</v>
      </c>
      <c r="AE328" s="63">
        <f t="shared" si="279"/>
        <v>-109.11242755492064</v>
      </c>
      <c r="AF328" s="51" t="str">
        <f t="shared" si="280"/>
        <v>42.1703962805665</v>
      </c>
      <c r="AG328" s="51" t="str">
        <f t="shared" si="262"/>
        <v>1+6.97946616195895i</v>
      </c>
      <c r="AH328" s="51">
        <f t="shared" si="281"/>
        <v>7.0507409472997944</v>
      </c>
      <c r="AI328" s="51">
        <f t="shared" si="282"/>
        <v>1.4284874114617219</v>
      </c>
      <c r="AJ328" s="51" t="str">
        <f t="shared" si="263"/>
        <v>1+0.0158201233004402i</v>
      </c>
      <c r="AK328" s="51">
        <f t="shared" si="283"/>
        <v>1.0001251303218219</v>
      </c>
      <c r="AL328" s="51">
        <f t="shared" si="284"/>
        <v>1.5818803697945399E-2</v>
      </c>
      <c r="AM328" s="51" t="str">
        <f t="shared" si="264"/>
        <v>1-0.0410227882819552i</v>
      </c>
      <c r="AN328" s="51">
        <f t="shared" si="285"/>
        <v>1.0008410808706976</v>
      </c>
      <c r="AO328" s="51">
        <f t="shared" si="286"/>
        <v>-4.0999799494703185E-2</v>
      </c>
      <c r="AP328" s="60" t="str">
        <f t="shared" si="287"/>
        <v>0.699615384540829-5.94574827238546i</v>
      </c>
      <c r="AQ328" s="51">
        <f t="shared" si="288"/>
        <v>15.543847738953449</v>
      </c>
      <c r="AR328" s="63">
        <f t="shared" si="289"/>
        <v>-83.289064547415421</v>
      </c>
      <c r="AS328" s="32" t="str">
        <f t="shared" si="265"/>
        <v>-0.000133283554228113</v>
      </c>
      <c r="AT328" s="32" t="str">
        <f t="shared" si="266"/>
        <v>0.00483304766828449i</v>
      </c>
      <c r="AU328" s="32">
        <f t="shared" si="290"/>
        <v>4.8330476682844903E-3</v>
      </c>
      <c r="AV328" s="32">
        <f t="shared" si="291"/>
        <v>1.5707963267948966</v>
      </c>
      <c r="AW328" s="32" t="str">
        <f t="shared" si="267"/>
        <v>1+0.845022564907438i</v>
      </c>
      <c r="AX328" s="32">
        <f t="shared" si="292"/>
        <v>1.309222339865443</v>
      </c>
      <c r="AY328" s="32">
        <f t="shared" si="293"/>
        <v>0.70159729973773755</v>
      </c>
      <c r="AZ328" s="32" t="str">
        <f t="shared" si="268"/>
        <v>1+12.5928972477669i</v>
      </c>
      <c r="BA328" s="32">
        <f t="shared" si="294"/>
        <v>12.632539772065439</v>
      </c>
      <c r="BB328" s="32">
        <f t="shared" si="295"/>
        <v>1.4915527720166535</v>
      </c>
      <c r="BC328" s="60" t="str">
        <f t="shared" si="296"/>
        <v>-0.189011390646249+0.18729642781029i</v>
      </c>
      <c r="BD328" s="51">
        <f t="shared" si="297"/>
        <v>-11.499344924527152</v>
      </c>
      <c r="BE328" s="63">
        <f t="shared" si="298"/>
        <v>135.26111456484566</v>
      </c>
      <c r="BF328" s="60" t="str">
        <f t="shared" si="299"/>
        <v>0.232570719584109+0.1141803784637i</v>
      </c>
      <c r="BG328" s="66">
        <f t="shared" si="300"/>
        <v>-11.731073005883205</v>
      </c>
      <c r="BH328" s="63">
        <f t="shared" si="301"/>
        <v>26.148687009925116</v>
      </c>
      <c r="BI328" s="60" t="str">
        <f t="shared" si="306"/>
        <v>0.981382135327427+1.25484961176173i</v>
      </c>
      <c r="BJ328" s="66">
        <f t="shared" si="302"/>
        <v>4.0445028144263002</v>
      </c>
      <c r="BK328" s="63">
        <f t="shared" si="307"/>
        <v>51.972050017430298</v>
      </c>
      <c r="BL328" s="51">
        <f t="shared" si="303"/>
        <v>-11.731073005883205</v>
      </c>
      <c r="BM328" s="63">
        <f t="shared" si="304"/>
        <v>26.148687009925116</v>
      </c>
    </row>
    <row r="329" spans="14:65" x14ac:dyDescent="0.35">
      <c r="N329" s="11">
        <v>11</v>
      </c>
      <c r="O329" s="52">
        <f t="shared" si="308"/>
        <v>12882.49551693136</v>
      </c>
      <c r="P329" s="50" t="str">
        <f t="shared" si="257"/>
        <v>36.531007751938</v>
      </c>
      <c r="Q329" s="18" t="str">
        <f t="shared" si="258"/>
        <v>1+39.530354362502i</v>
      </c>
      <c r="R329" s="18">
        <f t="shared" si="269"/>
        <v>39.543000847494881</v>
      </c>
      <c r="S329" s="18">
        <f t="shared" si="270"/>
        <v>1.5455047050781916</v>
      </c>
      <c r="T329" s="18" t="str">
        <f t="shared" si="259"/>
        <v>1+0.016188621310358i</v>
      </c>
      <c r="U329" s="18">
        <f t="shared" si="271"/>
        <v>1.0001310271459085</v>
      </c>
      <c r="V329" s="18">
        <f t="shared" si="272"/>
        <v>1.6187207340814292E-2</v>
      </c>
      <c r="W329" s="32" t="str">
        <f t="shared" si="260"/>
        <v>1-0.268213844195281i</v>
      </c>
      <c r="X329" s="18">
        <f t="shared" si="273"/>
        <v>1.0353447088858909</v>
      </c>
      <c r="Y329" s="18">
        <f t="shared" si="274"/>
        <v>-0.26204629491556858</v>
      </c>
      <c r="Z329" s="32" t="str">
        <f t="shared" si="261"/>
        <v>0.996571101430914+0.121878943880417i</v>
      </c>
      <c r="AA329" s="18">
        <f t="shared" si="275"/>
        <v>1.003996233642652</v>
      </c>
      <c r="AB329" s="18">
        <f t="shared" si="276"/>
        <v>0.1216939730419153</v>
      </c>
      <c r="AC329" s="68" t="str">
        <f t="shared" si="277"/>
        <v>-0.319777088128469-0.897535920706814i</v>
      </c>
      <c r="AD329" s="66">
        <f t="shared" si="278"/>
        <v>-0.4199637146934081</v>
      </c>
      <c r="AE329" s="63">
        <f t="shared" si="279"/>
        <v>-109.61013593904271</v>
      </c>
      <c r="AF329" s="51" t="str">
        <f t="shared" si="280"/>
        <v>42.1703962805665</v>
      </c>
      <c r="AG329" s="51" t="str">
        <f t="shared" si="262"/>
        <v>1+7.14203881339326i</v>
      </c>
      <c r="AH329" s="51">
        <f t="shared" si="281"/>
        <v>7.2117070386986599</v>
      </c>
      <c r="AI329" s="51">
        <f t="shared" si="282"/>
        <v>1.431684652613801</v>
      </c>
      <c r="AJ329" s="51" t="str">
        <f t="shared" si="263"/>
        <v>1+0.016188621310358i</v>
      </c>
      <c r="AK329" s="51">
        <f t="shared" si="283"/>
        <v>1.0001310271459085</v>
      </c>
      <c r="AL329" s="51">
        <f t="shared" si="284"/>
        <v>1.6187207340814292E-2</v>
      </c>
      <c r="AM329" s="51" t="str">
        <f t="shared" si="264"/>
        <v>1-0.0419783317727419i</v>
      </c>
      <c r="AN329" s="51">
        <f t="shared" si="285"/>
        <v>1.0008807023508959</v>
      </c>
      <c r="AO329" s="51">
        <f t="shared" si="286"/>
        <v>-4.1953700013899142E-2</v>
      </c>
      <c r="AP329" s="60" t="str">
        <f t="shared" si="287"/>
        <v>0.662035960362684-5.81584883493217i</v>
      </c>
      <c r="AQ329" s="51">
        <f t="shared" si="288"/>
        <v>15.348176451589715</v>
      </c>
      <c r="AR329" s="63">
        <f t="shared" si="289"/>
        <v>-83.505799471446721</v>
      </c>
      <c r="AS329" s="32" t="str">
        <f t="shared" si="265"/>
        <v>-0.000133283554228113</v>
      </c>
      <c r="AT329" s="32" t="str">
        <f t="shared" si="266"/>
        <v>0.00494562381031437i</v>
      </c>
      <c r="AU329" s="32">
        <f t="shared" si="290"/>
        <v>4.94562381031437E-3</v>
      </c>
      <c r="AV329" s="32">
        <f t="shared" si="291"/>
        <v>1.5707963267948966</v>
      </c>
      <c r="AW329" s="32" t="str">
        <f t="shared" si="267"/>
        <v>1+0.864705668988891i</v>
      </c>
      <c r="AX329" s="32">
        <f t="shared" si="292"/>
        <v>1.3220120627216401</v>
      </c>
      <c r="AY329" s="32">
        <f t="shared" si="293"/>
        <v>0.71296975207271329</v>
      </c>
      <c r="AZ329" s="32" t="str">
        <f t="shared" si="268"/>
        <v>1+12.8862235061515i</v>
      </c>
      <c r="BA329" s="32">
        <f t="shared" si="294"/>
        <v>12.924966392625223</v>
      </c>
      <c r="BB329" s="32">
        <f t="shared" si="295"/>
        <v>1.4933492879749106</v>
      </c>
      <c r="BC329" s="60" t="str">
        <f t="shared" si="296"/>
        <v>-0.185371923409174+0.187241949335949i</v>
      </c>
      <c r="BD329" s="51">
        <f t="shared" si="297"/>
        <v>-11.58501017146815</v>
      </c>
      <c r="BE329" s="63">
        <f t="shared" si="298"/>
        <v>134.7124538255739</v>
      </c>
      <c r="BF329" s="60" t="str">
        <f t="shared" si="299"/>
        <v>0.227334069280739+0.106502274616098i</v>
      </c>
      <c r="BG329" s="66">
        <f t="shared" si="300"/>
        <v>-12.004973886161551</v>
      </c>
      <c r="BH329" s="63">
        <f t="shared" si="301"/>
        <v>25.102317886531214</v>
      </c>
      <c r="BI329" s="60" t="str">
        <f t="shared" si="306"/>
        <v>0.966247993557437+1.20205598853719i</v>
      </c>
      <c r="BJ329" s="66">
        <f t="shared" si="302"/>
        <v>3.7631662801215793</v>
      </c>
      <c r="BK329" s="63">
        <f t="shared" si="307"/>
        <v>51.206654354127288</v>
      </c>
      <c r="BL329" s="51">
        <f t="shared" si="303"/>
        <v>-12.004973886161551</v>
      </c>
      <c r="BM329" s="63">
        <f t="shared" si="304"/>
        <v>25.102317886531214</v>
      </c>
    </row>
    <row r="330" spans="14:65" x14ac:dyDescent="0.35">
      <c r="N330" s="11">
        <v>12</v>
      </c>
      <c r="O330" s="52">
        <f t="shared" si="308"/>
        <v>13182.567385564091</v>
      </c>
      <c r="P330" s="50" t="str">
        <f t="shared" si="257"/>
        <v>36.531007751938</v>
      </c>
      <c r="Q330" s="18" t="str">
        <f t="shared" si="258"/>
        <v>1+40.4511346015233i</v>
      </c>
      <c r="R330" s="18">
        <f t="shared" si="269"/>
        <v>40.463493306319407</v>
      </c>
      <c r="S330" s="18">
        <f t="shared" si="270"/>
        <v>1.5460801755131766</v>
      </c>
      <c r="T330" s="18" t="str">
        <f t="shared" si="259"/>
        <v>1+0.0165657027415762i</v>
      </c>
      <c r="U330" s="18">
        <f t="shared" si="271"/>
        <v>1.0001372018414885</v>
      </c>
      <c r="V330" s="18">
        <f t="shared" si="272"/>
        <v>1.6564187657138376E-2</v>
      </c>
      <c r="W330" s="32" t="str">
        <f t="shared" si="260"/>
        <v>1-0.274461347197713i</v>
      </c>
      <c r="X330" s="18">
        <f t="shared" si="273"/>
        <v>1.0369807284157135</v>
      </c>
      <c r="Y330" s="18">
        <f t="shared" si="274"/>
        <v>-0.26786536075093659</v>
      </c>
      <c r="Z330" s="32" t="str">
        <f t="shared" si="261"/>
        <v>0.996409502419939+0.12471786917941i</v>
      </c>
      <c r="AA330" s="18">
        <f t="shared" si="275"/>
        <v>1.0041844668214117</v>
      </c>
      <c r="AB330" s="18">
        <f t="shared" si="276"/>
        <v>0.12451969958750643</v>
      </c>
      <c r="AC330" s="68" t="str">
        <f t="shared" si="277"/>
        <v>-0.320694752719258-0.875543153060247i</v>
      </c>
      <c r="AD330" s="66">
        <f t="shared" si="278"/>
        <v>-0.60769905390819123</v>
      </c>
      <c r="AE330" s="63">
        <f t="shared" si="279"/>
        <v>-110.1168187033128</v>
      </c>
      <c r="AF330" s="51" t="str">
        <f t="shared" si="280"/>
        <v>42.1703962805665</v>
      </c>
      <c r="AG330" s="51" t="str">
        <f t="shared" si="262"/>
        <v>1+7.30839826834247i</v>
      </c>
      <c r="AH330" s="51">
        <f t="shared" si="281"/>
        <v>7.3764954584620481</v>
      </c>
      <c r="AI330" s="51">
        <f t="shared" si="282"/>
        <v>1.4348118841802993</v>
      </c>
      <c r="AJ330" s="51" t="str">
        <f t="shared" si="263"/>
        <v>1+0.0165657027415762i</v>
      </c>
      <c r="AK330" s="51">
        <f t="shared" si="283"/>
        <v>1.0001372018414885</v>
      </c>
      <c r="AL330" s="51">
        <f t="shared" si="284"/>
        <v>1.6564187657138376E-2</v>
      </c>
      <c r="AM330" s="51" t="str">
        <f t="shared" si="264"/>
        <v>1-0.0429561327306833i</v>
      </c>
      <c r="AN330" s="51">
        <f t="shared" si="285"/>
        <v>1.0009221894528946</v>
      </c>
      <c r="AO330" s="51">
        <f t="shared" si="286"/>
        <v>-4.2929740638733858E-2</v>
      </c>
      <c r="AP330" s="60" t="str">
        <f t="shared" si="287"/>
        <v>0.626084256363457-5.68856798569836i</v>
      </c>
      <c r="AQ330" s="51">
        <f t="shared" si="288"/>
        <v>15.15235003879978</v>
      </c>
      <c r="AR330" s="63">
        <f t="shared" si="289"/>
        <v>-83.719300269118619</v>
      </c>
      <c r="AS330" s="32" t="str">
        <f t="shared" si="265"/>
        <v>-0.000133283554228113</v>
      </c>
      <c r="AT330" s="32" t="str">
        <f t="shared" si="266"/>
        <v>0.00506082218755154i</v>
      </c>
      <c r="AU330" s="32">
        <f t="shared" si="290"/>
        <v>5.0608221875515398E-3</v>
      </c>
      <c r="AV330" s="32">
        <f t="shared" si="291"/>
        <v>1.5707963267948966</v>
      </c>
      <c r="AW330" s="32" t="str">
        <f t="shared" si="267"/>
        <v>1+0.884847251461773i</v>
      </c>
      <c r="AX330" s="32">
        <f t="shared" si="292"/>
        <v>1.3352732523418023</v>
      </c>
      <c r="AY330" s="32">
        <f t="shared" si="293"/>
        <v>0.72438006212029349</v>
      </c>
      <c r="AZ330" s="32" t="str">
        <f t="shared" si="268"/>
        <v>1+13.1863822108084i</v>
      </c>
      <c r="BA330" s="32">
        <f t="shared" si="294"/>
        <v>13.224245755789788</v>
      </c>
      <c r="BB330" s="32">
        <f t="shared" si="295"/>
        <v>1.4951053943995407</v>
      </c>
      <c r="BC330" s="60" t="str">
        <f t="shared" si="296"/>
        <v>-0.181708186077676+0.187120333053302i</v>
      </c>
      <c r="BD330" s="51">
        <f t="shared" si="297"/>
        <v>-11.672875024495632</v>
      </c>
      <c r="BE330" s="63">
        <f t="shared" si="298"/>
        <v>134.15930870341893</v>
      </c>
      <c r="BF330" s="60" t="str">
        <f t="shared" si="299"/>
        <v>0.222104788204417+0.0990848492380326i</v>
      </c>
      <c r="BG330" s="66">
        <f t="shared" si="300"/>
        <v>-12.280574078403818</v>
      </c>
      <c r="BH330" s="63">
        <f t="shared" si="301"/>
        <v>24.042490000106113</v>
      </c>
      <c r="BI330" s="60" t="str">
        <f t="shared" si="306"/>
        <v>0.950682101524634+1.15081246463095i</v>
      </c>
      <c r="BJ330" s="66">
        <f t="shared" si="302"/>
        <v>3.4794750143041604</v>
      </c>
      <c r="BK330" s="63">
        <f t="shared" si="307"/>
        <v>50.440008434300417</v>
      </c>
      <c r="BL330" s="51">
        <f t="shared" si="303"/>
        <v>-12.280574078403818</v>
      </c>
      <c r="BM330" s="63">
        <f t="shared" si="304"/>
        <v>24.042490000106113</v>
      </c>
    </row>
    <row r="331" spans="14:65" x14ac:dyDescent="0.35">
      <c r="N331" s="11">
        <v>13</v>
      </c>
      <c r="O331" s="52">
        <f t="shared" si="308"/>
        <v>13489.628825916556</v>
      </c>
      <c r="P331" s="50" t="str">
        <f t="shared" si="257"/>
        <v>36.531007751938</v>
      </c>
      <c r="Q331" s="18" t="str">
        <f t="shared" si="258"/>
        <v>1+41.3933625675443i</v>
      </c>
      <c r="R331" s="18">
        <f t="shared" si="269"/>
        <v>41.405440036886191</v>
      </c>
      <c r="S331" s="18">
        <f t="shared" si="270"/>
        <v>1.5466425624638616</v>
      </c>
      <c r="T331" s="18" t="str">
        <f t="shared" si="259"/>
        <v>1+0.016951567527661i</v>
      </c>
      <c r="U331" s="18">
        <f t="shared" si="271"/>
        <v>1.0001436675006472</v>
      </c>
      <c r="V331" s="18">
        <f t="shared" si="272"/>
        <v>1.6949944098031539E-2</v>
      </c>
      <c r="W331" s="32" t="str">
        <f t="shared" si="260"/>
        <v>1-0.280854373239354i</v>
      </c>
      <c r="X331" s="18">
        <f t="shared" si="273"/>
        <v>1.0386910892886636</v>
      </c>
      <c r="Y331" s="18">
        <f t="shared" si="274"/>
        <v>-0.27380078726209123</v>
      </c>
      <c r="Z331" s="32" t="str">
        <f t="shared" si="261"/>
        <v>0.996240287482211+0.127622921543478i</v>
      </c>
      <c r="AA331" s="18">
        <f t="shared" si="275"/>
        <v>1.0043815612136311</v>
      </c>
      <c r="AB331" s="18">
        <f t="shared" si="276"/>
        <v>0.12741061290787459</v>
      </c>
      <c r="AC331" s="68" t="str">
        <f t="shared" si="277"/>
        <v>-0.321558079156787-0.854013387664404i</v>
      </c>
      <c r="AD331" s="66">
        <f t="shared" si="278"/>
        <v>-0.79491374612170473</v>
      </c>
      <c r="AE331" s="63">
        <f t="shared" si="279"/>
        <v>-110.63265090695155</v>
      </c>
      <c r="AF331" s="51" t="str">
        <f t="shared" si="280"/>
        <v>42.1703962805665</v>
      </c>
      <c r="AG331" s="51" t="str">
        <f t="shared" si="262"/>
        <v>1+7.47863273279165i</v>
      </c>
      <c r="AH331" s="51">
        <f t="shared" si="281"/>
        <v>7.5451936722646629</v>
      </c>
      <c r="AI331" s="51">
        <f t="shared" si="282"/>
        <v>1.4378705194681798</v>
      </c>
      <c r="AJ331" s="51" t="str">
        <f t="shared" si="263"/>
        <v>1+0.016951567527661i</v>
      </c>
      <c r="AK331" s="51">
        <f t="shared" si="283"/>
        <v>1.0001436675006472</v>
      </c>
      <c r="AL331" s="51">
        <f t="shared" si="284"/>
        <v>1.6949944098031539E-2</v>
      </c>
      <c r="AM331" s="51" t="str">
        <f t="shared" si="264"/>
        <v>1-0.0439567095987901i</v>
      </c>
      <c r="AN331" s="51">
        <f t="shared" si="285"/>
        <v>1.0009656299387868</v>
      </c>
      <c r="AO331" s="51">
        <f t="shared" si="286"/>
        <v>-4.3928431435985869E-2</v>
      </c>
      <c r="AP331" s="60" t="str">
        <f t="shared" si="287"/>
        <v>0.591692461013806-5.5638681494364i</v>
      </c>
      <c r="AQ331" s="51">
        <f t="shared" si="288"/>
        <v>14.956376904576029</v>
      </c>
      <c r="AR331" s="63">
        <f t="shared" si="289"/>
        <v>-83.929665713921878</v>
      </c>
      <c r="AS331" s="32" t="str">
        <f t="shared" si="265"/>
        <v>-0.000133283554228113</v>
      </c>
      <c r="AT331" s="32" t="str">
        <f t="shared" si="266"/>
        <v>0.00517870387970044i</v>
      </c>
      <c r="AU331" s="32">
        <f t="shared" si="290"/>
        <v>5.1787038797004399E-3</v>
      </c>
      <c r="AV331" s="32">
        <f t="shared" si="291"/>
        <v>1.5707963267948966</v>
      </c>
      <c r="AW331" s="32" t="str">
        <f t="shared" si="267"/>
        <v>1+0.905457991659719i</v>
      </c>
      <c r="AX331" s="32">
        <f t="shared" si="292"/>
        <v>1.3490197087739124</v>
      </c>
      <c r="AY331" s="32">
        <f t="shared" si="293"/>
        <v>0.73582239614960887</v>
      </c>
      <c r="AZ331" s="32" t="str">
        <f t="shared" si="268"/>
        <v>1+13.4935325098558i</v>
      </c>
      <c r="BA331" s="32">
        <f t="shared" si="294"/>
        <v>13.530536559742757</v>
      </c>
      <c r="BB331" s="32">
        <f t="shared" si="295"/>
        <v>1.4968219790518023</v>
      </c>
      <c r="BC331" s="60" t="str">
        <f t="shared" si="296"/>
        <v>-0.178023855620513+0.186929978431951i</v>
      </c>
      <c r="BD331" s="51">
        <f t="shared" si="297"/>
        <v>-11.762955774768329</v>
      </c>
      <c r="BE331" s="63">
        <f t="shared" si="298"/>
        <v>133.60206431151153</v>
      </c>
      <c r="BF331" s="60" t="str">
        <f t="shared" si="299"/>
        <v>0.216885713194122+0.0919259112221553i</v>
      </c>
      <c r="BG331" s="66">
        <f t="shared" si="300"/>
        <v>-12.55786952089003</v>
      </c>
      <c r="BH331" s="63">
        <f t="shared" si="301"/>
        <v>22.969413404559972</v>
      </c>
      <c r="BI331" s="60" t="str">
        <f t="shared" si="306"/>
        <v>0.934718379921098+1.1011063191025i</v>
      </c>
      <c r="BJ331" s="66">
        <f t="shared" si="302"/>
        <v>3.19342112980772</v>
      </c>
      <c r="BK331" s="63">
        <f t="shared" si="307"/>
        <v>49.672398597589769</v>
      </c>
      <c r="BL331" s="51">
        <f t="shared" si="303"/>
        <v>-12.55786952089003</v>
      </c>
      <c r="BM331" s="63">
        <f t="shared" si="304"/>
        <v>22.969413404559972</v>
      </c>
    </row>
    <row r="332" spans="14:65" x14ac:dyDescent="0.35">
      <c r="N332" s="11">
        <v>14</v>
      </c>
      <c r="O332" s="52">
        <f t="shared" si="308"/>
        <v>13803.842646028841</v>
      </c>
      <c r="P332" s="50" t="str">
        <f t="shared" si="257"/>
        <v>36.531007751938</v>
      </c>
      <c r="Q332" s="18" t="str">
        <f t="shared" si="258"/>
        <v>1+42.3575378423045i</v>
      </c>
      <c r="R332" s="18">
        <f t="shared" si="269"/>
        <v>42.36934047235404</v>
      </c>
      <c r="S332" s="18">
        <f t="shared" si="270"/>
        <v>1.5471921626914669</v>
      </c>
      <c r="T332" s="18" t="str">
        <f t="shared" si="259"/>
        <v>1+0.0173464202592295i</v>
      </c>
      <c r="U332" s="18">
        <f t="shared" si="271"/>
        <v>1.0001504378321342</v>
      </c>
      <c r="V332" s="18">
        <f t="shared" si="272"/>
        <v>1.7344680737172102E-2</v>
      </c>
      <c r="W332" s="32" t="str">
        <f t="shared" si="260"/>
        <v>1-0.287396311987234i</v>
      </c>
      <c r="X332" s="18">
        <f t="shared" si="273"/>
        <v>1.0404790435870699</v>
      </c>
      <c r="Y332" s="18">
        <f t="shared" si="274"/>
        <v>-0.27985404801778696</v>
      </c>
      <c r="Z332" s="32" t="str">
        <f t="shared" si="261"/>
        <v>0.996063097690159+0.130595641269837i</v>
      </c>
      <c r="AA332" s="18">
        <f t="shared" si="275"/>
        <v>1.0045879334825771</v>
      </c>
      <c r="AB332" s="18">
        <f t="shared" si="276"/>
        <v>0.13036818649743295</v>
      </c>
      <c r="AC332" s="68" t="str">
        <f t="shared" si="277"/>
        <v>-0.322368904452076-0.832935446691267i</v>
      </c>
      <c r="AD332" s="66">
        <f t="shared" si="278"/>
        <v>-0.98158682690602583</v>
      </c>
      <c r="AE332" s="63">
        <f t="shared" si="279"/>
        <v>-111.15780671484542</v>
      </c>
      <c r="AF332" s="51" t="str">
        <f t="shared" si="280"/>
        <v>42.1703962805665</v>
      </c>
      <c r="AG332" s="51" t="str">
        <f t="shared" si="262"/>
        <v>1+7.65283246730715i</v>
      </c>
      <c r="AH332" s="51">
        <f t="shared" si="281"/>
        <v>7.7178912128035622</v>
      </c>
      <c r="AI332" s="51">
        <f t="shared" si="282"/>
        <v>1.4408619511711851</v>
      </c>
      <c r="AJ332" s="51" t="str">
        <f t="shared" si="263"/>
        <v>1+0.0173464202592295i</v>
      </c>
      <c r="AK332" s="51">
        <f t="shared" si="283"/>
        <v>1.0001504378321342</v>
      </c>
      <c r="AL332" s="51">
        <f t="shared" si="284"/>
        <v>1.7344680737172102E-2</v>
      </c>
      <c r="AM332" s="51" t="str">
        <f t="shared" si="264"/>
        <v>1-0.044980592896162i</v>
      </c>
      <c r="AN332" s="51">
        <f t="shared" si="285"/>
        <v>1.0010111156911745</v>
      </c>
      <c r="AO332" s="51">
        <f t="shared" si="286"/>
        <v>-4.495029395157666E-2</v>
      </c>
      <c r="AP332" s="60" t="str">
        <f t="shared" si="287"/>
        <v>0.558795354486864-5.44171124238251i</v>
      </c>
      <c r="AQ332" s="51">
        <f t="shared" si="288"/>
        <v>14.760265179487542</v>
      </c>
      <c r="AR332" s="63">
        <f t="shared" si="289"/>
        <v>-84.136993791149763</v>
      </c>
      <c r="AS332" s="32" t="str">
        <f t="shared" si="265"/>
        <v>-0.000133283554228113</v>
      </c>
      <c r="AT332" s="32" t="str">
        <f t="shared" si="266"/>
        <v>0.00529933138919461i</v>
      </c>
      <c r="AU332" s="32">
        <f t="shared" si="290"/>
        <v>5.2993313891946097E-3</v>
      </c>
      <c r="AV332" s="32">
        <f t="shared" si="291"/>
        <v>1.5707963267948966</v>
      </c>
      <c r="AW332" s="32" t="str">
        <f t="shared" si="267"/>
        <v>1+0.926548817669994i</v>
      </c>
      <c r="AX332" s="32">
        <f t="shared" si="292"/>
        <v>1.3632654589351494</v>
      </c>
      <c r="AY332" s="32">
        <f t="shared" si="293"/>
        <v>0.74729083711490663</v>
      </c>
      <c r="AZ332" s="32" t="str">
        <f t="shared" si="268"/>
        <v>1+13.807837258448i</v>
      </c>
      <c r="BA332" s="32">
        <f t="shared" si="294"/>
        <v>13.844001219148488</v>
      </c>
      <c r="BB332" s="32">
        <f t="shared" si="295"/>
        <v>1.4984999115993793</v>
      </c>
      <c r="BC332" s="60" t="str">
        <f t="shared" si="296"/>
        <v>-0.174322694316183+0.186669499607436i</v>
      </c>
      <c r="BD332" s="51">
        <f t="shared" si="297"/>
        <v>-11.855266309166391</v>
      </c>
      <c r="BE332" s="63">
        <f t="shared" si="298"/>
        <v>133.04110949988916</v>
      </c>
      <c r="BF332" s="60" t="str">
        <f t="shared" si="299"/>
        <v>0.211679859026997+0.0850231091756087i</v>
      </c>
      <c r="BG332" s="66">
        <f t="shared" si="300"/>
        <v>-12.836853136072417</v>
      </c>
      <c r="BH332" s="63">
        <f t="shared" si="301"/>
        <v>21.883302785043746</v>
      </c>
      <c r="BI332" s="60" t="str">
        <f t="shared" si="306"/>
        <v>0.918390802858185+1.05292381466781i</v>
      </c>
      <c r="BJ332" s="66">
        <f t="shared" si="302"/>
        <v>2.9049988703211689</v>
      </c>
      <c r="BK332" s="63">
        <f t="shared" si="307"/>
        <v>48.904115708739553</v>
      </c>
      <c r="BL332" s="51">
        <f t="shared" si="303"/>
        <v>-12.836853136072417</v>
      </c>
      <c r="BM332" s="63">
        <f t="shared" si="304"/>
        <v>21.883302785043746</v>
      </c>
    </row>
    <row r="333" spans="14:65" x14ac:dyDescent="0.35">
      <c r="N333" s="11">
        <v>15</v>
      </c>
      <c r="O333" s="52">
        <f t="shared" si="308"/>
        <v>14125.375446227561</v>
      </c>
      <c r="P333" s="50" t="str">
        <f t="shared" si="257"/>
        <v>36.531007751938</v>
      </c>
      <c r="Q333" s="18" t="str">
        <f t="shared" si="258"/>
        <v>1+43.3441716442971i</v>
      </c>
      <c r="R333" s="18">
        <f t="shared" si="269"/>
        <v>43.35570568599119</v>
      </c>
      <c r="S333" s="18">
        <f t="shared" si="270"/>
        <v>1.5477292662724473</v>
      </c>
      <c r="T333" s="18" t="str">
        <f t="shared" si="259"/>
        <v>1+0.0177504702924265i</v>
      </c>
      <c r="U333" s="18">
        <f t="shared" si="271"/>
        <v>1.0001575271903933</v>
      </c>
      <c r="V333" s="18">
        <f t="shared" si="272"/>
        <v>1.7748606376815333E-2</v>
      </c>
      <c r="W333" s="32" t="str">
        <f t="shared" si="260"/>
        <v>1-0.294090632063871i</v>
      </c>
      <c r="X333" s="18">
        <f t="shared" si="273"/>
        <v>1.0423479744632917</v>
      </c>
      <c r="Y333" s="18">
        <f t="shared" si="274"/>
        <v>-0.28602657741593307</v>
      </c>
      <c r="Z333" s="32" t="str">
        <f t="shared" si="261"/>
        <v>0.995877557200478+0.133637604533836i</v>
      </c>
      <c r="AA333" s="18">
        <f t="shared" si="275"/>
        <v>1.0048040198372683</v>
      </c>
      <c r="AB333" s="18">
        <f t="shared" si="276"/>
        <v>0.13339392500506103</v>
      </c>
      <c r="AC333" s="68" t="str">
        <f t="shared" si="277"/>
        <v>-0.32312895621273-0.812298386993251i</v>
      </c>
      <c r="AD333" s="66">
        <f t="shared" si="278"/>
        <v>-1.1676967162148377</v>
      </c>
      <c r="AE333" s="63">
        <f t="shared" si="279"/>
        <v>-111.69245917863971</v>
      </c>
      <c r="AF333" s="51" t="str">
        <f t="shared" si="280"/>
        <v>42.1703962805665</v>
      </c>
      <c r="AG333" s="51" t="str">
        <f t="shared" si="262"/>
        <v>1+7.83108983489405i</v>
      </c>
      <c r="AH333" s="51">
        <f t="shared" si="281"/>
        <v>7.8946797276508249</v>
      </c>
      <c r="AI333" s="51">
        <f t="shared" si="282"/>
        <v>1.4437875511180303</v>
      </c>
      <c r="AJ333" s="51" t="str">
        <f t="shared" si="263"/>
        <v>1+0.0177504702924265i</v>
      </c>
      <c r="AK333" s="51">
        <f t="shared" si="283"/>
        <v>1.0001575271903933</v>
      </c>
      <c r="AL333" s="51">
        <f t="shared" si="284"/>
        <v>1.7748606376815333E-2</v>
      </c>
      <c r="AM333" s="51" t="str">
        <f t="shared" si="264"/>
        <v>1-0.0460283254992762i</v>
      </c>
      <c r="AN333" s="51">
        <f t="shared" si="285"/>
        <v>1.0010587429058633</v>
      </c>
      <c r="AO333" s="51">
        <f t="shared" si="286"/>
        <v>-4.5995861449423456E-2</v>
      </c>
      <c r="AP333" s="60" t="str">
        <f t="shared" si="287"/>
        <v>0.527330230132099-5.32205876485715i</v>
      </c>
      <c r="AQ333" s="51">
        <f t="shared" si="288"/>
        <v>14.564022734641792</v>
      </c>
      <c r="AR333" s="63">
        <f t="shared" si="289"/>
        <v>-84.341381691081679</v>
      </c>
      <c r="AS333" s="32" t="str">
        <f t="shared" si="265"/>
        <v>-0.000133283554228113</v>
      </c>
      <c r="AT333" s="32" t="str">
        <f t="shared" si="266"/>
        <v>0.00542276867433628i</v>
      </c>
      <c r="AU333" s="32">
        <f t="shared" si="290"/>
        <v>5.4227686743362801E-3</v>
      </c>
      <c r="AV333" s="32">
        <f t="shared" si="291"/>
        <v>1.5707963267948966</v>
      </c>
      <c r="AW333" s="32" t="str">
        <f t="shared" si="267"/>
        <v>1+0.948130912127725i</v>
      </c>
      <c r="AX333" s="32">
        <f t="shared" si="292"/>
        <v>1.3780247554133966</v>
      </c>
      <c r="AY333" s="32">
        <f t="shared" si="293"/>
        <v>0.75877939963356167</v>
      </c>
      <c r="AZ333" s="32" t="str">
        <f t="shared" si="268"/>
        <v>1+14.1294631051229i</v>
      </c>
      <c r="BA333" s="32">
        <f t="shared" si="294"/>
        <v>14.1648059513369</v>
      </c>
      <c r="BB333" s="32">
        <f t="shared" si="295"/>
        <v>1.5001400438899546</v>
      </c>
      <c r="BC333" s="60" t="str">
        <f t="shared" si="296"/>
        <v>-0.170608534703257+0.186337731962317i</v>
      </c>
      <c r="BD333" s="51">
        <f t="shared" si="297"/>
        <v>-11.949818066852863</v>
      </c>
      <c r="BE333" s="63">
        <f t="shared" si="298"/>
        <v>132.47683601299067</v>
      </c>
      <c r="BF333" s="60" t="str">
        <f t="shared" si="299"/>
        <v>0.206490396848618+0.0783739207147068i</v>
      </c>
      <c r="BG333" s="66">
        <f t="shared" si="300"/>
        <v>-13.117514783067687</v>
      </c>
      <c r="BH333" s="63">
        <f t="shared" si="301"/>
        <v>20.784376834350937</v>
      </c>
      <c r="BI333" s="60" t="str">
        <f t="shared" si="306"/>
        <v>0.901733321746083+1.00625016655489i</v>
      </c>
      <c r="BJ333" s="66">
        <f t="shared" si="302"/>
        <v>2.6142046677889481</v>
      </c>
      <c r="BK333" s="63">
        <f t="shared" si="307"/>
        <v>48.135454321909116</v>
      </c>
      <c r="BL333" s="51">
        <f t="shared" si="303"/>
        <v>-13.117514783067687</v>
      </c>
      <c r="BM333" s="63">
        <f t="shared" si="304"/>
        <v>20.784376834350937</v>
      </c>
    </row>
    <row r="334" spans="14:65" x14ac:dyDescent="0.35">
      <c r="N334" s="11">
        <v>16</v>
      </c>
      <c r="O334" s="52">
        <f t="shared" si="308"/>
        <v>14454.397707459291</v>
      </c>
      <c r="P334" s="50" t="str">
        <f t="shared" si="257"/>
        <v>36.531007751938</v>
      </c>
      <c r="Q334" s="18" t="str">
        <f t="shared" si="258"/>
        <v>1+44.3537870998234i</v>
      </c>
      <c r="R334" s="18">
        <f t="shared" si="269"/>
        <v>44.365058662155072</v>
      </c>
      <c r="S334" s="18">
        <f t="shared" si="270"/>
        <v>1.5482541567459704</v>
      </c>
      <c r="T334" s="18" t="str">
        <f t="shared" si="259"/>
        <v>1+0.0181639318599277i</v>
      </c>
      <c r="U334" s="18">
        <f t="shared" si="271"/>
        <v>1.0001649506059549</v>
      </c>
      <c r="V334" s="18">
        <f t="shared" si="272"/>
        <v>1.8161934656156481E-2</v>
      </c>
      <c r="W334" s="32" t="str">
        <f t="shared" si="260"/>
        <v>1-0.300940882886376i</v>
      </c>
      <c r="X334" s="18">
        <f t="shared" si="273"/>
        <v>1.0443014004550752</v>
      </c>
      <c r="Y334" s="18">
        <f t="shared" si="274"/>
        <v>-0.29231976609827304</v>
      </c>
      <c r="Z334" s="32" t="str">
        <f t="shared" si="261"/>
        <v>0.995683272456913+0.136750424224661i</v>
      </c>
      <c r="AA334" s="18">
        <f t="shared" si="275"/>
        <v>1.0050302769449944</v>
      </c>
      <c r="AB334" s="18">
        <f t="shared" si="276"/>
        <v>0.13648936473849591</v>
      </c>
      <c r="AC334" s="68" t="str">
        <f t="shared" si="277"/>
        <v>-0.323839856368954-0.792091495382243i</v>
      </c>
      <c r="AD334" s="66">
        <f t="shared" si="278"/>
        <v>-1.353221215982858</v>
      </c>
      <c r="AE334" s="63">
        <f t="shared" si="279"/>
        <v>-112.2367800051602</v>
      </c>
      <c r="AF334" s="51" t="str">
        <f t="shared" si="280"/>
        <v>42.1703962805665</v>
      </c>
      <c r="AG334" s="51" t="str">
        <f t="shared" si="262"/>
        <v>1+8.01349934996813i</v>
      </c>
      <c r="AH334" s="51">
        <f t="shared" si="281"/>
        <v>8.0756530282039503</v>
      </c>
      <c r="AI334" s="51">
        <f t="shared" si="282"/>
        <v>1.4466486700691847</v>
      </c>
      <c r="AJ334" s="51" t="str">
        <f t="shared" si="263"/>
        <v>1+0.0181639318599277i</v>
      </c>
      <c r="AK334" s="51">
        <f t="shared" si="283"/>
        <v>1.0001649506059549</v>
      </c>
      <c r="AL334" s="51">
        <f t="shared" si="284"/>
        <v>1.8161934656156481E-2</v>
      </c>
      <c r="AM334" s="51" t="str">
        <f t="shared" si="264"/>
        <v>1-0.0471004629298268i</v>
      </c>
      <c r="AN334" s="51">
        <f t="shared" si="285"/>
        <v>1.0011086122934933</v>
      </c>
      <c r="AO334" s="51">
        <f t="shared" si="286"/>
        <v>-4.7065679153839135E-2</v>
      </c>
      <c r="AP334" s="60" t="str">
        <f t="shared" si="287"/>
        <v>0.497236816424802-5.20487188740295i</v>
      </c>
      <c r="AQ334" s="51">
        <f t="shared" si="288"/>
        <v>14.367657195363439</v>
      </c>
      <c r="AR334" s="63">
        <f t="shared" si="289"/>
        <v>-84.542925805019493</v>
      </c>
      <c r="AS334" s="32" t="str">
        <f t="shared" si="265"/>
        <v>-0.000133283554228113</v>
      </c>
      <c r="AT334" s="32" t="str">
        <f t="shared" si="266"/>
        <v>0.00554908118320791i</v>
      </c>
      <c r="AU334" s="32">
        <f t="shared" si="290"/>
        <v>5.5490811832079098E-3</v>
      </c>
      <c r="AV334" s="32">
        <f t="shared" si="291"/>
        <v>1.5707963267948966</v>
      </c>
      <c r="AW334" s="32" t="str">
        <f t="shared" si="267"/>
        <v>1+0.97021571814506i</v>
      </c>
      <c r="AX334" s="32">
        <f t="shared" si="292"/>
        <v>1.3933120755005803</v>
      </c>
      <c r="AY334" s="32">
        <f t="shared" si="293"/>
        <v>0.77028204539768641</v>
      </c>
      <c r="AZ334" s="32" t="str">
        <f t="shared" si="268"/>
        <v>1+14.4585805801617i</v>
      </c>
      <c r="BA334" s="32">
        <f t="shared" si="294"/>
        <v>14.49312086450082</v>
      </c>
      <c r="BB334" s="32">
        <f t="shared" si="295"/>
        <v>1.5017432102274837</v>
      </c>
      <c r="BC334" s="60" t="str">
        <f t="shared" si="296"/>
        <v>-0.166885263911528+0.185933737402099i</v>
      </c>
      <c r="BD334" s="51">
        <f t="shared" si="297"/>
        <v>-12.046620005133715</v>
      </c>
      <c r="BE334" s="63">
        <f t="shared" si="298"/>
        <v>131.90963762247054</v>
      </c>
      <c r="BF334" s="60" t="str">
        <f t="shared" si="299"/>
        <v>0.201320631996042+0.0719756434345039i</v>
      </c>
      <c r="BG334" s="66">
        <f t="shared" si="300"/>
        <v>-13.399841221116574</v>
      </c>
      <c r="BH334" s="63">
        <f t="shared" si="301"/>
        <v>19.672857617310353</v>
      </c>
      <c r="BI334" s="60" t="str">
        <f t="shared" si="306"/>
        <v>0.884779785388367+0.961069518206719i</v>
      </c>
      <c r="BJ334" s="66">
        <f t="shared" si="302"/>
        <v>2.3210371902297293</v>
      </c>
      <c r="BK334" s="63">
        <f t="shared" si="307"/>
        <v>47.366711817451055</v>
      </c>
      <c r="BL334" s="51">
        <f t="shared" si="303"/>
        <v>-13.399841221116574</v>
      </c>
      <c r="BM334" s="63">
        <f t="shared" si="304"/>
        <v>19.672857617310353</v>
      </c>
    </row>
    <row r="335" spans="14:65" x14ac:dyDescent="0.35">
      <c r="N335" s="11">
        <v>17</v>
      </c>
      <c r="O335" s="52">
        <f t="shared" si="308"/>
        <v>14791.083881682089</v>
      </c>
      <c r="P335" s="50" t="str">
        <f t="shared" si="257"/>
        <v>36.531007751938</v>
      </c>
      <c r="Q335" s="18" t="str">
        <f t="shared" si="258"/>
        <v>1+45.3869195203618i</v>
      </c>
      <c r="R335" s="18">
        <f t="shared" si="269"/>
        <v>45.397934573588245</v>
      </c>
      <c r="S335" s="18">
        <f t="shared" si="270"/>
        <v>1.5487671112583492</v>
      </c>
      <c r="T335" s="18" t="str">
        <f t="shared" si="259"/>
        <v>1+0.0185870241845291i</v>
      </c>
      <c r="U335" s="18">
        <f t="shared" si="271"/>
        <v>1.0001727238172595</v>
      </c>
      <c r="V335" s="18">
        <f t="shared" si="272"/>
        <v>1.8584884162091444E-2</v>
      </c>
      <c r="W335" s="32" t="str">
        <f t="shared" si="260"/>
        <v>1-0.307950696548412i</v>
      </c>
      <c r="X335" s="18">
        <f t="shared" si="273"/>
        <v>1.0463429798611219</v>
      </c>
      <c r="Y335" s="18">
        <f t="shared" si="274"/>
        <v>-0.29873495615154494</v>
      </c>
      <c r="Z335" s="32" t="str">
        <f t="shared" si="261"/>
        <v>0.995479831355476+0.139935750800516i</v>
      </c>
      <c r="AA335" s="18">
        <f t="shared" si="275"/>
        <v>1.005267182886038</v>
      </c>
      <c r="AB335" s="18">
        <f t="shared" si="276"/>
        <v>0.13965607416528866</v>
      </c>
      <c r="AC335" s="68" t="str">
        <f t="shared" si="277"/>
        <v>-0.324503124691897-0.772304284009717i</v>
      </c>
      <c r="AD335" s="66">
        <f t="shared" si="278"/>
        <v>-1.5381375095637286</v>
      </c>
      <c r="AE335" s="63">
        <f t="shared" si="279"/>
        <v>-112.79093931209081</v>
      </c>
      <c r="AF335" s="51" t="str">
        <f t="shared" si="280"/>
        <v>42.1703962805665</v>
      </c>
      <c r="AG335" s="51" t="str">
        <f t="shared" si="262"/>
        <v>1+8.20015772846876i</v>
      </c>
      <c r="AH335" s="51">
        <f t="shared" si="281"/>
        <v>8.2609071397617058</v>
      </c>
      <c r="AI335" s="51">
        <f t="shared" si="282"/>
        <v>1.4494466375588244</v>
      </c>
      <c r="AJ335" s="51" t="str">
        <f t="shared" si="263"/>
        <v>1+0.0185870241845291i</v>
      </c>
      <c r="AK335" s="51">
        <f t="shared" si="283"/>
        <v>1.0001727238172595</v>
      </c>
      <c r="AL335" s="51">
        <f t="shared" si="284"/>
        <v>1.8584884162091444E-2</v>
      </c>
      <c r="AM335" s="51" t="str">
        <f t="shared" si="264"/>
        <v>1-0.0481975736492712i</v>
      </c>
      <c r="AN335" s="51">
        <f t="shared" si="285"/>
        <v>1.0011608292905176</v>
      </c>
      <c r="AO335" s="51">
        <f t="shared" si="286"/>
        <v>-4.8160304495424432E-2</v>
      </c>
      <c r="AP335" s="60" t="str">
        <f t="shared" si="287"/>
        <v>0.468457199602728-5.09011153079263i</v>
      </c>
      <c r="AQ335" s="51">
        <f t="shared" si="288"/>
        <v>14.171175954596382</v>
      </c>
      <c r="AR335" s="63">
        <f t="shared" si="289"/>
        <v>-84.741721723974322</v>
      </c>
      <c r="AS335" s="32" t="str">
        <f t="shared" si="265"/>
        <v>-0.000133283554228113</v>
      </c>
      <c r="AT335" s="32" t="str">
        <f t="shared" si="266"/>
        <v>0.00567833588837365i</v>
      </c>
      <c r="AU335" s="32">
        <f t="shared" si="290"/>
        <v>5.6783358883736503E-3</v>
      </c>
      <c r="AV335" s="32">
        <f t="shared" si="291"/>
        <v>1.5707963267948966</v>
      </c>
      <c r="AW335" s="32" t="str">
        <f t="shared" si="267"/>
        <v>1+0.992814945378479i</v>
      </c>
      <c r="AX335" s="32">
        <f t="shared" si="292"/>
        <v>1.4091421204998709</v>
      </c>
      <c r="AY335" s="32">
        <f t="shared" si="293"/>
        <v>0.78179269892398118</v>
      </c>
      <c r="AZ335" s="32" t="str">
        <f t="shared" si="268"/>
        <v>1+14.7953641860061i</v>
      </c>
      <c r="BA335" s="32">
        <f t="shared" si="294"/>
        <v>14.829120047951326</v>
      </c>
      <c r="BB335" s="32">
        <f t="shared" si="295"/>
        <v>1.5033102276505412</v>
      </c>
      <c r="BC335" s="60" t="str">
        <f t="shared" si="296"/>
        <v>-0.163156807507986+0.18545680826181i</v>
      </c>
      <c r="BD335" s="51">
        <f t="shared" si="297"/>
        <v>-12.145678574965915</v>
      </c>
      <c r="BE335" s="63">
        <f t="shared" si="298"/>
        <v>131.33990924074112</v>
      </c>
      <c r="BF335" s="60" t="str">
        <f t="shared" si="299"/>
        <v>0.19617398137046+0.065825387627423i</v>
      </c>
      <c r="BG335" s="66">
        <f t="shared" si="300"/>
        <v>-13.683816084529658</v>
      </c>
      <c r="BH335" s="63">
        <f t="shared" si="301"/>
        <v>18.548969928650333</v>
      </c>
      <c r="BI335" s="60" t="str">
        <f t="shared" si="306"/>
        <v>0.867563857056124+0.917364924269301i</v>
      </c>
      <c r="BJ335" s="66">
        <f t="shared" si="302"/>
        <v>2.0254973796304672</v>
      </c>
      <c r="BK335" s="63">
        <f t="shared" si="307"/>
        <v>46.598187516766814</v>
      </c>
      <c r="BL335" s="51">
        <f t="shared" si="303"/>
        <v>-13.683816084529658</v>
      </c>
      <c r="BM335" s="63">
        <f t="shared" si="304"/>
        <v>18.548969928650333</v>
      </c>
    </row>
    <row r="336" spans="14:65" x14ac:dyDescent="0.35">
      <c r="N336" s="11">
        <v>18</v>
      </c>
      <c r="O336" s="52">
        <f t="shared" si="308"/>
        <v>15135.612484362096</v>
      </c>
      <c r="P336" s="50" t="str">
        <f t="shared" si="257"/>
        <v>36.531007751938</v>
      </c>
      <c r="Q336" s="18" t="str">
        <f t="shared" si="258"/>
        <v>1+46.4441166863968i</v>
      </c>
      <c r="R336" s="18">
        <f t="shared" si="269"/>
        <v>46.454881065175933</v>
      </c>
      <c r="S336" s="18">
        <f t="shared" si="270"/>
        <v>1.549268400704479</v>
      </c>
      <c r="T336" s="18" t="str">
        <f t="shared" si="259"/>
        <v>1+0.0190199715953816i</v>
      </c>
      <c r="U336" s="18">
        <f t="shared" si="271"/>
        <v>1.0001808633039773</v>
      </c>
      <c r="V336" s="18">
        <f t="shared" si="272"/>
        <v>1.9017678542420643E-2</v>
      </c>
      <c r="W336" s="32" t="str">
        <f t="shared" si="260"/>
        <v>1-0.315123789745967i</v>
      </c>
      <c r="X336" s="18">
        <f t="shared" si="273"/>
        <v>1.0484765151703974</v>
      </c>
      <c r="Y336" s="18">
        <f t="shared" si="274"/>
        <v>-0.30527343609603708</v>
      </c>
      <c r="Z336" s="32" t="str">
        <f t="shared" si="261"/>
        <v>0.995266802370315+0.143195273163714i</v>
      </c>
      <c r="AA336" s="18">
        <f t="shared" si="275"/>
        <v>1.0055152381524917</v>
      </c>
      <c r="AB336" s="18">
        <f t="shared" si="276"/>
        <v>0.14289565440921378</v>
      </c>
      <c r="AC336" s="68" t="str">
        <f t="shared" si="277"/>
        <v>-0.325120182112382-0.75292648585015i</v>
      </c>
      <c r="AD336" s="66">
        <f t="shared" si="278"/>
        <v>-1.7224221631841612</v>
      </c>
      <c r="AE336" s="63">
        <f t="shared" si="279"/>
        <v>-113.35510537089985</v>
      </c>
      <c r="AF336" s="51" t="str">
        <f t="shared" si="280"/>
        <v>42.1703962805665</v>
      </c>
      <c r="AG336" s="51" t="str">
        <f t="shared" si="262"/>
        <v>1+8.39116393913895i</v>
      </c>
      <c r="AH336" s="51">
        <f t="shared" si="281"/>
        <v>8.4505403527529452</v>
      </c>
      <c r="AI336" s="51">
        <f t="shared" si="282"/>
        <v>1.4521827617787002</v>
      </c>
      <c r="AJ336" s="51" t="str">
        <f t="shared" si="263"/>
        <v>1+0.0190199715953816i</v>
      </c>
      <c r="AK336" s="51">
        <f t="shared" si="283"/>
        <v>1.0001808633039773</v>
      </c>
      <c r="AL336" s="51">
        <f t="shared" si="284"/>
        <v>1.9017678542420643E-2</v>
      </c>
      <c r="AM336" s="51" t="str">
        <f t="shared" si="264"/>
        <v>1-0.0493202393602348i</v>
      </c>
      <c r="AN336" s="51">
        <f t="shared" si="285"/>
        <v>1.0012155042799482</v>
      </c>
      <c r="AO336" s="51">
        <f t="shared" si="286"/>
        <v>-4.928030736037807E-2</v>
      </c>
      <c r="AP336" s="60" t="str">
        <f t="shared" si="287"/>
        <v>0.440935747175819-4.97773844023015i</v>
      </c>
      <c r="AQ336" s="51">
        <f t="shared" si="288"/>
        <v>13.974586186037421</v>
      </c>
      <c r="AR336" s="63">
        <f t="shared" si="289"/>
        <v>-84.93786423981129</v>
      </c>
      <c r="AS336" s="32" t="str">
        <f t="shared" si="265"/>
        <v>-0.000133283554228113</v>
      </c>
      <c r="AT336" s="32" t="str">
        <f t="shared" si="266"/>
        <v>0.00581060132238907i</v>
      </c>
      <c r="AU336" s="32">
        <f t="shared" si="290"/>
        <v>5.8106013223890697E-3</v>
      </c>
      <c r="AV336" s="32">
        <f t="shared" si="291"/>
        <v>1.5707963267948966</v>
      </c>
      <c r="AW336" s="32" t="str">
        <f t="shared" si="267"/>
        <v>1+1.0159405762374i</v>
      </c>
      <c r="AX336" s="32">
        <f t="shared" si="292"/>
        <v>1.4255298153478166</v>
      </c>
      <c r="AY336" s="32">
        <f t="shared" si="293"/>
        <v>0.79330526354238129</v>
      </c>
      <c r="AZ336" s="32" t="str">
        <f t="shared" si="268"/>
        <v>1+15.1399924897817i</v>
      </c>
      <c r="BA336" s="32">
        <f t="shared" si="294"/>
        <v>15.172981664480002</v>
      </c>
      <c r="BB336" s="32">
        <f t="shared" si="295"/>
        <v>1.5048418962121628</v>
      </c>
      <c r="BC336" s="60" t="str">
        <f t="shared" si="296"/>
        <v>-0.159427112999193+0.184906469794756i</v>
      </c>
      <c r="BD336" s="51">
        <f t="shared" si="297"/>
        <v>-12.246997706375378</v>
      </c>
      <c r="BE336" s="63">
        <f t="shared" si="298"/>
        <v>130.76804602092878</v>
      </c>
      <c r="BF336" s="60" t="str">
        <f t="shared" si="299"/>
        <v>0.191053950525471+0.0599200708062884i</v>
      </c>
      <c r="BG336" s="66">
        <f t="shared" si="300"/>
        <v>-13.969419869559561</v>
      </c>
      <c r="BH336" s="63">
        <f t="shared" si="301"/>
        <v>17.412940650028958</v>
      </c>
      <c r="BI336" s="60" t="str">
        <f t="shared" si="306"/>
        <v>0.850118929354229+0.875118341207592i</v>
      </c>
      <c r="BJ336" s="66">
        <f t="shared" si="302"/>
        <v>1.7275884796620375</v>
      </c>
      <c r="BK336" s="63">
        <f t="shared" si="307"/>
        <v>45.830181781117481</v>
      </c>
      <c r="BL336" s="51">
        <f t="shared" si="303"/>
        <v>-13.969419869559561</v>
      </c>
      <c r="BM336" s="63">
        <f t="shared" si="304"/>
        <v>17.412940650028958</v>
      </c>
    </row>
    <row r="337" spans="14:65" x14ac:dyDescent="0.35">
      <c r="N337" s="11">
        <v>19</v>
      </c>
      <c r="O337" s="52">
        <f t="shared" si="308"/>
        <v>15488.166189124853</v>
      </c>
      <c r="P337" s="50" t="str">
        <f t="shared" si="257"/>
        <v>36.531007751938</v>
      </c>
      <c r="Q337" s="18" t="str">
        <f t="shared" si="258"/>
        <v>1+47.5259391378595i</v>
      </c>
      <c r="R337" s="18">
        <f t="shared" si="269"/>
        <v>47.536458544316545</v>
      </c>
      <c r="S337" s="18">
        <f t="shared" si="270"/>
        <v>1.5497582898663247</v>
      </c>
      <c r="T337" s="18" t="str">
        <f t="shared" si="259"/>
        <v>1+0.019463003646933i</v>
      </c>
      <c r="U337" s="18">
        <f t="shared" si="271"/>
        <v>1.0001893863218909</v>
      </c>
      <c r="V337" s="18">
        <f t="shared" si="272"/>
        <v>1.9460546621544002E-2</v>
      </c>
      <c r="W337" s="32" t="str">
        <f t="shared" si="260"/>
        <v>1-0.322463965748002i</v>
      </c>
      <c r="X337" s="18">
        <f t="shared" si="273"/>
        <v>1.0507059575380395</v>
      </c>
      <c r="Y337" s="18">
        <f t="shared" si="274"/>
        <v>-0.31193643566387458</v>
      </c>
      <c r="Z337" s="32" t="str">
        <f t="shared" si="261"/>
        <v>0.995043733638389+0.146530719556157i</v>
      </c>
      <c r="AA337" s="18">
        <f t="shared" si="275"/>
        <v>1.0057749666931817</v>
      </c>
      <c r="AB337" s="18">
        <f t="shared" si="276"/>
        <v>0.14620973974096646</v>
      </c>
      <c r="AC337" s="68" t="str">
        <f t="shared" si="277"/>
        <v>-0.325692353847741-0.733948050289854i</v>
      </c>
      <c r="AD337" s="66">
        <f t="shared" si="278"/>
        <v>-1.9060511296006364</v>
      </c>
      <c r="AE337" s="63">
        <f t="shared" si="279"/>
        <v>-113.92944433707811</v>
      </c>
      <c r="AF337" s="51" t="str">
        <f t="shared" si="280"/>
        <v>42.1703962805665</v>
      </c>
      <c r="AG337" s="51" t="str">
        <f t="shared" si="262"/>
        <v>1+8.58661925599987i</v>
      </c>
      <c r="AH337" s="51">
        <f t="shared" si="281"/>
        <v>8.6446532751468848</v>
      </c>
      <c r="AI337" s="51">
        <f t="shared" si="282"/>
        <v>1.4548583295008548</v>
      </c>
      <c r="AJ337" s="51" t="str">
        <f t="shared" si="263"/>
        <v>1+0.019463003646933i</v>
      </c>
      <c r="AK337" s="51">
        <f t="shared" si="283"/>
        <v>1.0001893863218909</v>
      </c>
      <c r="AL337" s="51">
        <f t="shared" si="284"/>
        <v>1.9460546621544002E-2</v>
      </c>
      <c r="AM337" s="51" t="str">
        <f t="shared" si="264"/>
        <v>1-0.0504690553149377i</v>
      </c>
      <c r="AN337" s="51">
        <f t="shared" si="285"/>
        <v>1.0012727528223178</v>
      </c>
      <c r="AO337" s="51">
        <f t="shared" si="286"/>
        <v>-5.0426270343147117E-2</v>
      </c>
      <c r="AP337" s="60" t="str">
        <f t="shared" si="287"/>
        <v>0.414619032471266-4.86771325405729i</v>
      </c>
      <c r="AQ337" s="51">
        <f t="shared" si="288"/>
        <v>13.777894857009542</v>
      </c>
      <c r="AR337" s="63">
        <f t="shared" si="289"/>
        <v>-85.131447348668246</v>
      </c>
      <c r="AS337" s="32" t="str">
        <f t="shared" si="265"/>
        <v>-0.000133283554228113</v>
      </c>
      <c r="AT337" s="32" t="str">
        <f t="shared" si="266"/>
        <v>0.00594594761413803i</v>
      </c>
      <c r="AU337" s="32">
        <f t="shared" si="290"/>
        <v>5.9459476141380304E-3</v>
      </c>
      <c r="AV337" s="32">
        <f t="shared" si="291"/>
        <v>1.5707963267948966</v>
      </c>
      <c r="AW337" s="32" t="str">
        <f t="shared" si="267"/>
        <v>1+1.0396048722374i</v>
      </c>
      <c r="AX337" s="32">
        <f t="shared" si="292"/>
        <v>1.4424903085912713</v>
      </c>
      <c r="AY337" s="32">
        <f t="shared" si="293"/>
        <v>0.80481363752126267</v>
      </c>
      <c r="AZ337" s="32" t="str">
        <f t="shared" si="268"/>
        <v>1+15.4926482179769i</v>
      </c>
      <c r="BA337" s="32">
        <f t="shared" si="294"/>
        <v>15.52488804487758</v>
      </c>
      <c r="BB337" s="32">
        <f t="shared" si="295"/>
        <v>1.5063389992606562</v>
      </c>
      <c r="BC337" s="60" t="str">
        <f t="shared" si="296"/>
        <v>-0.155700133136729+0.184282481211788i</v>
      </c>
      <c r="BD337" s="51">
        <f t="shared" si="297"/>
        <v>-12.350578803958586</v>
      </c>
      <c r="BE337" s="63">
        <f t="shared" si="298"/>
        <v>130.19444244905574</v>
      </c>
      <c r="BF337" s="60" t="str">
        <f t="shared" si="299"/>
        <v>0.185964110643676+0.0542564140668036i</v>
      </c>
      <c r="BG337" s="66">
        <f t="shared" si="300"/>
        <v>-14.256629933559239</v>
      </c>
      <c r="BH337" s="63">
        <f t="shared" si="301"/>
        <v>16.264998111977675</v>
      </c>
      <c r="BI337" s="60" t="str">
        <f t="shared" si="306"/>
        <v>0.832478037728386+0.834310625789576i</v>
      </c>
      <c r="BJ337" s="66">
        <f t="shared" si="302"/>
        <v>1.4273160530509534</v>
      </c>
      <c r="BK337" s="63">
        <f t="shared" si="307"/>
        <v>45.062995100387511</v>
      </c>
      <c r="BL337" s="51">
        <f t="shared" si="303"/>
        <v>-14.256629933559239</v>
      </c>
      <c r="BM337" s="63">
        <f t="shared" si="304"/>
        <v>16.264998111977675</v>
      </c>
    </row>
    <row r="338" spans="14:65" x14ac:dyDescent="0.35">
      <c r="N338" s="11">
        <v>20</v>
      </c>
      <c r="O338" s="52">
        <f t="shared" si="308"/>
        <v>15848.931924611146</v>
      </c>
      <c r="P338" s="50" t="str">
        <f t="shared" si="257"/>
        <v>36.531007751938</v>
      </c>
      <c r="Q338" s="18" t="str">
        <f t="shared" si="258"/>
        <v>1+48.6329604713332i</v>
      </c>
      <c r="R338" s="18">
        <f t="shared" si="269"/>
        <v>48.6432404780588</v>
      </c>
      <c r="S338" s="18">
        <f t="shared" si="270"/>
        <v>1.5502370375485119</v>
      </c>
      <c r="T338" s="18" t="str">
        <f t="shared" si="259"/>
        <v>1+0.0199163552406412i</v>
      </c>
      <c r="U338" s="18">
        <f t="shared" si="271"/>
        <v>1.0001983109394215</v>
      </c>
      <c r="V338" s="18">
        <f t="shared" si="272"/>
        <v>1.9913722518695234E-2</v>
      </c>
      <c r="W338" s="32" t="str">
        <f t="shared" si="260"/>
        <v>1-0.329975116412991i</v>
      </c>
      <c r="X338" s="18">
        <f t="shared" si="273"/>
        <v>1.0530354113000031</v>
      </c>
      <c r="Y338" s="18">
        <f t="shared" si="274"/>
        <v>-0.31872512037079936</v>
      </c>
      <c r="Z338" s="32" t="str">
        <f t="shared" si="261"/>
        <v>0.994810152001013+0.149943858475672i</v>
      </c>
      <c r="AA338" s="18">
        <f t="shared" si="275"/>
        <v>1.0060469170067821</v>
      </c>
      <c r="AB338" s="18">
        <f t="shared" si="276"/>
        <v>0.14959999806186197</v>
      </c>
      <c r="AC338" s="68" t="str">
        <f t="shared" si="277"/>
        <v>-0.32622087234425-0.71535913882336i</v>
      </c>
      <c r="AD338" s="66">
        <f t="shared" si="278"/>
        <v>-2.088999754151621</v>
      </c>
      <c r="AE338" s="63">
        <f t="shared" si="279"/>
        <v>-114.51411996783355</v>
      </c>
      <c r="AF338" s="51" t="str">
        <f t="shared" si="280"/>
        <v>42.1703962805665</v>
      </c>
      <c r="AG338" s="51" t="str">
        <f t="shared" si="262"/>
        <v>1+8.78662731204763i</v>
      </c>
      <c r="AH338" s="51">
        <f t="shared" si="281"/>
        <v>8.8433488860737217</v>
      </c>
      <c r="AI338" s="51">
        <f t="shared" si="282"/>
        <v>1.4574746060362753</v>
      </c>
      <c r="AJ338" s="51" t="str">
        <f t="shared" si="263"/>
        <v>1+0.0199163552406412i</v>
      </c>
      <c r="AK338" s="51">
        <f t="shared" si="283"/>
        <v>1.0001983109394215</v>
      </c>
      <c r="AL338" s="51">
        <f t="shared" si="284"/>
        <v>1.9913722518695234E-2</v>
      </c>
      <c r="AM338" s="51" t="str">
        <f t="shared" si="264"/>
        <v>1-0.0516446306308054i</v>
      </c>
      <c r="AN338" s="51">
        <f t="shared" si="285"/>
        <v>1.0013326958973188</v>
      </c>
      <c r="AO338" s="51">
        <f t="shared" si="286"/>
        <v>-5.1598789002321739E-2</v>
      </c>
      <c r="AP338" s="60" t="str">
        <f t="shared" si="287"/>
        <v>0.389455760354573-4.75999656726794i</v>
      </c>
      <c r="AQ338" s="51">
        <f t="shared" si="288"/>
        <v>13.581108741085199</v>
      </c>
      <c r="AR338" s="63">
        <f t="shared" si="289"/>
        <v>-85.32256425647418</v>
      </c>
      <c r="AS338" s="32" t="str">
        <f t="shared" si="265"/>
        <v>-0.000133283554228113</v>
      </c>
      <c r="AT338" s="32" t="str">
        <f t="shared" si="266"/>
        <v>0.0060844465260159i</v>
      </c>
      <c r="AU338" s="32">
        <f t="shared" si="290"/>
        <v>6.0844465260159004E-3</v>
      </c>
      <c r="AV338" s="32">
        <f t="shared" si="291"/>
        <v>1.5707963267948966</v>
      </c>
      <c r="AW338" s="32" t="str">
        <f t="shared" si="267"/>
        <v>1+1.06382038050146i</v>
      </c>
      <c r="AX338" s="32">
        <f t="shared" si="292"/>
        <v>1.4600389727573271</v>
      </c>
      <c r="AY338" s="32">
        <f t="shared" si="293"/>
        <v>0.81631173022534087</v>
      </c>
      <c r="AZ338" s="32" t="str">
        <f t="shared" si="268"/>
        <v>1+15.8535183533266i</v>
      </c>
      <c r="BA338" s="32">
        <f t="shared" si="294"/>
        <v>15.885025784658433</v>
      </c>
      <c r="BB338" s="32">
        <f t="shared" si="295"/>
        <v>1.5078023037208859</v>
      </c>
      <c r="BC338" s="60" t="str">
        <f t="shared" si="296"/>
        <v>-0.151979809175461+0.183584835256661i</v>
      </c>
      <c r="BD338" s="51">
        <f t="shared" si="297"/>
        <v>-12.456420752550692</v>
      </c>
      <c r="BE338" s="63">
        <f t="shared" si="298"/>
        <v>129.61949143437548</v>
      </c>
      <c r="BF338" s="60" t="str">
        <f t="shared" si="299"/>
        <v>0.180908075578165+0.048830940303693i</v>
      </c>
      <c r="BG338" s="66">
        <f t="shared" si="300"/>
        <v>-14.54542050670231</v>
      </c>
      <c r="BH338" s="63">
        <f t="shared" si="301"/>
        <v>15.10537146654193</v>
      </c>
      <c r="BI338" s="60" t="str">
        <f t="shared" si="306"/>
        <v>0.814673773483185+0.794921541573683i</v>
      </c>
      <c r="BJ338" s="66">
        <f t="shared" si="302"/>
        <v>1.1246879885345114</v>
      </c>
      <c r="BK338" s="63">
        <f t="shared" si="307"/>
        <v>44.296927177901296</v>
      </c>
      <c r="BL338" s="51">
        <f t="shared" si="303"/>
        <v>-14.54542050670231</v>
      </c>
      <c r="BM338" s="63">
        <f t="shared" si="304"/>
        <v>15.10537146654193</v>
      </c>
    </row>
    <row r="339" spans="14:65" x14ac:dyDescent="0.35">
      <c r="N339" s="11">
        <v>21</v>
      </c>
      <c r="O339" s="52">
        <f t="shared" si="308"/>
        <v>16218.100973589309</v>
      </c>
      <c r="P339" s="50" t="str">
        <f t="shared" ref="P339:P402" si="309">COMPLEX(Adc,0)</f>
        <v>36.531007751938</v>
      </c>
      <c r="Q339" s="18" t="str">
        <f t="shared" ref="Q339:Q402" si="310">IMSUM(COMPLEX(1,0),IMDIV(COMPLEX(0,2*PI()*O339),COMPLEX(wp_lf,0)))</f>
        <v>1+49.7657676441821i</v>
      </c>
      <c r="R339" s="18">
        <f t="shared" si="269"/>
        <v>49.775813697163422</v>
      </c>
      <c r="S339" s="18">
        <f t="shared" si="270"/>
        <v>1.5507048967110661</v>
      </c>
      <c r="T339" s="18" t="str">
        <f t="shared" ref="T339:T402" si="311">IMSUM(COMPLEX(1,0),IMDIV(COMPLEX(0,2*PI()*O339),COMPLEX(wz_esr,0)))</f>
        <v>1+0.0203802667495222i</v>
      </c>
      <c r="U339" s="18">
        <f t="shared" si="271"/>
        <v>1.0002076560758679</v>
      </c>
      <c r="V339" s="18">
        <f t="shared" si="272"/>
        <v>2.0377445768762669E-2</v>
      </c>
      <c r="W339" s="32" t="str">
        <f t="shared" ref="W339:W402" si="312">IMSUB(COMPLEX(1,0),IMDIV(COMPLEX(0,2*PI()*O339),COMPLEX(wz_rhp,0)))</f>
        <v>1-0.337661224252439i</v>
      </c>
      <c r="X339" s="18">
        <f t="shared" si="273"/>
        <v>1.0554691385178707</v>
      </c>
      <c r="Y339" s="18">
        <f t="shared" si="274"/>
        <v>-0.32564058588688743</v>
      </c>
      <c r="Z339" s="32" t="str">
        <f t="shared" ref="Z339:Z402" si="313">IMSUM(COMPLEX(1,0),IMDIV(COMPLEX(0,2*PI()*O339),COMPLEX(Q*(wsl/2),0)),IMDIV(IMPOWER(COMPLEX(0,2*PI()*O339),2),IMPOWER(COMPLEX(wsl/2,0),2)))</f>
        <v>0.994565562000216+0.153436499613692i</v>
      </c>
      <c r="AA339" s="18">
        <f t="shared" si="275"/>
        <v>1.0063316632852748</v>
      </c>
      <c r="AB339" s="18">
        <f t="shared" si="276"/>
        <v>0.15306813137917014</v>
      </c>
      <c r="AC339" s="68" t="str">
        <f t="shared" si="277"/>
        <v>-0.326706880042364-0.697150120859403i</v>
      </c>
      <c r="AD339" s="66">
        <f t="shared" si="278"/>
        <v>-2.2712427834058122</v>
      </c>
      <c r="AE339" s="63">
        <f t="shared" si="279"/>
        <v>-115.10929332747408</v>
      </c>
      <c r="AF339" s="51" t="str">
        <f t="shared" si="280"/>
        <v>42.1703962805665</v>
      </c>
      <c r="AG339" s="51" t="str">
        <f t="shared" ref="AG339:AG402" si="314">IMSUM(COMPLEX(1,0),IMDIV(COMPLEX(0,2*PI()*O339),COMPLEX(wp_lf_DCM,0)))</f>
        <v>1+8.991294154201i</v>
      </c>
      <c r="AH339" s="51">
        <f t="shared" si="281"/>
        <v>9.0467325906853837</v>
      </c>
      <c r="AI339" s="51">
        <f t="shared" si="282"/>
        <v>1.4600328352267422</v>
      </c>
      <c r="AJ339" s="51" t="str">
        <f t="shared" ref="AJ339:AJ402" si="315">IMSUM(COMPLEX(1,0),IMDIV(COMPLEX(0,2*PI()*O339),COMPLEX(wz1_dcm,0)))</f>
        <v>1+0.0203802667495222i</v>
      </c>
      <c r="AK339" s="51">
        <f t="shared" si="283"/>
        <v>1.0002076560758679</v>
      </c>
      <c r="AL339" s="51">
        <f t="shared" si="284"/>
        <v>2.0377445768762669E-2</v>
      </c>
      <c r="AM339" s="51" t="str">
        <f t="shared" ref="AM339:AM402" si="316">IMSUB(COMPLEX(1,0),IMDIV(COMPLEX(0,2*PI()*O339),COMPLEX(wz2_dcm,0)))</f>
        <v>1-0.052847588613431i</v>
      </c>
      <c r="AN339" s="51">
        <f t="shared" si="285"/>
        <v>1.0013954601566029</v>
      </c>
      <c r="AO339" s="51">
        <f t="shared" si="286"/>
        <v>-5.2798472119665964E-2</v>
      </c>
      <c r="AP339" s="60" t="str">
        <f t="shared" si="287"/>
        <v>0.365396694247348-4.65454899012029i</v>
      </c>
      <c r="AQ339" s="51">
        <f t="shared" si="288"/>
        <v>13.384234430468933</v>
      </c>
      <c r="AR339" s="63">
        <f t="shared" si="289"/>
        <v>-85.511307386401072</v>
      </c>
      <c r="AS339" s="32" t="str">
        <f t="shared" ref="AS339:AS402" si="317">COMPLEX(Adc_ea,0)</f>
        <v>-0.000133283554228113</v>
      </c>
      <c r="AT339" s="32" t="str">
        <f t="shared" ref="AT339:AT402" si="318">COMPLEX(0,2*PI()*O339*wp0_ea)</f>
        <v>0.00622617149197905i</v>
      </c>
      <c r="AU339" s="32">
        <f t="shared" si="290"/>
        <v>6.2261714919790503E-3</v>
      </c>
      <c r="AV339" s="32">
        <f t="shared" si="291"/>
        <v>1.5707963267948966</v>
      </c>
      <c r="AW339" s="32" t="str">
        <f t="shared" ref="AW339:AW402" si="319">IMSUM(COMPLEX(1,0),IMDIV(COMPLEX(0,2*PI()*O339),COMPLEX(wp1_ea,0)))</f>
        <v>1+1.08859994041259i</v>
      </c>
      <c r="AX339" s="32">
        <f t="shared" si="292"/>
        <v>1.4781914051523553</v>
      </c>
      <c r="AY339" s="32">
        <f t="shared" si="293"/>
        <v>0.82779347820193871</v>
      </c>
      <c r="AZ339" s="32" t="str">
        <f t="shared" ref="AZ339:AZ402" si="320">IMSUM(COMPLEX(1,0),IMDIV(COMPLEX(0,2*PI()*O339),COMPLEX(wz_ea,0)))</f>
        <v>1+16.2227942339534i</v>
      </c>
      <c r="BA339" s="32">
        <f t="shared" si="294"/>
        <v>16.253585843043734</v>
      </c>
      <c r="BB339" s="32">
        <f t="shared" si="295"/>
        <v>1.5092325603755927</v>
      </c>
      <c r="BC339" s="60" t="str">
        <f t="shared" si="296"/>
        <v>-0.148270054235173+0.18281375632071i</v>
      </c>
      <c r="BD339" s="51">
        <f t="shared" si="297"/>
        <v>-12.564519933047436</v>
      </c>
      <c r="BE339" s="63">
        <f t="shared" si="298"/>
        <v>129.04358340381893</v>
      </c>
      <c r="BF339" s="60" t="str">
        <f t="shared" si="299"/>
        <v>0.17588947913663+0.0436399742735169i</v>
      </c>
      <c r="BG339" s="66">
        <f t="shared" si="300"/>
        <v>-14.835762716453244</v>
      </c>
      <c r="BH339" s="63">
        <f t="shared" si="301"/>
        <v>13.934290076344832</v>
      </c>
      <c r="BI339" s="60" t="str">
        <f t="shared" si="306"/>
        <v>0.79673819718925+0.756929773427933i</v>
      </c>
      <c r="BJ339" s="66">
        <f t="shared" si="302"/>
        <v>0.81971449742149372</v>
      </c>
      <c r="BK339" s="63">
        <f t="shared" si="307"/>
        <v>43.532276017417878</v>
      </c>
      <c r="BL339" s="51">
        <f t="shared" si="303"/>
        <v>-14.835762716453244</v>
      </c>
      <c r="BM339" s="63">
        <f t="shared" si="304"/>
        <v>13.934290076344832</v>
      </c>
    </row>
    <row r="340" spans="14:65" x14ac:dyDescent="0.35">
      <c r="N340" s="11">
        <v>22</v>
      </c>
      <c r="O340" s="52">
        <f t="shared" si="308"/>
        <v>16595.869074375616</v>
      </c>
      <c r="P340" s="50" t="str">
        <f t="shared" si="309"/>
        <v>36.531007751938</v>
      </c>
      <c r="Q340" s="18" t="str">
        <f t="shared" si="310"/>
        <v>1+50.924961285764i</v>
      </c>
      <c r="R340" s="18">
        <f t="shared" ref="R340:R403" si="321">IMABS(Q340)</f>
        <v>50.934778707250338</v>
      </c>
      <c r="S340" s="18">
        <f t="shared" ref="S340:S403" si="322">IMARGUMENT(Q340)</f>
        <v>1.5511621145993528</v>
      </c>
      <c r="T340" s="18" t="str">
        <f t="shared" si="311"/>
        <v>1+0.0208549841455986i</v>
      </c>
      <c r="U340" s="18">
        <f t="shared" ref="U340:U403" si="323">IMABS(T340)</f>
        <v>1.0002174415414447</v>
      </c>
      <c r="V340" s="18">
        <f t="shared" ref="V340:V403" si="324">IMARGUMENT(T340)</f>
        <v>2.0851961445744541E-2</v>
      </c>
      <c r="W340" s="32" t="str">
        <f t="shared" si="312"/>
        <v>1-0.345526364542462i</v>
      </c>
      <c r="X340" s="18">
        <f t="shared" ref="X340:X403" si="325">IMABS(W340)</f>
        <v>1.0580115635445249</v>
      </c>
      <c r="Y340" s="18">
        <f t="shared" ref="Y340:Y403" si="326">IMARGUMENT(W340)</f>
        <v>-0.33268385221340813</v>
      </c>
      <c r="Z340" s="32" t="str">
        <f t="shared" si="313"/>
        <v>0.994309444827814+0.15701049481478i</v>
      </c>
      <c r="AA340" s="18">
        <f t="shared" ref="AA340:AA403" si="327">IMABS(Z340)</f>
        <v>1.0066298066100456</v>
      </c>
      <c r="AB340" s="18">
        <f t="shared" ref="AB340:AB403" si="328">IMARGUMENT(Z340)</f>
        <v>0.15661587627159809</v>
      </c>
      <c r="AC340" s="68" t="str">
        <f t="shared" ref="AC340:AC403" si="329">(IMDIV(IMPRODUCT(P340,T340,W340),IMPRODUCT(Q340,Z340)))</f>
        <v>-0.327151431971765-0.679311569638572i</v>
      </c>
      <c r="AD340" s="66">
        <f t="shared" ref="AD340:AD403" si="330">20*LOG(IMABS(AC340))</f>
        <v>-2.4527543766124413</v>
      </c>
      <c r="AE340" s="63">
        <f t="shared" ref="AE340:AE403" si="331">(180/PI())*IMARGUMENT(AC340)</f>
        <v>-115.71512248080835</v>
      </c>
      <c r="AF340" s="51" t="str">
        <f t="shared" ref="AF340:AF403" si="332">COMPLEX($B$68,0)</f>
        <v>42.1703962805665</v>
      </c>
      <c r="AG340" s="51" t="str">
        <f t="shared" si="314"/>
        <v>1+9.20072829952882i</v>
      </c>
      <c r="AH340" s="51">
        <f t="shared" ref="AH340:AH403" si="333">IMABS(AG340)</f>
        <v>9.2549122762860634</v>
      </c>
      <c r="AI340" s="51">
        <f t="shared" ref="AI340:AI403" si="334">IMARGUMENT(AG340)</f>
        <v>1.4625342394672769</v>
      </c>
      <c r="AJ340" s="51" t="str">
        <f t="shared" si="315"/>
        <v>1+0.0208549841455986i</v>
      </c>
      <c r="AK340" s="51">
        <f t="shared" ref="AK340:AK403" si="335">IMABS(AJ340)</f>
        <v>1.0002174415414447</v>
      </c>
      <c r="AL340" s="51">
        <f t="shared" ref="AL340:AL403" si="336">IMARGUMENT(AJ340)</f>
        <v>2.0851961445744541E-2</v>
      </c>
      <c r="AM340" s="51" t="str">
        <f t="shared" si="316"/>
        <v>1-0.0540785670870603i</v>
      </c>
      <c r="AN340" s="51">
        <f t="shared" ref="AN340:AN403" si="337">IMABS(AM340)</f>
        <v>1.0014611781882459</v>
      </c>
      <c r="AO340" s="51">
        <f t="shared" ref="AO340:AO403" si="338">IMARGUMENT(AM340)</f>
        <v>-5.4025941962161074E-2</v>
      </c>
      <c r="AP340" s="60" t="str">
        <f t="shared" ref="AP340:AP403" si="339">(IMDIV(IMPRODUCT(AF340,AJ340,AM340),IMPRODUCT(AG340)))</f>
        <v>0.342394584544652-4.5513312021271i</v>
      </c>
      <c r="AQ340" s="51">
        <f t="shared" ref="AQ340:AQ403" si="340">20*LOG(IMABS(AP340))</f>
        <v>13.187278348151567</v>
      </c>
      <c r="AR340" s="63">
        <f t="shared" ref="AR340:AR403" si="341">(180/PI())*IMARGUMENT(AP340)</f>
        <v>-85.697768388090537</v>
      </c>
      <c r="AS340" s="32" t="str">
        <f t="shared" si="317"/>
        <v>-0.000133283554228113</v>
      </c>
      <c r="AT340" s="32" t="str">
        <f t="shared" si="318"/>
        <v>0.00637119765648037i</v>
      </c>
      <c r="AU340" s="32">
        <f t="shared" ref="AU340:AU403" si="342">IMABS(AT340)</f>
        <v>6.3711976564803704E-3</v>
      </c>
      <c r="AV340" s="32">
        <f t="shared" ref="AV340:AV403" si="343">IMARGUMENT(AT340)</f>
        <v>1.5707963267948966</v>
      </c>
      <c r="AW340" s="32" t="str">
        <f t="shared" si="319"/>
        <v>1+1.11395669042145i</v>
      </c>
      <c r="AX340" s="32">
        <f t="shared" ref="AX340:AX403" si="344">IMABS(AW340)</f>
        <v>1.4969634291240084</v>
      </c>
      <c r="AY340" s="32">
        <f t="shared" ref="AY340:AY403" si="345">IMARGUMENT(AW340)</f>
        <v>0.83925286109224673</v>
      </c>
      <c r="AZ340" s="32" t="str">
        <f t="shared" si="320"/>
        <v>1+16.6006716548172i</v>
      </c>
      <c r="BA340" s="32">
        <f t="shared" ref="BA340:BA403" si="346">IMABS(AZ340)</f>
        <v>16.630763644254319</v>
      </c>
      <c r="BB340" s="32">
        <f t="shared" ref="BB340:BB403" si="347">IMARGUMENT(AZ340)</f>
        <v>1.5106305041463255</v>
      </c>
      <c r="BC340" s="60" t="str">
        <f t="shared" ref="BC340:BC403" si="348">IMPRODUCT(AS340,IMDIV(AZ340,IMPRODUCT(AT340,AW340)))</f>
        <v>-0.14457473691438+0.181969697117605i</v>
      </c>
      <c r="BD340" s="51">
        <f t="shared" ref="BD340:BD403" si="349">20*LOG(IMABS(BC340))</f>
        <v>-12.674870248278268</v>
      </c>
      <c r="BE340" s="63">
        <f t="shared" ref="BE340:BE403" si="350">(180/PI())*IMARGUMENT(BC340)</f>
        <v>128.46710540643926</v>
      </c>
      <c r="BF340" s="60" t="str">
        <f t="shared" ref="BF340:BF403" si="351">IMPRODUCT(AC340,BC340)</f>
        <v>0.170911952784096+0.0386796444758982i</v>
      </c>
      <c r="BG340" s="66">
        <f t="shared" ref="BG340:BG403" si="352">20*LOG(IMABS(BF340))</f>
        <v>-15.127624624890728</v>
      </c>
      <c r="BH340" s="63">
        <f t="shared" ref="BH340:BH403" si="353">(180/PI())*IMARGUMENT(BF340)</f>
        <v>12.751982925630937</v>
      </c>
      <c r="BI340" s="60" t="str">
        <f t="shared" si="306"/>
        <v>0.778702753351522+0.720312950002033i</v>
      </c>
      <c r="BJ340" s="66">
        <f t="shared" ref="BJ340:BJ403" si="354">20*LOG(IMABS(BI340))</f>
        <v>0.51240809987330116</v>
      </c>
      <c r="BK340" s="63">
        <f t="shared" si="307"/>
        <v>42.769337018348757</v>
      </c>
      <c r="BL340" s="51">
        <f t="shared" ref="BL340:BL403" si="355">IF($B$31=0,BJ340,BG340)</f>
        <v>-15.127624624890728</v>
      </c>
      <c r="BM340" s="63">
        <f t="shared" ref="BM340:BM403" si="356">IF($B$31=0,BK340,BH340)</f>
        <v>12.751982925630937</v>
      </c>
    </row>
    <row r="341" spans="14:65" x14ac:dyDescent="0.35">
      <c r="N341" s="11">
        <v>23</v>
      </c>
      <c r="O341" s="52">
        <f t="shared" si="308"/>
        <v>16982.436524617482</v>
      </c>
      <c r="P341" s="50" t="str">
        <f t="shared" si="309"/>
        <v>36.531007751938</v>
      </c>
      <c r="Q341" s="18" t="str">
        <f t="shared" si="310"/>
        <v>1+52.1111560158913i</v>
      </c>
      <c r="R341" s="18">
        <f t="shared" si="321"/>
        <v>52.12075000719544</v>
      </c>
      <c r="S341" s="18">
        <f t="shared" si="322"/>
        <v>1.5516089328712652</v>
      </c>
      <c r="T341" s="18" t="str">
        <f t="shared" si="311"/>
        <v>1+0.0213407591303174i</v>
      </c>
      <c r="U341" s="18">
        <f t="shared" si="323"/>
        <v>1.0002276880791985</v>
      </c>
      <c r="V341" s="18">
        <f t="shared" si="324"/>
        <v>2.1337520288888554E-2</v>
      </c>
      <c r="W341" s="32" t="str">
        <f t="shared" si="312"/>
        <v>1-0.353574707484549i</v>
      </c>
      <c r="X341" s="18">
        <f t="shared" si="325"/>
        <v>1.0606672776006547</v>
      </c>
      <c r="Y341" s="18">
        <f t="shared" si="326"/>
        <v>-0.33985585767498094</v>
      </c>
      <c r="Z341" s="32" t="str">
        <f t="shared" si="313"/>
        <v>0.994041257224945+0.160667739058499i</v>
      </c>
      <c r="AA341" s="18">
        <f t="shared" si="327"/>
        <v>1.0069419762029586</v>
      </c>
      <c r="AB341" s="18">
        <f t="shared" si="328"/>
        <v>0.16024500434332464</v>
      </c>
      <c r="AC341" s="68" t="str">
        <f t="shared" si="329"/>
        <v>-0.327555498183005-0.661834258264739i</v>
      </c>
      <c r="AD341" s="66">
        <f t="shared" si="330"/>
        <v>-2.6335081201643415</v>
      </c>
      <c r="AE341" s="63">
        <f t="shared" si="331"/>
        <v>-116.33176217499614</v>
      </c>
      <c r="AF341" s="51" t="str">
        <f t="shared" si="332"/>
        <v>42.1703962805665</v>
      </c>
      <c r="AG341" s="51" t="str">
        <f t="shared" si="314"/>
        <v>1+9.41504079278712i</v>
      </c>
      <c r="AH341" s="51">
        <f t="shared" si="333"/>
        <v>9.4679983697635652</v>
      </c>
      <c r="AI341" s="51">
        <f t="shared" si="334"/>
        <v>1.46498001975675</v>
      </c>
      <c r="AJ341" s="51" t="str">
        <f t="shared" si="315"/>
        <v>1+0.0213407591303174i</v>
      </c>
      <c r="AK341" s="51">
        <f t="shared" si="335"/>
        <v>1.0002276880791985</v>
      </c>
      <c r="AL341" s="51">
        <f t="shared" si="336"/>
        <v>2.1337520288888554E-2</v>
      </c>
      <c r="AM341" s="51" t="str">
        <f t="shared" si="316"/>
        <v>1-0.0553382187327738i</v>
      </c>
      <c r="AN341" s="51">
        <f t="shared" si="337"/>
        <v>1.0015299887934042</v>
      </c>
      <c r="AO341" s="51">
        <f t="shared" si="338"/>
        <v>-5.5281834546920733E-2</v>
      </c>
      <c r="AP341" s="60" t="str">
        <f t="shared" si="339"/>
        <v>0.320404098518049-4.45030400169176i</v>
      </c>
      <c r="AQ341" s="51">
        <f t="shared" si="340"/>
        <v>12.990246759846762</v>
      </c>
      <c r="AR341" s="63">
        <f t="shared" si="341"/>
        <v>-85.882038148504733</v>
      </c>
      <c r="AS341" s="32" t="str">
        <f t="shared" si="317"/>
        <v>-0.000133283554228113</v>
      </c>
      <c r="AT341" s="32" t="str">
        <f t="shared" si="318"/>
        <v>0.00651960191431194i</v>
      </c>
      <c r="AU341" s="32">
        <f t="shared" si="342"/>
        <v>6.5196019143119403E-3</v>
      </c>
      <c r="AV341" s="32">
        <f t="shared" si="343"/>
        <v>1.5707963267948966</v>
      </c>
      <c r="AW341" s="32" t="str">
        <f t="shared" si="319"/>
        <v>1+1.13990407501254i</v>
      </c>
      <c r="AX341" s="32">
        <f t="shared" si="344"/>
        <v>1.5163710958173116</v>
      </c>
      <c r="AY341" s="32">
        <f t="shared" si="345"/>
        <v>0.85068391726622983</v>
      </c>
      <c r="AZ341" s="32" t="str">
        <f t="shared" si="320"/>
        <v>1+16.9873509715283i</v>
      </c>
      <c r="BA341" s="32">
        <f t="shared" si="346"/>
        <v>17.016759181168531</v>
      </c>
      <c r="BB341" s="32">
        <f t="shared" si="347"/>
        <v>1.5119968543736155</v>
      </c>
      <c r="BC341" s="60" t="str">
        <f t="shared" si="348"/>
        <v>-0.140897665301405+0.181053333956042i</v>
      </c>
      <c r="BD341" s="51">
        <f t="shared" si="349"/>
        <v>-12.787463158735196</v>
      </c>
      <c r="BE341" s="63">
        <f t="shared" si="350"/>
        <v>127.89044023365376</v>
      </c>
      <c r="BF341" s="60" t="str">
        <f t="shared" si="351"/>
        <v>0.165979103935779+0.0339458868043235i</v>
      </c>
      <c r="BG341" s="66">
        <f t="shared" si="352"/>
        <v>-15.420971278899547</v>
      </c>
      <c r="BH341" s="63">
        <f t="shared" si="353"/>
        <v>11.558678058657662</v>
      </c>
      <c r="BI341" s="60" t="str">
        <f t="shared" si="306"/>
        <v>0.760598187190014+0.685047673969742i</v>
      </c>
      <c r="BJ341" s="66">
        <f t="shared" si="354"/>
        <v>0.20278360111156934</v>
      </c>
      <c r="BK341" s="63">
        <f t="shared" si="307"/>
        <v>42.008402085149058</v>
      </c>
      <c r="BL341" s="51">
        <f t="shared" si="355"/>
        <v>-15.420971278899547</v>
      </c>
      <c r="BM341" s="63">
        <f t="shared" si="356"/>
        <v>11.558678058657662</v>
      </c>
    </row>
    <row r="342" spans="14:65" x14ac:dyDescent="0.35">
      <c r="N342" s="11">
        <v>24</v>
      </c>
      <c r="O342" s="52">
        <f t="shared" si="308"/>
        <v>17378.008287493791</v>
      </c>
      <c r="P342" s="50" t="str">
        <f t="shared" si="309"/>
        <v>36.531007751938</v>
      </c>
      <c r="Q342" s="18" t="str">
        <f t="shared" si="310"/>
        <v>1+53.3249807707103i</v>
      </c>
      <c r="R342" s="18">
        <f t="shared" si="321"/>
        <v>53.334356414947237</v>
      </c>
      <c r="S342" s="18">
        <f t="shared" si="322"/>
        <v>1.5520455877217096</v>
      </c>
      <c r="T342" s="18" t="str">
        <f t="shared" si="311"/>
        <v>1+0.0218378492680052i</v>
      </c>
      <c r="U342" s="18">
        <f t="shared" si="323"/>
        <v>1.0002384174088956</v>
      </c>
      <c r="V342" s="18">
        <f t="shared" si="324"/>
        <v>2.1834378831563583E-2</v>
      </c>
      <c r="W342" s="32" t="str">
        <f t="shared" si="312"/>
        <v>1-0.361810520416655i</v>
      </c>
      <c r="X342" s="18">
        <f t="shared" si="325"/>
        <v>1.0634410433513326</v>
      </c>
      <c r="Y342" s="18">
        <f t="shared" si="326"/>
        <v>-0.34715745273827348</v>
      </c>
      <c r="Z342" s="32" t="str">
        <f t="shared" si="313"/>
        <v>0.993760430329748+0.164410171464154i</v>
      </c>
      <c r="AA342" s="18">
        <f t="shared" si="327"/>
        <v>1.0072688307348929</v>
      </c>
      <c r="AB342" s="18">
        <f t="shared" si="328"/>
        <v>0.16395732266487512</v>
      </c>
      <c r="AC342" s="68" t="str">
        <f t="shared" si="329"/>
        <v>-0.327919966022312-0.644709155852272i</v>
      </c>
      <c r="AD342" s="66">
        <f t="shared" si="330"/>
        <v>-2.8134770452897495</v>
      </c>
      <c r="AE342" s="63">
        <f t="shared" si="331"/>
        <v>-116.95936351039435</v>
      </c>
      <c r="AF342" s="51" t="str">
        <f t="shared" si="332"/>
        <v>42.1703962805665</v>
      </c>
      <c r="AG342" s="51" t="str">
        <f t="shared" si="314"/>
        <v>1+9.63434526529644i</v>
      </c>
      <c r="AH342" s="51">
        <f t="shared" si="333"/>
        <v>9.6861038963527513</v>
      </c>
      <c r="AI342" s="51">
        <f t="shared" si="334"/>
        <v>1.4673713557743511</v>
      </c>
      <c r="AJ342" s="51" t="str">
        <f t="shared" si="315"/>
        <v>1+0.0218378492680052i</v>
      </c>
      <c r="AK342" s="51">
        <f t="shared" si="335"/>
        <v>1.0002384174088956</v>
      </c>
      <c r="AL342" s="51">
        <f t="shared" si="336"/>
        <v>2.1834378831563583E-2</v>
      </c>
      <c r="AM342" s="51" t="str">
        <f t="shared" si="316"/>
        <v>1-0.0566272114345467i</v>
      </c>
      <c r="AN342" s="51">
        <f t="shared" si="337"/>
        <v>1.00160203727571</v>
      </c>
      <c r="AO342" s="51">
        <f t="shared" si="338"/>
        <v>-5.6566799908821942E-2</v>
      </c>
      <c r="AP342" s="60" t="str">
        <f t="shared" si="339"/>
        <v>0.299381751775682-4.3514283516474i</v>
      </c>
      <c r="AQ342" s="51">
        <f t="shared" si="340"/>
        <v>12.793145785722917</v>
      </c>
      <c r="AR342" s="63">
        <f t="shared" si="341"/>
        <v>-86.064206804258021</v>
      </c>
      <c r="AS342" s="32" t="str">
        <f t="shared" si="317"/>
        <v>-0.000133283554228113</v>
      </c>
      <c r="AT342" s="32" t="str">
        <f t="shared" si="318"/>
        <v>0.00667146295137559i</v>
      </c>
      <c r="AU342" s="32">
        <f t="shared" si="342"/>
        <v>6.6714629513755898E-3</v>
      </c>
      <c r="AV342" s="32">
        <f t="shared" si="343"/>
        <v>1.5707963267948966</v>
      </c>
      <c r="AW342" s="32" t="str">
        <f t="shared" si="319"/>
        <v>1+1.1664558518326i</v>
      </c>
      <c r="AX342" s="32">
        <f t="shared" si="344"/>
        <v>1.5364306864530259</v>
      </c>
      <c r="AY342" s="32">
        <f t="shared" si="345"/>
        <v>0.86208075908311754</v>
      </c>
      <c r="AZ342" s="32" t="str">
        <f t="shared" si="320"/>
        <v>1+17.3830372065785i</v>
      </c>
      <c r="BA342" s="32">
        <f t="shared" si="346"/>
        <v>17.411777121399542</v>
      </c>
      <c r="BB342" s="32">
        <f t="shared" si="347"/>
        <v>1.5133323150960503</v>
      </c>
      <c r="BC342" s="60" t="str">
        <f t="shared" si="348"/>
        <v>-0.137242571521644+0.1800655606647i</v>
      </c>
      <c r="BD342" s="51">
        <f t="shared" si="349"/>
        <v>-12.902287727874528</v>
      </c>
      <c r="BE342" s="63">
        <f t="shared" si="350"/>
        <v>127.31396556086875</v>
      </c>
      <c r="BF342" s="60" t="str">
        <f t="shared" si="351"/>
        <v>0.161094495004397+0.0294344498977572i</v>
      </c>
      <c r="BG342" s="66">
        <f t="shared" si="352"/>
        <v>-15.715764773164281</v>
      </c>
      <c r="BH342" s="63">
        <f t="shared" si="353"/>
        <v>10.354602050474389</v>
      </c>
      <c r="BI342" s="60" t="str">
        <f t="shared" si="306"/>
        <v>0.742454464351311+0.651109559758546i</v>
      </c>
      <c r="BJ342" s="66">
        <f t="shared" si="354"/>
        <v>-0.10914194215161334</v>
      </c>
      <c r="BK342" s="63">
        <f t="shared" si="307"/>
        <v>41.249758756610746</v>
      </c>
      <c r="BL342" s="51">
        <f t="shared" si="355"/>
        <v>-15.715764773164281</v>
      </c>
      <c r="BM342" s="63">
        <f t="shared" si="356"/>
        <v>10.354602050474389</v>
      </c>
    </row>
    <row r="343" spans="14:65" x14ac:dyDescent="0.35">
      <c r="N343" s="11">
        <v>25</v>
      </c>
      <c r="O343" s="52">
        <f t="shared" si="308"/>
        <v>17782.794100389234</v>
      </c>
      <c r="P343" s="50" t="str">
        <f t="shared" si="309"/>
        <v>36.531007751938</v>
      </c>
      <c r="Q343" s="18" t="str">
        <f t="shared" si="310"/>
        <v>1+54.5670791361735i</v>
      </c>
      <c r="R343" s="18">
        <f t="shared" si="321"/>
        <v>54.576241400937654</v>
      </c>
      <c r="S343" s="18">
        <f t="shared" si="322"/>
        <v>1.5524723100044395</v>
      </c>
      <c r="T343" s="18" t="str">
        <f t="shared" si="311"/>
        <v>1+0.022346518122433i</v>
      </c>
      <c r="U343" s="18">
        <f t="shared" si="323"/>
        <v>1.0002496522729694</v>
      </c>
      <c r="V343" s="18">
        <f t="shared" si="324"/>
        <v>2.2342799532913921E-2</v>
      </c>
      <c r="W343" s="32" t="str">
        <f t="shared" si="312"/>
        <v>1-0.370238170075813i</v>
      </c>
      <c r="X343" s="18">
        <f t="shared" si="325"/>
        <v>1.0663377994712027</v>
      </c>
      <c r="Y343" s="18">
        <f t="shared" si="326"/>
        <v>-0.35458939367073217</v>
      </c>
      <c r="Z343" s="32" t="str">
        <f t="shared" si="313"/>
        <v>0.993466368470727+0.168239776318945i</v>
      </c>
      <c r="AA343" s="18">
        <f t="shared" si="327"/>
        <v>1.0076110596942964</v>
      </c>
      <c r="AB343" s="18">
        <f t="shared" si="328"/>
        <v>0.16775467419900386</v>
      </c>
      <c r="AC343" s="68" t="str">
        <f t="shared" si="329"/>
        <v>-0.328245642256042-0.627927423791187i</v>
      </c>
      <c r="AD343" s="66">
        <f t="shared" si="330"/>
        <v>-2.9926336491897616</v>
      </c>
      <c r="AE343" s="63">
        <f t="shared" si="331"/>
        <v>-117.59807360106799</v>
      </c>
      <c r="AF343" s="51" t="str">
        <f t="shared" si="332"/>
        <v>42.1703962805665</v>
      </c>
      <c r="AG343" s="51" t="str">
        <f t="shared" si="314"/>
        <v>1+9.85875799519106i</v>
      </c>
      <c r="AH343" s="51">
        <f t="shared" si="333"/>
        <v>9.9093445397636497</v>
      </c>
      <c r="AI343" s="51">
        <f t="shared" si="334"/>
        <v>1.4697094059797622</v>
      </c>
      <c r="AJ343" s="51" t="str">
        <f t="shared" si="315"/>
        <v>1+0.022346518122433i</v>
      </c>
      <c r="AK343" s="51">
        <f t="shared" si="335"/>
        <v>1.0002496522729694</v>
      </c>
      <c r="AL343" s="51">
        <f t="shared" si="336"/>
        <v>2.2342799532913921E-2</v>
      </c>
      <c r="AM343" s="51" t="str">
        <f t="shared" si="316"/>
        <v>1-0.0579462286333719i</v>
      </c>
      <c r="AN343" s="51">
        <f t="shared" si="337"/>
        <v>1.0016774757439797</v>
      </c>
      <c r="AO343" s="51">
        <f t="shared" si="338"/>
        <v>-5.7881502370677435E-2</v>
      </c>
      <c r="AP343" s="60" t="str">
        <f t="shared" si="339"/>
        <v>0.279285841336958-4.25466542094414i</v>
      </c>
      <c r="AQ343" s="51">
        <f t="shared" si="340"/>
        <v>12.59598141194215</v>
      </c>
      <c r="AR343" s="63">
        <f t="shared" si="341"/>
        <v>-86.244363755293094</v>
      </c>
      <c r="AS343" s="32" t="str">
        <f t="shared" si="317"/>
        <v>-0.000133283554228113</v>
      </c>
      <c r="AT343" s="32" t="str">
        <f t="shared" si="318"/>
        <v>0.00682686128640331i</v>
      </c>
      <c r="AU343" s="32">
        <f t="shared" si="342"/>
        <v>6.82686128640331E-3</v>
      </c>
      <c r="AV343" s="32">
        <f t="shared" si="343"/>
        <v>1.5707963267948966</v>
      </c>
      <c r="AW343" s="32" t="str">
        <f t="shared" si="319"/>
        <v>1+1.19362609898517i</v>
      </c>
      <c r="AX343" s="32">
        <f t="shared" si="344"/>
        <v>1.5571587151535178</v>
      </c>
      <c r="AY343" s="32">
        <f t="shared" si="345"/>
        <v>0.87343758768392776</v>
      </c>
      <c r="AZ343" s="32" t="str">
        <f t="shared" si="320"/>
        <v>1+17.7879401580473i</v>
      </c>
      <c r="BA343" s="32">
        <f t="shared" si="346"/>
        <v>17.816026915849442</v>
      </c>
      <c r="BB343" s="32">
        <f t="shared" si="347"/>
        <v>1.5146375753279289</v>
      </c>
      <c r="BC343" s="60" t="str">
        <f t="shared" si="348"/>
        <v>-0.133613096951893+0.179007481239116i</v>
      </c>
      <c r="BD343" s="51">
        <f t="shared" si="349"/>
        <v>-13.01933067662514</v>
      </c>
      <c r="BE343" s="63">
        <f t="shared" si="350"/>
        <v>126.73805311584172</v>
      </c>
      <c r="BF343" s="60" t="str">
        <f t="shared" si="351"/>
        <v>0.15626162335662+0.0251409021057942i</v>
      </c>
      <c r="BG343" s="66">
        <f t="shared" si="352"/>
        <v>-16.011964325814919</v>
      </c>
      <c r="BH343" s="63">
        <f t="shared" si="353"/>
        <v>9.1399795147737422</v>
      </c>
      <c r="BI343" s="60" t="str">
        <f t="shared" si="306"/>
        <v>0.724300694322528+0.618473278389952i</v>
      </c>
      <c r="BJ343" s="66">
        <f t="shared" si="354"/>
        <v>-0.42334926468299033</v>
      </c>
      <c r="BK343" s="63">
        <f t="shared" si="307"/>
        <v>40.493689360548629</v>
      </c>
      <c r="BL343" s="51">
        <f t="shared" si="355"/>
        <v>-16.011964325814919</v>
      </c>
      <c r="BM343" s="63">
        <f t="shared" si="356"/>
        <v>9.1399795147737422</v>
      </c>
    </row>
    <row r="344" spans="14:65" x14ac:dyDescent="0.35">
      <c r="N344" s="11">
        <v>26</v>
      </c>
      <c r="O344" s="52">
        <f t="shared" si="308"/>
        <v>18197.008586099837</v>
      </c>
      <c r="P344" s="50" t="str">
        <f t="shared" si="309"/>
        <v>36.531007751938</v>
      </c>
      <c r="Q344" s="18" t="str">
        <f t="shared" si="310"/>
        <v>1+55.8381096892758i</v>
      </c>
      <c r="R344" s="18">
        <f t="shared" si="321"/>
        <v>55.847063429258256</v>
      </c>
      <c r="S344" s="18">
        <f t="shared" si="322"/>
        <v>1.5528893253512792</v>
      </c>
      <c r="T344" s="18" t="str">
        <f t="shared" si="311"/>
        <v>1+0.0228670353965606i</v>
      </c>
      <c r="U344" s="18">
        <f t="shared" si="323"/>
        <v>1.0002614164846246</v>
      </c>
      <c r="V344" s="18">
        <f t="shared" si="324"/>
        <v>2.2863050912342787E-2</v>
      </c>
      <c r="W344" s="32" t="str">
        <f t="shared" si="312"/>
        <v>1-0.37886212491343i</v>
      </c>
      <c r="X344" s="18">
        <f t="shared" si="325"/>
        <v>1.0693626651861001</v>
      </c>
      <c r="Y344" s="18">
        <f t="shared" si="326"/>
        <v>-0.36215233605516706</v>
      </c>
      <c r="Z344" s="32" t="str">
        <f t="shared" si="313"/>
        <v>0.993158447903252+0.172158584130058i</v>
      </c>
      <c r="AA344" s="18">
        <f t="shared" si="327"/>
        <v>1.0079693848184392</v>
      </c>
      <c r="AB344" s="18">
        <f t="shared" si="328"/>
        <v>0.171638938209591</v>
      </c>
      <c r="AC344" s="68" t="str">
        <f t="shared" si="329"/>
        <v>-0.328533255051043-0.611480412132433i</v>
      </c>
      <c r="AD344" s="66">
        <f t="shared" si="330"/>
        <v>-3.1709499198396589</v>
      </c>
      <c r="AE344" s="63">
        <f t="shared" si="331"/>
        <v>-118.24803522575688</v>
      </c>
      <c r="AF344" s="51" t="str">
        <f t="shared" si="332"/>
        <v>42.1703962805665</v>
      </c>
      <c r="AG344" s="51" t="str">
        <f t="shared" si="314"/>
        <v>1+10.0883979690709i</v>
      </c>
      <c r="AH344" s="51">
        <f t="shared" si="333"/>
        <v>10.13783870370573</v>
      </c>
      <c r="AI344" s="51">
        <f t="shared" si="334"/>
        <v>1.4719953077349925</v>
      </c>
      <c r="AJ344" s="51" t="str">
        <f t="shared" si="315"/>
        <v>1+0.0228670353965606i</v>
      </c>
      <c r="AK344" s="51">
        <f t="shared" si="335"/>
        <v>1.0002614164846246</v>
      </c>
      <c r="AL344" s="51">
        <f t="shared" si="336"/>
        <v>2.2863050912342787E-2</v>
      </c>
      <c r="AM344" s="51" t="str">
        <f t="shared" si="316"/>
        <v>1-0.0592959696896279i</v>
      </c>
      <c r="AN344" s="51">
        <f t="shared" si="337"/>
        <v>1.0017564634288283</v>
      </c>
      <c r="AO344" s="51">
        <f t="shared" si="338"/>
        <v>-5.9226620815746825E-2</v>
      </c>
      <c r="AP344" s="60" t="str">
        <f t="shared" si="339"/>
        <v>0.260076380367451-4.15997662271967i</v>
      </c>
      <c r="AQ344" s="51">
        <f t="shared" si="340"/>
        <v>12.398759502021001</v>
      </c>
      <c r="AR344" s="63">
        <f t="shared" si="341"/>
        <v>-86.422597679769879</v>
      </c>
      <c r="AS344" s="32" t="str">
        <f t="shared" si="317"/>
        <v>-0.000133283554228113</v>
      </c>
      <c r="AT344" s="32" t="str">
        <f t="shared" si="318"/>
        <v>0.00698587931364928i</v>
      </c>
      <c r="AU344" s="32">
        <f t="shared" si="342"/>
        <v>6.9858793136492797E-3</v>
      </c>
      <c r="AV344" s="32">
        <f t="shared" si="343"/>
        <v>1.5707963267948966</v>
      </c>
      <c r="AW344" s="32" t="str">
        <f t="shared" si="319"/>
        <v>1+1.22142922249494i</v>
      </c>
      <c r="AX344" s="32">
        <f t="shared" si="344"/>
        <v>1.5785719323377676</v>
      </c>
      <c r="AY344" s="32">
        <f t="shared" si="345"/>
        <v>0.88474870722776244</v>
      </c>
      <c r="AZ344" s="32" t="str">
        <f t="shared" si="320"/>
        <v>1+18.2022745108392i</v>
      </c>
      <c r="BA344" s="32">
        <f t="shared" si="346"/>
        <v>18.229722909796145</v>
      </c>
      <c r="BB344" s="32">
        <f t="shared" si="347"/>
        <v>1.5159133093352157</v>
      </c>
      <c r="BC344" s="60" t="str">
        <f t="shared" si="348"/>
        <v>-0.130012778222596+0.177880401294234i</v>
      </c>
      <c r="BD344" s="51">
        <f t="shared" si="349"/>
        <v>-13.138576446659338</v>
      </c>
      <c r="BE344" s="63">
        <f t="shared" si="350"/>
        <v>126.16306787881101</v>
      </c>
      <c r="BF344" s="60" t="str">
        <f t="shared" si="351"/>
        <v>0.15148390232138+0.0210606399630551i</v>
      </c>
      <c r="BG344" s="66">
        <f t="shared" si="352"/>
        <v>-16.309526366498975</v>
      </c>
      <c r="BH344" s="63">
        <f t="shared" si="353"/>
        <v>7.9150326530540767</v>
      </c>
      <c r="BI344" s="60" t="str">
        <f t="shared" si="306"/>
        <v>0.706165058262358+0.58711260896775i</v>
      </c>
      <c r="BJ344" s="66">
        <f t="shared" si="354"/>
        <v>-0.73981694463834113</v>
      </c>
      <c r="BK344" s="63">
        <f t="shared" si="307"/>
        <v>39.740470199041106</v>
      </c>
      <c r="BL344" s="51">
        <f t="shared" si="355"/>
        <v>-16.309526366498975</v>
      </c>
      <c r="BM344" s="63">
        <f t="shared" si="356"/>
        <v>7.9150326530540767</v>
      </c>
    </row>
    <row r="345" spans="14:65" x14ac:dyDescent="0.35">
      <c r="N345" s="11">
        <v>27</v>
      </c>
      <c r="O345" s="52">
        <f t="shared" si="308"/>
        <v>18620.871366628675</v>
      </c>
      <c r="P345" s="50" t="str">
        <f t="shared" si="309"/>
        <v>36.531007751938</v>
      </c>
      <c r="Q345" s="18" t="str">
        <f t="shared" si="310"/>
        <v>1+57.13874634724i</v>
      </c>
      <c r="R345" s="18">
        <f t="shared" si="321"/>
        <v>57.147496306786998</v>
      </c>
      <c r="S345" s="18">
        <f t="shared" si="322"/>
        <v>1.5532968542887946</v>
      </c>
      <c r="T345" s="18" t="str">
        <f t="shared" si="311"/>
        <v>1+0.0233996770755364i</v>
      </c>
      <c r="U345" s="18">
        <f t="shared" si="323"/>
        <v>1.0002737349782005</v>
      </c>
      <c r="V345" s="18">
        <f t="shared" si="324"/>
        <v>2.3395407686875893E-2</v>
      </c>
      <c r="W345" s="32" t="str">
        <f t="shared" si="312"/>
        <v>1-0.387686957464509i</v>
      </c>
      <c r="X345" s="18">
        <f t="shared" si="325"/>
        <v>1.0725209447782771</v>
      </c>
      <c r="Y345" s="18">
        <f t="shared" si="326"/>
        <v>-0.36984682817856479</v>
      </c>
      <c r="Z345" s="32" t="str">
        <f t="shared" si="313"/>
        <v>0.992836015486518+0.176168672701265i</v>
      </c>
      <c r="AA345" s="18">
        <f t="shared" si="327"/>
        <v>1.0083445615901694</v>
      </c>
      <c r="AB345" s="18">
        <f t="shared" si="328"/>
        <v>0.17561203065145042</v>
      </c>
      <c r="AC345" s="68" t="str">
        <f t="shared" si="329"/>
        <v>-0.328783455817109-0.595359656095469i</v>
      </c>
      <c r="AD345" s="66">
        <f t="shared" si="330"/>
        <v>-3.3483973646723579</v>
      </c>
      <c r="AE345" s="63">
        <f t="shared" si="331"/>
        <v>-118.9093864702313</v>
      </c>
      <c r="AF345" s="51" t="str">
        <f t="shared" si="332"/>
        <v>42.1703962805665</v>
      </c>
      <c r="AG345" s="51" t="str">
        <f t="shared" si="314"/>
        <v>1+10.3233869450896i</v>
      </c>
      <c r="AH345" s="51">
        <f t="shared" si="333"/>
        <v>10.371707574842555</v>
      </c>
      <c r="AI345" s="51">
        <f t="shared" si="334"/>
        <v>1.4742301774459736</v>
      </c>
      <c r="AJ345" s="51" t="str">
        <f t="shared" si="315"/>
        <v>1+0.0233996770755364i</v>
      </c>
      <c r="AK345" s="51">
        <f t="shared" si="335"/>
        <v>1.0002737349782005</v>
      </c>
      <c r="AL345" s="51">
        <f t="shared" si="336"/>
        <v>2.3395407686875893E-2</v>
      </c>
      <c r="AM345" s="51" t="str">
        <f t="shared" si="316"/>
        <v>1-0.0606771502538882i</v>
      </c>
      <c r="AN345" s="51">
        <f t="shared" si="337"/>
        <v>1.0018391670138143</v>
      </c>
      <c r="AO345" s="51">
        <f t="shared" si="338"/>
        <v>-6.0602848962372613E-2</v>
      </c>
      <c r="AP345" s="60" t="str">
        <f t="shared" si="339"/>
        <v>0.241715034608281-4.06732364897629i</v>
      </c>
      <c r="AQ345" s="51">
        <f t="shared" si="340"/>
        <v>12.201485808025787</v>
      </c>
      <c r="AR345" s="63">
        <f t="shared" si="341"/>
        <v>-86.598996550043552</v>
      </c>
      <c r="AS345" s="32" t="str">
        <f t="shared" si="317"/>
        <v>-0.000133283554228113</v>
      </c>
      <c r="AT345" s="32" t="str">
        <f t="shared" si="318"/>
        <v>0.00714860134657639i</v>
      </c>
      <c r="AU345" s="32">
        <f t="shared" si="342"/>
        <v>7.1486013465763901E-3</v>
      </c>
      <c r="AV345" s="32">
        <f t="shared" si="343"/>
        <v>1.5707963267948966</v>
      </c>
      <c r="AW345" s="32" t="str">
        <f t="shared" si="319"/>
        <v>1+1.249879963946i</v>
      </c>
      <c r="AX345" s="32">
        <f t="shared" si="344"/>
        <v>1.6006873287040335</v>
      </c>
      <c r="AY345" s="32">
        <f t="shared" si="345"/>
        <v>0.89600853849019835</v>
      </c>
      <c r="AZ345" s="32" t="str">
        <f t="shared" si="320"/>
        <v>1+18.6262599505123i</v>
      </c>
      <c r="BA345" s="32">
        <f t="shared" si="346"/>
        <v>18.653084456573357</v>
      </c>
      <c r="BB345" s="32">
        <f t="shared" si="347"/>
        <v>1.5171601769095315</v>
      </c>
      <c r="BC345" s="60" t="str">
        <f t="shared" si="348"/>
        <v>-0.126445034117305+0.176685818418907i</v>
      </c>
      <c r="BD345" s="51">
        <f t="shared" si="349"/>
        <v>-13.260007271909991</v>
      </c>
      <c r="BE345" s="63">
        <f t="shared" si="350"/>
        <v>125.58936731906412</v>
      </c>
      <c r="BF345" s="60" t="str">
        <f t="shared" si="351"/>
        <v>0.146764643378827+0.0171888980534161i</v>
      </c>
      <c r="BG345" s="66">
        <f t="shared" si="352"/>
        <v>-16.608404636582335</v>
      </c>
      <c r="BH345" s="63">
        <f t="shared" si="353"/>
        <v>6.6799808488328161</v>
      </c>
      <c r="BI345" s="60" t="str">
        <f t="shared" si="306"/>
        <v>0.688074741896241+0.557000496274847i</v>
      </c>
      <c r="BJ345" s="66">
        <f t="shared" si="354"/>
        <v>-1.058521463884204</v>
      </c>
      <c r="BK345" s="63">
        <f t="shared" si="307"/>
        <v>38.990370769020586</v>
      </c>
      <c r="BL345" s="51">
        <f t="shared" si="355"/>
        <v>-16.608404636582335</v>
      </c>
      <c r="BM345" s="63">
        <f t="shared" si="356"/>
        <v>6.6799808488328161</v>
      </c>
    </row>
    <row r="346" spans="14:65" x14ac:dyDescent="0.35">
      <c r="N346" s="11">
        <v>28</v>
      </c>
      <c r="O346" s="52">
        <f t="shared" si="308"/>
        <v>19054.607179632505</v>
      </c>
      <c r="P346" s="50" t="str">
        <f t="shared" si="309"/>
        <v>36.531007751938</v>
      </c>
      <c r="Q346" s="18" t="str">
        <f t="shared" si="310"/>
        <v>1+58.4696787248387i</v>
      </c>
      <c r="R346" s="18">
        <f t="shared" si="321"/>
        <v>58.478229540452531</v>
      </c>
      <c r="S346" s="18">
        <f t="shared" si="322"/>
        <v>1.5536951123524541</v>
      </c>
      <c r="T346" s="18" t="str">
        <f t="shared" si="311"/>
        <v>1+0.0239447255730292i</v>
      </c>
      <c r="U346" s="18">
        <f t="shared" si="323"/>
        <v>1.0002866338618983</v>
      </c>
      <c r="V346" s="18">
        <f t="shared" si="324"/>
        <v>2.3940150911455051E-2</v>
      </c>
      <c r="W346" s="32" t="str">
        <f t="shared" si="312"/>
        <v>1-0.396717346772082i</v>
      </c>
      <c r="X346" s="18">
        <f t="shared" si="325"/>
        <v>1.0758181320417872</v>
      </c>
      <c r="Y346" s="18">
        <f t="shared" si="326"/>
        <v>-0.37767330431614454</v>
      </c>
      <c r="Z346" s="32" t="str">
        <f t="shared" si="313"/>
        <v>0.992498387298138+0.180272168234608i</v>
      </c>
      <c r="AA346" s="18">
        <f t="shared" si="327"/>
        <v>1.0087373808030569</v>
      </c>
      <c r="AB346" s="18">
        <f t="shared" si="328"/>
        <v>0.17967590453879198</v>
      </c>
      <c r="AC346" s="68" t="str">
        <f t="shared" si="329"/>
        <v>-0.328996820917622-0.579556872700374i</v>
      </c>
      <c r="AD346" s="66">
        <f t="shared" si="330"/>
        <v>-3.5249470433592647</v>
      </c>
      <c r="AE346" s="63">
        <f t="shared" si="331"/>
        <v>-119.58226036211045</v>
      </c>
      <c r="AF346" s="51" t="str">
        <f t="shared" si="332"/>
        <v>42.1703962805665</v>
      </c>
      <c r="AG346" s="51" t="str">
        <f t="shared" si="314"/>
        <v>1+10.5638495175129i</v>
      </c>
      <c r="AH346" s="51">
        <f t="shared" si="333"/>
        <v>10.611075187211592</v>
      </c>
      <c r="AI346" s="51">
        <f t="shared" si="334"/>
        <v>1.4764151107221359</v>
      </c>
      <c r="AJ346" s="51" t="str">
        <f t="shared" si="315"/>
        <v>1+0.0239447255730292i</v>
      </c>
      <c r="AK346" s="51">
        <f t="shared" si="335"/>
        <v>1.0002866338618983</v>
      </c>
      <c r="AL346" s="51">
        <f t="shared" si="336"/>
        <v>2.3940150911455051E-2</v>
      </c>
      <c r="AM346" s="51" t="str">
        <f t="shared" si="316"/>
        <v>1-0.0620905026463707i</v>
      </c>
      <c r="AN346" s="51">
        <f t="shared" si="337"/>
        <v>1.00192576098176</v>
      </c>
      <c r="AO346" s="51">
        <f t="shared" si="338"/>
        <v>-6.2010895640501135E-2</v>
      </c>
      <c r="AP346" s="60" t="str">
        <f t="shared" si="339"/>
        <v>0.224165060524382-3.9766685020767i</v>
      </c>
      <c r="AQ346" s="51">
        <f t="shared" si="340"/>
        <v>12.00416598161552</v>
      </c>
      <c r="AR346" s="63">
        <f t="shared" si="341"/>
        <v>-86.773647649612784</v>
      </c>
      <c r="AS346" s="32" t="str">
        <f t="shared" si="317"/>
        <v>-0.000133283554228113</v>
      </c>
      <c r="AT346" s="32" t="str">
        <f t="shared" si="318"/>
        <v>0.0073151136625604i</v>
      </c>
      <c r="AU346" s="32">
        <f t="shared" si="342"/>
        <v>7.3151136625603996E-3</v>
      </c>
      <c r="AV346" s="32">
        <f t="shared" si="343"/>
        <v>1.5707963267948966</v>
      </c>
      <c r="AW346" s="32" t="str">
        <f t="shared" si="319"/>
        <v>1+1.27899340829807i</v>
      </c>
      <c r="AX346" s="32">
        <f t="shared" si="344"/>
        <v>1.6235221398151345</v>
      </c>
      <c r="AY346" s="32">
        <f t="shared" si="345"/>
        <v>0.90721163174927721</v>
      </c>
      <c r="AZ346" s="32" t="str">
        <f t="shared" si="320"/>
        <v>1+19.0601212797591i</v>
      </c>
      <c r="BA346" s="32">
        <f t="shared" si="346"/>
        <v>19.086336033904615</v>
      </c>
      <c r="BB346" s="32">
        <f t="shared" si="347"/>
        <v>1.5183788236399522</v>
      </c>
      <c r="BC346" s="60" t="str">
        <f t="shared" si="348"/>
        <v>-0.122913153465621+0.175425411539409i</v>
      </c>
      <c r="BD346" s="51">
        <f t="shared" si="349"/>
        <v>-13.383603257754771</v>
      </c>
      <c r="BE346" s="63">
        <f t="shared" si="350"/>
        <v>125.01730067219783</v>
      </c>
      <c r="BF346" s="60" t="str">
        <f t="shared" si="351"/>
        <v>0.142107039643105+0.0135207601316454i</v>
      </c>
      <c r="BG346" s="66">
        <f t="shared" si="352"/>
        <v>-16.90855030111404</v>
      </c>
      <c r="BH346" s="63">
        <f t="shared" si="353"/>
        <v>5.4350403100874134</v>
      </c>
      <c r="BI346" s="60" t="str">
        <f t="shared" si="306"/>
        <v>0.670055874046747+0.528109113872901i</v>
      </c>
      <c r="BJ346" s="66">
        <f t="shared" si="354"/>
        <v>-1.379437276139249</v>
      </c>
      <c r="BK346" s="63">
        <f t="shared" si="307"/>
        <v>38.243653022585057</v>
      </c>
      <c r="BL346" s="51">
        <f t="shared" si="355"/>
        <v>-16.90855030111404</v>
      </c>
      <c r="BM346" s="63">
        <f t="shared" si="356"/>
        <v>5.4350403100874134</v>
      </c>
    </row>
    <row r="347" spans="14:65" x14ac:dyDescent="0.35">
      <c r="N347" s="11">
        <v>29</v>
      </c>
      <c r="O347" s="52">
        <f t="shared" si="308"/>
        <v>19498.445997580486</v>
      </c>
      <c r="P347" s="50" t="str">
        <f t="shared" si="309"/>
        <v>36.531007751938</v>
      </c>
      <c r="Q347" s="18" t="str">
        <f t="shared" si="310"/>
        <v>1+59.8316125000342i</v>
      </c>
      <c r="R347" s="18">
        <f t="shared" si="321"/>
        <v>59.839968702818084</v>
      </c>
      <c r="S347" s="18">
        <f t="shared" si="322"/>
        <v>1.5540843101983237</v>
      </c>
      <c r="T347" s="18" t="str">
        <f t="shared" si="311"/>
        <v>1+0.0245024698809664i</v>
      </c>
      <c r="U347" s="18">
        <f t="shared" si="323"/>
        <v>1.0003001404729821</v>
      </c>
      <c r="V347" s="18">
        <f t="shared" si="324"/>
        <v>2.4497568122207478E-2</v>
      </c>
      <c r="W347" s="32" t="str">
        <f t="shared" si="312"/>
        <v>1-0.405958080868083i</v>
      </c>
      <c r="X347" s="18">
        <f t="shared" si="325"/>
        <v>1.0792599146739847</v>
      </c>
      <c r="Y347" s="18">
        <f t="shared" si="326"/>
        <v>-0.38563207793433363</v>
      </c>
      <c r="Z347" s="32" t="str">
        <f t="shared" si="313"/>
        <v>0.99214484718346+0.18447124645773i</v>
      </c>
      <c r="AA347" s="18">
        <f t="shared" si="327"/>
        <v>1.0091486701979842</v>
      </c>
      <c r="AB347" s="18">
        <f t="shared" si="328"/>
        <v>0.18383255028989146</v>
      </c>
      <c r="AC347" s="68" t="str">
        <f t="shared" si="329"/>
        <v>-0.329173853254415-0.564063957526932i</v>
      </c>
      <c r="AD347" s="66">
        <f t="shared" si="330"/>
        <v>-3.7005696048972792</v>
      </c>
      <c r="AE347" s="63">
        <f t="shared" si="331"/>
        <v>-120.26678449936159</v>
      </c>
      <c r="AF347" s="51" t="str">
        <f t="shared" si="332"/>
        <v>42.1703962805665</v>
      </c>
      <c r="AG347" s="51" t="str">
        <f t="shared" si="314"/>
        <v>1+10.8099131827793i</v>
      </c>
      <c r="AH347" s="51">
        <f t="shared" si="333"/>
        <v>10.856068488141814</v>
      </c>
      <c r="AI347" s="51">
        <f t="shared" si="334"/>
        <v>1.4785511825522661</v>
      </c>
      <c r="AJ347" s="51" t="str">
        <f t="shared" si="315"/>
        <v>1+0.0245024698809664i</v>
      </c>
      <c r="AK347" s="51">
        <f t="shared" si="335"/>
        <v>1.0003001404729821</v>
      </c>
      <c r="AL347" s="51">
        <f t="shared" si="336"/>
        <v>2.4497568122207478E-2</v>
      </c>
      <c r="AM347" s="51" t="str">
        <f t="shared" si="316"/>
        <v>1-0.0635367762452204i</v>
      </c>
      <c r="AN347" s="51">
        <f t="shared" si="337"/>
        <v>1.0020164279769246</v>
      </c>
      <c r="AO347" s="51">
        <f t="shared" si="338"/>
        <v>-6.3451485069813324E-2</v>
      </c>
      <c r="AP347" s="60" t="str">
        <f t="shared" si="339"/>
        <v>0.207391245187406-3.88797352326198i</v>
      </c>
      <c r="AQ347" s="51">
        <f t="shared" si="340"/>
        <v>11.806805584949185</v>
      </c>
      <c r="AR347" s="63">
        <f t="shared" si="341"/>
        <v>-86.94663759092272</v>
      </c>
      <c r="AS347" s="32" t="str">
        <f t="shared" si="317"/>
        <v>-0.000133283554228113</v>
      </c>
      <c r="AT347" s="32" t="str">
        <f t="shared" si="318"/>
        <v>0.00748550454863525i</v>
      </c>
      <c r="AU347" s="32">
        <f t="shared" si="342"/>
        <v>7.4855045486352497E-3</v>
      </c>
      <c r="AV347" s="32">
        <f t="shared" si="343"/>
        <v>1.5707963267948966</v>
      </c>
      <c r="AW347" s="32" t="str">
        <f t="shared" si="319"/>
        <v>1+1.30878499188469i</v>
      </c>
      <c r="AX347" s="32">
        <f t="shared" si="344"/>
        <v>1.6470938512976754</v>
      </c>
      <c r="AY347" s="32">
        <f t="shared" si="345"/>
        <v>0.9183526788924663</v>
      </c>
      <c r="AZ347" s="32" t="str">
        <f t="shared" si="320"/>
        <v>1+19.5040885375986i</v>
      </c>
      <c r="BA347" s="32">
        <f t="shared" si="346"/>
        <v>19.529707362950553</v>
      </c>
      <c r="BB347" s="32">
        <f t="shared" si="347"/>
        <v>1.5195698811823966</v>
      </c>
      <c r="BC347" s="60" t="str">
        <f t="shared" si="348"/>
        <v>-0.11942028411182+0.174101029407857i</v>
      </c>
      <c r="BD347" s="51">
        <f t="shared" si="349"/>
        <v>-13.509342467233726</v>
      </c>
      <c r="BE347" s="63">
        <f t="shared" si="350"/>
        <v>124.44720826187609</v>
      </c>
      <c r="BF347" s="60" t="str">
        <f t="shared" si="351"/>
        <v>0.137514150735133+0.0100511713593593i</v>
      </c>
      <c r="BG347" s="66">
        <f t="shared" si="352"/>
        <v>-17.209912072131026</v>
      </c>
      <c r="BH347" s="63">
        <f t="shared" si="353"/>
        <v>4.1804237625144811</v>
      </c>
      <c r="BI347" s="60" t="str">
        <f t="shared" si="306"/>
        <v>0.652133471287819+0.500409932044484i</v>
      </c>
      <c r="BJ347" s="66">
        <f t="shared" si="354"/>
        <v>-1.7025368822845413</v>
      </c>
      <c r="BK347" s="63">
        <f t="shared" si="307"/>
        <v>37.500570670953373</v>
      </c>
      <c r="BL347" s="51">
        <f t="shared" si="355"/>
        <v>-17.209912072131026</v>
      </c>
      <c r="BM347" s="63">
        <f t="shared" si="356"/>
        <v>4.1804237625144811</v>
      </c>
    </row>
    <row r="348" spans="14:65" x14ac:dyDescent="0.35">
      <c r="N348" s="11">
        <v>30</v>
      </c>
      <c r="O348" s="52">
        <f t="shared" si="308"/>
        <v>19952.623149688792</v>
      </c>
      <c r="P348" s="50" t="str">
        <f t="shared" si="309"/>
        <v>36.531007751938</v>
      </c>
      <c r="Q348" s="18" t="str">
        <f t="shared" si="310"/>
        <v>1+61.2252697881426i</v>
      </c>
      <c r="R348" s="18">
        <f t="shared" si="321"/>
        <v>61.23343580619045</v>
      </c>
      <c r="S348" s="18">
        <f t="shared" si="322"/>
        <v>1.554464653712353</v>
      </c>
      <c r="T348" s="18" t="str">
        <f t="shared" si="311"/>
        <v>1+0.0250732057227632i</v>
      </c>
      <c r="U348" s="18">
        <f t="shared" si="323"/>
        <v>1.0003142834355689</v>
      </c>
      <c r="V348" s="18">
        <f t="shared" si="324"/>
        <v>2.5067953482744845E-2</v>
      </c>
      <c r="W348" s="32" t="str">
        <f t="shared" si="312"/>
        <v>1-0.415414059312053i</v>
      </c>
      <c r="X348" s="18">
        <f t="shared" si="325"/>
        <v>1.0828521785886187</v>
      </c>
      <c r="Y348" s="18">
        <f t="shared" si="326"/>
        <v>-0.39372333483927652</v>
      </c>
      <c r="Z348" s="32" t="str">
        <f t="shared" si="313"/>
        <v>0.991774645236498+0.188768133777491i</v>
      </c>
      <c r="AA348" s="18">
        <f t="shared" si="327"/>
        <v>1.0095792961743115</v>
      </c>
      <c r="AB348" s="18">
        <f t="shared" si="328"/>
        <v>0.18808399604542833</v>
      </c>
      <c r="AC348" s="68" t="str">
        <f t="shared" si="329"/>
        <v>-0.329314983732803-0.548872981602954i</v>
      </c>
      <c r="AD348" s="66">
        <f t="shared" si="330"/>
        <v>-3.8752353292066193</v>
      </c>
      <c r="AE348" s="63">
        <f t="shared" si="331"/>
        <v>-120.96308067385621</v>
      </c>
      <c r="AF348" s="51" t="str">
        <f t="shared" si="332"/>
        <v>42.1703962805665</v>
      </c>
      <c r="AG348" s="51" t="str">
        <f t="shared" si="314"/>
        <v>1+11.0617084071014i</v>
      </c>
      <c r="AH348" s="51">
        <f t="shared" si="333"/>
        <v>11.10681740570798</v>
      </c>
      <c r="AI348" s="51">
        <f t="shared" si="334"/>
        <v>1.4806394474951134</v>
      </c>
      <c r="AJ348" s="51" t="str">
        <f t="shared" si="315"/>
        <v>1+0.0250732057227632i</v>
      </c>
      <c r="AK348" s="51">
        <f t="shared" si="335"/>
        <v>1.0003142834355689</v>
      </c>
      <c r="AL348" s="51">
        <f t="shared" si="336"/>
        <v>2.5067953482744845E-2</v>
      </c>
      <c r="AM348" s="51" t="str">
        <f t="shared" si="316"/>
        <v>1-0.0650167378838444i</v>
      </c>
      <c r="AN348" s="51">
        <f t="shared" si="337"/>
        <v>1.002111359183727</v>
      </c>
      <c r="AO348" s="51">
        <f t="shared" si="338"/>
        <v>-6.4925357139184459E-2</v>
      </c>
      <c r="AP348" s="60" t="str">
        <f t="shared" si="339"/>
        <v>0.191359847900623-3.80120141838232i</v>
      </c>
      <c r="AQ348" s="51">
        <f t="shared" si="340"/>
        <v>11.609410101468807</v>
      </c>
      <c r="AR348" s="63">
        <f t="shared" si="341"/>
        <v>-87.118052333915344</v>
      </c>
      <c r="AS348" s="32" t="str">
        <f t="shared" si="317"/>
        <v>-0.000133283554228113</v>
      </c>
      <c r="AT348" s="32" t="str">
        <f t="shared" si="318"/>
        <v>0.00765986434830415i</v>
      </c>
      <c r="AU348" s="32">
        <f t="shared" si="342"/>
        <v>7.65986434830415E-3</v>
      </c>
      <c r="AV348" s="32">
        <f t="shared" si="343"/>
        <v>1.5707963267948966</v>
      </c>
      <c r="AW348" s="32" t="str">
        <f t="shared" si="319"/>
        <v>1+1.33927051059783i</v>
      </c>
      <c r="AX348" s="32">
        <f t="shared" si="344"/>
        <v>1.6714202046633793</v>
      </c>
      <c r="AY348" s="32">
        <f t="shared" si="345"/>
        <v>0.92942652468661235</v>
      </c>
      <c r="AZ348" s="32" t="str">
        <f t="shared" si="320"/>
        <v>1+19.9583971213481i</v>
      </c>
      <c r="BA348" s="32">
        <f t="shared" si="346"/>
        <v>19.983433530137809</v>
      </c>
      <c r="BB348" s="32">
        <f t="shared" si="347"/>
        <v>1.5207339675264246</v>
      </c>
      <c r="BC348" s="60" t="str">
        <f t="shared" si="348"/>
        <v>-0.11596942302649+0.172714678338402i</v>
      </c>
      <c r="BD348" s="51">
        <f t="shared" si="349"/>
        <v>-13.637201013616998</v>
      </c>
      <c r="BE348" s="63">
        <f t="shared" si="350"/>
        <v>123.87942086939458</v>
      </c>
      <c r="BF348" s="60" t="str">
        <f t="shared" si="351"/>
        <v>0.132988889123665+0.00677495150389668i</v>
      </c>
      <c r="BG348" s="66">
        <f t="shared" si="352"/>
        <v>-17.512436342823612</v>
      </c>
      <c r="BH348" s="63">
        <f t="shared" si="353"/>
        <v>2.9163401955383539</v>
      </c>
      <c r="BI348" s="60" t="str">
        <f t="shared" si="306"/>
        <v>0.634331389123908+0.473873789874315i</v>
      </c>
      <c r="BJ348" s="66">
        <f t="shared" si="354"/>
        <v>-2.0277909121481845</v>
      </c>
      <c r="BK348" s="63">
        <f t="shared" si="307"/>
        <v>36.761368535479242</v>
      </c>
      <c r="BL348" s="51">
        <f t="shared" si="355"/>
        <v>-17.512436342823612</v>
      </c>
      <c r="BM348" s="63">
        <f t="shared" si="356"/>
        <v>2.9163401955383539</v>
      </c>
    </row>
    <row r="349" spans="14:65" x14ac:dyDescent="0.35">
      <c r="N349" s="11">
        <v>31</v>
      </c>
      <c r="O349" s="52">
        <f t="shared" si="308"/>
        <v>20417.379446695286</v>
      </c>
      <c r="P349" s="50" t="str">
        <f t="shared" si="309"/>
        <v>36.531007751938</v>
      </c>
      <c r="Q349" s="18" t="str">
        <f t="shared" si="310"/>
        <v>1+62.6513895247047i</v>
      </c>
      <c r="R349" s="18">
        <f t="shared" si="321"/>
        <v>62.659369685437134</v>
      </c>
      <c r="S349" s="18">
        <f t="shared" si="322"/>
        <v>1.5548363441172874</v>
      </c>
      <c r="T349" s="18" t="str">
        <f t="shared" si="311"/>
        <v>1+0.0256572357101172i</v>
      </c>
      <c r="U349" s="18">
        <f t="shared" si="323"/>
        <v>1.0003290927211328</v>
      </c>
      <c r="V349" s="18">
        <f t="shared" si="324"/>
        <v>2.5651607933533563E-2</v>
      </c>
      <c r="W349" s="32" t="str">
        <f t="shared" si="312"/>
        <v>1-0.425090295788924i</v>
      </c>
      <c r="X349" s="18">
        <f t="shared" si="325"/>
        <v>1.0866010121355101</v>
      </c>
      <c r="Y349" s="18">
        <f t="shared" si="326"/>
        <v>-0.40194712630022772</v>
      </c>
      <c r="Z349" s="32" t="str">
        <f t="shared" si="313"/>
        <v>0.991386996209291+0.193165108460422i</v>
      </c>
      <c r="AA349" s="18">
        <f t="shared" si="327"/>
        <v>1.0100301655789332</v>
      </c>
      <c r="AB349" s="18">
        <f t="shared" si="328"/>
        <v>0.19243230795766783</v>
      </c>
      <c r="AC349" s="68" t="str">
        <f t="shared" si="329"/>
        <v>-0.329420572612795-0.533976188424533i</v>
      </c>
      <c r="AD349" s="66">
        <f t="shared" si="330"/>
        <v>-4.0489141734295595</v>
      </c>
      <c r="AE349" s="63">
        <f t="shared" si="331"/>
        <v>-121.67126449150624</v>
      </c>
      <c r="AF349" s="51" t="str">
        <f t="shared" si="332"/>
        <v>42.1703962805665</v>
      </c>
      <c r="AG349" s="51" t="str">
        <f t="shared" si="314"/>
        <v>1+11.31936869564i</v>
      </c>
      <c r="AH349" s="51">
        <f t="shared" si="333"/>
        <v>11.363454917754316</v>
      </c>
      <c r="AI349" s="51">
        <f t="shared" si="334"/>
        <v>1.4826809398832383</v>
      </c>
      <c r="AJ349" s="51" t="str">
        <f t="shared" si="315"/>
        <v>1+0.0256572357101172i</v>
      </c>
      <c r="AK349" s="51">
        <f t="shared" si="335"/>
        <v>1.0003290927211328</v>
      </c>
      <c r="AL349" s="51">
        <f t="shared" si="336"/>
        <v>2.5651607933533563E-2</v>
      </c>
      <c r="AM349" s="51" t="str">
        <f t="shared" si="316"/>
        <v>1-0.0665311722574924i</v>
      </c>
      <c r="AN349" s="51">
        <f t="shared" si="337"/>
        <v>1.0022107547227561</v>
      </c>
      <c r="AO349" s="51">
        <f t="shared" si="338"/>
        <v>-6.6433267687132314E-2</v>
      </c>
      <c r="AP349" s="60" t="str">
        <f t="shared" si="339"/>
        <v>0.176038543566662-3.71631528102407i</v>
      </c>
      <c r="AQ349" s="51">
        <f t="shared" si="340"/>
        <v>11.411984946576135</v>
      </c>
      <c r="AR349" s="63">
        <f t="shared" si="341"/>
        <v>-87.28797720521942</v>
      </c>
      <c r="AS349" s="32" t="str">
        <f t="shared" si="317"/>
        <v>-0.000133283554228113</v>
      </c>
      <c r="AT349" s="32" t="str">
        <f t="shared" si="318"/>
        <v>0.00783828550944082i</v>
      </c>
      <c r="AU349" s="32">
        <f t="shared" si="342"/>
        <v>7.8382855094408198E-3</v>
      </c>
      <c r="AV349" s="32">
        <f t="shared" si="343"/>
        <v>1.5707963267948966</v>
      </c>
      <c r="AW349" s="32" t="str">
        <f t="shared" si="319"/>
        <v>1+1.37046612826302i</v>
      </c>
      <c r="AX349" s="32">
        <f t="shared" si="344"/>
        <v>1.6965192037569843</v>
      </c>
      <c r="AY349" s="32">
        <f t="shared" si="345"/>
        <v>0.94042817716164695</v>
      </c>
      <c r="AZ349" s="32" t="str">
        <f t="shared" si="320"/>
        <v>1+20.4232879114318i</v>
      </c>
      <c r="BA349" s="32">
        <f t="shared" si="346"/>
        <v>20.44775511182673</v>
      </c>
      <c r="BB349" s="32">
        <f t="shared" si="347"/>
        <v>1.5218716872592599</v>
      </c>
      <c r="BC349" s="60" t="str">
        <f t="shared" si="348"/>
        <v>-0.112563407613099+0.171268509318716i</v>
      </c>
      <c r="BD349" s="51">
        <f t="shared" si="349"/>
        <v>-13.767153158607959</v>
      </c>
      <c r="BE349" s="63">
        <f t="shared" si="350"/>
        <v>123.31425915386555</v>
      </c>
      <c r="BF349" s="60" t="str">
        <f t="shared" si="351"/>
        <v>0.128534007994314+0.00368680894300842i</v>
      </c>
      <c r="BG349" s="66">
        <f t="shared" si="352"/>
        <v>-17.816067332037527</v>
      </c>
      <c r="BH349" s="63">
        <f t="shared" si="353"/>
        <v>1.6429946623593017</v>
      </c>
      <c r="BI349" s="60" t="str">
        <f t="shared" si="306"/>
        <v>0.616672280004247+0.448470970736001i</v>
      </c>
      <c r="BJ349" s="66">
        <f t="shared" si="354"/>
        <v>-2.3551682120318245</v>
      </c>
      <c r="BK349" s="63">
        <f t="shared" si="307"/>
        <v>36.02628194864613</v>
      </c>
      <c r="BL349" s="51">
        <f t="shared" si="355"/>
        <v>-17.816067332037527</v>
      </c>
      <c r="BM349" s="63">
        <f t="shared" si="356"/>
        <v>1.6429946623593017</v>
      </c>
    </row>
    <row r="350" spans="14:65" x14ac:dyDescent="0.35">
      <c r="N350" s="11">
        <v>32</v>
      </c>
      <c r="O350" s="52">
        <f t="shared" si="308"/>
        <v>20892.961308540423</v>
      </c>
      <c r="P350" s="50" t="str">
        <f t="shared" si="309"/>
        <v>36.531007751938</v>
      </c>
      <c r="Q350" s="18" t="str">
        <f t="shared" si="310"/>
        <v>1+64.1107278572826i</v>
      </c>
      <c r="R350" s="18">
        <f t="shared" si="321"/>
        <v>64.118526389730363</v>
      </c>
      <c r="S350" s="18">
        <f t="shared" si="322"/>
        <v>1.5551995780772605</v>
      </c>
      <c r="T350" s="18" t="str">
        <f t="shared" si="311"/>
        <v>1+0.0262548695034586i</v>
      </c>
      <c r="U350" s="18">
        <f t="shared" si="323"/>
        <v>1.0003445997118412</v>
      </c>
      <c r="V350" s="18">
        <f t="shared" si="324"/>
        <v>2.6248839344391425E-2</v>
      </c>
      <c r="W350" s="32" t="str">
        <f t="shared" si="312"/>
        <v>1-0.434991920767362i</v>
      </c>
      <c r="X350" s="18">
        <f t="shared" si="325"/>
        <v>1.090512710211522</v>
      </c>
      <c r="Y350" s="18">
        <f t="shared" si="326"/>
        <v>-0.41030336218027719</v>
      </c>
      <c r="Z350" s="32" t="str">
        <f t="shared" si="313"/>
        <v>0.990981077846278+0.197664501840703i</v>
      </c>
      <c r="AA350" s="18">
        <f t="shared" si="327"/>
        <v>1.0105022275766165</v>
      </c>
      <c r="AB350" s="18">
        <f t="shared" si="328"/>
        <v>0.1968795904476133</v>
      </c>
      <c r="AC350" s="68" t="str">
        <f t="shared" si="329"/>
        <v>-0.329490910752433-0.519365991110602i</v>
      </c>
      <c r="AD350" s="66">
        <f t="shared" si="330"/>
        <v>-4.2215758231127074</v>
      </c>
      <c r="AE350" s="63">
        <f t="shared" si="331"/>
        <v>-122.39144499067274</v>
      </c>
      <c r="AF350" s="51" t="str">
        <f t="shared" si="332"/>
        <v>42.1703962805665</v>
      </c>
      <c r="AG350" s="51" t="str">
        <f t="shared" si="314"/>
        <v>1+11.5830306632906i</v>
      </c>
      <c r="AH350" s="51">
        <f t="shared" si="333"/>
        <v>11.626117122527637</v>
      </c>
      <c r="AI350" s="51">
        <f t="shared" si="334"/>
        <v>1.4846766740387636</v>
      </c>
      <c r="AJ350" s="51" t="str">
        <f t="shared" si="315"/>
        <v>1+0.0262548695034586i</v>
      </c>
      <c r="AK350" s="51">
        <f t="shared" si="335"/>
        <v>1.0003445997118412</v>
      </c>
      <c r="AL350" s="51">
        <f t="shared" si="336"/>
        <v>2.6248839344391425E-2</v>
      </c>
      <c r="AM350" s="51" t="str">
        <f t="shared" si="316"/>
        <v>1-0.0680808823393161i</v>
      </c>
      <c r="AN350" s="51">
        <f t="shared" si="337"/>
        <v>1.0023148240648243</v>
      </c>
      <c r="AO350" s="51">
        <f t="shared" si="338"/>
        <v>-6.7975988782917357E-2</v>
      </c>
      <c r="AP350" s="60" t="str">
        <f t="shared" si="339"/>
        <v>0.161396367792169-3.63327861320459i</v>
      </c>
      <c r="AQ350" s="51">
        <f t="shared" si="340"/>
        <v>11.214535478215703</v>
      </c>
      <c r="AR350" s="63">
        <f t="shared" si="341"/>
        <v>-87.4564969178806</v>
      </c>
      <c r="AS350" s="32" t="str">
        <f t="shared" si="317"/>
        <v>-0.000133283554228113</v>
      </c>
      <c r="AT350" s="32" t="str">
        <f t="shared" si="318"/>
        <v>0.00802086263330659i</v>
      </c>
      <c r="AU350" s="32">
        <f t="shared" si="342"/>
        <v>8.0208626333065896E-3</v>
      </c>
      <c r="AV350" s="32">
        <f t="shared" si="343"/>
        <v>1.5707963267948966</v>
      </c>
      <c r="AW350" s="32" t="str">
        <f t="shared" si="319"/>
        <v>1+1.40238838520969i</v>
      </c>
      <c r="AX350" s="32">
        <f t="shared" si="344"/>
        <v>1.7224091218322788</v>
      </c>
      <c r="AY350" s="32">
        <f t="shared" si="345"/>
        <v>0.95135281706817298</v>
      </c>
      <c r="AZ350" s="32" t="str">
        <f t="shared" si="320"/>
        <v>1+20.8990073991005i</v>
      </c>
      <c r="BA350" s="32">
        <f t="shared" si="346"/>
        <v>20.922918301892246</v>
      </c>
      <c r="BB350" s="32">
        <f t="shared" si="347"/>
        <v>1.522983631826901</v>
      </c>
      <c r="BC350" s="60" t="str">
        <f t="shared" si="348"/>
        <v>-0.109204908245916+0.169764804627204i</v>
      </c>
      <c r="BD350" s="51">
        <f t="shared" si="349"/>
        <v>-13.899171415432573</v>
      </c>
      <c r="BE350" s="63">
        <f t="shared" si="350"/>
        <v>122.75203312529955</v>
      </c>
      <c r="BF350" s="60" t="str">
        <f t="shared" si="351"/>
        <v>0.124152090687488+0.000781355314956218i</v>
      </c>
      <c r="BG350" s="66">
        <f t="shared" si="352"/>
        <v>-18.120747238545299</v>
      </c>
      <c r="BH350" s="63">
        <f t="shared" si="353"/>
        <v>0.36058813462680894</v>
      </c>
      <c r="BI350" s="60" t="str">
        <f t="shared" si="306"/>
        <v>0.599177558390908+0.424171280432634i</v>
      </c>
      <c r="BJ350" s="66">
        <f t="shared" si="354"/>
        <v>-2.68463593721687</v>
      </c>
      <c r="BK350" s="63">
        <f t="shared" si="307"/>
        <v>35.295536207418941</v>
      </c>
      <c r="BL350" s="51">
        <f t="shared" si="355"/>
        <v>-18.120747238545299</v>
      </c>
      <c r="BM350" s="63">
        <f t="shared" si="356"/>
        <v>0.36058813462680894</v>
      </c>
    </row>
    <row r="351" spans="14:65" x14ac:dyDescent="0.35">
      <c r="N351" s="11">
        <v>33</v>
      </c>
      <c r="O351" s="52">
        <f t="shared" si="308"/>
        <v>21379.620895022348</v>
      </c>
      <c r="P351" s="50" t="str">
        <f t="shared" si="309"/>
        <v>36.531007751938</v>
      </c>
      <c r="Q351" s="18" t="str">
        <f t="shared" si="310"/>
        <v>1+65.6040585463756i</v>
      </c>
      <c r="R351" s="18">
        <f t="shared" si="321"/>
        <v>65.611679583411657</v>
      </c>
      <c r="S351" s="18">
        <f t="shared" si="322"/>
        <v>1.555554547800108</v>
      </c>
      <c r="T351" s="18" t="str">
        <f t="shared" si="311"/>
        <v>1+0.0268664239761348i</v>
      </c>
      <c r="U351" s="18">
        <f t="shared" si="323"/>
        <v>1.0003608372668662</v>
      </c>
      <c r="V351" s="18">
        <f t="shared" si="324"/>
        <v>2.6859962670151689E-2</v>
      </c>
      <c r="W351" s="32" t="str">
        <f t="shared" si="312"/>
        <v>1-0.445124184219985i</v>
      </c>
      <c r="X351" s="18">
        <f t="shared" si="325"/>
        <v>1.0945937782472122</v>
      </c>
      <c r="Y351" s="18">
        <f t="shared" si="326"/>
        <v>-0.41879180410962363</v>
      </c>
      <c r="Z351" s="32" t="str">
        <f t="shared" si="313"/>
        <v>0.990556029140188+0.202268699556257i</v>
      </c>
      <c r="AA351" s="18">
        <f t="shared" si="327"/>
        <v>1.0109964756052101</v>
      </c>
      <c r="AB351" s="18">
        <f t="shared" si="328"/>
        <v>0.20142798642694493</v>
      </c>
      <c r="AC351" s="68" t="str">
        <f t="shared" si="329"/>
        <v>-0.329526220749318-0.505034969694687i</v>
      </c>
      <c r="AD351" s="66">
        <f t="shared" si="330"/>
        <v>-4.3931897484340796</v>
      </c>
      <c r="AE351" s="63">
        <f t="shared" si="331"/>
        <v>-123.12372426068217</v>
      </c>
      <c r="AF351" s="51" t="str">
        <f t="shared" si="332"/>
        <v>42.1703962805665</v>
      </c>
      <c r="AG351" s="51" t="str">
        <f t="shared" si="314"/>
        <v>1+11.8528341071183i</v>
      </c>
      <c r="AH351" s="51">
        <f t="shared" si="333"/>
        <v>11.894943310956418</v>
      </c>
      <c r="AI351" s="51">
        <f t="shared" si="334"/>
        <v>1.4866276444997366</v>
      </c>
      <c r="AJ351" s="51" t="str">
        <f t="shared" si="315"/>
        <v>1+0.0268664239761348i</v>
      </c>
      <c r="AK351" s="51">
        <f t="shared" si="335"/>
        <v>1.0003608372668662</v>
      </c>
      <c r="AL351" s="51">
        <f t="shared" si="336"/>
        <v>2.6859962670151689E-2</v>
      </c>
      <c r="AM351" s="51" t="str">
        <f t="shared" si="316"/>
        <v>1-0.0696666898061125i</v>
      </c>
      <c r="AN351" s="51">
        <f t="shared" si="337"/>
        <v>1.0024237864638594</v>
      </c>
      <c r="AO351" s="51">
        <f t="shared" si="338"/>
        <v>-6.9554309007892307E-2</v>
      </c>
      <c r="AP351" s="60" t="str">
        <f t="shared" si="339"/>
        <v>0.147403663718343-3.55205534379872i</v>
      </c>
      <c r="AQ351" s="51">
        <f t="shared" si="340"/>
        <v>11.017067007380643</v>
      </c>
      <c r="AR351" s="63">
        <f t="shared" si="341"/>
        <v>-87.623695591532197</v>
      </c>
      <c r="AS351" s="32" t="str">
        <f t="shared" si="317"/>
        <v>-0.000133283554228113</v>
      </c>
      <c r="AT351" s="32" t="str">
        <f t="shared" si="318"/>
        <v>0.00820769252470919i</v>
      </c>
      <c r="AU351" s="32">
        <f t="shared" si="342"/>
        <v>8.2076925247091901E-3</v>
      </c>
      <c r="AV351" s="32">
        <f t="shared" si="343"/>
        <v>1.5707963267948966</v>
      </c>
      <c r="AW351" s="32" t="str">
        <f t="shared" si="319"/>
        <v>1+1.435054207041i</v>
      </c>
      <c r="AX351" s="32">
        <f t="shared" si="344"/>
        <v>1.7491085092543783</v>
      </c>
      <c r="AY351" s="32">
        <f t="shared" si="345"/>
        <v>0.96219580637817625</v>
      </c>
      <c r="AZ351" s="32" t="str">
        <f t="shared" si="320"/>
        <v>1+21.3858078171232i</v>
      </c>
      <c r="BA351" s="32">
        <f t="shared" si="346"/>
        <v>21.409175042278669</v>
      </c>
      <c r="BB351" s="32">
        <f t="shared" si="347"/>
        <v>1.5240703797921744</v>
      </c>
      <c r="BC351" s="60" t="str">
        <f t="shared" si="348"/>
        <v>-0.105896422060168+0.168205964086928i</v>
      </c>
      <c r="BD351" s="51">
        <f t="shared" si="349"/>
        <v>-14.03322665605508</v>
      </c>
      <c r="BE351" s="63">
        <f t="shared" si="350"/>
        <v>122.1930416723357</v>
      </c>
      <c r="BF351" s="60" t="str">
        <f t="shared" si="351"/>
        <v>0.119845541727469-0.00194687934712817i</v>
      </c>
      <c r="BG351" s="66">
        <f t="shared" si="352"/>
        <v>-18.426416404489171</v>
      </c>
      <c r="BH351" s="63">
        <f t="shared" si="353"/>
        <v>-0.93068258834647954</v>
      </c>
      <c r="BI351" s="60" t="str">
        <f t="shared" si="306"/>
        <v>0.581867373007456+0.400944127233674i</v>
      </c>
      <c r="BJ351" s="66">
        <f t="shared" si="354"/>
        <v>-3.0161596486744324</v>
      </c>
      <c r="BK351" s="63">
        <f t="shared" si="307"/>
        <v>34.569346080803506</v>
      </c>
      <c r="BL351" s="51">
        <f t="shared" si="355"/>
        <v>-18.426416404489171</v>
      </c>
      <c r="BM351" s="63">
        <f t="shared" si="356"/>
        <v>-0.93068258834647954</v>
      </c>
    </row>
    <row r="352" spans="14:65" x14ac:dyDescent="0.35">
      <c r="N352" s="11">
        <v>34</v>
      </c>
      <c r="O352" s="52">
        <f t="shared" si="308"/>
        <v>21877.61623949555</v>
      </c>
      <c r="P352" s="50" t="str">
        <f t="shared" si="309"/>
        <v>36.531007751938</v>
      </c>
      <c r="Q352" s="18" t="str">
        <f t="shared" si="310"/>
        <v>1+67.1321733756825i</v>
      </c>
      <c r="R352" s="18">
        <f t="shared" si="321"/>
        <v>67.139620956203601</v>
      </c>
      <c r="S352" s="18">
        <f t="shared" si="322"/>
        <v>1.5559014411374512</v>
      </c>
      <c r="T352" s="18" t="str">
        <f t="shared" si="311"/>
        <v>1+0.0274922233824224i</v>
      </c>
      <c r="U352" s="18">
        <f t="shared" si="323"/>
        <v>1.0003778397918004</v>
      </c>
      <c r="V352" s="18">
        <f t="shared" si="324"/>
        <v>2.7485300109547361E-2</v>
      </c>
      <c r="W352" s="32" t="str">
        <f t="shared" si="312"/>
        <v>1-0.455492458406999i</v>
      </c>
      <c r="X352" s="18">
        <f t="shared" si="325"/>
        <v>1.0988509360534993</v>
      </c>
      <c r="Y352" s="18">
        <f t="shared" si="326"/>
        <v>-0.4274120587396783</v>
      </c>
      <c r="Z352" s="32" t="str">
        <f t="shared" si="313"/>
        <v>0.990110948505731+0.206980142813659i</v>
      </c>
      <c r="AA352" s="18">
        <f t="shared" si="327"/>
        <v>1.0115139494194241</v>
      </c>
      <c r="AB352" s="18">
        <f t="shared" si="328"/>
        <v>0.20607967748145956</v>
      </c>
      <c r="AC352" s="68" t="str">
        <f t="shared" si="329"/>
        <v>-0.329526657986407-0.4909758685564i</v>
      </c>
      <c r="AD352" s="66">
        <f t="shared" si="330"/>
        <v>-4.563725265622681</v>
      </c>
      <c r="AE352" s="63">
        <f t="shared" si="331"/>
        <v>-123.86819706245691</v>
      </c>
      <c r="AF352" s="51" t="str">
        <f t="shared" si="332"/>
        <v>42.1703962805665</v>
      </c>
      <c r="AG352" s="51" t="str">
        <f t="shared" si="314"/>
        <v>1+12.1289220804805i</v>
      </c>
      <c r="AH352" s="51">
        <f t="shared" si="333"/>
        <v>12.170076040615664</v>
      </c>
      <c r="AI352" s="51">
        <f t="shared" si="334"/>
        <v>1.4885348262559153</v>
      </c>
      <c r="AJ352" s="51" t="str">
        <f t="shared" si="315"/>
        <v>1+0.0274922233824224i</v>
      </c>
      <c r="AK352" s="51">
        <f t="shared" si="335"/>
        <v>1.0003778397918004</v>
      </c>
      <c r="AL352" s="51">
        <f t="shared" si="336"/>
        <v>2.7485300109547361E-2</v>
      </c>
      <c r="AM352" s="51" t="str">
        <f t="shared" si="316"/>
        <v>1-0.071289435473992i</v>
      </c>
      <c r="AN352" s="51">
        <f t="shared" si="337"/>
        <v>1.0025378714094548</v>
      </c>
      <c r="AO352" s="51">
        <f t="shared" si="338"/>
        <v>-7.1169033736692977E-2</v>
      </c>
      <c r="AP352" s="60" t="str">
        <f t="shared" si="339"/>
        <v>0.134032030561201-3.4726098448509i</v>
      </c>
      <c r="AQ352" s="51">
        <f t="shared" si="340"/>
        <v>10.819584808555785</v>
      </c>
      <c r="AR352" s="63">
        <f t="shared" si="341"/>
        <v>-87.789656772912394</v>
      </c>
      <c r="AS352" s="32" t="str">
        <f t="shared" si="317"/>
        <v>-0.000133283554228113</v>
      </c>
      <c r="AT352" s="32" t="str">
        <f t="shared" si="318"/>
        <v>0.00839887424333004i</v>
      </c>
      <c r="AU352" s="32">
        <f t="shared" si="342"/>
        <v>8.3988742433300408E-3</v>
      </c>
      <c r="AV352" s="32">
        <f t="shared" si="343"/>
        <v>1.5707963267948966</v>
      </c>
      <c r="AW352" s="32" t="str">
        <f t="shared" si="319"/>
        <v>1+1.46848091360807i</v>
      </c>
      <c r="AX352" s="32">
        <f t="shared" si="344"/>
        <v>1.7766362018238826</v>
      </c>
      <c r="AY352" s="32">
        <f t="shared" si="345"/>
        <v>0.97295269580758081</v>
      </c>
      <c r="AZ352" s="32" t="str">
        <f t="shared" si="320"/>
        <v>1+21.8839472735251i</v>
      </c>
      <c r="BA352" s="32">
        <f t="shared" si="346"/>
        <v>21.906783156603041</v>
      </c>
      <c r="BB352" s="32">
        <f t="shared" si="347"/>
        <v>1.5251324970896194</v>
      </c>
      <c r="BC352" s="60" t="str">
        <f t="shared" si="348"/>
        <v>-0.102640268000296+0.166594491086112i</v>
      </c>
      <c r="BD352" s="51">
        <f t="shared" si="349"/>
        <v>-14.169288221746353</v>
      </c>
      <c r="BE352" s="63">
        <f t="shared" si="350"/>
        <v>121.63757214583325</v>
      </c>
      <c r="BF352" s="60" t="str">
        <f t="shared" si="351"/>
        <v>0.115616579446682-0.00450343115624575i</v>
      </c>
      <c r="BG352" s="66">
        <f t="shared" si="352"/>
        <v>-18.733013487369032</v>
      </c>
      <c r="BH352" s="63">
        <f t="shared" si="353"/>
        <v>-2.2306249166236625</v>
      </c>
      <c r="BI352" s="60" t="str">
        <f t="shared" si="306"/>
        <v>0.564760586306132+0.378758603056544i</v>
      </c>
      <c r="BJ352" s="66">
        <f t="shared" si="354"/>
        <v>-3.3497034131905745</v>
      </c>
      <c r="BK352" s="63">
        <f t="shared" si="307"/>
        <v>33.847915372920866</v>
      </c>
      <c r="BL352" s="51">
        <f t="shared" si="355"/>
        <v>-18.733013487369032</v>
      </c>
      <c r="BM352" s="63">
        <f t="shared" si="356"/>
        <v>-2.2306249166236625</v>
      </c>
    </row>
    <row r="353" spans="14:65" x14ac:dyDescent="0.35">
      <c r="N353" s="11">
        <v>35</v>
      </c>
      <c r="O353" s="52">
        <f t="shared" si="308"/>
        <v>22387.211385683382</v>
      </c>
      <c r="P353" s="50" t="str">
        <f t="shared" si="309"/>
        <v>36.531007751938</v>
      </c>
      <c r="Q353" s="18" t="str">
        <f t="shared" si="310"/>
        <v>1+68.6958825719122i</v>
      </c>
      <c r="R353" s="18">
        <f t="shared" si="321"/>
        <v>68.703160642971511</v>
      </c>
      <c r="S353" s="18">
        <f t="shared" si="322"/>
        <v>1.5562404416825897</v>
      </c>
      <c r="T353" s="18" t="str">
        <f t="shared" si="311"/>
        <v>1+0.0281325995294498i</v>
      </c>
      <c r="U353" s="18">
        <f t="shared" si="323"/>
        <v>1.0003956433113272</v>
      </c>
      <c r="V353" s="18">
        <f t="shared" si="324"/>
        <v>2.8125181267355602E-2</v>
      </c>
      <c r="W353" s="32" t="str">
        <f t="shared" si="312"/>
        <v>1-0.466102240724612i</v>
      </c>
      <c r="X353" s="18">
        <f t="shared" si="325"/>
        <v>1.103291121512588</v>
      </c>
      <c r="Y353" s="18">
        <f t="shared" si="326"/>
        <v>-0.43616357111894077</v>
      </c>
      <c r="Z353" s="32" t="str">
        <f t="shared" si="313"/>
        <v>0.989644891867205+0.211801329682486i</v>
      </c>
      <c r="AA353" s="18">
        <f t="shared" si="327"/>
        <v>1.0120557372270171</v>
      </c>
      <c r="AB353" s="18">
        <f t="shared" si="328"/>
        <v>0.21083688401243414</v>
      </c>
      <c r="AC353" s="68" t="str">
        <f t="shared" si="329"/>
        <v>-0.329492311588299-0.477181593995751i</v>
      </c>
      <c r="AD353" s="66">
        <f t="shared" si="330"/>
        <v>-4.7331516036905246</v>
      </c>
      <c r="AE353" s="63">
        <f t="shared" si="331"/>
        <v>-124.6249504533988</v>
      </c>
      <c r="AF353" s="51" t="str">
        <f t="shared" si="332"/>
        <v>42.1703962805665</v>
      </c>
      <c r="AG353" s="51" t="str">
        <f t="shared" si="314"/>
        <v>1+12.4114409688749i</v>
      </c>
      <c r="AH353" s="51">
        <f t="shared" si="333"/>
        <v>12.451661211415379</v>
      </c>
      <c r="AI353" s="51">
        <f t="shared" si="334"/>
        <v>1.4903991749928547</v>
      </c>
      <c r="AJ353" s="51" t="str">
        <f t="shared" si="315"/>
        <v>1+0.0281325995294498i</v>
      </c>
      <c r="AK353" s="51">
        <f t="shared" si="335"/>
        <v>1.0003956433113272</v>
      </c>
      <c r="AL353" s="51">
        <f t="shared" si="336"/>
        <v>2.8125181267355602E-2</v>
      </c>
      <c r="AM353" s="51" t="str">
        <f t="shared" si="316"/>
        <v>1-0.0729499797441867i</v>
      </c>
      <c r="AN353" s="51">
        <f t="shared" si="337"/>
        <v>1.002657319099939</v>
      </c>
      <c r="AO353" s="51">
        <f t="shared" si="338"/>
        <v>-7.2820985417794387E-2</v>
      </c>
      <c r="AP353" s="60" t="str">
        <f t="shared" si="339"/>
        <v>0.121254273841461-3.39490694591937i</v>
      </c>
      <c r="AQ353" s="51">
        <f t="shared" si="340"/>
        <v>10.622094130115162</v>
      </c>
      <c r="AR353" s="63">
        <f t="shared" si="341"/>
        <v>-87.954463456633846</v>
      </c>
      <c r="AS353" s="32" t="str">
        <f t="shared" si="317"/>
        <v>-0.000133283554228113</v>
      </c>
      <c r="AT353" s="32" t="str">
        <f t="shared" si="318"/>
        <v>0.00859450915624694i</v>
      </c>
      <c r="AU353" s="32">
        <f t="shared" si="342"/>
        <v>8.5945091562469392E-3</v>
      </c>
      <c r="AV353" s="32">
        <f t="shared" si="343"/>
        <v>1.5707963267948966</v>
      </c>
      <c r="AW353" s="32" t="str">
        <f t="shared" si="319"/>
        <v>1+1.50268622819317i</v>
      </c>
      <c r="AX353" s="32">
        <f t="shared" si="344"/>
        <v>1.8050113297155275</v>
      </c>
      <c r="AY353" s="32">
        <f t="shared" si="345"/>
        <v>0.98361923134833806</v>
      </c>
      <c r="AZ353" s="32" t="str">
        <f t="shared" si="320"/>
        <v>1+22.3936898884397i</v>
      </c>
      <c r="BA353" s="32">
        <f t="shared" si="346"/>
        <v>22.41600648687465</v>
      </c>
      <c r="BB353" s="32">
        <f t="shared" si="347"/>
        <v>1.5261705372770953</v>
      </c>
      <c r="BC353" s="60" t="str">
        <f t="shared" si="348"/>
        <v>-0.0994385831177394+0.164932978491968i</v>
      </c>
      <c r="BD353" s="51">
        <f t="shared" si="349"/>
        <v>-14.307324036234284</v>
      </c>
      <c r="BE353" s="63">
        <f t="shared" si="350"/>
        <v>121.08589999902891</v>
      </c>
      <c r="BF353" s="60" t="str">
        <f t="shared" si="351"/>
        <v>0.111467230191793-0.00689388674365988i</v>
      </c>
      <c r="BG353" s="66">
        <f t="shared" si="352"/>
        <v>-19.040475639924836</v>
      </c>
      <c r="BH353" s="63">
        <f t="shared" si="353"/>
        <v>-3.5390504543699208</v>
      </c>
      <c r="BI353" s="60" t="str">
        <f t="shared" si="306"/>
        <v>0.547874761105787+0.357583565058347i</v>
      </c>
      <c r="BJ353" s="66">
        <f t="shared" si="354"/>
        <v>-3.6852299061191203</v>
      </c>
      <c r="BK353" s="63">
        <f t="shared" si="307"/>
        <v>33.131436542395043</v>
      </c>
      <c r="BL353" s="51">
        <f t="shared" si="355"/>
        <v>-19.040475639924836</v>
      </c>
      <c r="BM353" s="63">
        <f t="shared" si="356"/>
        <v>-3.5390504543699208</v>
      </c>
    </row>
    <row r="354" spans="14:65" x14ac:dyDescent="0.35">
      <c r="N354" s="11">
        <v>36</v>
      </c>
      <c r="O354" s="52">
        <f t="shared" si="308"/>
        <v>22908.676527677751</v>
      </c>
      <c r="P354" s="50" t="str">
        <f t="shared" si="309"/>
        <v>36.531007751938</v>
      </c>
      <c r="Q354" s="18" t="str">
        <f t="shared" si="310"/>
        <v>1+70.2960152343798i</v>
      </c>
      <c r="R354" s="18">
        <f t="shared" si="321"/>
        <v>70.303127653271275</v>
      </c>
      <c r="S354" s="18">
        <f t="shared" si="322"/>
        <v>1.5565717288662544</v>
      </c>
      <c r="T354" s="18" t="str">
        <f t="shared" si="311"/>
        <v>1+0.028787891953127i</v>
      </c>
      <c r="U354" s="18">
        <f t="shared" si="323"/>
        <v>1.000414285545296</v>
      </c>
      <c r="V354" s="18">
        <f t="shared" si="324"/>
        <v>2.8779943319852775E-2</v>
      </c>
      <c r="W354" s="32" t="str">
        <f t="shared" si="312"/>
        <v>1-0.476959156619856i</v>
      </c>
      <c r="X354" s="18">
        <f t="shared" si="325"/>
        <v>1.1079214940976299</v>
      </c>
      <c r="Y354" s="18">
        <f t="shared" si="326"/>
        <v>-0.44504561823450867</v>
      </c>
      <c r="Z354" s="32" t="str">
        <f t="shared" si="313"/>
        <v>0.989156870655996+0.216734816419835i</v>
      </c>
      <c r="AA354" s="18">
        <f t="shared" si="327"/>
        <v>1.0126229779214484</v>
      </c>
      <c r="AB354" s="18">
        <f t="shared" si="328"/>
        <v>0.2157018653321906</v>
      </c>
      <c r="AC354" s="68" t="str">
        <f t="shared" si="329"/>
        <v>-0.329423205294356-0.463645211953049i</v>
      </c>
      <c r="AD354" s="66">
        <f t="shared" si="330"/>
        <v>-4.9014379765758873</v>
      </c>
      <c r="AE354" s="63">
        <f t="shared" si="331"/>
        <v>-125.39406341882651</v>
      </c>
      <c r="AF354" s="51" t="str">
        <f t="shared" si="332"/>
        <v>42.1703962805665</v>
      </c>
      <c r="AG354" s="51" t="str">
        <f t="shared" si="314"/>
        <v>1+12.7005405675561i</v>
      </c>
      <c r="AH354" s="51">
        <f t="shared" si="333"/>
        <v>12.739848143056426</v>
      </c>
      <c r="AI354" s="51">
        <f t="shared" si="334"/>
        <v>1.4922216273432838</v>
      </c>
      <c r="AJ354" s="51" t="str">
        <f t="shared" si="315"/>
        <v>1+0.028787891953127i</v>
      </c>
      <c r="AK354" s="51">
        <f t="shared" si="335"/>
        <v>1.000414285545296</v>
      </c>
      <c r="AL354" s="51">
        <f t="shared" si="336"/>
        <v>2.8779943319852775E-2</v>
      </c>
      <c r="AM354" s="51" t="str">
        <f t="shared" si="316"/>
        <v>1-0.0746492030592497i</v>
      </c>
      <c r="AN354" s="51">
        <f t="shared" si="337"/>
        <v>1.0027823809368517</v>
      </c>
      <c r="AO354" s="51">
        <f t="shared" si="338"/>
        <v>-7.4511003852944679E-2</v>
      </c>
      <c r="AP354" s="60" t="str">
        <f t="shared" si="339"/>
        <v>0.109044357279977-3.31891194658897i</v>
      </c>
      <c r="AQ354" s="51">
        <f t="shared" si="340"/>
        <v>10.42460020468689</v>
      </c>
      <c r="AR354" s="63">
        <f t="shared" si="341"/>
        <v>-88.118198106117134</v>
      </c>
      <c r="AS354" s="32" t="str">
        <f t="shared" si="317"/>
        <v>-0.000133283554228113</v>
      </c>
      <c r="AT354" s="32" t="str">
        <f t="shared" si="318"/>
        <v>0.00879470099168028i</v>
      </c>
      <c r="AU354" s="32">
        <f t="shared" si="342"/>
        <v>8.7947009916802803E-3</v>
      </c>
      <c r="AV354" s="32">
        <f t="shared" si="343"/>
        <v>1.5707963267948966</v>
      </c>
      <c r="AW354" s="32" t="str">
        <f t="shared" si="319"/>
        <v>1+1.53768828690688i</v>
      </c>
      <c r="AX354" s="32">
        <f t="shared" si="344"/>
        <v>1.8342533270218198</v>
      </c>
      <c r="AY354" s="32">
        <f t="shared" si="345"/>
        <v>0.99419135980670892</v>
      </c>
      <c r="AZ354" s="32" t="str">
        <f t="shared" si="320"/>
        <v>1+22.9153059341488i</v>
      </c>
      <c r="BA354" s="32">
        <f t="shared" si="346"/>
        <v>22.937115033404599</v>
      </c>
      <c r="BB354" s="32">
        <f t="shared" si="347"/>
        <v>1.5271850417840231</v>
      </c>
      <c r="BC354" s="60" t="str">
        <f t="shared" si="348"/>
        <v>-0.096293320096039+0.16322409457988i</v>
      </c>
      <c r="BD354" s="51">
        <f t="shared" si="349"/>
        <v>-14.44730072067552</v>
      </c>
      <c r="BE354" s="63">
        <f t="shared" si="350"/>
        <v>120.5382884844381</v>
      </c>
      <c r="BF354" s="60" t="str">
        <f t="shared" si="351"/>
        <v>0.107399324081806-0.00912386761218239i</v>
      </c>
      <c r="BG354" s="66">
        <f t="shared" si="352"/>
        <v>-19.348738697251374</v>
      </c>
      <c r="BH354" s="63">
        <f t="shared" si="353"/>
        <v>-4.8557749343883909</v>
      </c>
      <c r="BI354" s="60" t="str">
        <f t="shared" si="306"/>
        <v>0.531226154272104+0.337387716929529i</v>
      </c>
      <c r="BJ354" s="66">
        <f t="shared" si="354"/>
        <v>-4.0227005159886282</v>
      </c>
      <c r="BK354" s="63">
        <f t="shared" si="307"/>
        <v>32.420090378320971</v>
      </c>
      <c r="BL354" s="51">
        <f t="shared" si="355"/>
        <v>-19.348738697251374</v>
      </c>
      <c r="BM354" s="63">
        <f t="shared" si="356"/>
        <v>-4.8557749343883909</v>
      </c>
    </row>
    <row r="355" spans="14:65" x14ac:dyDescent="0.35">
      <c r="N355" s="11">
        <v>37</v>
      </c>
      <c r="O355" s="52">
        <f t="shared" si="308"/>
        <v>23442.288153199243</v>
      </c>
      <c r="P355" s="50" t="str">
        <f t="shared" si="309"/>
        <v>36.531007751938</v>
      </c>
      <c r="Q355" s="18" t="str">
        <f t="shared" si="310"/>
        <v>1+71.9334197746021i</v>
      </c>
      <c r="R355" s="18">
        <f t="shared" si="321"/>
        <v>71.940370310897876</v>
      </c>
      <c r="S355" s="18">
        <f t="shared" si="322"/>
        <v>1.5568954780502542</v>
      </c>
      <c r="T355" s="18" t="str">
        <f t="shared" si="311"/>
        <v>1+0.0294584480981704i</v>
      </c>
      <c r="U355" s="18">
        <f t="shared" si="323"/>
        <v>1.0004338059883584</v>
      </c>
      <c r="V355" s="18">
        <f t="shared" si="324"/>
        <v>2.9449931183618307E-2</v>
      </c>
      <c r="W355" s="32" t="str">
        <f t="shared" si="312"/>
        <v>1-0.488068962573238i</v>
      </c>
      <c r="X355" s="18">
        <f t="shared" si="325"/>
        <v>1.112749438205797</v>
      </c>
      <c r="Y355" s="18">
        <f t="shared" si="326"/>
        <v>-0.4540573027654522</v>
      </c>
      <c r="Z355" s="32" t="str">
        <f t="shared" si="313"/>
        <v>0.988645849713685+0.221783218825673i</v>
      </c>
      <c r="AA355" s="18">
        <f t="shared" si="327"/>
        <v>1.0132168634151184</v>
      </c>
      <c r="AB355" s="18">
        <f t="shared" si="328"/>
        <v>0.22067691970985406</v>
      </c>
      <c r="AC355" s="68" t="str">
        <f t="shared" si="329"/>
        <v>-0.329319298255188-0.450359945877571i</v>
      </c>
      <c r="AD355" s="66">
        <f t="shared" si="330"/>
        <v>-5.0685536607633477</v>
      </c>
      <c r="AE355" s="63">
        <f t="shared" si="331"/>
        <v>-126.17560651238647</v>
      </c>
      <c r="AF355" s="51" t="str">
        <f t="shared" si="332"/>
        <v>42.1703962805665</v>
      </c>
      <c r="AG355" s="51" t="str">
        <f t="shared" si="314"/>
        <v>1+12.9963741609576i</v>
      </c>
      <c r="AH355" s="51">
        <f t="shared" si="333"/>
        <v>13.034789654290798</v>
      </c>
      <c r="AI355" s="51">
        <f t="shared" si="334"/>
        <v>1.4940031011447819</v>
      </c>
      <c r="AJ355" s="51" t="str">
        <f t="shared" si="315"/>
        <v>1+0.0294584480981704i</v>
      </c>
      <c r="AK355" s="51">
        <f t="shared" si="335"/>
        <v>1.0004338059883584</v>
      </c>
      <c r="AL355" s="51">
        <f t="shared" si="336"/>
        <v>2.9449931183618307E-2</v>
      </c>
      <c r="AM355" s="51" t="str">
        <f t="shared" si="316"/>
        <v>1-0.0763880063698733i</v>
      </c>
      <c r="AN355" s="51">
        <f t="shared" si="337"/>
        <v>1.002913320041749</v>
      </c>
      <c r="AO355" s="51">
        <f t="shared" si="338"/>
        <v>-7.6239946474918441E-2</v>
      </c>
      <c r="AP355" s="60" t="str">
        <f t="shared" si="339"/>
        <v>0.0973773563318829-3.24459062728369i</v>
      </c>
      <c r="AQ355" s="51">
        <f t="shared" si="340"/>
        <v>10.227108259504803</v>
      </c>
      <c r="AR355" s="63">
        <f t="shared" si="341"/>
        <v>-88.280942674596744</v>
      </c>
      <c r="AS355" s="32" t="str">
        <f t="shared" si="317"/>
        <v>-0.000133283554228113</v>
      </c>
      <c r="AT355" s="32" t="str">
        <f t="shared" si="318"/>
        <v>0.00899955589399103i</v>
      </c>
      <c r="AU355" s="32">
        <f t="shared" si="342"/>
        <v>8.9995558939910299E-3</v>
      </c>
      <c r="AV355" s="32">
        <f t="shared" si="343"/>
        <v>1.5707963267948966</v>
      </c>
      <c r="AW355" s="32" t="str">
        <f t="shared" si="319"/>
        <v>1+1.57350564830401i</v>
      </c>
      <c r="AX355" s="32">
        <f t="shared" si="344"/>
        <v>1.8643819418897574</v>
      </c>
      <c r="AY355" s="32">
        <f t="shared" si="345"/>
        <v>1.0046652333527595</v>
      </c>
      <c r="AZ355" s="32" t="str">
        <f t="shared" si="320"/>
        <v>1+23.4490719783841i</v>
      </c>
      <c r="BA355" s="32">
        <f t="shared" si="346"/>
        <v>23.470385097979079</v>
      </c>
      <c r="BB355" s="32">
        <f t="shared" si="347"/>
        <v>1.5281765401561833</v>
      </c>
      <c r="BC355" s="60" t="str">
        <f t="shared" si="348"/>
        <v>-0.0932062459686026+0.161470569093763i</v>
      </c>
      <c r="BD355" s="51">
        <f t="shared" si="349"/>
        <v>-14.589183709703573</v>
      </c>
      <c r="BE355" s="63">
        <f t="shared" si="350"/>
        <v>119.99498840721465</v>
      </c>
      <c r="BF355" s="60" t="str">
        <f t="shared" si="351"/>
        <v>0.103414492273268-0.0111990146129525i</v>
      </c>
      <c r="BG355" s="66">
        <f t="shared" si="352"/>
        <v>-19.65773737046695</v>
      </c>
      <c r="BH355" s="63">
        <f t="shared" si="353"/>
        <v>-6.1806181051718321</v>
      </c>
      <c r="BI355" s="60" t="str">
        <f t="shared" si="306"/>
        <v>0.514829717237745+0.318139689217781i</v>
      </c>
      <c r="BJ355" s="66">
        <f t="shared" si="354"/>
        <v>-4.3620754501987751</v>
      </c>
      <c r="BK355" s="63">
        <f t="shared" si="307"/>
        <v>31.714045732617912</v>
      </c>
      <c r="BL355" s="51">
        <f t="shared" si="355"/>
        <v>-19.65773737046695</v>
      </c>
      <c r="BM355" s="63">
        <f t="shared" si="356"/>
        <v>-6.1806181051718321</v>
      </c>
    </row>
    <row r="356" spans="14:65" x14ac:dyDescent="0.35">
      <c r="N356" s="11">
        <v>38</v>
      </c>
      <c r="O356" s="52">
        <f t="shared" si="308"/>
        <v>23988.329190194923</v>
      </c>
      <c r="P356" s="50" t="str">
        <f t="shared" si="309"/>
        <v>36.531007751938</v>
      </c>
      <c r="Q356" s="18" t="str">
        <f t="shared" si="310"/>
        <v>1+73.6089643661399i</v>
      </c>
      <c r="R356" s="18">
        <f t="shared" si="321"/>
        <v>73.615756703681683</v>
      </c>
      <c r="S356" s="18">
        <f t="shared" si="322"/>
        <v>1.5572118606190699</v>
      </c>
      <c r="T356" s="18" t="str">
        <f t="shared" si="311"/>
        <v>1+0.030144623502324i</v>
      </c>
      <c r="U356" s="18">
        <f t="shared" si="323"/>
        <v>1.0004542459933372</v>
      </c>
      <c r="V356" s="18">
        <f t="shared" si="324"/>
        <v>3.0135497687735859E-2</v>
      </c>
      <c r="W356" s="32" t="str">
        <f t="shared" si="312"/>
        <v>1-0.499437549150931i</v>
      </c>
      <c r="X356" s="18">
        <f t="shared" si="325"/>
        <v>1.1177825662900136</v>
      </c>
      <c r="Y356" s="18">
        <f t="shared" si="326"/>
        <v>-0.46319754709685163</v>
      </c>
      <c r="Z356" s="32" t="str">
        <f t="shared" si="313"/>
        <v>0.98811074509634+0.22694921362978i</v>
      </c>
      <c r="AA356" s="18">
        <f t="shared" si="327"/>
        <v>1.0138386410775728</v>
      </c>
      <c r="AB356" s="18">
        <f t="shared" si="328"/>
        <v>0.22576438436312704</v>
      </c>
      <c r="AC356" s="68" t="str">
        <f t="shared" si="329"/>
        <v>-0.329180485759204-0.437319174747969i</v>
      </c>
      <c r="AD356" s="66">
        <f t="shared" si="330"/>
        <v>-5.2344680784168354</v>
      </c>
      <c r="AE356" s="63">
        <f t="shared" si="331"/>
        <v>-126.9696415079916</v>
      </c>
      <c r="AF356" s="51" t="str">
        <f t="shared" si="332"/>
        <v>42.1703962805665</v>
      </c>
      <c r="AG356" s="51" t="str">
        <f t="shared" si="314"/>
        <v>1+13.2990986039665i</v>
      </c>
      <c r="AH356" s="51">
        <f t="shared" si="333"/>
        <v>13.336642144033997</v>
      </c>
      <c r="AI356" s="51">
        <f t="shared" si="334"/>
        <v>1.4957444957028943</v>
      </c>
      <c r="AJ356" s="51" t="str">
        <f t="shared" si="315"/>
        <v>1+0.030144623502324i</v>
      </c>
      <c r="AK356" s="51">
        <f t="shared" si="335"/>
        <v>1.0004542459933372</v>
      </c>
      <c r="AL356" s="51">
        <f t="shared" si="336"/>
        <v>3.0135497687735859E-2</v>
      </c>
      <c r="AM356" s="51" t="str">
        <f t="shared" si="316"/>
        <v>1-0.0781673116125888i</v>
      </c>
      <c r="AN356" s="51">
        <f t="shared" si="337"/>
        <v>1.0030504117963062</v>
      </c>
      <c r="AO356" s="51">
        <f t="shared" si="338"/>
        <v>-7.8008688623013217E-2</v>
      </c>
      <c r="AP356" s="60" t="str">
        <f t="shared" si="339"/>
        <v>0.0862294133295353-3.17190925849959i</v>
      </c>
      <c r="AQ356" s="51">
        <f t="shared" si="340"/>
        <v>10.029623526758751</v>
      </c>
      <c r="AR356" s="63">
        <f t="shared" si="341"/>
        <v>-88.442778626114887</v>
      </c>
      <c r="AS356" s="32" t="str">
        <f t="shared" si="317"/>
        <v>-0.000133283554228113</v>
      </c>
      <c r="AT356" s="32" t="str">
        <f t="shared" si="318"/>
        <v>0.00920918247995998i</v>
      </c>
      <c r="AU356" s="32">
        <f t="shared" si="342"/>
        <v>9.2091824799599795E-3</v>
      </c>
      <c r="AV356" s="32">
        <f t="shared" si="343"/>
        <v>1.5707963267948966</v>
      </c>
      <c r="AW356" s="32" t="str">
        <f t="shared" si="319"/>
        <v>1+1.61015730322367i</v>
      </c>
      <c r="AX356" s="32">
        <f t="shared" si="344"/>
        <v>1.895417247237273</v>
      </c>
      <c r="AY356" s="32">
        <f t="shared" si="345"/>
        <v>1.0150372130942118</v>
      </c>
      <c r="AZ356" s="32" t="str">
        <f t="shared" si="320"/>
        <v>1+23.9952710309674i</v>
      </c>
      <c r="BA356" s="32">
        <f t="shared" si="346"/>
        <v>24.016099430373441</v>
      </c>
      <c r="BB356" s="32">
        <f t="shared" si="347"/>
        <v>1.5291455502970042</v>
      </c>
      <c r="BC356" s="60" t="str">
        <f t="shared" si="348"/>
        <v>-0.0901789419830908+0.159675179545919i</v>
      </c>
      <c r="BD356" s="51">
        <f t="shared" si="349"/>
        <v>-14.732937367834626</v>
      </c>
      <c r="BE356" s="63">
        <f t="shared" si="350"/>
        <v>119.45623793420846</v>
      </c>
      <c r="BF356" s="60" t="str">
        <f t="shared" si="351"/>
        <v>0.099514165674-0.0131249726789235i</v>
      </c>
      <c r="BG356" s="66">
        <f t="shared" si="352"/>
        <v>-19.967405446251458</v>
      </c>
      <c r="BH356" s="63">
        <f t="shared" si="353"/>
        <v>-7.5134035737831555</v>
      </c>
      <c r="BI356" s="60" t="str">
        <f t="shared" si="306"/>
        <v>0.498699103092405+0.299808118053396i</v>
      </c>
      <c r="BJ356" s="66">
        <f t="shared" si="354"/>
        <v>-4.7033138410758699</v>
      </c>
      <c r="BK356" s="63">
        <f t="shared" si="307"/>
        <v>31.013459308093562</v>
      </c>
      <c r="BL356" s="51">
        <f t="shared" si="355"/>
        <v>-19.967405446251458</v>
      </c>
      <c r="BM356" s="63">
        <f t="shared" si="356"/>
        <v>-7.5134035737831555</v>
      </c>
    </row>
    <row r="357" spans="14:65" x14ac:dyDescent="0.35">
      <c r="N357" s="11">
        <v>39</v>
      </c>
      <c r="O357" s="52">
        <f t="shared" si="308"/>
        <v>24547.089156850321</v>
      </c>
      <c r="P357" s="50" t="str">
        <f t="shared" si="309"/>
        <v>36.531007751938</v>
      </c>
      <c r="Q357" s="18" t="str">
        <f t="shared" si="310"/>
        <v>1+75.3235374049145i</v>
      </c>
      <c r="R357" s="18">
        <f t="shared" si="321"/>
        <v>75.330175143759973</v>
      </c>
      <c r="S357" s="18">
        <f t="shared" si="322"/>
        <v>1.5575210440694278</v>
      </c>
      <c r="T357" s="18" t="str">
        <f t="shared" si="311"/>
        <v>1+0.0308467819848698i</v>
      </c>
      <c r="U357" s="18">
        <f t="shared" si="323"/>
        <v>1.0004756488584927</v>
      </c>
      <c r="V357" s="18">
        <f t="shared" si="324"/>
        <v>3.083700374942781E-2</v>
      </c>
      <c r="W357" s="32" t="str">
        <f t="shared" si="312"/>
        <v>1-0.511070944128021i</v>
      </c>
      <c r="X357" s="18">
        <f t="shared" si="325"/>
        <v>1.1230287217751409</v>
      </c>
      <c r="Y357" s="18">
        <f t="shared" si="326"/>
        <v>-0.47246508764520168</v>
      </c>
      <c r="Z357" s="32" t="str">
        <f t="shared" si="313"/>
        <v>0.987550421775323+0.232235539910981i</v>
      </c>
      <c r="AA357" s="18">
        <f t="shared" si="327"/>
        <v>1.0144896162831651</v>
      </c>
      <c r="AB357" s="18">
        <f t="shared" si="328"/>
        <v>0.2309666353915889</v>
      </c>
      <c r="AC357" s="68" t="str">
        <f t="shared" si="329"/>
        <v>-0.329006599896241-0.424516431247699i</v>
      </c>
      <c r="AD357" s="66">
        <f t="shared" si="330"/>
        <v>-5.3991508860219444</v>
      </c>
      <c r="AE357" s="63">
        <f t="shared" si="331"/>
        <v>-127.77622106593995</v>
      </c>
      <c r="AF357" s="51" t="str">
        <f t="shared" si="332"/>
        <v>42.1703962805665</v>
      </c>
      <c r="AG357" s="51" t="str">
        <f t="shared" si="314"/>
        <v>1+13.6088744050897i</v>
      </c>
      <c r="AH357" s="51">
        <f t="shared" si="333"/>
        <v>13.645565674368562</v>
      </c>
      <c r="AI357" s="51">
        <f t="shared" si="334"/>
        <v>1.4974466920588321</v>
      </c>
      <c r="AJ357" s="51" t="str">
        <f t="shared" si="315"/>
        <v>1+0.0308467819848698i</v>
      </c>
      <c r="AK357" s="51">
        <f t="shared" si="335"/>
        <v>1.0004756488584927</v>
      </c>
      <c r="AL357" s="51">
        <f t="shared" si="336"/>
        <v>3.083700374942781E-2</v>
      </c>
      <c r="AM357" s="51" t="str">
        <f t="shared" si="316"/>
        <v>1-0.0799880621985879i</v>
      </c>
      <c r="AN357" s="51">
        <f t="shared" si="337"/>
        <v>1.0031939444067062</v>
      </c>
      <c r="AO357" s="51">
        <f t="shared" si="338"/>
        <v>-7.9818123815635619E-2</v>
      </c>
      <c r="AP357" s="60" t="str">
        <f t="shared" si="339"/>
        <v>0.0755776942024551-3.10083460857434i</v>
      </c>
      <c r="AQ357" s="51">
        <f t="shared" si="340"/>
        <v>9.8321512539626035</v>
      </c>
      <c r="AR357" s="63">
        <f t="shared" si="341"/>
        <v>-88.603786956414581</v>
      </c>
      <c r="AS357" s="32" t="str">
        <f t="shared" si="317"/>
        <v>-0.000133283554228113</v>
      </c>
      <c r="AT357" s="32" t="str">
        <f t="shared" si="318"/>
        <v>0.00942369189637774i</v>
      </c>
      <c r="AU357" s="32">
        <f t="shared" si="342"/>
        <v>9.4236918963777408E-3</v>
      </c>
      <c r="AV357" s="32">
        <f t="shared" si="343"/>
        <v>1.5707963267948966</v>
      </c>
      <c r="AW357" s="32" t="str">
        <f t="shared" si="319"/>
        <v>1+1.64766268485846i</v>
      </c>
      <c r="AX357" s="32">
        <f t="shared" si="344"/>
        <v>1.927379652034074</v>
      </c>
      <c r="AY357" s="32">
        <f t="shared" si="345"/>
        <v>1.0253038716950289</v>
      </c>
      <c r="AZ357" s="32" t="str">
        <f t="shared" si="320"/>
        <v>1+24.5541926938663i</v>
      </c>
      <c r="BA357" s="32">
        <f t="shared" si="346"/>
        <v>24.574547378283842</v>
      </c>
      <c r="BB357" s="32">
        <f t="shared" si="347"/>
        <v>1.5300925787052873</v>
      </c>
      <c r="BC357" s="60" t="str">
        <f t="shared" si="348"/>
        <v>-0.0872128045564496+0.157840737856117i</v>
      </c>
      <c r="BD357" s="51">
        <f t="shared" si="349"/>
        <v>-14.878525105543428</v>
      </c>
      <c r="BE357" s="63">
        <f t="shared" si="350"/>
        <v>118.92226245755364</v>
      </c>
      <c r="BF357" s="60" t="str">
        <f t="shared" si="351"/>
        <v>0.0956995750347152-0.0149073759377479i</v>
      </c>
      <c r="BG357" s="66">
        <f t="shared" si="352"/>
        <v>-20.277675991565381</v>
      </c>
      <c r="BH357" s="63">
        <f t="shared" si="353"/>
        <v>-8.8539586083863409</v>
      </c>
      <c r="BI357" s="60" t="str">
        <f t="shared" si="306"/>
        <v>0.482846679913852+0.282361721697848i</v>
      </c>
      <c r="BJ357" s="66">
        <f t="shared" si="354"/>
        <v>-5.0463738515808245</v>
      </c>
      <c r="BK357" s="63">
        <f t="shared" si="307"/>
        <v>30.318475501139027</v>
      </c>
      <c r="BL357" s="51">
        <f t="shared" si="355"/>
        <v>-20.277675991565381</v>
      </c>
      <c r="BM357" s="63">
        <f t="shared" si="356"/>
        <v>-8.8539586083863409</v>
      </c>
    </row>
    <row r="358" spans="14:65" x14ac:dyDescent="0.35">
      <c r="N358" s="11">
        <v>40</v>
      </c>
      <c r="O358" s="52">
        <f t="shared" si="308"/>
        <v>25118.86431509586</v>
      </c>
      <c r="P358" s="50" t="str">
        <f t="shared" si="309"/>
        <v>36.531007751938</v>
      </c>
      <c r="Q358" s="18" t="str">
        <f t="shared" si="310"/>
        <v>1+77.0780479802466i</v>
      </c>
      <c r="R358" s="18">
        <f t="shared" si="321"/>
        <v>77.084534638571924</v>
      </c>
      <c r="S358" s="18">
        <f t="shared" si="322"/>
        <v>1.5578231920979009</v>
      </c>
      <c r="T358" s="18" t="str">
        <f t="shared" si="311"/>
        <v>1+0.0315652958395296i</v>
      </c>
      <c r="U358" s="18">
        <f t="shared" si="323"/>
        <v>1.0004980599188771</v>
      </c>
      <c r="V358" s="18">
        <f t="shared" si="324"/>
        <v>3.1554818553164533E-2</v>
      </c>
      <c r="W358" s="32" t="str">
        <f t="shared" si="312"/>
        <v>1-0.522975315684514i</v>
      </c>
      <c r="X358" s="18">
        <f t="shared" si="325"/>
        <v>1.1284959817453126</v>
      </c>
      <c r="Y358" s="18">
        <f t="shared" si="326"/>
        <v>-0.48185846954778727</v>
      </c>
      <c r="Z358" s="32" t="str">
        <f t="shared" si="313"/>
        <v>0.986963691229748+0.237645000549445i</v>
      </c>
      <c r="AA358" s="18">
        <f t="shared" si="327"/>
        <v>1.015171155072875</v>
      </c>
      <c r="AB358" s="18">
        <f t="shared" si="328"/>
        <v>0.23628608764683678</v>
      </c>
      <c r="AC358" s="68" t="str">
        <f t="shared" si="329"/>
        <v>-0.32879741016546-0.411945400098658i</v>
      </c>
      <c r="AD358" s="66">
        <f t="shared" si="330"/>
        <v>-5.5625720684966034</v>
      </c>
      <c r="AE358" s="63">
        <f t="shared" si="331"/>
        <v>-128.59538841595321</v>
      </c>
      <c r="AF358" s="51" t="str">
        <f t="shared" si="332"/>
        <v>42.1703962805665</v>
      </c>
      <c r="AG358" s="51" t="str">
        <f t="shared" si="314"/>
        <v>1+13.9258658115572i</v>
      </c>
      <c r="AH358" s="51">
        <f t="shared" si="333"/>
        <v>13.961724055484613</v>
      </c>
      <c r="AI358" s="51">
        <f t="shared" si="334"/>
        <v>1.4991105532610023</v>
      </c>
      <c r="AJ358" s="51" t="str">
        <f t="shared" si="315"/>
        <v>1+0.0315652958395296i</v>
      </c>
      <c r="AK358" s="51">
        <f t="shared" si="335"/>
        <v>1.0004980599188771</v>
      </c>
      <c r="AL358" s="51">
        <f t="shared" si="336"/>
        <v>3.1554818553164533E-2</v>
      </c>
      <c r="AM358" s="51" t="str">
        <f t="shared" si="316"/>
        <v>1-0.0818512235139324i</v>
      </c>
      <c r="AN358" s="51">
        <f t="shared" si="337"/>
        <v>1.003344219493354</v>
      </c>
      <c r="AO358" s="51">
        <f t="shared" si="338"/>
        <v>-8.166916401929189E-2</v>
      </c>
      <c r="AP358" s="60" t="str">
        <f t="shared" si="339"/>
        <v>0.0654003467403666-3.03133395010113i</v>
      </c>
      <c r="AQ358" s="51">
        <f t="shared" si="340"/>
        <v>9.6346967143550071</v>
      </c>
      <c r="AR358" s="63">
        <f t="shared" si="341"/>
        <v>-88.764048213646916</v>
      </c>
      <c r="AS358" s="32" t="str">
        <f t="shared" si="317"/>
        <v>-0.000133283554228113</v>
      </c>
      <c r="AT358" s="32" t="str">
        <f t="shared" si="318"/>
        <v>0.00964319787897629i</v>
      </c>
      <c r="AU358" s="32">
        <f t="shared" si="342"/>
        <v>9.6431978789762902E-3</v>
      </c>
      <c r="AV358" s="32">
        <f t="shared" si="343"/>
        <v>1.5707963267948966</v>
      </c>
      <c r="AW358" s="32" t="str">
        <f t="shared" si="319"/>
        <v>1+1.68604167905816i</v>
      </c>
      <c r="AX358" s="32">
        <f t="shared" si="344"/>
        <v>1.9602899131305196</v>
      </c>
      <c r="AY358" s="32">
        <f t="shared" si="345"/>
        <v>1.0354619950659725</v>
      </c>
      <c r="AZ358" s="32" t="str">
        <f t="shared" si="320"/>
        <v>1+25.1261333147447i</v>
      </c>
      <c r="BA358" s="32">
        <f t="shared" si="346"/>
        <v>25.146025040755912</v>
      </c>
      <c r="BB358" s="32">
        <f t="shared" si="347"/>
        <v>1.5310181207093208</v>
      </c>
      <c r="BC358" s="60" t="str">
        <f t="shared" si="348"/>
        <v>-0.0843090472560121+0.155970077420261i</v>
      </c>
      <c r="BD358" s="51">
        <f t="shared" si="349"/>
        <v>-15.025909494357272</v>
      </c>
      <c r="BE358" s="63">
        <f t="shared" si="350"/>
        <v>118.39327451121852</v>
      </c>
      <c r="BF358" s="60" t="str">
        <f t="shared" si="351"/>
        <v>0.0919717523376022-0.0165518333152735i</v>
      </c>
      <c r="BG358" s="66">
        <f t="shared" si="352"/>
        <v>-20.588481562853879</v>
      </c>
      <c r="BH358" s="63">
        <f t="shared" si="353"/>
        <v>-10.202113904734677</v>
      </c>
      <c r="BI358" s="60" t="str">
        <f t="shared" si="306"/>
        <v>0.467283549960046+0.265769374392237i</v>
      </c>
      <c r="BJ358" s="66">
        <f t="shared" si="354"/>
        <v>-5.3912127800022613</v>
      </c>
      <c r="BK358" s="63">
        <f t="shared" si="307"/>
        <v>29.629226297571616</v>
      </c>
      <c r="BL358" s="51">
        <f t="shared" si="355"/>
        <v>-20.588481562853879</v>
      </c>
      <c r="BM358" s="63">
        <f t="shared" si="356"/>
        <v>-10.202113904734677</v>
      </c>
    </row>
    <row r="359" spans="14:65" x14ac:dyDescent="0.35">
      <c r="N359" s="11">
        <v>41</v>
      </c>
      <c r="O359" s="52">
        <f t="shared" si="308"/>
        <v>25703.95782768865</v>
      </c>
      <c r="P359" s="50" t="str">
        <f t="shared" si="309"/>
        <v>36.531007751938</v>
      </c>
      <c r="Q359" s="18" t="str">
        <f t="shared" si="310"/>
        <v>1+78.8734263568659i</v>
      </c>
      <c r="R359" s="18">
        <f t="shared" si="321"/>
        <v>78.879765372825162</v>
      </c>
      <c r="S359" s="18">
        <f t="shared" si="322"/>
        <v>1.5581184646865729</v>
      </c>
      <c r="T359" s="18" t="str">
        <f t="shared" si="311"/>
        <v>1+0.0323005460318594i</v>
      </c>
      <c r="U359" s="18">
        <f t="shared" si="323"/>
        <v>1.0005215266419589</v>
      </c>
      <c r="V359" s="18">
        <f t="shared" si="324"/>
        <v>3.2289319733284645E-2</v>
      </c>
      <c r="W359" s="32" t="str">
        <f t="shared" si="312"/>
        <v>1-0.535156975675777i</v>
      </c>
      <c r="X359" s="18">
        <f t="shared" si="325"/>
        <v>1.134192659390125</v>
      </c>
      <c r="Y359" s="18">
        <f t="shared" si="326"/>
        <v>-0.49137604176997951</v>
      </c>
      <c r="Z359" s="32" t="str">
        <f t="shared" si="313"/>
        <v>0.986349308925463+0.243180463712803i</v>
      </c>
      <c r="AA359" s="18">
        <f t="shared" si="327"/>
        <v>1.0158846869351426</v>
      </c>
      <c r="AB359" s="18">
        <f t="shared" si="328"/>
        <v>0.24172519453449254</v>
      </c>
      <c r="AC359" s="68" t="str">
        <f t="shared" si="329"/>
        <v>-0.328552624035154-0.399599916556321i</v>
      </c>
      <c r="AD359" s="66">
        <f t="shared" si="330"/>
        <v>-5.7247020386837217</v>
      </c>
      <c r="AE359" s="63">
        <f t="shared" si="331"/>
        <v>-129.42717705994755</v>
      </c>
      <c r="AF359" s="51" t="str">
        <f t="shared" si="332"/>
        <v>42.1703962805665</v>
      </c>
      <c r="AG359" s="51" t="str">
        <f t="shared" si="314"/>
        <v>1+14.2502408964086i</v>
      </c>
      <c r="AH359" s="51">
        <f t="shared" si="333"/>
        <v>14.285284932603766</v>
      </c>
      <c r="AI359" s="51">
        <f t="shared" si="334"/>
        <v>1.5007369246396571</v>
      </c>
      <c r="AJ359" s="51" t="str">
        <f t="shared" si="315"/>
        <v>1+0.0323005460318594i</v>
      </c>
      <c r="AK359" s="51">
        <f t="shared" si="335"/>
        <v>1.0005215266419589</v>
      </c>
      <c r="AL359" s="51">
        <f t="shared" si="336"/>
        <v>3.2289319733284645E-2</v>
      </c>
      <c r="AM359" s="51" t="str">
        <f t="shared" si="316"/>
        <v>1-0.0837577834314125i</v>
      </c>
      <c r="AN359" s="51">
        <f t="shared" si="337"/>
        <v>1.0035015527069917</v>
      </c>
      <c r="AO359" s="51">
        <f t="shared" si="338"/>
        <v>-8.3562739913228629E-2</v>
      </c>
      <c r="AP359" s="60" t="str">
        <f t="shared" si="339"/>
        <v>0.0556764603639839-2.96337506508846i</v>
      </c>
      <c r="AQ359" s="51">
        <f t="shared" si="340"/>
        <v>9.4372652173485356</v>
      </c>
      <c r="AR359" s="63">
        <f t="shared" si="341"/>
        <v>-88.923642518806744</v>
      </c>
      <c r="AS359" s="32" t="str">
        <f t="shared" si="317"/>
        <v>-0.000133283554228113</v>
      </c>
      <c r="AT359" s="32" t="str">
        <f t="shared" si="318"/>
        <v>0.00986781681273305i</v>
      </c>
      <c r="AU359" s="32">
        <f t="shared" si="342"/>
        <v>9.8678168127330507E-3</v>
      </c>
      <c r="AV359" s="32">
        <f t="shared" si="343"/>
        <v>1.5707963267948966</v>
      </c>
      <c r="AW359" s="32" t="str">
        <f t="shared" si="319"/>
        <v>1+1.72531463487349i</v>
      </c>
      <c r="AX359" s="32">
        <f t="shared" si="344"/>
        <v>1.994169147617284</v>
      </c>
      <c r="AY359" s="32">
        <f t="shared" si="345"/>
        <v>1.0455085831604478</v>
      </c>
      <c r="AZ359" s="32" t="str">
        <f t="shared" si="320"/>
        <v>1+25.7113961440902i</v>
      </c>
      <c r="BA359" s="32">
        <f t="shared" si="346"/>
        <v>25.730835425192407</v>
      </c>
      <c r="BB359" s="32">
        <f t="shared" si="347"/>
        <v>1.5319226606973473</v>
      </c>
      <c r="BC359" s="60" t="str">
        <f t="shared" si="348"/>
        <v>-0.081468703734979+0.154066040688869i</v>
      </c>
      <c r="BD359" s="51">
        <f t="shared" si="349"/>
        <v>-15.175052380362079</v>
      </c>
      <c r="BE359" s="63">
        <f t="shared" si="350"/>
        <v>117.86947373861365</v>
      </c>
      <c r="BF359" s="60" t="str">
        <f t="shared" si="351"/>
        <v>0.0883315333923047-0.0180639147285855i</v>
      </c>
      <c r="BG359" s="66">
        <f t="shared" si="352"/>
        <v>-20.899754419045806</v>
      </c>
      <c r="BH359" s="63">
        <f t="shared" si="353"/>
        <v>-11.557703321333927</v>
      </c>
      <c r="BI359" s="60" t="str">
        <f t="shared" si="306"/>
        <v>0.452019574299893+0.250000177041166i</v>
      </c>
      <c r="BJ359" s="66">
        <f t="shared" si="354"/>
        <v>-5.7377871630135404</v>
      </c>
      <c r="BK359" s="63">
        <f t="shared" si="307"/>
        <v>28.945831219806948</v>
      </c>
      <c r="BL359" s="51">
        <f t="shared" si="355"/>
        <v>-20.899754419045806</v>
      </c>
      <c r="BM359" s="63">
        <f t="shared" si="356"/>
        <v>-11.557703321333927</v>
      </c>
    </row>
    <row r="360" spans="14:65" x14ac:dyDescent="0.35">
      <c r="N360" s="11">
        <v>42</v>
      </c>
      <c r="O360" s="52">
        <f t="shared" si="308"/>
        <v>26302.679918953829</v>
      </c>
      <c r="P360" s="50" t="str">
        <f t="shared" si="309"/>
        <v>36.531007751938</v>
      </c>
      <c r="Q360" s="18" t="str">
        <f t="shared" si="310"/>
        <v>1+80.7106244681529i</v>
      </c>
      <c r="R360" s="18">
        <f t="shared" si="321"/>
        <v>80.7168192016955</v>
      </c>
      <c r="S360" s="18">
        <f t="shared" si="322"/>
        <v>1.5584070181868122</v>
      </c>
      <c r="T360" s="18" t="str">
        <f t="shared" si="311"/>
        <v>1+0.0330529224012436i</v>
      </c>
      <c r="U360" s="18">
        <f t="shared" si="323"/>
        <v>1.000546098727721</v>
      </c>
      <c r="V360" s="18">
        <f t="shared" si="324"/>
        <v>3.3040893560163695E-2</v>
      </c>
      <c r="W360" s="32" t="str">
        <f t="shared" si="312"/>
        <v>1-0.547622382979184i</v>
      </c>
      <c r="X360" s="18">
        <f t="shared" si="325"/>
        <v>1.1401273061986543</v>
      </c>
      <c r="Y360" s="18">
        <f t="shared" si="326"/>
        <v>-0.50101595268540944</v>
      </c>
      <c r="Z360" s="32" t="str">
        <f t="shared" si="313"/>
        <v>0.985705971675229+0.248844864376895i</v>
      </c>
      <c r="AA360" s="18">
        <f t="shared" si="327"/>
        <v>1.0166317077107927</v>
      </c>
      <c r="AB360" s="18">
        <f t="shared" si="328"/>
        <v>0.24728644774286354</v>
      </c>
      <c r="AC360" s="68" t="str">
        <f t="shared" si="329"/>
        <v>-0.328271887462299-0.387473965069602i</v>
      </c>
      <c r="AD360" s="66">
        <f t="shared" si="330"/>
        <v>-5.885511742096055</v>
      </c>
      <c r="AE360" s="63">
        <f t="shared" si="331"/>
        <v>-130.27161049738191</v>
      </c>
      <c r="AF360" s="51" t="str">
        <f t="shared" si="332"/>
        <v>42.1703962805665</v>
      </c>
      <c r="AG360" s="51" t="str">
        <f t="shared" si="314"/>
        <v>1+14.5821716476075i</v>
      </c>
      <c r="AH360" s="51">
        <f t="shared" si="333"/>
        <v>14.616419874931346</v>
      </c>
      <c r="AI360" s="51">
        <f t="shared" si="334"/>
        <v>1.5023266340840038</v>
      </c>
      <c r="AJ360" s="51" t="str">
        <f t="shared" si="315"/>
        <v>1+0.0330529224012436i</v>
      </c>
      <c r="AK360" s="51">
        <f t="shared" si="335"/>
        <v>1.000546098727721</v>
      </c>
      <c r="AL360" s="51">
        <f t="shared" si="336"/>
        <v>3.3040893560163695E-2</v>
      </c>
      <c r="AM360" s="51" t="str">
        <f t="shared" si="316"/>
        <v>1-0.0857087528343334i</v>
      </c>
      <c r="AN360" s="51">
        <f t="shared" si="337"/>
        <v>1.0036662743723219</v>
      </c>
      <c r="AO360" s="51">
        <f t="shared" si="338"/>
        <v>-8.5499801148923915E-2</v>
      </c>
      <c r="AP360" s="60" t="str">
        <f t="shared" si="339"/>
        <v>0.0463860273669686-2.89692624896147i</v>
      </c>
      <c r="AQ360" s="51">
        <f t="shared" si="340"/>
        <v>9.2398621190439094</v>
      </c>
      <c r="AR360" s="63">
        <f t="shared" si="341"/>
        <v>-89.082649585810969</v>
      </c>
      <c r="AS360" s="32" t="str">
        <f t="shared" si="317"/>
        <v>-0.000133283554228113</v>
      </c>
      <c r="AT360" s="32" t="str">
        <f t="shared" si="318"/>
        <v>0.0100976677935799i</v>
      </c>
      <c r="AU360" s="32">
        <f t="shared" si="342"/>
        <v>1.0097667793579901E-2</v>
      </c>
      <c r="AV360" s="32">
        <f t="shared" si="343"/>
        <v>1.5707963267948966</v>
      </c>
      <c r="AW360" s="32" t="str">
        <f t="shared" si="319"/>
        <v>1+1.76550237534546i</v>
      </c>
      <c r="AX360" s="32">
        <f t="shared" si="344"/>
        <v>2.0290388456977508</v>
      </c>
      <c r="AY360" s="32">
        <f t="shared" si="345"/>
        <v>1.0554408499142454</v>
      </c>
      <c r="AZ360" s="32" t="str">
        <f t="shared" si="320"/>
        <v>1+26.3102914960019i</v>
      </c>
      <c r="BA360" s="32">
        <f t="shared" si="346"/>
        <v>26.329288608023383</v>
      </c>
      <c r="BB360" s="32">
        <f t="shared" si="347"/>
        <v>1.5328066723443614</v>
      </c>
      <c r="BC360" s="60" t="str">
        <f t="shared" si="348"/>
        <v>-0.0786926315449642+0.152131467325259i</v>
      </c>
      <c r="BD360" s="51">
        <f t="shared" si="349"/>
        <v>-15.325914995555106</v>
      </c>
      <c r="BE360" s="63">
        <f t="shared" si="350"/>
        <v>117.35104690903722</v>
      </c>
      <c r="BF360" s="60" t="str">
        <f t="shared" si="351"/>
        <v>0.0847795615430154-0.0194491379547833i</v>
      </c>
      <c r="BG360" s="66">
        <f t="shared" si="352"/>
        <v>-21.211426737651156</v>
      </c>
      <c r="BH360" s="63">
        <f t="shared" si="353"/>
        <v>-12.920563588344629</v>
      </c>
      <c r="BI360" s="60" t="str">
        <f t="shared" si="306"/>
        <v>0.437063402427144+0.235023524329187i</v>
      </c>
      <c r="BJ360" s="66">
        <f t="shared" si="354"/>
        <v>-6.0860528765111868</v>
      </c>
      <c r="BK360" s="63">
        <f t="shared" si="307"/>
        <v>28.268397323226282</v>
      </c>
      <c r="BL360" s="51">
        <f t="shared" si="355"/>
        <v>-21.211426737651156</v>
      </c>
      <c r="BM360" s="63">
        <f t="shared" si="356"/>
        <v>-12.920563588344629</v>
      </c>
    </row>
    <row r="361" spans="14:65" x14ac:dyDescent="0.35">
      <c r="N361" s="11">
        <v>43</v>
      </c>
      <c r="O361" s="52">
        <f t="shared" si="308"/>
        <v>26915.348039269167</v>
      </c>
      <c r="P361" s="50" t="str">
        <f t="shared" si="309"/>
        <v>36.531007751938</v>
      </c>
      <c r="Q361" s="18" t="str">
        <f t="shared" si="310"/>
        <v>1+82.5906164208646i</v>
      </c>
      <c r="R361" s="18">
        <f t="shared" si="321"/>
        <v>82.59667015551166</v>
      </c>
      <c r="S361" s="18">
        <f t="shared" si="322"/>
        <v>1.5586890054011864</v>
      </c>
      <c r="T361" s="18" t="str">
        <f t="shared" si="311"/>
        <v>1+0.0338228238675922i</v>
      </c>
      <c r="U361" s="18">
        <f t="shared" si="323"/>
        <v>1.0005718282134364</v>
      </c>
      <c r="V361" s="18">
        <f t="shared" si="324"/>
        <v>3.3809935129960181E-2</v>
      </c>
      <c r="W361" s="32" t="str">
        <f t="shared" si="312"/>
        <v>1-0.560378146918688i</v>
      </c>
      <c r="X361" s="18">
        <f t="shared" si="325"/>
        <v>1.146308713891691</v>
      </c>
      <c r="Y361" s="18">
        <f t="shared" si="326"/>
        <v>-0.5107761461843795</v>
      </c>
      <c r="Z361" s="32" t="str">
        <f t="shared" si="313"/>
        <v>0.985032314874484+0.254641205881932i</v>
      </c>
      <c r="AA361" s="18">
        <f t="shared" si="327"/>
        <v>1.0174137826272991</v>
      </c>
      <c r="AB361" s="18">
        <f t="shared" si="328"/>
        <v>0.25297237689274216</v>
      </c>
      <c r="AC361" s="68" t="str">
        <f t="shared" si="329"/>
        <v>-0.327954785380246-0.375561678108813i</v>
      </c>
      <c r="AD361" s="66">
        <f t="shared" si="330"/>
        <v>-6.0449727667305773</v>
      </c>
      <c r="AE361" s="63">
        <f t="shared" si="331"/>
        <v>-131.12870197604315</v>
      </c>
      <c r="AF361" s="51" t="str">
        <f t="shared" si="332"/>
        <v>42.1703962805665</v>
      </c>
      <c r="AG361" s="51" t="str">
        <f t="shared" si="314"/>
        <v>1+14.9218340592319i</v>
      </c>
      <c r="AH361" s="51">
        <f t="shared" si="333"/>
        <v>14.95530446668516</v>
      </c>
      <c r="AI361" s="51">
        <f t="shared" si="334"/>
        <v>1.5038804923211686</v>
      </c>
      <c r="AJ361" s="51" t="str">
        <f t="shared" si="315"/>
        <v>1+0.0338228238675922i</v>
      </c>
      <c r="AK361" s="51">
        <f t="shared" si="335"/>
        <v>1.0005718282134364</v>
      </c>
      <c r="AL361" s="51">
        <f t="shared" si="336"/>
        <v>3.3809935129960181E-2</v>
      </c>
      <c r="AM361" s="51" t="str">
        <f t="shared" si="316"/>
        <v>1-0.0877051661524967i</v>
      </c>
      <c r="AN361" s="51">
        <f t="shared" si="337"/>
        <v>1.0038387301602967</v>
      </c>
      <c r="AO361" s="51">
        <f t="shared" si="338"/>
        <v>-8.7481316603545939E-2</v>
      </c>
      <c r="AP361" s="60" t="str">
        <f t="shared" si="339"/>
        <v>0.0375099055915713-2.83195631349443i</v>
      </c>
      <c r="AQ361" s="51">
        <f t="shared" si="340"/>
        <v>9.0424928328256033</v>
      </c>
      <c r="AR361" s="63">
        <f t="shared" si="341"/>
        <v>-89.241148741132477</v>
      </c>
      <c r="AS361" s="32" t="str">
        <f t="shared" si="317"/>
        <v>-0.000133283554228113</v>
      </c>
      <c r="AT361" s="32" t="str">
        <f t="shared" si="318"/>
        <v>0.0103328726915494i</v>
      </c>
      <c r="AU361" s="32">
        <f t="shared" si="342"/>
        <v>1.0332872691549399E-2</v>
      </c>
      <c r="AV361" s="32">
        <f t="shared" si="343"/>
        <v>1.5707963267948966</v>
      </c>
      <c r="AW361" s="32" t="str">
        <f t="shared" si="319"/>
        <v>1+1.80662620854604i</v>
      </c>
      <c r="AX361" s="32">
        <f t="shared" si="344"/>
        <v>2.0649208840547471</v>
      </c>
      <c r="AY361" s="32">
        <f t="shared" si="345"/>
        <v>1.0652562223723998</v>
      </c>
      <c r="AZ361" s="32" t="str">
        <f t="shared" si="320"/>
        <v>1+26.9231369127227i</v>
      </c>
      <c r="BA361" s="32">
        <f t="shared" si="346"/>
        <v>26.941701899123071</v>
      </c>
      <c r="BB361" s="32">
        <f t="shared" si="347"/>
        <v>1.5336706188352109</v>
      </c>
      <c r="BC361" s="60" t="str">
        <f t="shared" si="348"/>
        <v>-0.0759815167440883+0.150169183002584i</v>
      </c>
      <c r="BD361" s="51">
        <f t="shared" si="349"/>
        <v>-15.478458066532561</v>
      </c>
      <c r="BE361" s="63">
        <f t="shared" si="350"/>
        <v>116.8381679804866</v>
      </c>
      <c r="BF361" s="60" t="str">
        <f t="shared" si="351"/>
        <v>0.0813162923853529-0.0207129562486766i</v>
      </c>
      <c r="BG361" s="66">
        <f t="shared" si="352"/>
        <v>-21.523430833263145</v>
      </c>
      <c r="BH361" s="63">
        <f t="shared" si="353"/>
        <v>-14.290533995556526</v>
      </c>
      <c r="BI361" s="60" t="str">
        <f t="shared" si="306"/>
        <v>0.422422506376693+0.220809167929494i</v>
      </c>
      <c r="BJ361" s="66">
        <f t="shared" si="354"/>
        <v>-6.4359652337069573</v>
      </c>
      <c r="BK361" s="63">
        <f t="shared" si="307"/>
        <v>27.597019239354143</v>
      </c>
      <c r="BL361" s="51">
        <f t="shared" si="355"/>
        <v>-21.523430833263145</v>
      </c>
      <c r="BM361" s="63">
        <f t="shared" si="356"/>
        <v>-14.290533995556526</v>
      </c>
    </row>
    <row r="362" spans="14:65" x14ac:dyDescent="0.35">
      <c r="N362" s="11">
        <v>44</v>
      </c>
      <c r="O362" s="52">
        <f t="shared" si="308"/>
        <v>27542.287033381719</v>
      </c>
      <c r="P362" s="50" t="str">
        <f t="shared" si="309"/>
        <v>36.531007751938</v>
      </c>
      <c r="Q362" s="18" t="str">
        <f t="shared" si="310"/>
        <v>1+84.5143990116187i</v>
      </c>
      <c r="R362" s="18">
        <f t="shared" si="321"/>
        <v>84.52031495619913</v>
      </c>
      <c r="S362" s="18">
        <f t="shared" si="322"/>
        <v>1.5589645756635648</v>
      </c>
      <c r="T362" s="18" t="str">
        <f t="shared" si="311"/>
        <v>1+0.0346106586428534i</v>
      </c>
      <c r="U362" s="18">
        <f t="shared" si="323"/>
        <v>1.0005987695833392</v>
      </c>
      <c r="V362" s="18">
        <f t="shared" si="324"/>
        <v>3.4596848557971231E-2</v>
      </c>
      <c r="W362" s="32" t="str">
        <f t="shared" si="312"/>
        <v>1-0.573431030769169i</v>
      </c>
      <c r="X362" s="18">
        <f t="shared" si="325"/>
        <v>1.1527459160842826</v>
      </c>
      <c r="Y362" s="18">
        <f t="shared" si="326"/>
        <v>-0.52065435836586227</v>
      </c>
      <c r="Z362" s="32" t="str">
        <f t="shared" si="313"/>
        <v>0.984326909606835+0.260572561524902i</v>
      </c>
      <c r="AA362" s="18">
        <f t="shared" si="327"/>
        <v>1.018232549467847</v>
      </c>
      <c r="AB362" s="18">
        <f t="shared" si="328"/>
        <v>0.25878554910256979</v>
      </c>
      <c r="AC362" s="68" t="str">
        <f t="shared" si="329"/>
        <v>-0.327600842163271-0.363857335164905i</v>
      </c>
      <c r="AD362" s="66">
        <f t="shared" si="330"/>
        <v>-6.2030574577214797</v>
      </c>
      <c r="AE362" s="63">
        <f t="shared" si="331"/>
        <v>-131.99845427110913</v>
      </c>
      <c r="AF362" s="51" t="str">
        <f t="shared" si="332"/>
        <v>42.1703962805665</v>
      </c>
      <c r="AG362" s="51" t="str">
        <f t="shared" si="314"/>
        <v>1+15.2694082247883i</v>
      </c>
      <c r="AH362" s="51">
        <f t="shared" si="333"/>
        <v>15.302118400248789</v>
      </c>
      <c r="AI362" s="51">
        <f t="shared" si="334"/>
        <v>1.5053992931964553</v>
      </c>
      <c r="AJ362" s="51" t="str">
        <f t="shared" si="315"/>
        <v>1+0.0346106586428534i</v>
      </c>
      <c r="AK362" s="51">
        <f t="shared" si="335"/>
        <v>1.0005987695833392</v>
      </c>
      <c r="AL362" s="51">
        <f t="shared" si="336"/>
        <v>3.4596848557971231E-2</v>
      </c>
      <c r="AM362" s="51" t="str">
        <f t="shared" si="316"/>
        <v>1-0.0897480819106693i</v>
      </c>
      <c r="AN362" s="51">
        <f t="shared" si="337"/>
        <v>1.0040192817902673</v>
      </c>
      <c r="AO362" s="51">
        <f t="shared" si="338"/>
        <v>-8.950827462644842E-2</v>
      </c>
      <c r="AP362" s="60" t="str">
        <f t="shared" si="339"/>
        <v>0.0290297824997367-2.76843458875841i</v>
      </c>
      <c r="AQ362" s="51">
        <f t="shared" si="340"/>
        <v>8.8451628400550941</v>
      </c>
      <c r="AR362" s="63">
        <f t="shared" si="341"/>
        <v>-89.399218942902451</v>
      </c>
      <c r="AS362" s="32" t="str">
        <f t="shared" si="317"/>
        <v>-0.000133283554228113</v>
      </c>
      <c r="AT362" s="32" t="str">
        <f t="shared" si="318"/>
        <v>0.0105735562153917i</v>
      </c>
      <c r="AU362" s="32">
        <f t="shared" si="342"/>
        <v>1.0573556215391701E-2</v>
      </c>
      <c r="AV362" s="32">
        <f t="shared" si="343"/>
        <v>1.5707963267948966</v>
      </c>
      <c r="AW362" s="32" t="str">
        <f t="shared" si="319"/>
        <v>1+1.84870793887592i</v>
      </c>
      <c r="AX362" s="32">
        <f t="shared" si="344"/>
        <v>2.1018375396930309</v>
      </c>
      <c r="AY362" s="32">
        <f t="shared" si="345"/>
        <v>1.0749523390501929</v>
      </c>
      <c r="AZ362" s="32" t="str">
        <f t="shared" si="320"/>
        <v>1+27.5502573330045i</v>
      </c>
      <c r="BA362" s="32">
        <f t="shared" si="346"/>
        <v>27.568400010061669</v>
      </c>
      <c r="BB362" s="32">
        <f t="shared" si="347"/>
        <v>1.5345149530839945</v>
      </c>
      <c r="BC362" s="60" t="str">
        <f t="shared" si="348"/>
        <v>-0.0733358792163244+0.148181988888274i</v>
      </c>
      <c r="BD362" s="51">
        <f t="shared" si="349"/>
        <v>-15.632641920048878</v>
      </c>
      <c r="BE362" s="63">
        <f t="shared" si="350"/>
        <v>116.33099820613644</v>
      </c>
      <c r="BF362" s="60" t="str">
        <f t="shared" si="351"/>
        <v>0.0779419993883747-0.0218607467695999i</v>
      </c>
      <c r="BG362" s="66">
        <f t="shared" si="352"/>
        <v>-21.835699377770361</v>
      </c>
      <c r="BH362" s="63">
        <f t="shared" si="353"/>
        <v>-15.667456064972699</v>
      </c>
      <c r="BI362" s="60" t="str">
        <f t="shared" si="306"/>
        <v>0.408103218846235+0.207327275527286i</v>
      </c>
      <c r="BJ362" s="66">
        <f t="shared" si="354"/>
        <v>-6.7874790799937887</v>
      </c>
      <c r="BK362" s="63">
        <f t="shared" si="307"/>
        <v>26.931779263233974</v>
      </c>
      <c r="BL362" s="51">
        <f t="shared" si="355"/>
        <v>-21.835699377770361</v>
      </c>
      <c r="BM362" s="63">
        <f t="shared" si="356"/>
        <v>-15.667456064972699</v>
      </c>
    </row>
    <row r="363" spans="14:65" x14ac:dyDescent="0.35">
      <c r="N363" s="11">
        <v>45</v>
      </c>
      <c r="O363" s="52">
        <f t="shared" si="308"/>
        <v>28183.829312644593</v>
      </c>
      <c r="P363" s="50" t="str">
        <f t="shared" si="309"/>
        <v>36.531007751938</v>
      </c>
      <c r="Q363" s="18" t="str">
        <f t="shared" si="310"/>
        <v>1+86.4829922554089i</v>
      </c>
      <c r="R363" s="18">
        <f t="shared" si="321"/>
        <v>86.488773545756317</v>
      </c>
      <c r="S363" s="18">
        <f t="shared" si="322"/>
        <v>1.5592338749174393</v>
      </c>
      <c r="T363" s="18" t="str">
        <f t="shared" si="311"/>
        <v>1+0.0354168444474532i</v>
      </c>
      <c r="U363" s="18">
        <f t="shared" si="323"/>
        <v>1.0006269798834204</v>
      </c>
      <c r="V363" s="18">
        <f t="shared" si="324"/>
        <v>3.5402047175624382E-2</v>
      </c>
      <c r="W363" s="32" t="str">
        <f t="shared" si="312"/>
        <v>1-0.58678795534242i</v>
      </c>
      <c r="X363" s="18">
        <f t="shared" si="325"/>
        <v>1.1594481896725433</v>
      </c>
      <c r="Y363" s="18">
        <f t="shared" si="326"/>
        <v>-0.53064811486774033</v>
      </c>
      <c r="Z363" s="32" t="str">
        <f t="shared" si="313"/>
        <v>0.983588259613135+0.266642076189078i</v>
      </c>
      <c r="AA363" s="18">
        <f t="shared" si="327"/>
        <v>1.0190897218808646</v>
      </c>
      <c r="AB363" s="18">
        <f t="shared" si="328"/>
        <v>0.26472856846292281</v>
      </c>
      <c r="AC363" s="68" t="str">
        <f t="shared" si="329"/>
        <v>-0.327209522077214-0.352355361923188i</v>
      </c>
      <c r="AD363" s="66">
        <f t="shared" si="330"/>
        <v>-6.3597390365459674</v>
      </c>
      <c r="AE363" s="63">
        <f t="shared" si="331"/>
        <v>-132.88085949527266</v>
      </c>
      <c r="AF363" s="51" t="str">
        <f t="shared" si="332"/>
        <v>42.1703962805665</v>
      </c>
      <c r="AG363" s="51" t="str">
        <f t="shared" si="314"/>
        <v>1+15.6250784327i</v>
      </c>
      <c r="AH363" s="51">
        <f t="shared" si="333"/>
        <v>15.657045571499964</v>
      </c>
      <c r="AI363" s="51">
        <f t="shared" si="334"/>
        <v>1.5068838139543879</v>
      </c>
      <c r="AJ363" s="51" t="str">
        <f t="shared" si="315"/>
        <v>1+0.0354168444474532i</v>
      </c>
      <c r="AK363" s="51">
        <f t="shared" si="335"/>
        <v>1.0006269798834204</v>
      </c>
      <c r="AL363" s="51">
        <f t="shared" si="336"/>
        <v>3.5402047175624382E-2</v>
      </c>
      <c r="AM363" s="51" t="str">
        <f t="shared" si="316"/>
        <v>1-0.091838583289827i</v>
      </c>
      <c r="AN363" s="51">
        <f t="shared" si="337"/>
        <v>1.0042083077632262</v>
      </c>
      <c r="AO363" s="51">
        <f t="shared" si="338"/>
        <v>-9.1581683277689244E-2</v>
      </c>
      <c r="AP363" s="60" t="str">
        <f t="shared" si="339"/>
        <v>0.0209281406009963-2.70633092416267i</v>
      </c>
      <c r="AQ363" s="51">
        <f t="shared" si="340"/>
        <v>8.6478777008774159</v>
      </c>
      <c r="AR363" s="63">
        <f t="shared" si="341"/>
        <v>-89.556938799392256</v>
      </c>
      <c r="AS363" s="32" t="str">
        <f t="shared" si="317"/>
        <v>-0.000133283554228113</v>
      </c>
      <c r="AT363" s="32" t="str">
        <f t="shared" si="318"/>
        <v>0.0108198459786969i</v>
      </c>
      <c r="AU363" s="32">
        <f t="shared" si="342"/>
        <v>1.0819845978696899E-2</v>
      </c>
      <c r="AV363" s="32">
        <f t="shared" si="343"/>
        <v>1.5707963267948966</v>
      </c>
      <c r="AW363" s="32" t="str">
        <f t="shared" si="319"/>
        <v>1+1.89176987862552i</v>
      </c>
      <c r="AX363" s="32">
        <f t="shared" si="344"/>
        <v>2.1398115042392902</v>
      </c>
      <c r="AY363" s="32">
        <f t="shared" si="345"/>
        <v>1.0845270475784743</v>
      </c>
      <c r="AZ363" s="32" t="str">
        <f t="shared" si="320"/>
        <v>1+28.191985264395i</v>
      </c>
      <c r="BA363" s="32">
        <f t="shared" si="346"/>
        <v>28.209715226280906</v>
      </c>
      <c r="BB363" s="32">
        <f t="shared" si="347"/>
        <v>1.5353401179497483</v>
      </c>
      <c r="BC363" s="60" t="str">
        <f t="shared" si="348"/>
        <v>-0.070756078616348+0.146172651853969i</v>
      </c>
      <c r="BD363" s="51">
        <f t="shared" si="349"/>
        <v>-15.788426585036543</v>
      </c>
      <c r="BE363" s="63">
        <f t="shared" si="350"/>
        <v>115.82968628160819</v>
      </c>
      <c r="BF363" s="60" t="str">
        <f t="shared" si="351"/>
        <v>0.0746567803153904-0.0228977998647673i</v>
      </c>
      <c r="BG363" s="66">
        <f t="shared" si="352"/>
        <v>-22.148165621582514</v>
      </c>
      <c r="BH363" s="63">
        <f t="shared" si="353"/>
        <v>-17.05117321366442</v>
      </c>
      <c r="BI363" s="60" t="str">
        <f t="shared" si="306"/>
        <v>0.394110774817602+0.194548485441928i</v>
      </c>
      <c r="BJ363" s="66">
        <f t="shared" si="354"/>
        <v>-7.1405488841591307</v>
      </c>
      <c r="BK363" s="63">
        <f t="shared" si="307"/>
        <v>26.272747482215951</v>
      </c>
      <c r="BL363" s="51">
        <f t="shared" si="355"/>
        <v>-22.148165621582514</v>
      </c>
      <c r="BM363" s="63">
        <f t="shared" si="356"/>
        <v>-17.05117321366442</v>
      </c>
    </row>
    <row r="364" spans="14:65" x14ac:dyDescent="0.35">
      <c r="N364" s="11">
        <v>46</v>
      </c>
      <c r="O364" s="52">
        <f t="shared" si="308"/>
        <v>28840.315031266062</v>
      </c>
      <c r="P364" s="50" t="str">
        <f t="shared" si="309"/>
        <v>36.531007751938</v>
      </c>
      <c r="Q364" s="18" t="str">
        <f t="shared" si="310"/>
        <v>1+88.4974399264302i</v>
      </c>
      <c r="R364" s="18">
        <f t="shared" si="321"/>
        <v>88.503089627041405</v>
      </c>
      <c r="S364" s="18">
        <f t="shared" si="322"/>
        <v>1.5594970457925084</v>
      </c>
      <c r="T364" s="18" t="str">
        <f t="shared" si="311"/>
        <v>1+0.0362418087317762i</v>
      </c>
      <c r="U364" s="18">
        <f t="shared" si="323"/>
        <v>1.0006565188415806</v>
      </c>
      <c r="V364" s="18">
        <f t="shared" si="324"/>
        <v>3.6225953731128066E-2</v>
      </c>
      <c r="W364" s="32" t="str">
        <f t="shared" si="312"/>
        <v>1-0.600456002656648i</v>
      </c>
      <c r="X364" s="18">
        <f t="shared" si="325"/>
        <v>1.1664250559407581</v>
      </c>
      <c r="Y364" s="18">
        <f t="shared" si="326"/>
        <v>-0.54075472888858578</v>
      </c>
      <c r="Z364" s="32" t="str">
        <f t="shared" si="313"/>
        <v>0.982814798117714+0.272852968011473i</v>
      </c>
      <c r="AA364" s="18">
        <f t="shared" si="327"/>
        <v>1.0199870928359009</v>
      </c>
      <c r="AB364" s="18">
        <f t="shared" si="328"/>
        <v>0.27080407541395962</v>
      </c>
      <c r="AC364" s="68" t="str">
        <f t="shared" si="329"/>
        <v>-0.326780229725976-0.341050329614616i</v>
      </c>
      <c r="AD364" s="66">
        <f t="shared" si="330"/>
        <v>-6.5149917244421731</v>
      </c>
      <c r="AE364" s="63">
        <f t="shared" si="331"/>
        <v>-133.77589894262027</v>
      </c>
      <c r="AF364" s="51" t="str">
        <f t="shared" si="332"/>
        <v>42.1703962805665</v>
      </c>
      <c r="AG364" s="51" t="str">
        <f t="shared" si="314"/>
        <v>1+15.989033264019i</v>
      </c>
      <c r="AH364" s="51">
        <f t="shared" si="333"/>
        <v>16.020274177363696</v>
      </c>
      <c r="AI364" s="51">
        <f t="shared" si="334"/>
        <v>1.5083348155200569</v>
      </c>
      <c r="AJ364" s="51" t="str">
        <f t="shared" si="315"/>
        <v>1+0.0362418087317762i</v>
      </c>
      <c r="AK364" s="51">
        <f t="shared" si="335"/>
        <v>1.0006565188415806</v>
      </c>
      <c r="AL364" s="51">
        <f t="shared" si="336"/>
        <v>3.6225953731128066E-2</v>
      </c>
      <c r="AM364" s="51" t="str">
        <f t="shared" si="316"/>
        <v>1-0.0939777787014718i</v>
      </c>
      <c r="AN364" s="51">
        <f t="shared" si="337"/>
        <v>1.0044062041274251</v>
      </c>
      <c r="AO364" s="51">
        <f t="shared" si="338"/>
        <v>-9.3702570557487708E-2</v>
      </c>
      <c r="AP364" s="60" t="str">
        <f t="shared" si="339"/>
        <v>0.0131882241982331-2.64561568866384i</v>
      </c>
      <c r="AQ364" s="51">
        <f t="shared" si="340"/>
        <v>8.4506430651583404</v>
      </c>
      <c r="AR364" s="63">
        <f t="shared" si="341"/>
        <v>-89.714386586783903</v>
      </c>
      <c r="AS364" s="32" t="str">
        <f t="shared" si="317"/>
        <v>-0.000133283554228113</v>
      </c>
      <c r="AT364" s="32" t="str">
        <f t="shared" si="318"/>
        <v>0.0110718725675577i</v>
      </c>
      <c r="AU364" s="32">
        <f t="shared" si="342"/>
        <v>1.10718725675577E-2</v>
      </c>
      <c r="AV364" s="32">
        <f t="shared" si="343"/>
        <v>1.5707963267948966</v>
      </c>
      <c r="AW364" s="32" t="str">
        <f t="shared" si="319"/>
        <v>1+1.9358348598053i</v>
      </c>
      <c r="AX364" s="32">
        <f t="shared" si="344"/>
        <v>2.1788658986815603</v>
      </c>
      <c r="AY364" s="32">
        <f t="shared" si="345"/>
        <v>1.0939784016857474</v>
      </c>
      <c r="AZ364" s="32" t="str">
        <f t="shared" si="320"/>
        <v>1+28.8486609595375i</v>
      </c>
      <c r="BA364" s="32">
        <f t="shared" si="346"/>
        <v>28.865987583284639</v>
      </c>
      <c r="BB364" s="32">
        <f t="shared" si="347"/>
        <v>1.536146546448421</v>
      </c>
      <c r="BC364" s="60" t="str">
        <f t="shared" si="348"/>
        <v>-0.0682423208539325+0.144143895438804i</v>
      </c>
      <c r="BD364" s="51">
        <f t="shared" si="349"/>
        <v>-15.94577189073248</v>
      </c>
      <c r="BE364" s="63">
        <f t="shared" si="350"/>
        <v>115.3343685300308</v>
      </c>
      <c r="BF364" s="60" t="str">
        <f t="shared" si="351"/>
        <v>0.0714605643370207-0.0238293092441894i</v>
      </c>
      <c r="BG364" s="66">
        <f t="shared" si="352"/>
        <v>-22.460763615174649</v>
      </c>
      <c r="BH364" s="63">
        <f t="shared" si="353"/>
        <v>-18.441530412589493</v>
      </c>
      <c r="BI364" s="60" t="str">
        <f t="shared" si="306"/>
        <v>0.380449356170791+0.182443956691849i</v>
      </c>
      <c r="BJ364" s="66">
        <f t="shared" si="354"/>
        <v>-7.4951288255741302</v>
      </c>
      <c r="BK364" s="63">
        <f t="shared" si="307"/>
        <v>25.619981943246867</v>
      </c>
      <c r="BL364" s="51">
        <f t="shared" si="355"/>
        <v>-22.460763615174649</v>
      </c>
      <c r="BM364" s="63">
        <f t="shared" si="356"/>
        <v>-18.441530412589493</v>
      </c>
    </row>
    <row r="365" spans="14:65" x14ac:dyDescent="0.35">
      <c r="N365" s="11">
        <v>47</v>
      </c>
      <c r="O365" s="52">
        <f t="shared" si="308"/>
        <v>29512.092266663854</v>
      </c>
      <c r="P365" s="50" t="str">
        <f t="shared" si="309"/>
        <v>36.531007751938</v>
      </c>
      <c r="Q365" s="18" t="str">
        <f t="shared" si="310"/>
        <v>1+90.5588101115034i</v>
      </c>
      <c r="R365" s="18">
        <f t="shared" si="321"/>
        <v>90.564331217159278</v>
      </c>
      <c r="S365" s="18">
        <f t="shared" si="322"/>
        <v>1.5597542276795544</v>
      </c>
      <c r="T365" s="18" t="str">
        <f t="shared" si="311"/>
        <v>1+0.0370859889028062i</v>
      </c>
      <c r="U365" s="18">
        <f t="shared" si="323"/>
        <v>1.0006874489933903</v>
      </c>
      <c r="V365" s="18">
        <f t="shared" si="324"/>
        <v>3.7069000593801728E-2</v>
      </c>
      <c r="W365" s="32" t="str">
        <f t="shared" si="312"/>
        <v>1-0.614442419691464i</v>
      </c>
      <c r="X365" s="18">
        <f t="shared" si="325"/>
        <v>1.1736862813871094</v>
      </c>
      <c r="Y365" s="18">
        <f t="shared" si="326"/>
        <v>-0.5509712999523142</v>
      </c>
      <c r="Z365" s="32" t="str">
        <f t="shared" si="313"/>
        <v>0.98200488450504+0.279208530089146i</v>
      </c>
      <c r="AA365" s="18">
        <f t="shared" si="327"/>
        <v>1.0209265382319623</v>
      </c>
      <c r="AB365" s="18">
        <f t="shared" si="328"/>
        <v>0.2770147460192191</v>
      </c>
      <c r="AC365" s="68" t="str">
        <f t="shared" si="329"/>
        <v>-0.326312310504175-0.329936954547563i</v>
      </c>
      <c r="AD365" s="66">
        <f t="shared" si="330"/>
        <v>-6.6687908696431206</v>
      </c>
      <c r="AE365" s="63">
        <f t="shared" si="331"/>
        <v>-134.68354296882677</v>
      </c>
      <c r="AF365" s="51" t="str">
        <f t="shared" si="332"/>
        <v>42.1703962805665</v>
      </c>
      <c r="AG365" s="51" t="str">
        <f t="shared" si="314"/>
        <v>1+16.3614656924145i</v>
      </c>
      <c r="AH365" s="51">
        <f t="shared" si="333"/>
        <v>16.3919968156432</v>
      </c>
      <c r="AI365" s="51">
        <f t="shared" si="334"/>
        <v>1.5097530427803425</v>
      </c>
      <c r="AJ365" s="51" t="str">
        <f t="shared" si="315"/>
        <v>1+0.0370859889028062i</v>
      </c>
      <c r="AK365" s="51">
        <f t="shared" si="335"/>
        <v>1.0006874489933903</v>
      </c>
      <c r="AL365" s="51">
        <f t="shared" si="336"/>
        <v>3.7069000593801728E-2</v>
      </c>
      <c r="AM365" s="51" t="str">
        <f t="shared" si="316"/>
        <v>1-0.096166802375328i</v>
      </c>
      <c r="AN365" s="51">
        <f t="shared" si="337"/>
        <v>1.0046133852776875</v>
      </c>
      <c r="AO365" s="51">
        <f t="shared" si="338"/>
        <v>-9.5871984625454862E-2</v>
      </c>
      <c r="AP365" s="60" t="str">
        <f t="shared" si="339"/>
        <v>0.0057940074122518-2.58625977021163i</v>
      </c>
      <c r="AQ365" s="51">
        <f t="shared" si="340"/>
        <v>8.2534646835676728</v>
      </c>
      <c r="AR365" s="63">
        <f t="shared" si="341"/>
        <v>-89.871640266136552</v>
      </c>
      <c r="AS365" s="32" t="str">
        <f t="shared" si="317"/>
        <v>-0.000133283554228113</v>
      </c>
      <c r="AT365" s="32" t="str">
        <f t="shared" si="318"/>
        <v>0.0113297696098073i</v>
      </c>
      <c r="AU365" s="32">
        <f t="shared" si="342"/>
        <v>1.13297696098073E-2</v>
      </c>
      <c r="AV365" s="32">
        <f t="shared" si="343"/>
        <v>1.5707963267948966</v>
      </c>
      <c r="AW365" s="32" t="str">
        <f t="shared" si="319"/>
        <v>1+1.98092624625157i</v>
      </c>
      <c r="AX365" s="32">
        <f t="shared" si="344"/>
        <v>2.2190242885305098</v>
      </c>
      <c r="AY365" s="32">
        <f t="shared" si="345"/>
        <v>1.1033046575711232</v>
      </c>
      <c r="AZ365" s="32" t="str">
        <f t="shared" si="320"/>
        <v>1+29.5206325965782i</v>
      </c>
      <c r="BA365" s="32">
        <f t="shared" si="346"/>
        <v>29.537565046939047</v>
      </c>
      <c r="BB365" s="32">
        <f t="shared" si="347"/>
        <v>1.5369346619611433</v>
      </c>
      <c r="BC365" s="60" t="str">
        <f t="shared" si="348"/>
        <v>-0.065794665032887+0.142098391584371i</v>
      </c>
      <c r="BD365" s="51">
        <f t="shared" si="349"/>
        <v>-16.104637560602278</v>
      </c>
      <c r="BE365" s="63">
        <f t="shared" si="350"/>
        <v>114.84516912178745</v>
      </c>
      <c r="BF365" s="60" t="str">
        <f t="shared" si="351"/>
        <v>0.068353119731184-0.0246603630703953i</v>
      </c>
      <c r="BG365" s="66">
        <f t="shared" si="352"/>
        <v>-22.773428430245403</v>
      </c>
      <c r="BH365" s="63">
        <f t="shared" si="353"/>
        <v>-19.8383738470393</v>
      </c>
      <c r="BI365" s="60" t="str">
        <f t="shared" si="306"/>
        <v>0.36712213878955+0.170985414403214i</v>
      </c>
      <c r="BJ365" s="66">
        <f t="shared" si="354"/>
        <v>-7.8511728770346165</v>
      </c>
      <c r="BK365" s="63">
        <f t="shared" si="307"/>
        <v>24.97352885565088</v>
      </c>
      <c r="BL365" s="51">
        <f t="shared" si="355"/>
        <v>-22.773428430245403</v>
      </c>
      <c r="BM365" s="63">
        <f t="shared" si="356"/>
        <v>-19.8383738470393</v>
      </c>
    </row>
    <row r="366" spans="14:65" x14ac:dyDescent="0.35">
      <c r="N366" s="11">
        <v>48</v>
      </c>
      <c r="O366" s="52">
        <f t="shared" si="308"/>
        <v>30199.517204020212</v>
      </c>
      <c r="P366" s="50" t="str">
        <f t="shared" si="309"/>
        <v>36.531007751938</v>
      </c>
      <c r="Q366" s="18" t="str">
        <f t="shared" si="310"/>
        <v>1+92.6681957763849i</v>
      </c>
      <c r="R366" s="18">
        <f t="shared" si="321"/>
        <v>92.673591213734682</v>
      </c>
      <c r="S366" s="18">
        <f t="shared" si="322"/>
        <v>1.5600055568036546</v>
      </c>
      <c r="T366" s="18" t="str">
        <f t="shared" si="311"/>
        <v>1+0.0379498325560434i</v>
      </c>
      <c r="U366" s="18">
        <f t="shared" si="323"/>
        <v>1.0007198358137164</v>
      </c>
      <c r="V366" s="18">
        <f t="shared" si="324"/>
        <v>3.7931629962097528E-2</v>
      </c>
      <c r="W366" s="32" t="str">
        <f t="shared" si="312"/>
        <v>1-0.628754622230305i</v>
      </c>
      <c r="X366" s="18">
        <f t="shared" si="325"/>
        <v>1.1812418782687877</v>
      </c>
      <c r="Y366" s="18">
        <f t="shared" si="326"/>
        <v>-0.56129471346424797</v>
      </c>
      <c r="Z366" s="32" t="str">
        <f t="shared" si="313"/>
        <v>0.981156800839754+0.285712132225234i</v>
      </c>
      <c r="AA366" s="18">
        <f t="shared" si="327"/>
        <v>1.0219100206646328</v>
      </c>
      <c r="AB366" s="18">
        <f t="shared" si="328"/>
        <v>0.28336329112882702</v>
      </c>
      <c r="AC366" s="68" t="str">
        <f t="shared" si="329"/>
        <v>-0.325805051066871-0.31901009782286i</v>
      </c>
      <c r="AD366" s="66">
        <f t="shared" si="330"/>
        <v>-6.8211130779744718</v>
      </c>
      <c r="AE366" s="63">
        <f t="shared" si="331"/>
        <v>-135.60375091005011</v>
      </c>
      <c r="AF366" s="51" t="str">
        <f t="shared" si="332"/>
        <v>42.1703962805665</v>
      </c>
      <c r="AG366" s="51" t="str">
        <f t="shared" si="314"/>
        <v>1+16.7425731864898i</v>
      </c>
      <c r="AH366" s="51">
        <f t="shared" si="333"/>
        <v>16.77241058718058</v>
      </c>
      <c r="AI366" s="51">
        <f t="shared" si="334"/>
        <v>1.5111392248646078</v>
      </c>
      <c r="AJ366" s="51" t="str">
        <f t="shared" si="315"/>
        <v>1+0.0379498325560434i</v>
      </c>
      <c r="AK366" s="51">
        <f t="shared" si="335"/>
        <v>1.0007198358137164</v>
      </c>
      <c r="AL366" s="51">
        <f t="shared" si="336"/>
        <v>3.7931629962097528E-2</v>
      </c>
      <c r="AM366" s="51" t="str">
        <f t="shared" si="316"/>
        <v>1-0.0984068149607214i</v>
      </c>
      <c r="AN366" s="51">
        <f t="shared" si="337"/>
        <v>1.0048302847897816</v>
      </c>
      <c r="AO366" s="51">
        <f t="shared" si="338"/>
        <v>-9.8090994008338553E-2</v>
      </c>
      <c r="AP366" s="60" t="str">
        <f t="shared" si="339"/>
        <v>-0.00126983655378948-2.52823457449581i</v>
      </c>
      <c r="AQ366" s="51">
        <f t="shared" si="340"/>
        <v>8.0563484188254808</v>
      </c>
      <c r="AR366" s="63">
        <f t="shared" si="341"/>
        <v>-90.028777499453369</v>
      </c>
      <c r="AS366" s="32" t="str">
        <f t="shared" si="317"/>
        <v>-0.000133283554228113</v>
      </c>
      <c r="AT366" s="32" t="str">
        <f t="shared" si="318"/>
        <v>0.0115936738458713i</v>
      </c>
      <c r="AU366" s="32">
        <f t="shared" si="342"/>
        <v>1.1593673845871301E-2</v>
      </c>
      <c r="AV366" s="32">
        <f t="shared" si="343"/>
        <v>1.5707963267948966</v>
      </c>
      <c r="AW366" s="32" t="str">
        <f t="shared" si="319"/>
        <v>1+2.02706794601425i</v>
      </c>
      <c r="AX366" s="32">
        <f t="shared" si="344"/>
        <v>2.2603106993859119</v>
      </c>
      <c r="AY366" s="32">
        <f t="shared" si="345"/>
        <v>1.1125042697232366</v>
      </c>
      <c r="AZ366" s="32" t="str">
        <f t="shared" si="320"/>
        <v>1+30.2082564637733i</v>
      </c>
      <c r="BA366" s="32">
        <f t="shared" si="346"/>
        <v>30.22480369797464</v>
      </c>
      <c r="BB366" s="32">
        <f t="shared" si="347"/>
        <v>1.537704878438801</v>
      </c>
      <c r="BC366" s="60" t="str">
        <f t="shared" si="348"/>
        <v>-0.0634130307614339+0.140038753150443i</v>
      </c>
      <c r="BD366" s="51">
        <f t="shared" si="349"/>
        <v>-16.264983301813373</v>
      </c>
      <c r="BE366" s="63">
        <f t="shared" si="350"/>
        <v>114.36220032579538</v>
      </c>
      <c r="BF366" s="60" t="str">
        <f t="shared" si="351"/>
        <v>0.0653340620670482-0.025395935975072i</v>
      </c>
      <c r="BG366" s="66">
        <f t="shared" si="352"/>
        <v>-23.08609637978784</v>
      </c>
      <c r="BH366" s="63">
        <f t="shared" si="353"/>
        <v>-21.241550584254771</v>
      </c>
      <c r="BI366" s="60" t="str">
        <f t="shared" si="306"/>
        <v>0.354131341668681+0.160145190516926i</v>
      </c>
      <c r="BJ366" s="66">
        <f t="shared" si="354"/>
        <v>-8.2086348829878997</v>
      </c>
      <c r="BK366" s="63">
        <f t="shared" si="307"/>
        <v>24.33342282634203</v>
      </c>
      <c r="BL366" s="51">
        <f t="shared" si="355"/>
        <v>-23.08609637978784</v>
      </c>
      <c r="BM366" s="63">
        <f t="shared" si="356"/>
        <v>-21.241550584254771</v>
      </c>
    </row>
    <row r="367" spans="14:65" x14ac:dyDescent="0.35">
      <c r="N367" s="11">
        <v>49</v>
      </c>
      <c r="O367" s="52">
        <f t="shared" si="308"/>
        <v>30902.954325135954</v>
      </c>
      <c r="P367" s="50" t="str">
        <f t="shared" si="309"/>
        <v>36.531007751938</v>
      </c>
      <c r="Q367" s="18" t="str">
        <f t="shared" si="310"/>
        <v>1+94.8267153452756i</v>
      </c>
      <c r="R367" s="18">
        <f t="shared" si="321"/>
        <v>94.831987974385129</v>
      </c>
      <c r="S367" s="18">
        <f t="shared" si="322"/>
        <v>1.5602511662957599</v>
      </c>
      <c r="T367" s="18" t="str">
        <f t="shared" si="311"/>
        <v>1+0.0388337977128272i</v>
      </c>
      <c r="U367" s="18">
        <f t="shared" si="323"/>
        <v>1.0007537478544863</v>
      </c>
      <c r="V367" s="18">
        <f t="shared" si="324"/>
        <v>3.881429407533063E-2</v>
      </c>
      <c r="W367" s="32" t="str">
        <f t="shared" si="312"/>
        <v>1-0.643400198792404i</v>
      </c>
      <c r="X367" s="18">
        <f t="shared" si="325"/>
        <v>1.1891021048699328</v>
      </c>
      <c r="Y367" s="18">
        <f t="shared" si="326"/>
        <v>-0.57172164110374157</v>
      </c>
      <c r="Z367" s="32" t="str">
        <f t="shared" si="313"/>
        <v>0.980268748222697+0.292367222715673i</v>
      </c>
      <c r="AA367" s="18">
        <f t="shared" si="327"/>
        <v>1.0229395933585568</v>
      </c>
      <c r="AB367" s="18">
        <f t="shared" si="328"/>
        <v>0.28985245542494481</v>
      </c>
      <c r="AC367" s="68" t="str">
        <f t="shared" si="329"/>
        <v>-0.325257679827914-0.308264765234504i</v>
      </c>
      <c r="AD367" s="66">
        <f t="shared" si="330"/>
        <v>-6.9719363463098141</v>
      </c>
      <c r="AE367" s="63">
        <f t="shared" si="331"/>
        <v>-136.53647104270607</v>
      </c>
      <c r="AF367" s="51" t="str">
        <f t="shared" si="332"/>
        <v>42.1703962805665</v>
      </c>
      <c r="AG367" s="51" t="str">
        <f t="shared" si="314"/>
        <v>1+17.1325578144826i</v>
      </c>
      <c r="AH367" s="51">
        <f t="shared" si="333"/>
        <v>17.161717200402435</v>
      </c>
      <c r="AI367" s="51">
        <f t="shared" si="334"/>
        <v>1.5124940754245053</v>
      </c>
      <c r="AJ367" s="51" t="str">
        <f t="shared" si="315"/>
        <v>1+0.0388337977128272i</v>
      </c>
      <c r="AK367" s="51">
        <f t="shared" si="335"/>
        <v>1.0007537478544863</v>
      </c>
      <c r="AL367" s="51">
        <f t="shared" si="336"/>
        <v>3.881429407533063E-2</v>
      </c>
      <c r="AM367" s="51" t="str">
        <f t="shared" si="316"/>
        <v>1-0.100699004141975i</v>
      </c>
      <c r="AN367" s="51">
        <f t="shared" si="337"/>
        <v>1.0050573562912644</v>
      </c>
      <c r="AO367" s="51">
        <f t="shared" si="338"/>
        <v>-0.10036068779495734</v>
      </c>
      <c r="AP367" s="60" t="str">
        <f t="shared" si="339"/>
        <v>-0.00801796494890494-2.4715120230546i</v>
      </c>
      <c r="AQ367" s="51">
        <f t="shared" si="340"/>
        <v>7.859300257127031</v>
      </c>
      <c r="AR367" s="63">
        <f t="shared" si="341"/>
        <v>-90.185875664750839</v>
      </c>
      <c r="AS367" s="32" t="str">
        <f t="shared" si="317"/>
        <v>-0.000133283554228113</v>
      </c>
      <c r="AT367" s="32" t="str">
        <f t="shared" si="318"/>
        <v>0.0118637252012687i</v>
      </c>
      <c r="AU367" s="32">
        <f t="shared" si="342"/>
        <v>1.18637252012687E-2</v>
      </c>
      <c r="AV367" s="32">
        <f t="shared" si="343"/>
        <v>1.5707963267948966</v>
      </c>
      <c r="AW367" s="32" t="str">
        <f t="shared" si="319"/>
        <v>1+2.07428442403332i</v>
      </c>
      <c r="AX367" s="32">
        <f t="shared" si="344"/>
        <v>2.3027496328926516</v>
      </c>
      <c r="AY367" s="32">
        <f t="shared" si="345"/>
        <v>1.121575886240596</v>
      </c>
      <c r="AZ367" s="32" t="str">
        <f t="shared" si="320"/>
        <v>1+30.911897148399i</v>
      </c>
      <c r="BA367" s="32">
        <f t="shared" si="346"/>
        <v>30.928067920793211</v>
      </c>
      <c r="BB367" s="32">
        <f t="shared" si="347"/>
        <v>1.5384576006029316</v>
      </c>
      <c r="BC367" s="60" t="str">
        <f t="shared" si="348"/>
        <v>-0.0610972057537924+0.137967527212224i</v>
      </c>
      <c r="BD367" s="51">
        <f t="shared" si="349"/>
        <v>-16.426768890052635</v>
      </c>
      <c r="BE367" s="63">
        <f t="shared" si="350"/>
        <v>113.88556278914011</v>
      </c>
      <c r="BF367" s="60" t="str">
        <f t="shared" si="351"/>
        <v>0.0624028627735085-0.0260408820044656i</v>
      </c>
      <c r="BG367" s="66">
        <f t="shared" si="352"/>
        <v>-23.398705236362446</v>
      </c>
      <c r="BH367" s="63">
        <f t="shared" si="353"/>
        <v>-22.650908253565976</v>
      </c>
      <c r="BI367" s="60" t="str">
        <f t="shared" si="306"/>
        <v>0.341478277550334+0.149896259798264i</v>
      </c>
      <c r="BJ367" s="66">
        <f t="shared" si="354"/>
        <v>-8.5674686329256105</v>
      </c>
      <c r="BK367" s="63">
        <f t="shared" si="307"/>
        <v>23.699687124389296</v>
      </c>
      <c r="BL367" s="51">
        <f t="shared" si="355"/>
        <v>-23.398705236362446</v>
      </c>
      <c r="BM367" s="63">
        <f t="shared" si="356"/>
        <v>-22.650908253565976</v>
      </c>
    </row>
    <row r="368" spans="14:65" x14ac:dyDescent="0.35">
      <c r="N368" s="11">
        <v>50</v>
      </c>
      <c r="O368" s="52">
        <f t="shared" si="308"/>
        <v>31622.77660168384</v>
      </c>
      <c r="P368" s="50" t="str">
        <f t="shared" si="309"/>
        <v>36.531007751938</v>
      </c>
      <c r="Q368" s="18" t="str">
        <f t="shared" si="310"/>
        <v>1+97.0355132938223i</v>
      </c>
      <c r="R368" s="18">
        <f t="shared" si="321"/>
        <v>97.040665909687391</v>
      </c>
      <c r="S368" s="18">
        <f t="shared" si="322"/>
        <v>1.5604911862626769</v>
      </c>
      <c r="T368" s="18" t="str">
        <f t="shared" si="311"/>
        <v>1+0.0397383530631844i</v>
      </c>
      <c r="U368" s="18">
        <f t="shared" si="323"/>
        <v>1.0007892568888688</v>
      </c>
      <c r="V368" s="18">
        <f t="shared" si="324"/>
        <v>3.9717455429117983E-2</v>
      </c>
      <c r="W368" s="32" t="str">
        <f t="shared" si="312"/>
        <v>1-0.65838691465631i</v>
      </c>
      <c r="X368" s="18">
        <f t="shared" si="325"/>
        <v>1.1972774654985598</v>
      </c>
      <c r="Y368" s="18">
        <f t="shared" si="326"/>
        <v>-0.58224854209416443</v>
      </c>
      <c r="Z368" s="32" t="str">
        <f t="shared" si="313"/>
        <v>0.979338842975207+0.299177330177535i</v>
      </c>
      <c r="AA368" s="18">
        <f t="shared" si="327"/>
        <v>1.0240174042721026</v>
      </c>
      <c r="AB368" s="18">
        <f t="shared" si="328"/>
        <v>0.29648501634195801</v>
      </c>
      <c r="AC368" s="68" t="str">
        <f t="shared" si="329"/>
        <v>-0.324669367499146-0.297696107358303i</v>
      </c>
      <c r="AD368" s="66">
        <f t="shared" si="330"/>
        <v>-7.1212401983214431</v>
      </c>
      <c r="AE368" s="63">
        <f t="shared" si="331"/>
        <v>-137.48164058602953</v>
      </c>
      <c r="AF368" s="51" t="str">
        <f t="shared" si="332"/>
        <v>42.1703962805665</v>
      </c>
      <c r="AG368" s="51" t="str">
        <f t="shared" si="314"/>
        <v>1+17.5316263514049i</v>
      </c>
      <c r="AH368" s="51">
        <f t="shared" si="333"/>
        <v>17.56012307830656</v>
      </c>
      <c r="AI368" s="51">
        <f t="shared" si="334"/>
        <v>1.5138182929125619</v>
      </c>
      <c r="AJ368" s="51" t="str">
        <f t="shared" si="315"/>
        <v>1+0.0397383530631844i</v>
      </c>
      <c r="AK368" s="51">
        <f t="shared" si="335"/>
        <v>1.0007892568888688</v>
      </c>
      <c r="AL368" s="51">
        <f t="shared" si="336"/>
        <v>3.9717455429117983E-2</v>
      </c>
      <c r="AM368" s="51" t="str">
        <f t="shared" si="316"/>
        <v>1-0.103044585268134i</v>
      </c>
      <c r="AN368" s="51">
        <f t="shared" si="337"/>
        <v>1.0052950743702476</v>
      </c>
      <c r="AO368" s="51">
        <f t="shared" si="338"/>
        <v>-0.10268217581687382</v>
      </c>
      <c r="AP368" s="60" t="str">
        <f t="shared" si="339"/>
        <v>-0.0144643938462133-2.41606455080092i</v>
      </c>
      <c r="AQ368" s="51">
        <f t="shared" si="340"/>
        <v>7.662326319762812</v>
      </c>
      <c r="AR368" s="63">
        <f t="shared" si="341"/>
        <v>-90.343011870028548</v>
      </c>
      <c r="AS368" s="32" t="str">
        <f t="shared" si="317"/>
        <v>-0.000133283554228113</v>
      </c>
      <c r="AT368" s="32" t="str">
        <f t="shared" si="318"/>
        <v>0.0121400668608029i</v>
      </c>
      <c r="AU368" s="32">
        <f t="shared" si="342"/>
        <v>1.2140066860802899E-2</v>
      </c>
      <c r="AV368" s="32">
        <f t="shared" si="343"/>
        <v>1.5707963267948966</v>
      </c>
      <c r="AW368" s="32" t="str">
        <f t="shared" si="319"/>
        <v>1+2.12260071511042i</v>
      </c>
      <c r="AX368" s="32">
        <f t="shared" si="344"/>
        <v>2.3463660830712811</v>
      </c>
      <c r="AY368" s="32">
        <f t="shared" si="345"/>
        <v>1.1305183437085278</v>
      </c>
      <c r="AZ368" s="32" t="str">
        <f t="shared" si="320"/>
        <v>1+31.6319277300601i</v>
      </c>
      <c r="BA368" s="32">
        <f t="shared" si="346"/>
        <v>31.647730596675412</v>
      </c>
      <c r="BB368" s="32">
        <f t="shared" si="347"/>
        <v>1.5391932241429565</v>
      </c>
      <c r="BC368" s="60" t="str">
        <f t="shared" si="348"/>
        <v>-0.0588468536463095+0.135887189132124i</v>
      </c>
      <c r="BD368" s="51">
        <f t="shared" si="349"/>
        <v>-16.589954249536433</v>
      </c>
      <c r="BE368" s="63">
        <f t="shared" si="350"/>
        <v>113.41534584190627</v>
      </c>
      <c r="BF368" s="60" t="str">
        <f t="shared" si="351"/>
        <v>0.0595588579971569-0.0265999284859734i</v>
      </c>
      <c r="BG368" s="66">
        <f t="shared" si="352"/>
        <v>-23.711194447857878</v>
      </c>
      <c r="BH368" s="63">
        <f t="shared" si="353"/>
        <v>-24.066294744123255</v>
      </c>
      <c r="BI368" s="60" t="str">
        <f t="shared" si="306"/>
        <v>0.329163404637856+0.140212271198756i</v>
      </c>
      <c r="BJ368" s="66">
        <f t="shared" si="354"/>
        <v>-8.9276279297736139</v>
      </c>
      <c r="BK368" s="63">
        <f t="shared" si="307"/>
        <v>23.072333971877647</v>
      </c>
      <c r="BL368" s="51">
        <f t="shared" si="355"/>
        <v>-23.711194447857878</v>
      </c>
      <c r="BM368" s="63">
        <f t="shared" si="356"/>
        <v>-24.066294744123255</v>
      </c>
    </row>
    <row r="369" spans="14:65" x14ac:dyDescent="0.35">
      <c r="N369" s="11">
        <v>51</v>
      </c>
      <c r="O369" s="52">
        <f t="shared" si="308"/>
        <v>32359.365692962871</v>
      </c>
      <c r="P369" s="50" t="str">
        <f t="shared" si="309"/>
        <v>36.531007751938</v>
      </c>
      <c r="Q369" s="18" t="str">
        <f t="shared" si="310"/>
        <v>1+99.2957607559342i</v>
      </c>
      <c r="R369" s="18">
        <f t="shared" si="321"/>
        <v>99.300796089959533</v>
      </c>
      <c r="S369" s="18">
        <f t="shared" si="322"/>
        <v>1.5607257438554858</v>
      </c>
      <c r="T369" s="18" t="str">
        <f t="shared" si="311"/>
        <v>1+0.040663978214335i</v>
      </c>
      <c r="U369" s="18">
        <f t="shared" si="323"/>
        <v>1.0008264380621728</v>
      </c>
      <c r="V369" s="18">
        <f t="shared" si="324"/>
        <v>4.0641586994529445E-2</v>
      </c>
      <c r="W369" s="32" t="str">
        <f t="shared" si="312"/>
        <v>1-0.673722715977149i</v>
      </c>
      <c r="X369" s="18">
        <f t="shared" si="325"/>
        <v>1.2057787102215838</v>
      </c>
      <c r="Y369" s="18">
        <f t="shared" si="326"/>
        <v>-0.59287166538614722</v>
      </c>
      <c r="Z369" s="32" t="str">
        <f t="shared" si="313"/>
        <v>0.978365112643577+0.306146065419936i</v>
      </c>
      <c r="AA369" s="18">
        <f t="shared" si="327"/>
        <v>1.0251457003812612</v>
      </c>
      <c r="AB369" s="18">
        <f t="shared" si="328"/>
        <v>0.30326378285363453</v>
      </c>
      <c r="AC369" s="68" t="str">
        <f t="shared" si="329"/>
        <v>-0.32403922768339-0.287299419830191i</v>
      </c>
      <c r="AD369" s="66">
        <f t="shared" si="330"/>
        <v>-7.2690058219152345</v>
      </c>
      <c r="AE369" s="63">
        <f t="shared" si="331"/>
        <v>-138.4391857490387</v>
      </c>
      <c r="AF369" s="51" t="str">
        <f t="shared" si="332"/>
        <v>42.1703962805665</v>
      </c>
      <c r="AG369" s="51" t="str">
        <f t="shared" si="314"/>
        <v>1+17.9399903886773i</v>
      </c>
      <c r="AH369" s="51">
        <f t="shared" si="333"/>
        <v>17.967839467944771</v>
      </c>
      <c r="AI369" s="51">
        <f t="shared" si="334"/>
        <v>1.5151125608592348</v>
      </c>
      <c r="AJ369" s="51" t="str">
        <f t="shared" si="315"/>
        <v>1+0.040663978214335i</v>
      </c>
      <c r="AK369" s="51">
        <f t="shared" si="335"/>
        <v>1.0008264380621728</v>
      </c>
      <c r="AL369" s="51">
        <f t="shared" si="336"/>
        <v>4.0641586994529445E-2</v>
      </c>
      <c r="AM369" s="51" t="str">
        <f t="shared" si="316"/>
        <v>1-0.105444801997358i</v>
      </c>
      <c r="AN369" s="51">
        <f t="shared" si="337"/>
        <v>1.0055439355235862</v>
      </c>
      <c r="AO369" s="51">
        <f t="shared" si="338"/>
        <v>-0.10505658881327616</v>
      </c>
      <c r="AP369" s="60" t="str">
        <f t="shared" si="339"/>
        <v>-0.0206225253903169-2.36186510301909i</v>
      </c>
      <c r="AQ369" s="51">
        <f t="shared" si="340"/>
        <v>7.4654328749498688</v>
      </c>
      <c r="AR369" s="63">
        <f t="shared" si="341"/>
        <v>-90.500262966033958</v>
      </c>
      <c r="AS369" s="32" t="str">
        <f t="shared" si="317"/>
        <v>-0.000133283554228113</v>
      </c>
      <c r="AT369" s="32" t="str">
        <f t="shared" si="318"/>
        <v>0.0124228453444794i</v>
      </c>
      <c r="AU369" s="32">
        <f t="shared" si="342"/>
        <v>1.24228453444794E-2</v>
      </c>
      <c r="AV369" s="32">
        <f t="shared" si="343"/>
        <v>1.5707963267948966</v>
      </c>
      <c r="AW369" s="32" t="str">
        <f t="shared" si="319"/>
        <v>1+2.1720424371826i</v>
      </c>
      <c r="AX369" s="32">
        <f t="shared" si="344"/>
        <v>2.3911855530096635</v>
      </c>
      <c r="AY369" s="32">
        <f t="shared" si="345"/>
        <v>1.1393306616872094</v>
      </c>
      <c r="AZ369" s="32" t="str">
        <f t="shared" si="320"/>
        <v>1+32.3687299785017i</v>
      </c>
      <c r="BA369" s="32">
        <f t="shared" si="346"/>
        <v>32.384173301493348</v>
      </c>
      <c r="BB369" s="32">
        <f t="shared" si="347"/>
        <v>1.5399121359097785</v>
      </c>
      <c r="BC369" s="60" t="str">
        <f t="shared" si="348"/>
        <v>-0.056661521955714+0.13380013739223i</v>
      </c>
      <c r="BD369" s="51">
        <f t="shared" si="349"/>
        <v>-16.754499528102752</v>
      </c>
      <c r="BE369" s="63">
        <f t="shared" si="350"/>
        <v>112.95162782408168</v>
      </c>
      <c r="BF369" s="60" t="str">
        <f t="shared" si="351"/>
        <v>0.0568012576598825-0.0270776707999374i</v>
      </c>
      <c r="BG369" s="66">
        <f t="shared" si="352"/>
        <v>-24.023505350017992</v>
      </c>
      <c r="BH369" s="63">
        <f t="shared" si="353"/>
        <v>-25.487557924956995</v>
      </c>
      <c r="BI369" s="60" t="str">
        <f t="shared" si="306"/>
        <v>0.317186378961053+0.131067574660552i</v>
      </c>
      <c r="BJ369" s="66">
        <f t="shared" si="354"/>
        <v>-9.2890666531528918</v>
      </c>
      <c r="BK369" s="63">
        <f t="shared" si="307"/>
        <v>22.451364858047803</v>
      </c>
      <c r="BL369" s="51">
        <f t="shared" si="355"/>
        <v>-24.023505350017992</v>
      </c>
      <c r="BM369" s="63">
        <f t="shared" si="356"/>
        <v>-25.487557924956995</v>
      </c>
    </row>
    <row r="370" spans="14:65" x14ac:dyDescent="0.35">
      <c r="N370" s="11">
        <v>52</v>
      </c>
      <c r="O370" s="52">
        <f t="shared" si="308"/>
        <v>33113.11214825909</v>
      </c>
      <c r="P370" s="50" t="str">
        <f t="shared" si="309"/>
        <v>36.531007751938</v>
      </c>
      <c r="Q370" s="18" t="str">
        <f t="shared" si="310"/>
        <v>1+101.608656144734i</v>
      </c>
      <c r="R370" s="18">
        <f t="shared" si="321"/>
        <v>101.61357686617862</v>
      </c>
      <c r="S370" s="18">
        <f t="shared" si="322"/>
        <v>1.5609549633364304</v>
      </c>
      <c r="T370" s="18" t="str">
        <f t="shared" si="311"/>
        <v>1+0.0416111639449862i</v>
      </c>
      <c r="U370" s="18">
        <f t="shared" si="323"/>
        <v>1.0008653700497667</v>
      </c>
      <c r="V370" s="18">
        <f t="shared" si="324"/>
        <v>4.1587172440944536E-2</v>
      </c>
      <c r="W370" s="32" t="str">
        <f t="shared" si="312"/>
        <v>1-0.689415733999772i</v>
      </c>
      <c r="X370" s="18">
        <f t="shared" si="325"/>
        <v>1.2146168343500119</v>
      </c>
      <c r="Y370" s="18">
        <f t="shared" si="326"/>
        <v>-0.60358705278419911</v>
      </c>
      <c r="Z370" s="32" t="str">
        <f t="shared" si="313"/>
        <v>0.977345491815224+0.313277123358546i</v>
      </c>
      <c r="AA370" s="18">
        <f t="shared" si="327"/>
        <v>1.0263268321501431</v>
      </c>
      <c r="AB370" s="18">
        <f t="shared" si="328"/>
        <v>0.31019159411925662</v>
      </c>
      <c r="AC370" s="68" t="str">
        <f t="shared" si="329"/>
        <v>-0.323366317534921-0.277070143815566i</v>
      </c>
      <c r="AD370" s="66">
        <f t="shared" si="330"/>
        <v>-7.4152162076886796</v>
      </c>
      <c r="AE370" s="63">
        <f t="shared" si="331"/>
        <v>-139.40902182316984</v>
      </c>
      <c r="AF370" s="51" t="str">
        <f t="shared" si="332"/>
        <v>42.1703962805665</v>
      </c>
      <c r="AG370" s="51" t="str">
        <f t="shared" si="314"/>
        <v>1+18.3578664463175i</v>
      </c>
      <c r="AH370" s="51">
        <f t="shared" si="333"/>
        <v>18.385082552461654</v>
      </c>
      <c r="AI370" s="51">
        <f t="shared" si="334"/>
        <v>1.5163775481481703</v>
      </c>
      <c r="AJ370" s="51" t="str">
        <f t="shared" si="315"/>
        <v>1+0.0416111639449862i</v>
      </c>
      <c r="AK370" s="51">
        <f t="shared" si="335"/>
        <v>1.0008653700497667</v>
      </c>
      <c r="AL370" s="51">
        <f t="shared" si="336"/>
        <v>4.1587172440944536E-2</v>
      </c>
      <c r="AM370" s="51" t="str">
        <f t="shared" si="316"/>
        <v>1-0.107900926956327i</v>
      </c>
      <c r="AN370" s="51">
        <f t="shared" si="337"/>
        <v>1.0058044591460285</v>
      </c>
      <c r="AO370" s="51">
        <f t="shared" si="338"/>
        <v>-0.10748507857843131</v>
      </c>
      <c r="AP370" s="60" t="str">
        <f t="shared" si="339"/>
        <v>-0.0265051739577078-2.30888713188107i</v>
      </c>
      <c r="AQ370" s="51">
        <f t="shared" si="340"/>
        <v>7.2686263498904644</v>
      </c>
      <c r="AR370" s="63">
        <f t="shared" si="341"/>
        <v>-90.657705557713172</v>
      </c>
      <c r="AS370" s="32" t="str">
        <f t="shared" si="317"/>
        <v>-0.000133283554228113</v>
      </c>
      <c r="AT370" s="32" t="str">
        <f t="shared" si="318"/>
        <v>0.0127122105851933i</v>
      </c>
      <c r="AU370" s="32">
        <f t="shared" si="342"/>
        <v>1.27122105851933E-2</v>
      </c>
      <c r="AV370" s="32">
        <f t="shared" si="343"/>
        <v>1.5707963267948966</v>
      </c>
      <c r="AW370" s="32" t="str">
        <f t="shared" si="319"/>
        <v>1+2.22263580490537i</v>
      </c>
      <c r="AX370" s="32">
        <f t="shared" si="344"/>
        <v>2.4372340719035055</v>
      </c>
      <c r="AY370" s="32">
        <f t="shared" si="345"/>
        <v>1.1480120368640805</v>
      </c>
      <c r="AZ370" s="32" t="str">
        <f t="shared" si="320"/>
        <v>1+33.1226945560287i</v>
      </c>
      <c r="BA370" s="32">
        <f t="shared" si="346"/>
        <v>33.137786508032988</v>
      </c>
      <c r="BB370" s="32">
        <f t="shared" si="347"/>
        <v>1.5406147141057676</v>
      </c>
      <c r="BC370" s="60" t="str">
        <f t="shared" si="348"/>
        <v>-0.0545406501117589+0.131708689167457i</v>
      </c>
      <c r="BD370" s="51">
        <f t="shared" si="349"/>
        <v>-16.92036516732378</v>
      </c>
      <c r="BE370" s="63">
        <f t="shared" si="350"/>
        <v>112.49447643148547</v>
      </c>
      <c r="BF370" s="60" t="str">
        <f t="shared" si="351"/>
        <v>0.054129154631987-0.0274785680331726i</v>
      </c>
      <c r="BG370" s="66">
        <f t="shared" si="352"/>
        <v>-24.335581375012467</v>
      </c>
      <c r="BH370" s="63">
        <f t="shared" si="353"/>
        <v>-26.914545391684381</v>
      </c>
      <c r="BI370" s="60" t="str">
        <f t="shared" ref="BI370:BI433" si="357">IMPRODUCT(AP370,BC370)</f>
        <v>0.305546106994644+0.122437243489343i</v>
      </c>
      <c r="BJ370" s="66">
        <f t="shared" si="354"/>
        <v>-9.6517388174333067</v>
      </c>
      <c r="BK370" s="63">
        <f t="shared" ref="BK370:BK433" si="358">(180/PI())*IMARGUMENT(BI370)</f>
        <v>21.836770873772302</v>
      </c>
      <c r="BL370" s="51">
        <f t="shared" si="355"/>
        <v>-24.335581375012467</v>
      </c>
      <c r="BM370" s="63">
        <f t="shared" si="356"/>
        <v>-26.914545391684381</v>
      </c>
    </row>
    <row r="371" spans="14:65" x14ac:dyDescent="0.35">
      <c r="N371" s="11">
        <v>53</v>
      </c>
      <c r="O371" s="52">
        <f t="shared" si="308"/>
        <v>33884.41561392029</v>
      </c>
      <c r="P371" s="50" t="str">
        <f t="shared" si="309"/>
        <v>36.531007751938</v>
      </c>
      <c r="Q371" s="18" t="str">
        <f t="shared" si="310"/>
        <v>1+103.975425787971i</v>
      </c>
      <c r="R371" s="18">
        <f t="shared" si="321"/>
        <v>103.980234505361</v>
      </c>
      <c r="S371" s="18">
        <f t="shared" si="322"/>
        <v>1.5611789661443096</v>
      </c>
      <c r="T371" s="18" t="str">
        <f t="shared" si="311"/>
        <v>1+0.0425804124655502i</v>
      </c>
      <c r="U371" s="18">
        <f t="shared" si="323"/>
        <v>1.0009061352223476</v>
      </c>
      <c r="V371" s="18">
        <f t="shared" si="324"/>
        <v>4.2554706362603591E-2</v>
      </c>
      <c r="W371" s="32" t="str">
        <f t="shared" si="312"/>
        <v>1-0.705474289370063i</v>
      </c>
      <c r="X371" s="18">
        <f t="shared" si="325"/>
        <v>1.2238030776894604</v>
      </c>
      <c r="Y371" s="18">
        <f t="shared" si="326"/>
        <v>-0.61439054304040219</v>
      </c>
      <c r="Z371" s="32" t="str">
        <f t="shared" si="313"/>
        <v>0.976277817737668+0.320574284974675i</v>
      </c>
      <c r="AA371" s="18">
        <f t="shared" si="327"/>
        <v>1.0275632581956438</v>
      </c>
      <c r="AB371" s="18">
        <f t="shared" si="328"/>
        <v>0.31727131798041469</v>
      </c>
      <c r="AC371" s="68" t="str">
        <f t="shared" si="329"/>
        <v>-0.322649638501884-0.267003866670453i</v>
      </c>
      <c r="AD371" s="66">
        <f t="shared" si="330"/>
        <v>-7.5598562877071487</v>
      </c>
      <c r="AE371" s="63">
        <f t="shared" si="331"/>
        <v>-140.39105332146707</v>
      </c>
      <c r="AF371" s="51" t="str">
        <f t="shared" si="332"/>
        <v>42.1703962805665</v>
      </c>
      <c r="AG371" s="51" t="str">
        <f t="shared" si="314"/>
        <v>1+18.7854760877428i</v>
      </c>
      <c r="AH371" s="51">
        <f t="shared" si="333"/>
        <v>18.812073565749117</v>
      </c>
      <c r="AI371" s="51">
        <f t="shared" si="334"/>
        <v>1.517613909289411</v>
      </c>
      <c r="AJ371" s="51" t="str">
        <f t="shared" si="315"/>
        <v>1+0.0425804124655502i</v>
      </c>
      <c r="AK371" s="51">
        <f t="shared" si="335"/>
        <v>1.0009061352223476</v>
      </c>
      <c r="AL371" s="51">
        <f t="shared" si="336"/>
        <v>4.2554706362603591E-2</v>
      </c>
      <c r="AM371" s="51" t="str">
        <f t="shared" si="316"/>
        <v>1-0.110414262415008i</v>
      </c>
      <c r="AN371" s="51">
        <f t="shared" si="337"/>
        <v>1.0060771885619166</v>
      </c>
      <c r="AO371" s="51">
        <f t="shared" si="338"/>
        <v>-0.10996881808995529</v>
      </c>
      <c r="AP371" s="60" t="str">
        <f t="shared" si="339"/>
        <v>-0.0321245912671453-2.25710459252765i</v>
      </c>
      <c r="AQ371" s="51">
        <f t="shared" si="340"/>
        <v>7.0719133430728229</v>
      </c>
      <c r="AR371" s="63">
        <f t="shared" si="341"/>
        <v>-90.815416014233648</v>
      </c>
      <c r="AS371" s="32" t="str">
        <f t="shared" si="317"/>
        <v>-0.000133283554228113</v>
      </c>
      <c r="AT371" s="32" t="str">
        <f t="shared" si="318"/>
        <v>0.0130083160082256i</v>
      </c>
      <c r="AU371" s="32">
        <f t="shared" si="342"/>
        <v>1.30083160082256E-2</v>
      </c>
      <c r="AV371" s="32">
        <f t="shared" si="343"/>
        <v>1.5707963267948966</v>
      </c>
      <c r="AW371" s="32" t="str">
        <f t="shared" si="319"/>
        <v>1+2.27440764355197i</v>
      </c>
      <c r="AX371" s="32">
        <f t="shared" si="344"/>
        <v>2.4845382124345816</v>
      </c>
      <c r="AY371" s="32">
        <f t="shared" si="345"/>
        <v>1.1565618369222366</v>
      </c>
      <c r="AZ371" s="32" t="str">
        <f t="shared" si="320"/>
        <v>1+33.8942212246403i</v>
      </c>
      <c r="BA371" s="32">
        <f t="shared" si="346"/>
        <v>33.908969793033478</v>
      </c>
      <c r="BB371" s="32">
        <f t="shared" si="347"/>
        <v>1.5413013284711643</v>
      </c>
      <c r="BC371" s="60" t="str">
        <f t="shared" si="348"/>
        <v>-0.0524835775016496+0.129615076614174i</v>
      </c>
      <c r="BD371" s="51">
        <f t="shared" si="349"/>
        <v>-17.08751196761192</v>
      </c>
      <c r="BE371" s="63">
        <f t="shared" si="350"/>
        <v>112.04394907776266</v>
      </c>
      <c r="BF371" s="60" t="str">
        <f t="shared" si="351"/>
        <v>0.0515415339429643-0.0278069394843184i</v>
      </c>
      <c r="BG371" s="66">
        <f t="shared" si="352"/>
        <v>-24.647368255319076</v>
      </c>
      <c r="BH371" s="63">
        <f t="shared" si="353"/>
        <v>-28.347104243704422</v>
      </c>
      <c r="BI371" s="60" t="str">
        <f t="shared" si="357"/>
        <v>0.294240798162153+0.114297092452964i</v>
      </c>
      <c r="BJ371" s="66">
        <f t="shared" si="354"/>
        <v>-10.015598624539109</v>
      </c>
      <c r="BK371" s="63">
        <f t="shared" si="358"/>
        <v>21.228533063529028</v>
      </c>
      <c r="BL371" s="51">
        <f t="shared" si="355"/>
        <v>-24.647368255319076</v>
      </c>
      <c r="BM371" s="63">
        <f t="shared" si="356"/>
        <v>-28.347104243704422</v>
      </c>
    </row>
    <row r="372" spans="14:65" x14ac:dyDescent="0.35">
      <c r="N372" s="11">
        <v>54</v>
      </c>
      <c r="O372" s="52">
        <f t="shared" si="308"/>
        <v>34673.685045253202</v>
      </c>
      <c r="P372" s="50" t="str">
        <f t="shared" si="309"/>
        <v>36.531007751938</v>
      </c>
      <c r="Q372" s="18" t="str">
        <f t="shared" si="310"/>
        <v>1+106.397324578238i</v>
      </c>
      <c r="R372" s="18">
        <f t="shared" si="321"/>
        <v>106.40202384074716</v>
      </c>
      <c r="S372" s="18">
        <f t="shared" si="322"/>
        <v>1.5613978709584069</v>
      </c>
      <c r="T372" s="18" t="str">
        <f t="shared" si="311"/>
        <v>1+0.0435722376844214i</v>
      </c>
      <c r="U372" s="18">
        <f t="shared" si="323"/>
        <v>1.0009488198188894</v>
      </c>
      <c r="V372" s="18">
        <f t="shared" si="324"/>
        <v>4.3544694508831694E-2</v>
      </c>
      <c r="W372" s="32" t="str">
        <f t="shared" si="312"/>
        <v>1-0.721906896546627i</v>
      </c>
      <c r="X372" s="18">
        <f t="shared" si="325"/>
        <v>1.2333489235741775</v>
      </c>
      <c r="Y372" s="18">
        <f t="shared" si="326"/>
        <v>-0.62527777693171693</v>
      </c>
      <c r="Z372" s="32" t="str">
        <f t="shared" si="313"/>
        <v>0.975159825731045+0.328041419319997i</v>
      </c>
      <c r="AA372" s="18">
        <f t="shared" si="327"/>
        <v>1.0288575501541892</v>
      </c>
      <c r="AB372" s="18">
        <f t="shared" si="328"/>
        <v>0.32450584929995685</v>
      </c>
      <c r="AC372" s="68" t="str">
        <f t="shared" si="329"/>
        <v>-0.321888137165901-0.257096322794613i</v>
      </c>
      <c r="AD372" s="66">
        <f t="shared" si="330"/>
        <v>-7.7029130738551119</v>
      </c>
      <c r="AE372" s="63">
        <f t="shared" si="331"/>
        <v>-141.38517416479229</v>
      </c>
      <c r="AF372" s="51" t="str">
        <f t="shared" si="332"/>
        <v>42.1703962805665</v>
      </c>
      <c r="AG372" s="51" t="str">
        <f t="shared" si="314"/>
        <v>1+19.2230460372448i</v>
      </c>
      <c r="AH372" s="51">
        <f t="shared" si="333"/>
        <v>19.249038909775027</v>
      </c>
      <c r="AI372" s="51">
        <f t="shared" si="334"/>
        <v>1.518822284690325</v>
      </c>
      <c r="AJ372" s="51" t="str">
        <f t="shared" si="315"/>
        <v>1+0.0435722376844214i</v>
      </c>
      <c r="AK372" s="51">
        <f t="shared" si="335"/>
        <v>1.0009488198188894</v>
      </c>
      <c r="AL372" s="51">
        <f t="shared" si="336"/>
        <v>4.3544694508831694E-2</v>
      </c>
      <c r="AM372" s="51" t="str">
        <f t="shared" si="316"/>
        <v>1-0.112986140977126i</v>
      </c>
      <c r="AN372" s="51">
        <f t="shared" si="337"/>
        <v>1.0063626921010651</v>
      </c>
      <c r="AO372" s="51">
        <f t="shared" si="338"/>
        <v>-0.11250900161601725</v>
      </c>
      <c r="AP372" s="60" t="str">
        <f t="shared" si="339"/>
        <v>-0.0374924904762779-2.20649193875782i</v>
      </c>
      <c r="AQ372" s="51">
        <f t="shared" si="340"/>
        <v>6.8753006368318577</v>
      </c>
      <c r="AR372" s="63">
        <f t="shared" si="341"/>
        <v>-90.973470477458605</v>
      </c>
      <c r="AS372" s="32" t="str">
        <f t="shared" si="317"/>
        <v>-0.000133283554228113</v>
      </c>
      <c r="AT372" s="32" t="str">
        <f t="shared" si="318"/>
        <v>0.0133113186125908i</v>
      </c>
      <c r="AU372" s="32">
        <f t="shared" si="342"/>
        <v>1.33113186125908E-2</v>
      </c>
      <c r="AV372" s="32">
        <f t="shared" si="343"/>
        <v>1.5707963267948966</v>
      </c>
      <c r="AW372" s="32" t="str">
        <f t="shared" si="319"/>
        <v>1+2.3273854032365i</v>
      </c>
      <c r="AX372" s="32">
        <f t="shared" si="344"/>
        <v>2.5331251084773379</v>
      </c>
      <c r="AY372" s="32">
        <f t="shared" si="345"/>
        <v>1.1649795941745591</v>
      </c>
      <c r="AZ372" s="32" t="str">
        <f t="shared" si="320"/>
        <v>1+34.6837190579878i</v>
      </c>
      <c r="BA372" s="32">
        <f t="shared" si="346"/>
        <v>34.698132049051665</v>
      </c>
      <c r="BB372" s="32">
        <f t="shared" si="347"/>
        <v>1.5419723404669359</v>
      </c>
      <c r="BC372" s="60" t="str">
        <f t="shared" si="348"/>
        <v>-0.0504895514689805+0.12752144384458i</v>
      </c>
      <c r="BD372" s="51">
        <f t="shared" si="349"/>
        <v>-17.255901148332896</v>
      </c>
      <c r="BE372" s="63">
        <f t="shared" si="350"/>
        <v>111.60009326959933</v>
      </c>
      <c r="BF372" s="60" t="str">
        <f t="shared" si="351"/>
        <v>0.0490372819585933-0.0280669619856137i</v>
      </c>
      <c r="BG372" s="66">
        <f t="shared" si="352"/>
        <v>-24.958814222188003</v>
      </c>
      <c r="BH372" s="63">
        <f t="shared" si="353"/>
        <v>-29.785080895192952</v>
      </c>
      <c r="BI372" s="60" t="str">
        <f t="shared" si="357"/>
        <v>0.283268016889426+0.106623691788939i</v>
      </c>
      <c r="BJ372" s="66">
        <f t="shared" si="354"/>
        <v>-10.380600511501045</v>
      </c>
      <c r="BK372" s="63">
        <f t="shared" si="358"/>
        <v>20.626622792140662</v>
      </c>
      <c r="BL372" s="51">
        <f t="shared" si="355"/>
        <v>-24.958814222188003</v>
      </c>
      <c r="BM372" s="63">
        <f t="shared" si="356"/>
        <v>-29.785080895192952</v>
      </c>
    </row>
    <row r="373" spans="14:65" x14ac:dyDescent="0.35">
      <c r="N373" s="11">
        <v>55</v>
      </c>
      <c r="O373" s="52">
        <f t="shared" si="308"/>
        <v>35481.33892335758</v>
      </c>
      <c r="P373" s="50" t="str">
        <f t="shared" si="309"/>
        <v>36.531007751938</v>
      </c>
      <c r="Q373" s="18" t="str">
        <f t="shared" si="310"/>
        <v>1+108.875636638332i</v>
      </c>
      <c r="R373" s="18">
        <f t="shared" si="321"/>
        <v>108.88022893713119</v>
      </c>
      <c r="S373" s="18">
        <f t="shared" si="322"/>
        <v>1.5616117937609857</v>
      </c>
      <c r="T373" s="18" t="str">
        <f t="shared" si="311"/>
        <v>1+0.04458716548046i</v>
      </c>
      <c r="U373" s="18">
        <f t="shared" si="323"/>
        <v>1.00099351412763</v>
      </c>
      <c r="V373" s="18">
        <f t="shared" si="324"/>
        <v>4.4557654017914353E-2</v>
      </c>
      <c r="W373" s="32" t="str">
        <f t="shared" si="312"/>
        <v>1-0.738722268315314i</v>
      </c>
      <c r="X373" s="18">
        <f t="shared" si="325"/>
        <v>1.2432660977059267</v>
      </c>
      <c r="Y373" s="18">
        <f t="shared" si="326"/>
        <v>-0.63624420332982656</v>
      </c>
      <c r="Z373" s="32" t="str">
        <f t="shared" si="313"/>
        <v>0.973989144384418+0.335682485567987i</v>
      </c>
      <c r="AA373" s="18">
        <f t="shared" si="327"/>
        <v>1.0302123977587303</v>
      </c>
      <c r="AB373" s="18">
        <f t="shared" si="328"/>
        <v>0.33189810813436416</v>
      </c>
      <c r="AC373" s="68" t="str">
        <f t="shared" si="329"/>
        <v>-0.321080706194996-0.24734339467604i</v>
      </c>
      <c r="AD373" s="66">
        <f t="shared" si="330"/>
        <v>-7.8443757949837911</v>
      </c>
      <c r="AE373" s="63">
        <f t="shared" si="331"/>
        <v>-142.3912679150659</v>
      </c>
      <c r="AF373" s="51" t="str">
        <f t="shared" si="332"/>
        <v>42.1703962805665</v>
      </c>
      <c r="AG373" s="51" t="str">
        <f t="shared" si="314"/>
        <v>1+19.670808300203i</v>
      </c>
      <c r="AH373" s="51">
        <f t="shared" si="333"/>
        <v>19.696210274652717</v>
      </c>
      <c r="AI373" s="51">
        <f t="shared" si="334"/>
        <v>1.5200033009240606</v>
      </c>
      <c r="AJ373" s="51" t="str">
        <f t="shared" si="315"/>
        <v>1+0.04458716548046i</v>
      </c>
      <c r="AK373" s="51">
        <f t="shared" si="335"/>
        <v>1.00099351412763</v>
      </c>
      <c r="AL373" s="51">
        <f t="shared" si="336"/>
        <v>4.4557654017914353E-2</v>
      </c>
      <c r="AM373" s="51" t="str">
        <f t="shared" si="316"/>
        <v>1-0.115617926286738i</v>
      </c>
      <c r="AN373" s="51">
        <f t="shared" si="337"/>
        <v>1.0066615642204908</v>
      </c>
      <c r="AO373" s="51">
        <f t="shared" si="338"/>
        <v>-0.11510684479951822</v>
      </c>
      <c r="AP373" s="60" t="str">
        <f t="shared" si="339"/>
        <v>-0.0426200693002069-2.15702411836513i</v>
      </c>
      <c r="AQ373" s="51">
        <f t="shared" si="340"/>
        <v>6.6787952101822174</v>
      </c>
      <c r="AR373" s="63">
        <f t="shared" si="341"/>
        <v>-91.131944868751432</v>
      </c>
      <c r="AS373" s="32" t="str">
        <f t="shared" si="317"/>
        <v>-0.000133283554228113</v>
      </c>
      <c r="AT373" s="32" t="str">
        <f t="shared" si="318"/>
        <v>0.0136213790542805i</v>
      </c>
      <c r="AU373" s="32">
        <f t="shared" si="342"/>
        <v>1.36213790542805E-2</v>
      </c>
      <c r="AV373" s="32">
        <f t="shared" si="343"/>
        <v>1.5707963267948966</v>
      </c>
      <c r="AW373" s="32" t="str">
        <f t="shared" si="319"/>
        <v>1+2.38159717346844i</v>
      </c>
      <c r="AX373" s="32">
        <f t="shared" si="344"/>
        <v>2.583022473125788</v>
      </c>
      <c r="AY373" s="32">
        <f t="shared" si="345"/>
        <v>1.1732649990110326</v>
      </c>
      <c r="AZ373" s="32" t="str">
        <f t="shared" si="320"/>
        <v>1+35.4916066582735i</v>
      </c>
      <c r="BA373" s="32">
        <f t="shared" si="346"/>
        <v>35.505691701269583</v>
      </c>
      <c r="BB373" s="32">
        <f t="shared" si="347"/>
        <v>1.5426281034541183</v>
      </c>
      <c r="BC373" s="60" t="str">
        <f t="shared" si="348"/>
        <v>-0.0485577352154151+0.125429844553452i</v>
      </c>
      <c r="BD373" s="51">
        <f t="shared" si="349"/>
        <v>-17.42549440297185</v>
      </c>
      <c r="BE373" s="63">
        <f t="shared" si="350"/>
        <v>111.16294699243861</v>
      </c>
      <c r="BF373" s="60" t="str">
        <f t="shared" si="351"/>
        <v>0.0466151954597339-0.0282626680011899i</v>
      </c>
      <c r="BG373" s="66">
        <f t="shared" si="352"/>
        <v>-25.269870197955644</v>
      </c>
      <c r="BH373" s="63">
        <f t="shared" si="353"/>
        <v>-31.228320922627333</v>
      </c>
      <c r="BI373" s="60" t="str">
        <f t="shared" si="357"/>
        <v>0.272624733904527+0.0993943773256559i</v>
      </c>
      <c r="BJ373" s="66">
        <f t="shared" si="354"/>
        <v>-10.746699192789638</v>
      </c>
      <c r="BK373" s="63">
        <f t="shared" si="358"/>
        <v>20.03100212368718</v>
      </c>
      <c r="BL373" s="51">
        <f t="shared" si="355"/>
        <v>-25.269870197955644</v>
      </c>
      <c r="BM373" s="63">
        <f t="shared" si="356"/>
        <v>-31.228320922627333</v>
      </c>
    </row>
    <row r="374" spans="14:65" x14ac:dyDescent="0.35">
      <c r="N374" s="11">
        <v>56</v>
      </c>
      <c r="O374" s="52">
        <f t="shared" si="308"/>
        <v>36307.805477010232</v>
      </c>
      <c r="P374" s="50" t="str">
        <f t="shared" si="309"/>
        <v>36.531007751938</v>
      </c>
      <c r="Q374" s="18" t="str">
        <f t="shared" si="310"/>
        <v>1+111.411676002111i</v>
      </c>
      <c r="R374" s="18">
        <f t="shared" si="321"/>
        <v>111.4161637716869</v>
      </c>
      <c r="S374" s="18">
        <f t="shared" si="322"/>
        <v>1.5618208478983846</v>
      </c>
      <c r="T374" s="18" t="str">
        <f t="shared" si="311"/>
        <v>1+0.045625733981817i</v>
      </c>
      <c r="U374" s="18">
        <f t="shared" si="323"/>
        <v>1.0010403126754583</v>
      </c>
      <c r="V374" s="18">
        <f t="shared" si="324"/>
        <v>4.5594113654580035E-2</v>
      </c>
      <c r="W374" s="32" t="str">
        <f t="shared" si="312"/>
        <v>1-0.755929320408803i</v>
      </c>
      <c r="X374" s="18">
        <f t="shared" si="325"/>
        <v>1.2535665668219278</v>
      </c>
      <c r="Y374" s="18">
        <f t="shared" si="326"/>
        <v>-0.64728508626401327</v>
      </c>
      <c r="Z374" s="32" t="str">
        <f t="shared" si="313"/>
        <v>0.972763290525694+0.343501535113106i</v>
      </c>
      <c r="AA374" s="18">
        <f t="shared" si="327"/>
        <v>1.0316306141344567</v>
      </c>
      <c r="AB374" s="18">
        <f t="shared" si="328"/>
        <v>0.33945103773056018</v>
      </c>
      <c r="AC374" s="68" t="str">
        <f t="shared" si="329"/>
        <v>-0.320226185426712-0.237741114125418i</v>
      </c>
      <c r="AD374" s="66">
        <f t="shared" si="330"/>
        <v>-7.9842360320514398</v>
      </c>
      <c r="AE374" s="63">
        <f t="shared" si="331"/>
        <v>-143.40920805506039</v>
      </c>
      <c r="AF374" s="51" t="str">
        <f t="shared" si="332"/>
        <v>42.1703962805665</v>
      </c>
      <c r="AG374" s="51" t="str">
        <f t="shared" si="314"/>
        <v>1+20.1290002860958i</v>
      </c>
      <c r="AH374" s="51">
        <f t="shared" si="333"/>
        <v>20.153824761509782</v>
      </c>
      <c r="AI374" s="51">
        <f t="shared" si="334"/>
        <v>1.5211575709953324</v>
      </c>
      <c r="AJ374" s="51" t="str">
        <f t="shared" si="315"/>
        <v>1+0.045625733981817i</v>
      </c>
      <c r="AK374" s="51">
        <f t="shared" si="335"/>
        <v>1.0010403126754583</v>
      </c>
      <c r="AL374" s="51">
        <f t="shared" si="336"/>
        <v>4.5594113654580035E-2</v>
      </c>
      <c r="AM374" s="51" t="str">
        <f t="shared" si="316"/>
        <v>1-0.118311013751252i</v>
      </c>
      <c r="AN374" s="51">
        <f t="shared" si="337"/>
        <v>1.0069744266737111</v>
      </c>
      <c r="AO374" s="51">
        <f t="shared" si="338"/>
        <v>-0.11776358471709171</v>
      </c>
      <c r="AP374" s="60" t="str">
        <f t="shared" si="339"/>
        <v>-0.0475180321867667-2.10867656815878i</v>
      </c>
      <c r="AQ374" s="51">
        <f t="shared" si="340"/>
        <v>6.4824042519420484</v>
      </c>
      <c r="AR374" s="63">
        <f t="shared" si="341"/>
        <v>-91.290914893977885</v>
      </c>
      <c r="AS374" s="32" t="str">
        <f t="shared" si="317"/>
        <v>-0.000133283554228113</v>
      </c>
      <c r="AT374" s="32" t="str">
        <f t="shared" si="318"/>
        <v>0.0139386617314451i</v>
      </c>
      <c r="AU374" s="32">
        <f t="shared" si="342"/>
        <v>1.39386617314451E-2</v>
      </c>
      <c r="AV374" s="32">
        <f t="shared" si="343"/>
        <v>1.5707963267948966</v>
      </c>
      <c r="AW374" s="32" t="str">
        <f t="shared" si="319"/>
        <v>1+2.4370716980459i</v>
      </c>
      <c r="AX374" s="32">
        <f t="shared" si="344"/>
        <v>2.6342586170337046</v>
      </c>
      <c r="AY374" s="32">
        <f t="shared" si="345"/>
        <v>1.1814178932041752</v>
      </c>
      <c r="AZ374" s="32" t="str">
        <f t="shared" si="320"/>
        <v>1+36.3183123781962i</v>
      </c>
      <c r="BA374" s="32">
        <f t="shared" si="346"/>
        <v>36.33207692935045</v>
      </c>
      <c r="BB374" s="32">
        <f t="shared" si="347"/>
        <v>1.5432689628696794</v>
      </c>
      <c r="BC374" s="60" t="str">
        <f t="shared" si="348"/>
        <v>-0.0466872155589204+0.123342240260967i</v>
      </c>
      <c r="BD374" s="51">
        <f t="shared" si="349"/>
        <v>-17.596253949428494</v>
      </c>
      <c r="BE374" s="63">
        <f t="shared" si="350"/>
        <v>110.73253910412772</v>
      </c>
      <c r="BF374" s="60" t="str">
        <f t="shared" si="351"/>
        <v>0.044273990564995-0.0283979444583632i</v>
      </c>
      <c r="BG374" s="66">
        <f t="shared" si="352"/>
        <v>-25.580489981479936</v>
      </c>
      <c r="BH374" s="63">
        <f t="shared" si="353"/>
        <v>-32.676668950932672</v>
      </c>
      <c r="BI374" s="60" t="str">
        <f t="shared" si="357"/>
        <v>0.262307376514151+0.0925872569389649i</v>
      </c>
      <c r="BJ374" s="66">
        <f t="shared" si="354"/>
        <v>-11.113849697486447</v>
      </c>
      <c r="BK374" s="63">
        <f t="shared" si="358"/>
        <v>19.441624210149836</v>
      </c>
      <c r="BL374" s="51">
        <f t="shared" si="355"/>
        <v>-25.580489981479936</v>
      </c>
      <c r="BM374" s="63">
        <f t="shared" si="356"/>
        <v>-32.676668950932672</v>
      </c>
    </row>
    <row r="375" spans="14:65" x14ac:dyDescent="0.35">
      <c r="N375" s="11">
        <v>57</v>
      </c>
      <c r="O375" s="52">
        <f t="shared" si="308"/>
        <v>37153.522909717351</v>
      </c>
      <c r="P375" s="50" t="str">
        <f t="shared" si="309"/>
        <v>36.531007751938</v>
      </c>
      <c r="Q375" s="18" t="str">
        <f t="shared" si="310"/>
        <v>1+114.006787311214i</v>
      </c>
      <c r="R375" s="18">
        <f t="shared" si="321"/>
        <v>114.01117293065792</v>
      </c>
      <c r="S375" s="18">
        <f t="shared" si="322"/>
        <v>1.5620251441407413</v>
      </c>
      <c r="T375" s="18" t="str">
        <f t="shared" si="311"/>
        <v>1+0.0466884938512592i</v>
      </c>
      <c r="U375" s="18">
        <f t="shared" si="323"/>
        <v>1.0010893144260899</v>
      </c>
      <c r="V375" s="18">
        <f t="shared" si="324"/>
        <v>4.6654614051055844E-2</v>
      </c>
      <c r="W375" s="32" t="str">
        <f t="shared" si="312"/>
        <v>1-0.773537176233881i</v>
      </c>
      <c r="X375" s="18">
        <f t="shared" si="325"/>
        <v>1.2642625372191831</v>
      </c>
      <c r="Y375" s="18">
        <f t="shared" si="326"/>
        <v>-0.65839551296910792</v>
      </c>
      <c r="Z375" s="32" t="str">
        <f t="shared" si="313"/>
        <v>0.971479663954486+0.351502713718923i</v>
      </c>
      <c r="AA375" s="18">
        <f t="shared" si="327"/>
        <v>1.0331151413220543</v>
      </c>
      <c r="AB375" s="18">
        <f t="shared" si="328"/>
        <v>0.34716760233811128</v>
      </c>
      <c r="AC375" s="68" t="str">
        <f t="shared" si="329"/>
        <v>-0.319323363099186-0.228285663698077i</v>
      </c>
      <c r="AD375" s="66">
        <f t="shared" si="330"/>
        <v>-8.1224878504329521</v>
      </c>
      <c r="AE375" s="63">
        <f t="shared" si="331"/>
        <v>-144.43885831377179</v>
      </c>
      <c r="AF375" s="51" t="str">
        <f t="shared" si="332"/>
        <v>42.1703962805665</v>
      </c>
      <c r="AG375" s="51" t="str">
        <f t="shared" si="314"/>
        <v>1+20.5978649343791i</v>
      </c>
      <c r="AH375" s="51">
        <f t="shared" si="333"/>
        <v>20.622125008226579</v>
      </c>
      <c r="AI375" s="51">
        <f t="shared" si="334"/>
        <v>1.5222856946033891</v>
      </c>
      <c r="AJ375" s="51" t="str">
        <f t="shared" si="315"/>
        <v>1+0.0466884938512592i</v>
      </c>
      <c r="AK375" s="51">
        <f t="shared" si="335"/>
        <v>1.0010893144260899</v>
      </c>
      <c r="AL375" s="51">
        <f t="shared" si="336"/>
        <v>4.6654614051055844E-2</v>
      </c>
      <c r="AM375" s="51" t="str">
        <f t="shared" si="316"/>
        <v>1-0.121066831281288i</v>
      </c>
      <c r="AN375" s="51">
        <f t="shared" si="337"/>
        <v>1.0073019297293597</v>
      </c>
      <c r="AO375" s="51">
        <f t="shared" si="338"/>
        <v>-0.12048047991068452</v>
      </c>
      <c r="AP375" s="60" t="str">
        <f t="shared" si="339"/>
        <v>-0.0521966115826186-2.06142520870298i</v>
      </c>
      <c r="AQ375" s="51">
        <f t="shared" si="340"/>
        <v>6.2861351741593898</v>
      </c>
      <c r="AR375" s="63">
        <f t="shared" si="341"/>
        <v>-91.450456046570821</v>
      </c>
      <c r="AS375" s="32" t="str">
        <f t="shared" si="317"/>
        <v>-0.000133283554228113</v>
      </c>
      <c r="AT375" s="32" t="str">
        <f t="shared" si="318"/>
        <v>0.0142633348715597i</v>
      </c>
      <c r="AU375" s="32">
        <f t="shared" si="342"/>
        <v>1.42633348715597E-2</v>
      </c>
      <c r="AV375" s="32">
        <f t="shared" si="343"/>
        <v>1.5707963267948966</v>
      </c>
      <c r="AW375" s="32" t="str">
        <f t="shared" si="319"/>
        <v>1+2.49383839029613i</v>
      </c>
      <c r="AX375" s="32">
        <f t="shared" si="344"/>
        <v>2.6868624670635439</v>
      </c>
      <c r="AY375" s="32">
        <f t="shared" si="345"/>
        <v>1.1894382631150004</v>
      </c>
      <c r="AZ375" s="32" t="str">
        <f t="shared" si="320"/>
        <v>1+37.1642745480716i</v>
      </c>
      <c r="BA375" s="32">
        <f t="shared" si="346"/>
        <v>37.177725894471315</v>
      </c>
      <c r="BB375" s="32">
        <f t="shared" si="347"/>
        <v>1.5438952563989474</v>
      </c>
      <c r="BC375" s="60" t="str">
        <f t="shared" si="348"/>
        <v>-0.0448770105078736+0.121260499133113i</v>
      </c>
      <c r="BD375" s="51">
        <f t="shared" si="349"/>
        <v>-17.768142575543806</v>
      </c>
      <c r="BE375" s="63">
        <f t="shared" si="350"/>
        <v>110.30888973406714</v>
      </c>
      <c r="BF375" s="60" t="str">
        <f t="shared" si="351"/>
        <v>0.0420123114461745-0.0284765322656961i</v>
      </c>
      <c r="BG375" s="66">
        <f t="shared" si="352"/>
        <v>-25.890630425976756</v>
      </c>
      <c r="BH375" s="63">
        <f t="shared" si="353"/>
        <v>-34.129968579704673</v>
      </c>
      <c r="BI375" s="60" t="str">
        <f t="shared" si="357"/>
        <v>0.252311877619374+0.0861812135785936i</v>
      </c>
      <c r="BJ375" s="66">
        <f t="shared" si="354"/>
        <v>-11.482007401384401</v>
      </c>
      <c r="BK375" s="63">
        <f t="shared" si="358"/>
        <v>18.858433687496291</v>
      </c>
      <c r="BL375" s="51">
        <f t="shared" si="355"/>
        <v>-25.890630425976756</v>
      </c>
      <c r="BM375" s="63">
        <f t="shared" si="356"/>
        <v>-34.129968579704673</v>
      </c>
    </row>
    <row r="376" spans="14:65" x14ac:dyDescent="0.35">
      <c r="N376" s="11">
        <v>58</v>
      </c>
      <c r="O376" s="52">
        <f t="shared" si="308"/>
        <v>38018.939632056143</v>
      </c>
      <c r="P376" s="50" t="str">
        <f t="shared" si="309"/>
        <v>36.531007751938</v>
      </c>
      <c r="Q376" s="18" t="str">
        <f t="shared" si="310"/>
        <v>1+116.662346528008i</v>
      </c>
      <c r="R376" s="18">
        <f t="shared" si="321"/>
        <v>116.6666323222755</v>
      </c>
      <c r="S376" s="18">
        <f t="shared" si="322"/>
        <v>1.5622247907403748</v>
      </c>
      <c r="T376" s="18" t="str">
        <f t="shared" si="311"/>
        <v>1+0.0477760085781366i</v>
      </c>
      <c r="U376" s="18">
        <f t="shared" si="323"/>
        <v>1.0011406229874293</v>
      </c>
      <c r="V376" s="18">
        <f t="shared" si="324"/>
        <v>4.7739707951633056E-2</v>
      </c>
      <c r="W376" s="32" t="str">
        <f t="shared" si="312"/>
        <v>1-0.791555171708773i</v>
      </c>
      <c r="X376" s="18">
        <f t="shared" si="325"/>
        <v>1.2753664531650915</v>
      </c>
      <c r="Y376" s="18">
        <f t="shared" si="326"/>
        <v>-0.66957040290131475</v>
      </c>
      <c r="Z376" s="32" t="str">
        <f t="shared" si="313"/>
        <v>0.970135541926737+0.359690263716241i</v>
      </c>
      <c r="AA376" s="18">
        <f t="shared" si="327"/>
        <v>1.0346690560376022</v>
      </c>
      <c r="AB376" s="18">
        <f t="shared" si="328"/>
        <v>0.35505078482750124</v>
      </c>
      <c r="AC376" s="68" t="str">
        <f t="shared" si="329"/>
        <v>-0.318370977248793-0.218973378300016i</v>
      </c>
      <c r="AD376" s="66">
        <f t="shared" si="330"/>
        <v>-8.2591279285619965</v>
      </c>
      <c r="AE376" s="63">
        <f t="shared" si="331"/>
        <v>-145.48007303585871</v>
      </c>
      <c r="AF376" s="51" t="str">
        <f t="shared" si="332"/>
        <v>42.1703962805665</v>
      </c>
      <c r="AG376" s="51" t="str">
        <f t="shared" si="314"/>
        <v>1+21.0776508432956i</v>
      </c>
      <c r="AH376" s="51">
        <f t="shared" si="333"/>
        <v>21.101359318107441</v>
      </c>
      <c r="AI376" s="51">
        <f t="shared" si="334"/>
        <v>1.5233882584020062</v>
      </c>
      <c r="AJ376" s="51" t="str">
        <f t="shared" si="315"/>
        <v>1+0.0477760085781366i</v>
      </c>
      <c r="AK376" s="51">
        <f t="shared" si="335"/>
        <v>1.0011406229874293</v>
      </c>
      <c r="AL376" s="51">
        <f t="shared" si="336"/>
        <v>4.7739707951633056E-2</v>
      </c>
      <c r="AM376" s="51" t="str">
        <f t="shared" si="316"/>
        <v>1-0.123886840047778i</v>
      </c>
      <c r="AN376" s="51">
        <f t="shared" si="337"/>
        <v>1.0076447534409256</v>
      </c>
      <c r="AO376" s="51">
        <f t="shared" si="338"/>
        <v>-0.12325881038932633</v>
      </c>
      <c r="AP376" s="60" t="str">
        <f t="shared" si="339"/>
        <v>-0.0566655883234351-2.0152464388069i</v>
      </c>
      <c r="AQ376" s="51">
        <f t="shared" si="340"/>
        <v>6.0899956258575214</v>
      </c>
      <c r="AR376" s="63">
        <f t="shared" si="341"/>
        <v>-91.610643608515787</v>
      </c>
      <c r="AS376" s="32" t="str">
        <f t="shared" si="317"/>
        <v>-0.000133283554228113</v>
      </c>
      <c r="AT376" s="32" t="str">
        <f t="shared" si="318"/>
        <v>0.0145955706206207i</v>
      </c>
      <c r="AU376" s="32">
        <f t="shared" si="342"/>
        <v>1.4595570620620699E-2</v>
      </c>
      <c r="AV376" s="32">
        <f t="shared" si="343"/>
        <v>1.5707963267948966</v>
      </c>
      <c r="AW376" s="32" t="str">
        <f t="shared" si="319"/>
        <v>1+2.55192734867074i</v>
      </c>
      <c r="AX376" s="32">
        <f t="shared" si="344"/>
        <v>2.7408635852398184</v>
      </c>
      <c r="AY376" s="32">
        <f t="shared" si="345"/>
        <v>1.1973262328389449</v>
      </c>
      <c r="AZ376" s="32" t="str">
        <f t="shared" si="320"/>
        <v>1+38.0299417082396i</v>
      </c>
      <c r="BA376" s="32">
        <f t="shared" si="346"/>
        <v>38.043086971644428</v>
      </c>
      <c r="BB376" s="32">
        <f t="shared" si="347"/>
        <v>1.5445073141446393</v>
      </c>
      <c r="BC376" s="60" t="str">
        <f t="shared" si="348"/>
        <v>-0.0431260766157988+0.119186395339637i</v>
      </c>
      <c r="BD376" s="51">
        <f t="shared" si="349"/>
        <v>-17.941123679985594</v>
      </c>
      <c r="BE376" s="63">
        <f t="shared" si="350"/>
        <v>109.8920106856046</v>
      </c>
      <c r="BF376" s="60" t="str">
        <f t="shared" si="351"/>
        <v>0.0398287387919998-0.0285020264696544i</v>
      </c>
      <c r="BG376" s="66">
        <f t="shared" si="352"/>
        <v>-26.200251608547592</v>
      </c>
      <c r="BH376" s="63">
        <f t="shared" si="353"/>
        <v>-35.58806235025407</v>
      </c>
      <c r="BI376" s="60" t="str">
        <f t="shared" si="357"/>
        <v>0.242633723265951+0.080155905107632i</v>
      </c>
      <c r="BJ376" s="66">
        <f t="shared" si="354"/>
        <v>-11.851128054128059</v>
      </c>
      <c r="BK376" s="63">
        <f t="shared" si="358"/>
        <v>18.281367077088799</v>
      </c>
      <c r="BL376" s="51">
        <f t="shared" si="355"/>
        <v>-26.200251608547592</v>
      </c>
      <c r="BM376" s="63">
        <f t="shared" si="356"/>
        <v>-35.58806235025407</v>
      </c>
    </row>
    <row r="377" spans="14:65" x14ac:dyDescent="0.35">
      <c r="N377" s="11">
        <v>59</v>
      </c>
      <c r="O377" s="52">
        <f t="shared" si="308"/>
        <v>38904.514499428085</v>
      </c>
      <c r="P377" s="50" t="str">
        <f t="shared" si="309"/>
        <v>36.531007751938</v>
      </c>
      <c r="Q377" s="18" t="str">
        <f t="shared" si="310"/>
        <v>1+119.379761665139i</v>
      </c>
      <c r="R377" s="18">
        <f t="shared" si="321"/>
        <v>119.38394990628093</v>
      </c>
      <c r="S377" s="18">
        <f t="shared" si="322"/>
        <v>1.5624198934888569</v>
      </c>
      <c r="T377" s="18" t="str">
        <f t="shared" si="311"/>
        <v>1+0.0488888547771524i</v>
      </c>
      <c r="U377" s="18">
        <f t="shared" si="323"/>
        <v>1.0011943468285374</v>
      </c>
      <c r="V377" s="18">
        <f t="shared" si="324"/>
        <v>4.8849960460682726E-2</v>
      </c>
      <c r="W377" s="32" t="str">
        <f t="shared" si="312"/>
        <v>1-0.809992860213177i</v>
      </c>
      <c r="X377" s="18">
        <f t="shared" si="325"/>
        <v>1.286890995226994</v>
      </c>
      <c r="Y377" s="18">
        <f t="shared" si="326"/>
        <v>-0.6808045176956381</v>
      </c>
      <c r="Z377" s="32" t="str">
        <f t="shared" si="313"/>
        <v>0.968728073379417+0.368068526252446i</v>
      </c>
      <c r="AA377" s="18">
        <f t="shared" si="327"/>
        <v>1.0362955756786019</v>
      </c>
      <c r="AB377" s="18">
        <f t="shared" si="328"/>
        <v>0.3631035841051744</v>
      </c>
      <c r="AC377" s="68" t="str">
        <f t="shared" si="329"/>
        <v>-0.317367717293716-0.209800746973186i</v>
      </c>
      <c r="AD377" s="66">
        <f t="shared" si="330"/>
        <v>-8.3941556820688152</v>
      </c>
      <c r="AE377" s="63">
        <f t="shared" si="331"/>
        <v>-146.5326975931126</v>
      </c>
      <c r="AF377" s="51" t="str">
        <f t="shared" si="332"/>
        <v>42.1703962805665</v>
      </c>
      <c r="AG377" s="51" t="str">
        <f t="shared" si="314"/>
        <v>1+21.5686124016849i</v>
      </c>
      <c r="AH377" s="51">
        <f t="shared" si="333"/>
        <v>21.591781791554759</v>
      </c>
      <c r="AI377" s="51">
        <f t="shared" si="334"/>
        <v>1.524465836256383</v>
      </c>
      <c r="AJ377" s="51" t="str">
        <f t="shared" si="315"/>
        <v>1+0.0488888547771524i</v>
      </c>
      <c r="AK377" s="51">
        <f t="shared" si="335"/>
        <v>1.0011943468285374</v>
      </c>
      <c r="AL377" s="51">
        <f t="shared" si="336"/>
        <v>4.8849960460682726E-2</v>
      </c>
      <c r="AM377" s="51" t="str">
        <f t="shared" si="316"/>
        <v>1-0.126772535256698i</v>
      </c>
      <c r="AN377" s="51">
        <f t="shared" si="337"/>
        <v>1.0080036089694375</v>
      </c>
      <c r="AO377" s="51">
        <f t="shared" si="338"/>
        <v>-0.12609987759853714</v>
      </c>
      <c r="AP377" s="60" t="str">
        <f t="shared" si="339"/>
        <v>-0.0609343111805471-1.97011712979459i</v>
      </c>
      <c r="AQ377" s="51">
        <f t="shared" si="340"/>
        <v>5.8939935071125493</v>
      </c>
      <c r="AR377" s="63">
        <f t="shared" si="341"/>
        <v>-91.771552649106752</v>
      </c>
      <c r="AS377" s="32" t="str">
        <f t="shared" si="317"/>
        <v>-0.000133283554228113</v>
      </c>
      <c r="AT377" s="32" t="str">
        <f t="shared" si="318"/>
        <v>0.01493554513442i</v>
      </c>
      <c r="AU377" s="32">
        <f t="shared" si="342"/>
        <v>1.4935545134419999E-2</v>
      </c>
      <c r="AV377" s="32">
        <f t="shared" si="343"/>
        <v>1.5707963267948966</v>
      </c>
      <c r="AW377" s="32" t="str">
        <f t="shared" si="319"/>
        <v>1+2.61136937270438i</v>
      </c>
      <c r="AX377" s="32">
        <f t="shared" si="344"/>
        <v>2.7962921880051206</v>
      </c>
      <c r="AY377" s="32">
        <f t="shared" si="345"/>
        <v>1.2050820573284837</v>
      </c>
      <c r="AZ377" s="32" t="str">
        <f t="shared" si="320"/>
        <v>1+38.9157728468872i</v>
      </c>
      <c r="BA377" s="32">
        <f t="shared" si="346"/>
        <v>38.928618987456041</v>
      </c>
      <c r="BB377" s="32">
        <f t="shared" si="347"/>
        <v>1.5451054587925364</v>
      </c>
      <c r="BC377" s="60" t="str">
        <f t="shared" si="348"/>
        <v>-0.041433316086735+0.117121608908596i</v>
      </c>
      <c r="BD377" s="51">
        <f t="shared" si="349"/>
        <v>-18.115161308638296</v>
      </c>
      <c r="BE377" s="63">
        <f t="shared" si="350"/>
        <v>109.48190583957268</v>
      </c>
      <c r="BF377" s="60" t="str">
        <f t="shared" si="351"/>
        <v>0.0377217979820809-0.0284778770005153i</v>
      </c>
      <c r="BG377" s="66">
        <f t="shared" si="352"/>
        <v>-26.509316990707113</v>
      </c>
      <c r="BH377" s="63">
        <f t="shared" si="353"/>
        <v>-37.050791753539897</v>
      </c>
      <c r="BI377" s="60" t="str">
        <f t="shared" si="357"/>
        <v>0.233267998555599+0.0744917612034676i</v>
      </c>
      <c r="BJ377" s="66">
        <f t="shared" si="354"/>
        <v>-12.221167801525738</v>
      </c>
      <c r="BK377" s="63">
        <f t="shared" si="358"/>
        <v>17.710353190465884</v>
      </c>
      <c r="BL377" s="51">
        <f t="shared" si="355"/>
        <v>-26.509316990707113</v>
      </c>
      <c r="BM377" s="63">
        <f t="shared" si="356"/>
        <v>-37.050791753539897</v>
      </c>
    </row>
    <row r="378" spans="14:65" x14ac:dyDescent="0.35">
      <c r="N378" s="11">
        <v>60</v>
      </c>
      <c r="O378" s="52">
        <f t="shared" si="308"/>
        <v>39810.717055349742</v>
      </c>
      <c r="P378" s="50" t="str">
        <f t="shared" si="309"/>
        <v>36.531007751938</v>
      </c>
      <c r="Q378" s="18" t="str">
        <f t="shared" si="310"/>
        <v>1+122.160473532084i</v>
      </c>
      <c r="R378" s="18">
        <f t="shared" si="321"/>
        <v>122.16456644044948</v>
      </c>
      <c r="S378" s="18">
        <f t="shared" si="322"/>
        <v>1.5626105557728005</v>
      </c>
      <c r="T378" s="18" t="str">
        <f t="shared" si="311"/>
        <v>1+0.0500276224940914i</v>
      </c>
      <c r="U378" s="18">
        <f t="shared" si="323"/>
        <v>1.0012505995066425</v>
      </c>
      <c r="V378" s="18">
        <f t="shared" si="324"/>
        <v>4.9985949294042008E-2</v>
      </c>
      <c r="W378" s="32" t="str">
        <f t="shared" si="312"/>
        <v>1-0.828860017653586i</v>
      </c>
      <c r="X378" s="18">
        <f t="shared" si="325"/>
        <v>1.2988490785555891</v>
      </c>
      <c r="Y378" s="18">
        <f t="shared" si="326"/>
        <v>-0.69209247202924029</v>
      </c>
      <c r="Z378" s="32" t="str">
        <f t="shared" si="313"/>
        <v>0.967254272883035+0.376641943593232i</v>
      </c>
      <c r="AA378" s="18">
        <f t="shared" si="327"/>
        <v>1.037998064585949</v>
      </c>
      <c r="AB378" s="18">
        <f t="shared" si="328"/>
        <v>0.37132901231590582</v>
      </c>
      <c r="AC378" s="68" t="str">
        <f t="shared" si="329"/>
        <v>-0.316312225823677-0.200764414853931i</v>
      </c>
      <c r="AD378" s="66">
        <f t="shared" si="330"/>
        <v>-8.5275733825799378</v>
      </c>
      <c r="AE378" s="63">
        <f t="shared" si="331"/>
        <v>-147.59656883538418</v>
      </c>
      <c r="AF378" s="51" t="str">
        <f t="shared" si="332"/>
        <v>42.1703962805665</v>
      </c>
      <c r="AG378" s="51" t="str">
        <f t="shared" si="314"/>
        <v>1+22.0710099238639i</v>
      </c>
      <c r="AH378" s="51">
        <f t="shared" si="333"/>
        <v>22.093652460815498</v>
      </c>
      <c r="AI378" s="51">
        <f t="shared" si="334"/>
        <v>1.5255189894968249</v>
      </c>
      <c r="AJ378" s="51" t="str">
        <f t="shared" si="315"/>
        <v>1+0.0500276224940914i</v>
      </c>
      <c r="AK378" s="51">
        <f t="shared" si="335"/>
        <v>1.0012505995066425</v>
      </c>
      <c r="AL378" s="51">
        <f t="shared" si="336"/>
        <v>4.9985949294042008E-2</v>
      </c>
      <c r="AM378" s="51" t="str">
        <f t="shared" si="316"/>
        <v>1-0.129725446941844i</v>
      </c>
      <c r="AN378" s="51">
        <f t="shared" si="337"/>
        <v>1.0083792399609688</v>
      </c>
      <c r="AO378" s="51">
        <f t="shared" si="338"/>
        <v>-0.12900500435467688</v>
      </c>
      <c r="AP378" s="60" t="str">
        <f t="shared" si="339"/>
        <v>-0.0650117155956265-1.92601461958226i</v>
      </c>
      <c r="AQ378" s="51">
        <f t="shared" si="340"/>
        <v>5.6981369834766005</v>
      </c>
      <c r="AR378" s="63">
        <f t="shared" si="341"/>
        <v>-91.933258021316462</v>
      </c>
      <c r="AS378" s="32" t="str">
        <f t="shared" si="317"/>
        <v>-0.000133283554228113</v>
      </c>
      <c r="AT378" s="32" t="str">
        <f t="shared" si="318"/>
        <v>0.0152834386719449i</v>
      </c>
      <c r="AU378" s="32">
        <f t="shared" si="342"/>
        <v>1.5283438671944901E-2</v>
      </c>
      <c r="AV378" s="32">
        <f t="shared" si="343"/>
        <v>1.5707963267948966</v>
      </c>
      <c r="AW378" s="32" t="str">
        <f t="shared" si="319"/>
        <v>1+2.67219597934497i</v>
      </c>
      <c r="AX378" s="32">
        <f t="shared" si="344"/>
        <v>2.8531791657776107</v>
      </c>
      <c r="AY378" s="32">
        <f t="shared" si="345"/>
        <v>1.2127061155261059</v>
      </c>
      <c r="AZ378" s="32" t="str">
        <f t="shared" si="320"/>
        <v>1+39.8222376434092i</v>
      </c>
      <c r="BA378" s="32">
        <f t="shared" si="346"/>
        <v>39.834791463344665</v>
      </c>
      <c r="BB378" s="32">
        <f t="shared" si="347"/>
        <v>1.5456900057738485</v>
      </c>
      <c r="BC378" s="60" t="str">
        <f t="shared" si="348"/>
        <v>-0.0397975836062708+0.115067726036173i</v>
      </c>
      <c r="BD378" s="51">
        <f t="shared" si="349"/>
        <v>-18.29022018666079</v>
      </c>
      <c r="BE378" s="63">
        <f t="shared" si="350"/>
        <v>109.07857155704311</v>
      </c>
      <c r="BF378" s="60" t="str">
        <f t="shared" si="351"/>
        <v>0.0356899669391281-0.0284073899576576i</v>
      </c>
      <c r="BG378" s="66">
        <f t="shared" si="352"/>
        <v>-26.817793569240731</v>
      </c>
      <c r="BH378" s="63">
        <f t="shared" si="353"/>
        <v>-38.517997278341078</v>
      </c>
      <c r="BI378" s="60" t="str">
        <f t="shared" si="357"/>
        <v>0.22420943177456+0.0691699775704257i</v>
      </c>
      <c r="BJ378" s="66">
        <f t="shared" si="354"/>
        <v>-12.592083203184172</v>
      </c>
      <c r="BK378" s="63">
        <f t="shared" si="358"/>
        <v>17.145313535726608</v>
      </c>
      <c r="BL378" s="51">
        <f t="shared" si="355"/>
        <v>-26.817793569240731</v>
      </c>
      <c r="BM378" s="63">
        <f t="shared" si="356"/>
        <v>-38.517997278341078</v>
      </c>
    </row>
    <row r="379" spans="14:65" x14ac:dyDescent="0.35">
      <c r="N379" s="11">
        <v>61</v>
      </c>
      <c r="O379" s="52">
        <f t="shared" si="308"/>
        <v>40738.027780411358</v>
      </c>
      <c r="P379" s="50" t="str">
        <f t="shared" si="309"/>
        <v>36.531007751938</v>
      </c>
      <c r="Q379" s="18" t="str">
        <f t="shared" si="310"/>
        <v>1+125.00595649908i</v>
      </c>
      <c r="R379" s="18">
        <f t="shared" si="321"/>
        <v>125.00995624449232</v>
      </c>
      <c r="S379" s="18">
        <f t="shared" si="322"/>
        <v>1.5627968786283923</v>
      </c>
      <c r="T379" s="18" t="str">
        <f t="shared" si="311"/>
        <v>1+0.0511929155186708i</v>
      </c>
      <c r="U379" s="18">
        <f t="shared" si="323"/>
        <v>1.0013094999046508</v>
      </c>
      <c r="V379" s="18">
        <f t="shared" si="324"/>
        <v>5.1148265033683582E-2</v>
      </c>
      <c r="W379" s="32" t="str">
        <f t="shared" si="312"/>
        <v>1-0.848166647646618i</v>
      </c>
      <c r="X379" s="18">
        <f t="shared" si="325"/>
        <v>1.3112538511593024</v>
      </c>
      <c r="Y379" s="18">
        <f t="shared" si="326"/>
        <v>-0.70342874534585076</v>
      </c>
      <c r="Z379" s="32" t="str">
        <f t="shared" si="313"/>
        <v>0.965711014309141+0.385415061477958i</v>
      </c>
      <c r="AA379" s="18">
        <f t="shared" si="327"/>
        <v>1.0397800405720665</v>
      </c>
      <c r="AB379" s="18">
        <f t="shared" si="328"/>
        <v>0.37973009182311179</v>
      </c>
      <c r="AC379" s="68" t="str">
        <f t="shared" si="329"/>
        <v>-0.315203100616743-0.191861185296917i</v>
      </c>
      <c r="AD379" s="66">
        <f t="shared" si="330"/>
        <v>-8.6593862703624271</v>
      </c>
      <c r="AE379" s="63">
        <f t="shared" si="331"/>
        <v>-148.67151557785843</v>
      </c>
      <c r="AF379" s="51" t="str">
        <f t="shared" si="332"/>
        <v>42.1703962805665</v>
      </c>
      <c r="AG379" s="51" t="str">
        <f t="shared" si="314"/>
        <v>1+22.5851097876489i</v>
      </c>
      <c r="AH379" s="51">
        <f t="shared" si="333"/>
        <v>22.607237427871503</v>
      </c>
      <c r="AI379" s="51">
        <f t="shared" si="334"/>
        <v>1.526548267169118</v>
      </c>
      <c r="AJ379" s="51" t="str">
        <f t="shared" si="315"/>
        <v>1+0.0511929155186708i</v>
      </c>
      <c r="AK379" s="51">
        <f t="shared" si="335"/>
        <v>1.0013094999046508</v>
      </c>
      <c r="AL379" s="51">
        <f t="shared" si="336"/>
        <v>5.1148265033683582E-2</v>
      </c>
      <c r="AM379" s="51" t="str">
        <f t="shared" si="316"/>
        <v>1-0.132747140776078i</v>
      </c>
      <c r="AN379" s="51">
        <f t="shared" si="337"/>
        <v>1.008772423980862</v>
      </c>
      <c r="AO379" s="51">
        <f t="shared" si="338"/>
        <v>-0.13197553474138746</v>
      </c>
      <c r="AP379" s="60" t="str">
        <f t="shared" si="339"/>
        <v>-0.0689063416340848-1.8829167065884i</v>
      </c>
      <c r="AQ379" s="51">
        <f t="shared" si="340"/>
        <v>5.5024345007598559</v>
      </c>
      <c r="AR379" s="63">
        <f t="shared" si="341"/>
        <v>-92.095834355616716</v>
      </c>
      <c r="AS379" s="32" t="str">
        <f t="shared" si="317"/>
        <v>-0.000133283554228113</v>
      </c>
      <c r="AT379" s="32" t="str">
        <f t="shared" si="318"/>
        <v>0.015639435690954i</v>
      </c>
      <c r="AU379" s="32">
        <f t="shared" si="342"/>
        <v>1.5639435690953999E-2</v>
      </c>
      <c r="AV379" s="32">
        <f t="shared" si="343"/>
        <v>1.5707963267948966</v>
      </c>
      <c r="AW379" s="32" t="str">
        <f t="shared" si="319"/>
        <v>1+2.73443941966452i</v>
      </c>
      <c r="AX379" s="32">
        <f t="shared" si="344"/>
        <v>2.9115561028108732</v>
      </c>
      <c r="AY379" s="32">
        <f t="shared" si="345"/>
        <v>1.2201989035384977</v>
      </c>
      <c r="AZ379" s="32" t="str">
        <f t="shared" si="320"/>
        <v>1+40.7498167174395i</v>
      </c>
      <c r="BA379" s="32">
        <f t="shared" si="346"/>
        <v>40.76208486455166</v>
      </c>
      <c r="BB379" s="32">
        <f t="shared" si="347"/>
        <v>1.5462612634243125</v>
      </c>
      <c r="BC379" s="60" t="str">
        <f t="shared" si="348"/>
        <v>-0.0382176928780339+0.113026239810565i</v>
      </c>
      <c r="BD379" s="51">
        <f t="shared" si="349"/>
        <v>-18.466265746389077</v>
      </c>
      <c r="BE379" s="63">
        <f t="shared" si="350"/>
        <v>108.68199707953299</v>
      </c>
      <c r="BF379" s="60" t="str">
        <f t="shared" si="351"/>
        <v>0.0337316836332833-0.0282937293844485i</v>
      </c>
      <c r="BG379" s="66">
        <f t="shared" si="352"/>
        <v>-27.125652016751506</v>
      </c>
      <c r="BH379" s="63">
        <f t="shared" si="353"/>
        <v>-39.989518498325417</v>
      </c>
      <c r="BI379" s="60" t="str">
        <f t="shared" si="357"/>
        <v>0.2154524366241+0.0641725077133118i</v>
      </c>
      <c r="BJ379" s="66">
        <f t="shared" si="354"/>
        <v>-12.963831245629223</v>
      </c>
      <c r="BK379" s="63">
        <f t="shared" si="358"/>
        <v>16.586162723916299</v>
      </c>
      <c r="BL379" s="51">
        <f t="shared" si="355"/>
        <v>-27.125652016751506</v>
      </c>
      <c r="BM379" s="63">
        <f t="shared" si="356"/>
        <v>-39.989518498325417</v>
      </c>
    </row>
    <row r="380" spans="14:65" x14ac:dyDescent="0.35">
      <c r="N380" s="11">
        <v>62</v>
      </c>
      <c r="O380" s="52">
        <f t="shared" si="308"/>
        <v>41686.938347033625</v>
      </c>
      <c r="P380" s="50" t="str">
        <f t="shared" si="309"/>
        <v>36.531007751938</v>
      </c>
      <c r="Q380" s="18" t="str">
        <f t="shared" si="310"/>
        <v>1+127.917719278861i</v>
      </c>
      <c r="R380" s="18">
        <f t="shared" si="321"/>
        <v>127.92162798176658</v>
      </c>
      <c r="S380" s="18">
        <f t="shared" si="322"/>
        <v>1.5629789607946998</v>
      </c>
      <c r="T380" s="18" t="str">
        <f t="shared" si="311"/>
        <v>1+0.0523853517046766i</v>
      </c>
      <c r="U380" s="18">
        <f t="shared" si="323"/>
        <v>1.0013711724796268</v>
      </c>
      <c r="V380" s="18">
        <f t="shared" si="324"/>
        <v>5.2337511385562731E-2</v>
      </c>
      <c r="W380" s="32" t="str">
        <f t="shared" si="312"/>
        <v>1-0.867922986823045i</v>
      </c>
      <c r="X380" s="18">
        <f t="shared" si="325"/>
        <v>1.3241186922084573</v>
      </c>
      <c r="Y380" s="18">
        <f t="shared" si="326"/>
        <v>-0.71480769438723046</v>
      </c>
      <c r="Z380" s="32" t="str">
        <f t="shared" si="313"/>
        <v>0.964095024199393+0.394392531529851i</v>
      </c>
      <c r="AA380" s="18">
        <f t="shared" si="327"/>
        <v>1.0416451817257892</v>
      </c>
      <c r="AB380" s="18">
        <f t="shared" si="328"/>
        <v>0.38830985195770146</v>
      </c>
      <c r="AC380" s="68" t="str">
        <f t="shared" si="329"/>
        <v>-0.314038896904828-0.183088022155143i</v>
      </c>
      <c r="AD380" s="66">
        <f t="shared" si="330"/>
        <v>-8.7896026600194315</v>
      </c>
      <c r="AE380" s="63">
        <f t="shared" si="331"/>
        <v>-149.75735912106069</v>
      </c>
      <c r="AF380" s="51" t="str">
        <f t="shared" si="332"/>
        <v>42.1703962805665</v>
      </c>
      <c r="AG380" s="51" t="str">
        <f t="shared" si="314"/>
        <v>1+23.1111845755927i</v>
      </c>
      <c r="AH380" s="51">
        <f t="shared" si="333"/>
        <v>23.132809005546946</v>
      </c>
      <c r="AI380" s="51">
        <f t="shared" si="334"/>
        <v>1.5275542062815057</v>
      </c>
      <c r="AJ380" s="51" t="str">
        <f t="shared" si="315"/>
        <v>1+0.0523853517046766i</v>
      </c>
      <c r="AK380" s="51">
        <f t="shared" si="335"/>
        <v>1.0013711724796268</v>
      </c>
      <c r="AL380" s="51">
        <f t="shared" si="336"/>
        <v>5.2337511385562731E-2</v>
      </c>
      <c r="AM380" s="51" t="str">
        <f t="shared" si="316"/>
        <v>1-0.135839218901468i</v>
      </c>
      <c r="AN380" s="51">
        <f t="shared" si="337"/>
        <v>1.0091839740066035</v>
      </c>
      <c r="AO380" s="51">
        <f t="shared" si="338"/>
        <v>-0.13501283396510078</v>
      </c>
      <c r="AP380" s="60" t="str">
        <f t="shared" si="339"/>
        <v>-0.0726263511869884-1.84080164350016i</v>
      </c>
      <c r="AQ380" s="51">
        <f t="shared" si="340"/>
        <v>5.3068948001831515</v>
      </c>
      <c r="AR380" s="63">
        <f t="shared" si="341"/>
        <v>-92.259356051076779</v>
      </c>
      <c r="AS380" s="32" t="str">
        <f t="shared" si="317"/>
        <v>-0.000133283554228113</v>
      </c>
      <c r="AT380" s="32" t="str">
        <f t="shared" si="318"/>
        <v>0.0160037249457787i</v>
      </c>
      <c r="AU380" s="32">
        <f t="shared" si="342"/>
        <v>1.6003724945778699E-2</v>
      </c>
      <c r="AV380" s="32">
        <f t="shared" si="343"/>
        <v>1.5707963267948966</v>
      </c>
      <c r="AW380" s="32" t="str">
        <f t="shared" si="319"/>
        <v>1+2.79813269595896i</v>
      </c>
      <c r="AX380" s="32">
        <f t="shared" si="344"/>
        <v>2.9714552973576027</v>
      </c>
      <c r="AY380" s="32">
        <f t="shared" si="345"/>
        <v>1.2275610278797551</v>
      </c>
      <c r="AZ380" s="32" t="str">
        <f t="shared" si="320"/>
        <v>1+41.6990018836811i</v>
      </c>
      <c r="BA380" s="32">
        <f t="shared" si="346"/>
        <v>41.710990854872286</v>
      </c>
      <c r="BB380" s="32">
        <f t="shared" si="347"/>
        <v>1.5468195331400691</v>
      </c>
      <c r="BC380" s="60" t="str">
        <f t="shared" si="348"/>
        <v>-0.0366924228498982+0.11099855130929i</v>
      </c>
      <c r="BD380" s="51">
        <f t="shared" si="349"/>
        <v>-18.643264151271989</v>
      </c>
      <c r="BE380" s="63">
        <f t="shared" si="350"/>
        <v>108.29216492507125</v>
      </c>
      <c r="BF380" s="60" t="str">
        <f t="shared" si="351"/>
        <v>0.0318453532178516-0.0281399194835353i</v>
      </c>
      <c r="BG380" s="66">
        <f t="shared" si="352"/>
        <v>-27.432866811291422</v>
      </c>
      <c r="BH380" s="63">
        <f t="shared" si="353"/>
        <v>-41.465194195989419</v>
      </c>
      <c r="BI380" s="60" t="str">
        <f t="shared" si="357"/>
        <v>0.206991152464076+0.05948205251746i</v>
      </c>
      <c r="BJ380" s="66">
        <f t="shared" si="354"/>
        <v>-13.336369351088839</v>
      </c>
      <c r="BK380" s="63">
        <f t="shared" si="358"/>
        <v>16.032808873994469</v>
      </c>
      <c r="BL380" s="51">
        <f t="shared" si="355"/>
        <v>-27.432866811291422</v>
      </c>
      <c r="BM380" s="63">
        <f t="shared" si="356"/>
        <v>-41.465194195989419</v>
      </c>
    </row>
    <row r="381" spans="14:65" x14ac:dyDescent="0.35">
      <c r="N381" s="11">
        <v>63</v>
      </c>
      <c r="O381" s="52">
        <f t="shared" si="308"/>
        <v>42657.951880159271</v>
      </c>
      <c r="P381" s="50" t="str">
        <f t="shared" si="309"/>
        <v>36.531007751938</v>
      </c>
      <c r="Q381" s="18" t="str">
        <f t="shared" si="310"/>
        <v>1+130.897305726595i</v>
      </c>
      <c r="R381" s="18">
        <f t="shared" si="321"/>
        <v>130.90112545918649</v>
      </c>
      <c r="S381" s="18">
        <f t="shared" si="322"/>
        <v>1.563156898765776</v>
      </c>
      <c r="T381" s="18" t="str">
        <f t="shared" si="311"/>
        <v>1+0.0536055632975582i</v>
      </c>
      <c r="U381" s="18">
        <f t="shared" si="323"/>
        <v>1.0014357475227498</v>
      </c>
      <c r="V381" s="18">
        <f t="shared" si="324"/>
        <v>5.3554305440527063E-2</v>
      </c>
      <c r="W381" s="32" t="str">
        <f t="shared" si="312"/>
        <v>1-0.888139510255403i</v>
      </c>
      <c r="X381" s="18">
        <f t="shared" si="325"/>
        <v>1.3374572104096292</v>
      </c>
      <c r="Y381" s="18">
        <f t="shared" si="326"/>
        <v>-0.72622356646906205</v>
      </c>
      <c r="Z381" s="32" t="str">
        <f t="shared" si="313"/>
        <v>0.962402874822108+0.403579113722363i</v>
      </c>
      <c r="AA381" s="18">
        <f t="shared" si="327"/>
        <v>1.043597333505019</v>
      </c>
      <c r="AB381" s="18">
        <f t="shared" si="328"/>
        <v>0.39707132552624924</v>
      </c>
      <c r="AC381" s="68" t="str">
        <f t="shared" si="329"/>
        <v>-0.312818129910115-0.174442052204816i</v>
      </c>
      <c r="AD381" s="66">
        <f t="shared" si="330"/>
        <v>-8.9182340384762711</v>
      </c>
      <c r="AE381" s="63">
        <f t="shared" si="331"/>
        <v>-150.85391379947572</v>
      </c>
      <c r="AF381" s="51" t="str">
        <f t="shared" si="332"/>
        <v>42.1703962805665</v>
      </c>
      <c r="AG381" s="51" t="str">
        <f t="shared" si="314"/>
        <v>1+23.649513219511i</v>
      </c>
      <c r="AH381" s="51">
        <f t="shared" si="333"/>
        <v>23.670645861907225</v>
      </c>
      <c r="AI381" s="51">
        <f t="shared" si="334"/>
        <v>1.5285373320481963</v>
      </c>
      <c r="AJ381" s="51" t="str">
        <f t="shared" si="315"/>
        <v>1+0.0536055632975582i</v>
      </c>
      <c r="AK381" s="51">
        <f t="shared" si="335"/>
        <v>1.0014357475227498</v>
      </c>
      <c r="AL381" s="51">
        <f t="shared" si="336"/>
        <v>5.3554305440527063E-2</v>
      </c>
      <c r="AM381" s="51" t="str">
        <f t="shared" si="316"/>
        <v>1-0.139003320778763i</v>
      </c>
      <c r="AN381" s="51">
        <f t="shared" si="337"/>
        <v>1.0096147399813078</v>
      </c>
      <c r="AO381" s="51">
        <f t="shared" si="338"/>
        <v>-0.13811828816642077</v>
      </c>
      <c r="AP381" s="60" t="str">
        <f t="shared" si="339"/>
        <v>-0.0761795444504095-1.79964813091784i</v>
      </c>
      <c r="AQ381" s="51">
        <f t="shared" si="340"/>
        <v>5.1115269339129989</v>
      </c>
      <c r="AR381" s="63">
        <f t="shared" si="341"/>
        <v>-92.423897263559468</v>
      </c>
      <c r="AS381" s="32" t="str">
        <f t="shared" si="317"/>
        <v>-0.000133283554228113</v>
      </c>
      <c r="AT381" s="32" t="str">
        <f t="shared" si="318"/>
        <v>0.016376499587404i</v>
      </c>
      <c r="AU381" s="32">
        <f t="shared" si="342"/>
        <v>1.6376499587404E-2</v>
      </c>
      <c r="AV381" s="32">
        <f t="shared" si="343"/>
        <v>1.5707963267948966</v>
      </c>
      <c r="AW381" s="32" t="str">
        <f t="shared" si="319"/>
        <v>1+2.86330957924646i</v>
      </c>
      <c r="AX381" s="32">
        <f t="shared" si="344"/>
        <v>3.0329097821406652</v>
      </c>
      <c r="AY381" s="32">
        <f t="shared" si="345"/>
        <v>1.2347931988087137</v>
      </c>
      <c r="AZ381" s="32" t="str">
        <f t="shared" si="320"/>
        <v>1+42.6702964126728i</v>
      </c>
      <c r="BA381" s="32">
        <f t="shared" si="346"/>
        <v>42.682012557345011</v>
      </c>
      <c r="BB381" s="32">
        <f t="shared" si="347"/>
        <v>1.5473651095303687</v>
      </c>
      <c r="BC381" s="60" t="str">
        <f t="shared" si="348"/>
        <v>-0.035220523618293+0.108985971030186i</v>
      </c>
      <c r="BD381" s="51">
        <f t="shared" si="349"/>
        <v>-18.821182316037294</v>
      </c>
      <c r="BE381" s="63">
        <f t="shared" si="350"/>
        <v>107.9090512786907</v>
      </c>
      <c r="BF381" s="60" t="str">
        <f t="shared" si="351"/>
        <v>0.0300293547807697-0.0279488472243975i</v>
      </c>
      <c r="BG381" s="66">
        <f t="shared" si="352"/>
        <v>-27.739416354513576</v>
      </c>
      <c r="BH381" s="63">
        <f t="shared" si="353"/>
        <v>-42.944862520785023</v>
      </c>
      <c r="BI381" s="60" t="str">
        <f t="shared" si="357"/>
        <v>0.198819482505287+0.0550820478750435i</v>
      </c>
      <c r="BJ381" s="66">
        <f t="shared" si="354"/>
        <v>-13.709655382124279</v>
      </c>
      <c r="BK381" s="63">
        <f t="shared" si="358"/>
        <v>15.485154015131192</v>
      </c>
      <c r="BL381" s="51">
        <f t="shared" si="355"/>
        <v>-27.739416354513576</v>
      </c>
      <c r="BM381" s="63">
        <f t="shared" si="356"/>
        <v>-42.944862520785023</v>
      </c>
    </row>
    <row r="382" spans="14:65" x14ac:dyDescent="0.35">
      <c r="N382" s="11">
        <v>64</v>
      </c>
      <c r="O382" s="52">
        <f t="shared" si="308"/>
        <v>43651.583224016598</v>
      </c>
      <c r="P382" s="50" t="str">
        <f t="shared" si="309"/>
        <v>36.531007751938</v>
      </c>
      <c r="Q382" s="18" t="str">
        <f t="shared" si="310"/>
        <v>1+133.946295658456i</v>
      </c>
      <c r="R382" s="18">
        <f t="shared" si="321"/>
        <v>133.95002844576968</v>
      </c>
      <c r="S382" s="18">
        <f t="shared" si="322"/>
        <v>1.563330786841592</v>
      </c>
      <c r="T382" s="18" t="str">
        <f t="shared" si="311"/>
        <v>1+0.0548541972696536i</v>
      </c>
      <c r="U382" s="18">
        <f t="shared" si="323"/>
        <v>1.0015033614312525</v>
      </c>
      <c r="V382" s="18">
        <f t="shared" si="324"/>
        <v>5.479927793815427E-2</v>
      </c>
      <c r="W382" s="32" t="str">
        <f t="shared" si="312"/>
        <v>1-0.908826937012013i</v>
      </c>
      <c r="X382" s="18">
        <f t="shared" si="325"/>
        <v>1.3512832424916092</v>
      </c>
      <c r="Y382" s="18">
        <f t="shared" si="326"/>
        <v>-0.73767051343034773</v>
      </c>
      <c r="Z382" s="32" t="str">
        <f t="shared" si="313"/>
        <v>0.960630976901586+0.412979678902971i</v>
      </c>
      <c r="AA382" s="18">
        <f t="shared" si="327"/>
        <v>1.0456405161286058</v>
      </c>
      <c r="AB382" s="18">
        <f t="shared" si="328"/>
        <v>0.40601754506939475</v>
      </c>
      <c r="AC382" s="68" t="str">
        <f t="shared" si="329"/>
        <v>-0.311539277675178-0.165920567701746i</v>
      </c>
      <c r="AD382" s="66">
        <f t="shared" si="330"/>
        <v>-9.0452951545380671</v>
      </c>
      <c r="AE382" s="63">
        <f t="shared" si="331"/>
        <v>-151.96098755421528</v>
      </c>
      <c r="AF382" s="51" t="str">
        <f t="shared" si="332"/>
        <v>42.1703962805665</v>
      </c>
      <c r="AG382" s="51" t="str">
        <f t="shared" si="314"/>
        <v>1+24.2003811483767i</v>
      </c>
      <c r="AH382" s="51">
        <f t="shared" si="333"/>
        <v>24.221033168027873</v>
      </c>
      <c r="AI382" s="51">
        <f t="shared" si="334"/>
        <v>1.5294981581293405</v>
      </c>
      <c r="AJ382" s="51" t="str">
        <f t="shared" si="315"/>
        <v>1+0.0548541972696536i</v>
      </c>
      <c r="AK382" s="51">
        <f t="shared" si="335"/>
        <v>1.0015033614312525</v>
      </c>
      <c r="AL382" s="51">
        <f t="shared" si="336"/>
        <v>5.479927793815427E-2</v>
      </c>
      <c r="AM382" s="51" t="str">
        <f t="shared" si="316"/>
        <v>1-0.142241124056662i</v>
      </c>
      <c r="AN382" s="51">
        <f t="shared" si="337"/>
        <v>1.0100656104297892</v>
      </c>
      <c r="AO382" s="51">
        <f t="shared" si="338"/>
        <v>-0.14129330418401964</v>
      </c>
      <c r="AP382" s="60" t="str">
        <f t="shared" si="339"/>
        <v>-0.0795733757102689-1.75943531089751i</v>
      </c>
      <c r="AQ382" s="51">
        <f t="shared" si="340"/>
        <v>4.9163402809891412</v>
      </c>
      <c r="AR382" s="63">
        <f t="shared" si="341"/>
        <v>-92.58953189082608</v>
      </c>
      <c r="AS382" s="32" t="str">
        <f t="shared" si="317"/>
        <v>-0.000133283554228113</v>
      </c>
      <c r="AT382" s="32" t="str">
        <f t="shared" si="318"/>
        <v>0.0167579572658792i</v>
      </c>
      <c r="AU382" s="32">
        <f t="shared" si="342"/>
        <v>1.6757957265879201E-2</v>
      </c>
      <c r="AV382" s="32">
        <f t="shared" si="343"/>
        <v>1.5707963267948966</v>
      </c>
      <c r="AW382" s="32" t="str">
        <f t="shared" si="319"/>
        <v>1+2.93000462717325i</v>
      </c>
      <c r="AX382" s="32">
        <f t="shared" si="344"/>
        <v>3.0959533451356558</v>
      </c>
      <c r="AY382" s="32">
        <f t="shared" si="345"/>
        <v>1.2418962237826059</v>
      </c>
      <c r="AZ382" s="32" t="str">
        <f t="shared" si="320"/>
        <v>1+43.6642152976306i</v>
      </c>
      <c r="BA382" s="32">
        <f t="shared" si="346"/>
        <v>43.675664821017179</v>
      </c>
      <c r="BB382" s="32">
        <f t="shared" si="347"/>
        <v>1.5478982805671477</v>
      </c>
      <c r="BC382" s="60" t="str">
        <f t="shared" si="348"/>
        <v>-0.0338007220028261+0.106989720617646i</v>
      </c>
      <c r="BD382" s="51">
        <f t="shared" si="349"/>
        <v>-18.999987923288735</v>
      </c>
      <c r="BE382" s="63">
        <f t="shared" si="350"/>
        <v>107.53262637607675</v>
      </c>
      <c r="BF382" s="60" t="str">
        <f t="shared" si="351"/>
        <v>0.028282047700791-0.0277232652964527i</v>
      </c>
      <c r="BG382" s="66">
        <f t="shared" si="352"/>
        <v>-28.045283077826806</v>
      </c>
      <c r="BH382" s="63">
        <f t="shared" si="353"/>
        <v>-44.428361178138452</v>
      </c>
      <c r="BI382" s="60" t="str">
        <f t="shared" si="357"/>
        <v>0.190931129908955+0.050956650589758i</v>
      </c>
      <c r="BJ382" s="66">
        <f t="shared" si="354"/>
        <v>-14.083647642299596</v>
      </c>
      <c r="BK382" s="63">
        <f t="shared" si="358"/>
        <v>14.943094485250674</v>
      </c>
      <c r="BL382" s="51">
        <f t="shared" si="355"/>
        <v>-28.045283077826806</v>
      </c>
      <c r="BM382" s="63">
        <f t="shared" si="356"/>
        <v>-44.428361178138452</v>
      </c>
    </row>
    <row r="383" spans="14:65" x14ac:dyDescent="0.35">
      <c r="N383" s="11">
        <v>65</v>
      </c>
      <c r="O383" s="52">
        <f t="shared" si="308"/>
        <v>44668.359215096389</v>
      </c>
      <c r="P383" s="50" t="str">
        <f t="shared" si="309"/>
        <v>36.531007751938</v>
      </c>
      <c r="Q383" s="18" t="str">
        <f t="shared" si="310"/>
        <v>1+137.066305689265i</v>
      </c>
      <c r="R383" s="18">
        <f t="shared" si="321"/>
        <v>137.06995351025341</v>
      </c>
      <c r="S383" s="18">
        <f t="shared" si="322"/>
        <v>1.5635007171778197</v>
      </c>
      <c r="T383" s="18" t="str">
        <f t="shared" si="311"/>
        <v>1+0.0561319156632228i</v>
      </c>
      <c r="U383" s="18">
        <f t="shared" si="323"/>
        <v>1.0015741569928924</v>
      </c>
      <c r="V383" s="18">
        <f t="shared" si="324"/>
        <v>5.6073073533367226E-2</v>
      </c>
      <c r="W383" s="32" t="str">
        <f t="shared" si="312"/>
        <v>1-0.929996235840379i</v>
      </c>
      <c r="X383" s="18">
        <f t="shared" si="325"/>
        <v>1.3656108518451637</v>
      </c>
      <c r="Y383" s="18">
        <f t="shared" si="326"/>
        <v>-0.74914260617785122</v>
      </c>
      <c r="Z383" s="32" t="str">
        <f t="shared" si="313"/>
        <v>0.958775572004775+0.422599211375768i</v>
      </c>
      <c r="AA383" s="18">
        <f t="shared" si="327"/>
        <v>1.0477789322793738</v>
      </c>
      <c r="AB383" s="18">
        <f t="shared" si="328"/>
        <v>0.41515153886167916</v>
      </c>
      <c r="AC383" s="68" t="str">
        <f t="shared" si="329"/>
        <v>-0.310200784209847-0.157521029053732i</v>
      </c>
      <c r="AD383" s="66">
        <f t="shared" si="330"/>
        <v>-9.17080409935215</v>
      </c>
      <c r="AE383" s="63">
        <f t="shared" si="331"/>
        <v>-153.07838252473545</v>
      </c>
      <c r="AF383" s="51" t="str">
        <f t="shared" si="332"/>
        <v>42.1703962805665</v>
      </c>
      <c r="AG383" s="51" t="str">
        <f t="shared" si="314"/>
        <v>1+24.7640804396572i</v>
      </c>
      <c r="AH383" s="51">
        <f t="shared" si="333"/>
        <v>24.784262749208665</v>
      </c>
      <c r="AI383" s="51">
        <f t="shared" si="334"/>
        <v>1.5304371868674254</v>
      </c>
      <c r="AJ383" s="51" t="str">
        <f t="shared" si="315"/>
        <v>1+0.0561319156632228i</v>
      </c>
      <c r="AK383" s="51">
        <f t="shared" si="335"/>
        <v>1.0015741569928924</v>
      </c>
      <c r="AL383" s="51">
        <f t="shared" si="336"/>
        <v>5.6073073533367226E-2</v>
      </c>
      <c r="AM383" s="51" t="str">
        <f t="shared" si="316"/>
        <v>1-0.14555434546132i</v>
      </c>
      <c r="AN383" s="51">
        <f t="shared" si="337"/>
        <v>1.0105375141392197</v>
      </c>
      <c r="AO383" s="51">
        <f t="shared" si="338"/>
        <v>-0.14453930926748068</v>
      </c>
      <c r="AP383" s="60" t="str">
        <f t="shared" si="339"/>
        <v>-0.0828149684598114-1.72014276041046i</v>
      </c>
      <c r="AQ383" s="51">
        <f t="shared" si="340"/>
        <v>4.7213445636548119</v>
      </c>
      <c r="AR383" s="63">
        <f t="shared" si="341"/>
        <v>-92.756333554352096</v>
      </c>
      <c r="AS383" s="32" t="str">
        <f t="shared" si="317"/>
        <v>-0.000133283554228113</v>
      </c>
      <c r="AT383" s="32" t="str">
        <f t="shared" si="318"/>
        <v>0.0171483002351145i</v>
      </c>
      <c r="AU383" s="32">
        <f t="shared" si="342"/>
        <v>1.7148300235114499E-2</v>
      </c>
      <c r="AV383" s="32">
        <f t="shared" si="343"/>
        <v>1.5707963267948966</v>
      </c>
      <c r="AW383" s="32" t="str">
        <f t="shared" si="319"/>
        <v>1+2.99825320233658i</v>
      </c>
      <c r="AX383" s="32">
        <f t="shared" si="344"/>
        <v>3.1606205506706364</v>
      </c>
      <c r="AY383" s="32">
        <f t="shared" si="345"/>
        <v>1.2488710010466344</v>
      </c>
      <c r="AZ383" s="32" t="str">
        <f t="shared" si="320"/>
        <v>1+44.6812855275036i</v>
      </c>
      <c r="BA383" s="32">
        <f t="shared" si="346"/>
        <v>44.692474493926859</v>
      </c>
      <c r="BB383" s="32">
        <f t="shared" si="347"/>
        <v>1.548419327731531</v>
      </c>
      <c r="BC383" s="60" t="str">
        <f t="shared" si="348"/>
        <v>-0.0324317267868577+0.105010934847089i</v>
      </c>
      <c r="BD383" s="51">
        <f t="shared" si="349"/>
        <v>-19.179649436742217</v>
      </c>
      <c r="BE383" s="63">
        <f t="shared" si="350"/>
        <v>107.16285487925066</v>
      </c>
      <c r="BF383" s="60" t="str">
        <f t="shared" si="351"/>
        <v>0.0266017776015706-0.0274657953627208i</v>
      </c>
      <c r="BG383" s="66">
        <f t="shared" si="352"/>
        <v>-28.350453536094381</v>
      </c>
      <c r="BH383" s="63">
        <f t="shared" si="353"/>
        <v>-45.915527645484765</v>
      </c>
      <c r="BI383" s="60" t="str">
        <f t="shared" si="357"/>
        <v>0.183319631772105+0.0470907227827263i</v>
      </c>
      <c r="BJ383" s="66">
        <f t="shared" si="354"/>
        <v>-14.458304873087426</v>
      </c>
      <c r="BK383" s="63">
        <f t="shared" si="358"/>
        <v>14.406521324898616</v>
      </c>
      <c r="BL383" s="51">
        <f t="shared" si="355"/>
        <v>-28.350453536094381</v>
      </c>
      <c r="BM383" s="63">
        <f t="shared" si="356"/>
        <v>-45.915527645484765</v>
      </c>
    </row>
    <row r="384" spans="14:65" x14ac:dyDescent="0.35">
      <c r="N384" s="11">
        <v>66</v>
      </c>
      <c r="O384" s="52">
        <f t="shared" ref="O384:O418" si="359">10^(4+(N384/100))</f>
        <v>45708.818961487581</v>
      </c>
      <c r="P384" s="50" t="str">
        <f t="shared" si="309"/>
        <v>36.531007751938</v>
      </c>
      <c r="Q384" s="18" t="str">
        <f t="shared" si="310"/>
        <v>1+140.258990089636i</v>
      </c>
      <c r="R384" s="18">
        <f t="shared" si="321"/>
        <v>140.26255487821621</v>
      </c>
      <c r="S384" s="18">
        <f t="shared" si="322"/>
        <v>1.5636667798344945</v>
      </c>
      <c r="T384" s="18" t="str">
        <f t="shared" si="311"/>
        <v>1+0.05743939594147i</v>
      </c>
      <c r="U384" s="18">
        <f t="shared" si="323"/>
        <v>1.0016482836835099</v>
      </c>
      <c r="V384" s="18">
        <f t="shared" si="324"/>
        <v>5.7376351065656188E-2</v>
      </c>
      <c r="W384" s="32" t="str">
        <f t="shared" si="312"/>
        <v>1-0.951658630982936i</v>
      </c>
      <c r="X384" s="18">
        <f t="shared" si="325"/>
        <v>1.3804543273590459</v>
      </c>
      <c r="Y384" s="18">
        <f t="shared" si="326"/>
        <v>-0.76063384974027792</v>
      </c>
      <c r="Z384" s="32" t="str">
        <f t="shared" si="313"/>
        <v>0.956832724569131+0.432442811544195i</v>
      </c>
      <c r="AA384" s="18">
        <f t="shared" si="327"/>
        <v>1.0500169751307045</v>
      </c>
      <c r="AB384" s="18">
        <f t="shared" si="328"/>
        <v>0.42447632664434282</v>
      </c>
      <c r="AC384" s="68" t="str">
        <f t="shared" si="329"/>
        <v>-0.308801062978288-0.149241067590994i</v>
      </c>
      <c r="AD384" s="66">
        <f t="shared" si="330"/>
        <v>-9.2947823771623721</v>
      </c>
      <c r="AE384" s="63">
        <f t="shared" si="331"/>
        <v>-154.20589565424893</v>
      </c>
      <c r="AF384" s="51" t="str">
        <f t="shared" si="332"/>
        <v>42.1703962805665</v>
      </c>
      <c r="AG384" s="51" t="str">
        <f t="shared" si="314"/>
        <v>1+25.340909974178i</v>
      </c>
      <c r="AH384" s="51">
        <f t="shared" si="333"/>
        <v>25.360633239716115</v>
      </c>
      <c r="AI384" s="51">
        <f t="shared" si="334"/>
        <v>1.531354909520044</v>
      </c>
      <c r="AJ384" s="51" t="str">
        <f t="shared" si="315"/>
        <v>1+0.05743939594147i</v>
      </c>
      <c r="AK384" s="51">
        <f t="shared" si="335"/>
        <v>1.0016482836835099</v>
      </c>
      <c r="AL384" s="51">
        <f t="shared" si="336"/>
        <v>5.7376351065656188E-2</v>
      </c>
      <c r="AM384" s="51" t="str">
        <f t="shared" si="316"/>
        <v>1-0.14894474170658i</v>
      </c>
      <c r="AN384" s="51">
        <f t="shared" si="337"/>
        <v>1.0110314219063816</v>
      </c>
      <c r="AO384" s="51">
        <f t="shared" si="338"/>
        <v>-0.14785775073536653</v>
      </c>
      <c r="AP384" s="60" t="str">
        <f t="shared" si="339"/>
        <v>-0.0859111298760372-1.68175048473638i</v>
      </c>
      <c r="AQ384" s="51">
        <f t="shared" si="340"/>
        <v>4.526549864097019</v>
      </c>
      <c r="AR384" s="63">
        <f t="shared" si="341"/>
        <v>-92.924375577647353</v>
      </c>
      <c r="AS384" s="32" t="str">
        <f t="shared" si="317"/>
        <v>-0.000133283554228113</v>
      </c>
      <c r="AT384" s="32" t="str">
        <f t="shared" si="318"/>
        <v>0.0175477354601191i</v>
      </c>
      <c r="AU384" s="32">
        <f t="shared" si="342"/>
        <v>1.7547735460119101E-2</v>
      </c>
      <c r="AV384" s="32">
        <f t="shared" si="343"/>
        <v>1.5707963267948966</v>
      </c>
      <c r="AW384" s="32" t="str">
        <f t="shared" si="319"/>
        <v>1+3.06809149103434i</v>
      </c>
      <c r="AX384" s="32">
        <f t="shared" si="344"/>
        <v>3.2269467608495375</v>
      </c>
      <c r="AY384" s="32">
        <f t="shared" si="345"/>
        <v>1.2557185133764481</v>
      </c>
      <c r="AZ384" s="32" t="str">
        <f t="shared" si="320"/>
        <v>1+45.7220463663898i</v>
      </c>
      <c r="BA384" s="32">
        <f t="shared" si="346"/>
        <v>45.732980702446</v>
      </c>
      <c r="BB384" s="32">
        <f t="shared" si="347"/>
        <v>1.5489285261572998</v>
      </c>
      <c r="BC384" s="60" t="str">
        <f t="shared" si="348"/>
        <v>-0.0311122336228028+0.103050663832423i</v>
      </c>
      <c r="BD384" s="51">
        <f t="shared" si="349"/>
        <v>-19.360136111307142</v>
      </c>
      <c r="BE384" s="63">
        <f t="shared" si="350"/>
        <v>106.79969624331974</v>
      </c>
      <c r="BF384" s="60" t="str">
        <f t="shared" si="351"/>
        <v>0.0249868819006618-0.0271789315710629i</v>
      </c>
      <c r="BG384" s="66">
        <f t="shared" si="352"/>
        <v>-28.654918488469519</v>
      </c>
      <c r="BH384" s="63">
        <f t="shared" si="353"/>
        <v>-47.406199410929133</v>
      </c>
      <c r="BI384" s="60" t="str">
        <f t="shared" si="357"/>
        <v>0.175978390996085+0.043469815012061i</v>
      </c>
      <c r="BJ384" s="66">
        <f t="shared" si="354"/>
        <v>-14.833586247210139</v>
      </c>
      <c r="BK384" s="63">
        <f t="shared" si="358"/>
        <v>13.875320665672414</v>
      </c>
      <c r="BL384" s="51">
        <f t="shared" si="355"/>
        <v>-28.654918488469519</v>
      </c>
      <c r="BM384" s="63">
        <f t="shared" si="356"/>
        <v>-47.406199410929133</v>
      </c>
    </row>
    <row r="385" spans="14:65" x14ac:dyDescent="0.35">
      <c r="N385" s="11">
        <v>67</v>
      </c>
      <c r="O385" s="52">
        <f t="shared" si="359"/>
        <v>46773.514128719893</v>
      </c>
      <c r="P385" s="50" t="str">
        <f t="shared" si="309"/>
        <v>36.531007751938</v>
      </c>
      <c r="Q385" s="18" t="str">
        <f t="shared" si="310"/>
        <v>1+143.526041663101i</v>
      </c>
      <c r="R385" s="18">
        <f t="shared" si="321"/>
        <v>143.52952530917881</v>
      </c>
      <c r="S385" s="18">
        <f t="shared" si="322"/>
        <v>1.5638290628235785</v>
      </c>
      <c r="T385" s="18" t="str">
        <f t="shared" si="311"/>
        <v>1+0.058777331347746i</v>
      </c>
      <c r="U385" s="18">
        <f t="shared" si="323"/>
        <v>1.0017258979782657</v>
      </c>
      <c r="V385" s="18">
        <f t="shared" si="324"/>
        <v>5.8709783830724768E-2</v>
      </c>
      <c r="W385" s="32" t="str">
        <f t="shared" si="312"/>
        <v>1-0.973825608128337i</v>
      </c>
      <c r="X385" s="18">
        <f t="shared" si="325"/>
        <v>1.3958281824947243</v>
      </c>
      <c r="Y385" s="18">
        <f t="shared" si="326"/>
        <v>-0.77213819874104239</v>
      </c>
      <c r="Z385" s="32" t="str">
        <f t="shared" si="313"/>
        <v>0.954798313554761+0.442515698615362i</v>
      </c>
      <c r="AA385" s="18">
        <f t="shared" si="327"/>
        <v>1.0523592367096215</v>
      </c>
      <c r="AB385" s="18">
        <f t="shared" si="328"/>
        <v>0.43399491508311727</v>
      </c>
      <c r="AC385" s="68" t="str">
        <f t="shared" si="329"/>
        <v>-0.307338500749622-0.141078488414024i</v>
      </c>
      <c r="AD385" s="66">
        <f t="shared" si="330"/>
        <v>-9.4172549658126226</v>
      </c>
      <c r="AE385" s="63">
        <f t="shared" si="331"/>
        <v>-155.34331930316037</v>
      </c>
      <c r="AF385" s="51" t="str">
        <f t="shared" si="332"/>
        <v>42.1703962805665</v>
      </c>
      <c r="AG385" s="51" t="str">
        <f t="shared" si="314"/>
        <v>1+25.9311755945939i</v>
      </c>
      <c r="AH385" s="51">
        <f t="shared" si="333"/>
        <v>25.950450241135744</v>
      </c>
      <c r="AI385" s="51">
        <f t="shared" si="334"/>
        <v>1.5322518064890116</v>
      </c>
      <c r="AJ385" s="51" t="str">
        <f t="shared" si="315"/>
        <v>1+0.058777331347746i</v>
      </c>
      <c r="AK385" s="51">
        <f t="shared" si="335"/>
        <v>1.0017258979782657</v>
      </c>
      <c r="AL385" s="51">
        <f t="shared" si="336"/>
        <v>5.8709783830724768E-2</v>
      </c>
      <c r="AM385" s="51" t="str">
        <f t="shared" si="316"/>
        <v>1-0.152414110425411i</v>
      </c>
      <c r="AN385" s="51">
        <f t="shared" si="337"/>
        <v>1.0115483483535372</v>
      </c>
      <c r="AO385" s="51">
        <f t="shared" si="338"/>
        <v>-0.15125009557458247</v>
      </c>
      <c r="AP385" s="60" t="str">
        <f t="shared" si="339"/>
        <v>-0.0888683646805102-1.64423891080627i</v>
      </c>
      <c r="AQ385" s="51">
        <f t="shared" si="340"/>
        <v>4.3319666416050531</v>
      </c>
      <c r="AR385" s="63">
        <f t="shared" si="341"/>
        <v>-93.093730960864463</v>
      </c>
      <c r="AS385" s="32" t="str">
        <f t="shared" si="317"/>
        <v>-0.000133283554228113</v>
      </c>
      <c r="AT385" s="32" t="str">
        <f t="shared" si="318"/>
        <v>0.0179564747267364i</v>
      </c>
      <c r="AU385" s="32">
        <f t="shared" si="342"/>
        <v>1.79564747267364E-2</v>
      </c>
      <c r="AV385" s="32">
        <f t="shared" si="343"/>
        <v>1.5707963267948966</v>
      </c>
      <c r="AW385" s="32" t="str">
        <f t="shared" si="319"/>
        <v>1+3.13955652245166i</v>
      </c>
      <c r="AX385" s="32">
        <f t="shared" si="344"/>
        <v>3.2949681573072542</v>
      </c>
      <c r="AY385" s="32">
        <f t="shared" si="345"/>
        <v>1.2624398219881172</v>
      </c>
      <c r="AZ385" s="32" t="str">
        <f t="shared" si="320"/>
        <v>1+46.7870496394625i</v>
      </c>
      <c r="BA385" s="32">
        <f t="shared" si="346"/>
        <v>46.797735137135945</v>
      </c>
      <c r="BB385" s="32">
        <f t="shared" si="347"/>
        <v>1.5494261447713817</v>
      </c>
      <c r="BC385" s="60" t="str">
        <f t="shared" si="348"/>
        <v>-0.0298409296036781+0.101109875423085i</v>
      </c>
      <c r="BD385" s="51">
        <f t="shared" si="349"/>
        <v>-19.5414180002225</v>
      </c>
      <c r="BE385" s="63">
        <f t="shared" si="350"/>
        <v>106.44310507346022</v>
      </c>
      <c r="BF385" s="60" t="str">
        <f t="shared" si="351"/>
        <v>0.0234356949537885-0.0268650442821558i</v>
      </c>
      <c r="BG385" s="66">
        <f t="shared" si="352"/>
        <v>-28.958672966035127</v>
      </c>
      <c r="BH385" s="63">
        <f t="shared" si="353"/>
        <v>-48.900214229700232</v>
      </c>
      <c r="BI385" s="60" t="str">
        <f t="shared" si="357"/>
        <v>0.168900706051836+0.0400801483070986i</v>
      </c>
      <c r="BJ385" s="66">
        <f t="shared" si="354"/>
        <v>-15.209451358617446</v>
      </c>
      <c r="BK385" s="63">
        <f t="shared" si="358"/>
        <v>13.349374112595756</v>
      </c>
      <c r="BL385" s="51">
        <f t="shared" si="355"/>
        <v>-28.958672966035127</v>
      </c>
      <c r="BM385" s="63">
        <f t="shared" si="356"/>
        <v>-48.900214229700232</v>
      </c>
    </row>
    <row r="386" spans="14:65" x14ac:dyDescent="0.35">
      <c r="N386" s="11">
        <v>68</v>
      </c>
      <c r="O386" s="52">
        <f t="shared" si="359"/>
        <v>47863.009232263823</v>
      </c>
      <c r="P386" s="50" t="str">
        <f t="shared" si="309"/>
        <v>36.531007751938</v>
      </c>
      <c r="Q386" s="18" t="str">
        <f t="shared" si="310"/>
        <v>1+146.869192643646i</v>
      </c>
      <c r="R386" s="18">
        <f t="shared" si="321"/>
        <v>146.87259699411729</v>
      </c>
      <c r="S386" s="18">
        <f t="shared" si="322"/>
        <v>1.5639876521554499</v>
      </c>
      <c r="T386" s="18" t="str">
        <f t="shared" si="311"/>
        <v>1+0.0601464312731122i</v>
      </c>
      <c r="U386" s="18">
        <f t="shared" si="323"/>
        <v>1.0018071636771675</v>
      </c>
      <c r="V386" s="18">
        <f t="shared" si="324"/>
        <v>6.0074059854340771E-2</v>
      </c>
      <c r="W386" s="32" t="str">
        <f t="shared" si="312"/>
        <v>1-0.996508920501268i</v>
      </c>
      <c r="X386" s="18">
        <f t="shared" si="325"/>
        <v>1.4117471546415818</v>
      </c>
      <c r="Y386" s="18">
        <f t="shared" si="326"/>
        <v>-0.78364957319341155</v>
      </c>
      <c r="Z386" s="32" t="str">
        <f t="shared" si="313"/>
        <v>0.952668023703145+0.452823213367321i</v>
      </c>
      <c r="AA386" s="18">
        <f t="shared" si="327"/>
        <v>1.0548105166098614</v>
      </c>
      <c r="AB386" s="18">
        <f t="shared" si="328"/>
        <v>0.44371029294348874</v>
      </c>
      <c r="AC386" s="68" t="str">
        <f t="shared" si="329"/>
        <v>-0.305811461835508-0.133031273295604i</v>
      </c>
      <c r="AD386" s="66">
        <f t="shared" si="330"/>
        <v>-9.5382503665203249</v>
      </c>
      <c r="AE386" s="63">
        <f t="shared" si="331"/>
        <v>-156.49044186459795</v>
      </c>
      <c r="AF386" s="51" t="str">
        <f t="shared" si="332"/>
        <v>42.1703962805665</v>
      </c>
      <c r="AG386" s="51" t="str">
        <f t="shared" si="314"/>
        <v>1+26.5351902675496i</v>
      </c>
      <c r="AH386" s="51">
        <f t="shared" si="333"/>
        <v>26.554026484415857</v>
      </c>
      <c r="AI386" s="51">
        <f t="shared" si="334"/>
        <v>1.5331283475457946</v>
      </c>
      <c r="AJ386" s="51" t="str">
        <f t="shared" si="315"/>
        <v>1+0.0601464312731122i</v>
      </c>
      <c r="AK386" s="51">
        <f t="shared" si="335"/>
        <v>1.0018071636771675</v>
      </c>
      <c r="AL386" s="51">
        <f t="shared" si="336"/>
        <v>6.0074059854340771E-2</v>
      </c>
      <c r="AM386" s="51" t="str">
        <f t="shared" si="316"/>
        <v>1-0.155964291123027i</v>
      </c>
      <c r="AN386" s="51">
        <f t="shared" si="337"/>
        <v>1.0120893538149229</v>
      </c>
      <c r="AO386" s="51">
        <f t="shared" si="338"/>
        <v>-0.15471782997689332</v>
      </c>
      <c r="AP386" s="60" t="str">
        <f t="shared" si="339"/>
        <v>-0.0916928884091169-1.60758888050958i</v>
      </c>
      <c r="AQ386" s="51">
        <f t="shared" si="340"/>
        <v>4.1376057501529386</v>
      </c>
      <c r="AR386" s="63">
        <f t="shared" si="341"/>
        <v>-93.264472351468712</v>
      </c>
      <c r="AS386" s="32" t="str">
        <f t="shared" si="317"/>
        <v>-0.000133283554228113</v>
      </c>
      <c r="AT386" s="32" t="str">
        <f t="shared" si="318"/>
        <v>0.0183747347539358i</v>
      </c>
      <c r="AU386" s="32">
        <f t="shared" si="342"/>
        <v>1.8374734753935799E-2</v>
      </c>
      <c r="AV386" s="32">
        <f t="shared" si="343"/>
        <v>1.5707963267948966</v>
      </c>
      <c r="AW386" s="32" t="str">
        <f t="shared" si="319"/>
        <v>1+3.21268618829411i</v>
      </c>
      <c r="AX386" s="32">
        <f t="shared" si="344"/>
        <v>3.3647217633046176</v>
      </c>
      <c r="AY386" s="32">
        <f t="shared" si="345"/>
        <v>1.2690360606278202</v>
      </c>
      <c r="AZ386" s="32" t="str">
        <f t="shared" si="320"/>
        <v>1+47.8768600255536i</v>
      </c>
      <c r="BA386" s="32">
        <f t="shared" si="346"/>
        <v>47.887302345261126</v>
      </c>
      <c r="BB386" s="32">
        <f t="shared" si="347"/>
        <v>1.5499124464314082</v>
      </c>
      <c r="BC386" s="60" t="str">
        <f t="shared" si="348"/>
        <v>-0.0286164975048672+0.0991894577592837i</v>
      </c>
      <c r="BD386" s="51">
        <f t="shared" si="349"/>
        <v>-19.723465959451119</v>
      </c>
      <c r="BE386" s="63">
        <f t="shared" si="350"/>
        <v>106.09303147143385</v>
      </c>
      <c r="BF386" s="60" t="str">
        <f t="shared" si="351"/>
        <v>0.0219465527977936-0.026526383975705i</v>
      </c>
      <c r="BG386" s="66">
        <f t="shared" si="352"/>
        <v>-29.261716325971442</v>
      </c>
      <c r="BH386" s="63">
        <f t="shared" si="353"/>
        <v>-50.397410393164222</v>
      </c>
      <c r="BI386" s="60" t="str">
        <f t="shared" si="357"/>
        <v>0.162079798669973+0.0369085953062718i</v>
      </c>
      <c r="BJ386" s="66">
        <f t="shared" si="354"/>
        <v>-15.585860209298165</v>
      </c>
      <c r="BK386" s="63">
        <f t="shared" si="358"/>
        <v>12.828559119965108</v>
      </c>
      <c r="BL386" s="51">
        <f t="shared" si="355"/>
        <v>-29.261716325971442</v>
      </c>
      <c r="BM386" s="63">
        <f t="shared" si="356"/>
        <v>-50.397410393164222</v>
      </c>
    </row>
    <row r="387" spans="14:65" x14ac:dyDescent="0.35">
      <c r="N387" s="11">
        <v>69</v>
      </c>
      <c r="O387" s="52">
        <f t="shared" si="359"/>
        <v>48977.881936844598</v>
      </c>
      <c r="P387" s="50" t="str">
        <f t="shared" si="309"/>
        <v>36.531007751938</v>
      </c>
      <c r="Q387" s="18" t="str">
        <f t="shared" si="310"/>
        <v>1+150.290215614175i</v>
      </c>
      <c r="R387" s="18">
        <f t="shared" si="321"/>
        <v>150.29354247390407</v>
      </c>
      <c r="S387" s="18">
        <f t="shared" si="322"/>
        <v>1.5641426318843448</v>
      </c>
      <c r="T387" s="18" t="str">
        <f t="shared" si="311"/>
        <v>1+0.0615474216324716i</v>
      </c>
      <c r="U387" s="18">
        <f t="shared" si="323"/>
        <v>1.0018922522455223</v>
      </c>
      <c r="V387" s="18">
        <f t="shared" si="324"/>
        <v>6.1469882168169544E-2</v>
      </c>
      <c r="W387" s="32" t="str">
        <f t="shared" si="312"/>
        <v>1-1.0197205950942i</v>
      </c>
      <c r="X387" s="18">
        <f t="shared" si="325"/>
        <v>1.4282262047936487</v>
      </c>
      <c r="Y387" s="18">
        <f t="shared" si="326"/>
        <v>-0.79516187451817411</v>
      </c>
      <c r="Z387" s="32" t="str">
        <f t="shared" si="313"/>
        <v>0.950437336383895+0.463370820980832i</v>
      </c>
      <c r="AA387" s="18">
        <f t="shared" si="327"/>
        <v>1.0573758310690498</v>
      </c>
      <c r="AB387" s="18">
        <f t="shared" si="328"/>
        <v>0.45362542597669869</v>
      </c>
      <c r="AC387" s="68" t="str">
        <f t="shared" si="329"/>
        <v>-0.304218292737472-0.125097583610564i</v>
      </c>
      <c r="AD387" s="66">
        <f t="shared" si="330"/>
        <v>-9.6578006425245526</v>
      </c>
      <c r="AE387" s="63">
        <f t="shared" si="331"/>
        <v>-157.64704837594653</v>
      </c>
      <c r="AF387" s="51" t="str">
        <f t="shared" si="332"/>
        <v>42.1703962805665</v>
      </c>
      <c r="AG387" s="51" t="str">
        <f t="shared" si="314"/>
        <v>1+27.1532742496199i</v>
      </c>
      <c r="AH387" s="51">
        <f t="shared" si="333"/>
        <v>27.171681995693074</v>
      </c>
      <c r="AI387" s="51">
        <f t="shared" si="334"/>
        <v>1.533984992053248</v>
      </c>
      <c r="AJ387" s="51" t="str">
        <f t="shared" si="315"/>
        <v>1+0.0615474216324716i</v>
      </c>
      <c r="AK387" s="51">
        <f t="shared" si="335"/>
        <v>1.0018922522455223</v>
      </c>
      <c r="AL387" s="51">
        <f t="shared" si="336"/>
        <v>6.1469882168169544E-2</v>
      </c>
      <c r="AM387" s="51" t="str">
        <f t="shared" si="316"/>
        <v>1-0.159597166152229i</v>
      </c>
      <c r="AN387" s="51">
        <f t="shared" si="337"/>
        <v>1.0126555462958873</v>
      </c>
      <c r="AO387" s="51">
        <f t="shared" si="338"/>
        <v>-0.15826245880830853</v>
      </c>
      <c r="AP387" s="60" t="str">
        <f t="shared" si="339"/>
        <v>-0.0943906401145606-1.57178164397863i</v>
      </c>
      <c r="AQ387" s="51">
        <f t="shared" si="340"/>
        <v>3.9434784564083651</v>
      </c>
      <c r="AR387" s="63">
        <f t="shared" si="341"/>
        <v>-93.436672010736757</v>
      </c>
      <c r="AS387" s="32" t="str">
        <f t="shared" si="317"/>
        <v>-0.000133283554228113</v>
      </c>
      <c r="AT387" s="32" t="str">
        <f t="shared" si="318"/>
        <v>0.0188027373087201i</v>
      </c>
      <c r="AU387" s="32">
        <f t="shared" si="342"/>
        <v>1.8802737308720101E-2</v>
      </c>
      <c r="AV387" s="32">
        <f t="shared" si="343"/>
        <v>1.5707963267948966</v>
      </c>
      <c r="AW387" s="32" t="str">
        <f t="shared" si="319"/>
        <v>1+3.28751926287852i</v>
      </c>
      <c r="AX387" s="32">
        <f t="shared" si="344"/>
        <v>3.4362454661734114</v>
      </c>
      <c r="AY387" s="32">
        <f t="shared" si="345"/>
        <v>1.2755084298514072</v>
      </c>
      <c r="AZ387" s="32" t="str">
        <f t="shared" si="320"/>
        <v>1+48.9920553565555i</v>
      </c>
      <c r="BA387" s="32">
        <f t="shared" si="346"/>
        <v>49.002260030123082</v>
      </c>
      <c r="BB387" s="32">
        <f t="shared" si="347"/>
        <v>1.5503876880603875</v>
      </c>
      <c r="BC387" s="60" t="str">
        <f t="shared" si="348"/>
        <v>-0.0274376197021668+0.097290221956078i</v>
      </c>
      <c r="BD387" s="51">
        <f t="shared" si="349"/>
        <v>-19.906251649537275</v>
      </c>
      <c r="BE387" s="63">
        <f t="shared" si="350"/>
        <v>105.74942137106129</v>
      </c>
      <c r="BF387" s="60" t="str">
        <f t="shared" si="351"/>
        <v>0.020517797498214-0.0261650852987611i</v>
      </c>
      <c r="BG387" s="66">
        <f t="shared" si="352"/>
        <v>-29.564052292061831</v>
      </c>
      <c r="BH387" s="63">
        <f t="shared" si="353"/>
        <v>-51.897627004885251</v>
      </c>
      <c r="BI387" s="60" t="str">
        <f t="shared" si="357"/>
        <v>0.155508839496077+0.0339426606750103i</v>
      </c>
      <c r="BJ387" s="66">
        <f t="shared" si="354"/>
        <v>-15.962773193128939</v>
      </c>
      <c r="BK387" s="63">
        <f t="shared" si="358"/>
        <v>12.31274936032457</v>
      </c>
      <c r="BL387" s="51">
        <f t="shared" si="355"/>
        <v>-29.564052292061831</v>
      </c>
      <c r="BM387" s="63">
        <f t="shared" si="356"/>
        <v>-51.897627004885251</v>
      </c>
    </row>
    <row r="388" spans="14:65" x14ac:dyDescent="0.35">
      <c r="N388" s="11">
        <v>70</v>
      </c>
      <c r="O388" s="52">
        <f t="shared" si="359"/>
        <v>50118.723362727294</v>
      </c>
      <c r="P388" s="50" t="str">
        <f t="shared" si="309"/>
        <v>36.531007751938</v>
      </c>
      <c r="Q388" s="18" t="str">
        <f t="shared" si="310"/>
        <v>1+153.790924446349i</v>
      </c>
      <c r="R388" s="18">
        <f t="shared" si="321"/>
        <v>153.79417557912467</v>
      </c>
      <c r="S388" s="18">
        <f t="shared" si="322"/>
        <v>1.5642940841527697</v>
      </c>
      <c r="T388" s="18" t="str">
        <f t="shared" si="311"/>
        <v>1+0.0629810452494572i</v>
      </c>
      <c r="U388" s="18">
        <f t="shared" si="323"/>
        <v>1.0019813431699784</v>
      </c>
      <c r="V388" s="18">
        <f t="shared" si="324"/>
        <v>6.2897969087323674E-2</v>
      </c>
      <c r="W388" s="32" t="str">
        <f t="shared" si="312"/>
        <v>1-1.04347293904426i</v>
      </c>
      <c r="X388" s="18">
        <f t="shared" si="325"/>
        <v>1.4452805175873875</v>
      </c>
      <c r="Y388" s="18">
        <f t="shared" si="326"/>
        <v>-0.80666900168117395</v>
      </c>
      <c r="Z388" s="32" t="str">
        <f t="shared" si="313"/>
        <v>0.948101520010133+0.474164113937066i</v>
      </c>
      <c r="AA388" s="18">
        <f t="shared" si="327"/>
        <v>1.0600604224247068</v>
      </c>
      <c r="AB388" s="18">
        <f t="shared" si="328"/>
        <v>0.46374325151041867</v>
      </c>
      <c r="AC388" s="68" t="str">
        <f t="shared" si="329"/>
        <v>-0.302557327226448-0.117275763263942i</v>
      </c>
      <c r="AD388" s="66">
        <f t="shared" si="330"/>
        <v>-9.775941446282344</v>
      </c>
      <c r="AE388" s="63">
        <f t="shared" si="331"/>
        <v>-158.81292112017169</v>
      </c>
      <c r="AF388" s="51" t="str">
        <f t="shared" si="332"/>
        <v>42.1703962805665</v>
      </c>
      <c r="AG388" s="51" t="str">
        <f t="shared" si="314"/>
        <v>1+27.7857552571136i</v>
      </c>
      <c r="AH388" s="51">
        <f t="shared" si="333"/>
        <v>27.803744265983603</v>
      </c>
      <c r="AI388" s="51">
        <f t="shared" si="334"/>
        <v>1.5348221891836391</v>
      </c>
      <c r="AJ388" s="51" t="str">
        <f t="shared" si="315"/>
        <v>1+0.0629810452494572i</v>
      </c>
      <c r="AK388" s="51">
        <f t="shared" si="335"/>
        <v>1.0019813431699784</v>
      </c>
      <c r="AL388" s="51">
        <f t="shared" si="336"/>
        <v>6.2897969087323674E-2</v>
      </c>
      <c r="AM388" s="51" t="str">
        <f t="shared" si="316"/>
        <v>1-0.163314661711444i</v>
      </c>
      <c r="AN388" s="51">
        <f t="shared" si="337"/>
        <v>1.013248083506662</v>
      </c>
      <c r="AO388" s="51">
        <f t="shared" si="338"/>
        <v>-0.16188550500677332</v>
      </c>
      <c r="AP388" s="60" t="str">
        <f t="shared" si="339"/>
        <v>-0.0969672945244666-1.53679885286307i</v>
      </c>
      <c r="AQ388" s="51">
        <f t="shared" si="340"/>
        <v>3.7495964581732122</v>
      </c>
      <c r="AR388" s="63">
        <f t="shared" si="341"/>
        <v>-93.610401775836195</v>
      </c>
      <c r="AS388" s="32" t="str">
        <f t="shared" si="317"/>
        <v>-0.000133283554228113</v>
      </c>
      <c r="AT388" s="32" t="str">
        <f t="shared" si="318"/>
        <v>0.0192407093237092i</v>
      </c>
      <c r="AU388" s="32">
        <f t="shared" si="342"/>
        <v>1.92407093237092E-2</v>
      </c>
      <c r="AV388" s="32">
        <f t="shared" si="343"/>
        <v>1.5707963267948966</v>
      </c>
      <c r="AW388" s="32" t="str">
        <f t="shared" si="319"/>
        <v>1+3.36409542369159i</v>
      </c>
      <c r="AX388" s="32">
        <f t="shared" si="344"/>
        <v>3.5095780401214474</v>
      </c>
      <c r="AY388" s="32">
        <f t="shared" si="345"/>
        <v>1.2818581915018921</v>
      </c>
      <c r="AZ388" s="32" t="str">
        <f t="shared" si="320"/>
        <v>1+50.1332269237941i</v>
      </c>
      <c r="BA388" s="32">
        <f t="shared" si="346"/>
        <v>50.143199357366832</v>
      </c>
      <c r="BB388" s="32">
        <f t="shared" si="347"/>
        <v>1.5508521207785457</v>
      </c>
      <c r="BC388" s="60" t="str">
        <f t="shared" si="348"/>
        <v>-0.0263029817740047+0.0954129048890862i</v>
      </c>
      <c r="BD388" s="51">
        <f t="shared" si="349"/>
        <v>-20.089747535124101</v>
      </c>
      <c r="BE388" s="63">
        <f t="shared" si="350"/>
        <v>105.41221686219286</v>
      </c>
      <c r="BF388" s="60" t="str">
        <f t="shared" si="351"/>
        <v>0.0191477811097263-0.0257831712224893i</v>
      </c>
      <c r="BG388" s="66">
        <f t="shared" si="352"/>
        <v>-29.865688981406443</v>
      </c>
      <c r="BH388" s="63">
        <f t="shared" si="353"/>
        <v>-53.400704257978937</v>
      </c>
      <c r="BI388" s="60" t="str">
        <f t="shared" si="357"/>
        <v>0.149180971762432+0.0311704609673537i</v>
      </c>
      <c r="BJ388" s="66">
        <f t="shared" si="354"/>
        <v>-16.340151076950921</v>
      </c>
      <c r="BK388" s="63">
        <f t="shared" si="358"/>
        <v>11.801815086356681</v>
      </c>
      <c r="BL388" s="51">
        <f t="shared" si="355"/>
        <v>-29.865688981406443</v>
      </c>
      <c r="BM388" s="63">
        <f t="shared" si="356"/>
        <v>-53.400704257978937</v>
      </c>
    </row>
    <row r="389" spans="14:65" x14ac:dyDescent="0.35">
      <c r="N389" s="11">
        <v>71</v>
      </c>
      <c r="O389" s="52">
        <f t="shared" si="359"/>
        <v>51286.138399136544</v>
      </c>
      <c r="P389" s="50" t="str">
        <f t="shared" si="309"/>
        <v>36.531007751938</v>
      </c>
      <c r="Q389" s="18" t="str">
        <f t="shared" si="310"/>
        <v>1+157.373175262328i</v>
      </c>
      <c r="R389" s="18">
        <f t="shared" si="321"/>
        <v>157.37635239179806</v>
      </c>
      <c r="S389" s="18">
        <f t="shared" si="322"/>
        <v>1.5644420892349151</v>
      </c>
      <c r="T389" s="18" t="str">
        <f t="shared" si="311"/>
        <v>1+0.0644480622502868i</v>
      </c>
      <c r="U389" s="18">
        <f t="shared" si="323"/>
        <v>1.0020746243308514</v>
      </c>
      <c r="V389" s="18">
        <f t="shared" si="324"/>
        <v>6.4359054489350295E-2</v>
      </c>
      <c r="W389" s="32" t="str">
        <f t="shared" si="312"/>
        <v>1-1.0677785461586i</v>
      </c>
      <c r="X389" s="18">
        <f t="shared" si="325"/>
        <v>1.4629255017384084</v>
      </c>
      <c r="Y389" s="18">
        <f t="shared" si="326"/>
        <v>-0.81816486734667349</v>
      </c>
      <c r="Z389" s="32" t="str">
        <f t="shared" si="313"/>
        <v>0.945655620002161+0.485208814982814i</v>
      </c>
      <c r="AA389" s="18">
        <f t="shared" si="327"/>
        <v>1.0628697689645228</v>
      </c>
      <c r="AB389" s="18">
        <f t="shared" si="328"/>
        <v>0.4740666727390217</v>
      </c>
      <c r="AC389" s="68" t="str">
        <f t="shared" si="329"/>
        <v>-0.300826891875706-0.109564341584753i</v>
      </c>
      <c r="AD389" s="66">
        <f t="shared" si="330"/>
        <v>-9.8927120349779383</v>
      </c>
      <c r="AE389" s="63">
        <f t="shared" si="331"/>
        <v>-159.98784021069812</v>
      </c>
      <c r="AF389" s="51" t="str">
        <f t="shared" si="332"/>
        <v>42.1703962805665</v>
      </c>
      <c r="AG389" s="51" t="str">
        <f t="shared" si="314"/>
        <v>1+28.4329686398325i</v>
      </c>
      <c r="AH389" s="51">
        <f t="shared" si="333"/>
        <v>28.450548424831787</v>
      </c>
      <c r="AI389" s="51">
        <f t="shared" si="334"/>
        <v>1.5356403781329617</v>
      </c>
      <c r="AJ389" s="51" t="str">
        <f t="shared" si="315"/>
        <v>1+0.0644480622502868i</v>
      </c>
      <c r="AK389" s="51">
        <f t="shared" si="335"/>
        <v>1.0020746243308514</v>
      </c>
      <c r="AL389" s="51">
        <f t="shared" si="336"/>
        <v>6.4359054489350295E-2</v>
      </c>
      <c r="AM389" s="51" t="str">
        <f t="shared" si="316"/>
        <v>1-0.167118748866023i</v>
      </c>
      <c r="AN389" s="51">
        <f t="shared" si="337"/>
        <v>1.0138681749727352</v>
      </c>
      <c r="AO389" s="51">
        <f t="shared" si="338"/>
        <v>-0.1655885089034764</v>
      </c>
      <c r="AP389" s="60" t="str">
        <f t="shared" si="339"/>
        <v>-0.0994282736772631-1.50262255360515i</v>
      </c>
      <c r="AQ389" s="51">
        <f t="shared" si="340"/>
        <v>3.5559719032537398</v>
      </c>
      <c r="AR389" s="63">
        <f t="shared" si="341"/>
        <v>-93.785733017233909</v>
      </c>
      <c r="AS389" s="32" t="str">
        <f t="shared" si="317"/>
        <v>-0.000133283554228113</v>
      </c>
      <c r="AT389" s="32" t="str">
        <f t="shared" si="318"/>
        <v>0.0196888830174626i</v>
      </c>
      <c r="AU389" s="32">
        <f t="shared" si="342"/>
        <v>1.9688883017462602E-2</v>
      </c>
      <c r="AV389" s="32">
        <f t="shared" si="343"/>
        <v>1.5707963267948966</v>
      </c>
      <c r="AW389" s="32" t="str">
        <f t="shared" si="319"/>
        <v>1+3.44245527242737i</v>
      </c>
      <c r="AX389" s="32">
        <f t="shared" si="344"/>
        <v>3.5847591694091525</v>
      </c>
      <c r="AY389" s="32">
        <f t="shared" si="345"/>
        <v>1.2880866633911288</v>
      </c>
      <c r="AZ389" s="32" t="str">
        <f t="shared" si="320"/>
        <v>1+51.3009797915395i</v>
      </c>
      <c r="BA389" s="32">
        <f t="shared" si="346"/>
        <v>51.310725268426516</v>
      </c>
      <c r="BB389" s="32">
        <f t="shared" si="347"/>
        <v>1.5513059900323813</v>
      </c>
      <c r="BC389" s="60" t="str">
        <f t="shared" si="348"/>
        <v>-0.0252112757972197+0.093558172056708i</v>
      </c>
      <c r="BD389" s="51">
        <f t="shared" si="349"/>
        <v>-20.273926882324751</v>
      </c>
      <c r="BE389" s="63">
        <f t="shared" si="350"/>
        <v>105.08135650281922</v>
      </c>
      <c r="BF389" s="60" t="str">
        <f t="shared" si="351"/>
        <v>0.0178348692595651-0.025382557276158i</v>
      </c>
      <c r="BG389" s="66">
        <f t="shared" si="352"/>
        <v>-30.166638917302684</v>
      </c>
      <c r="BH389" s="63">
        <f t="shared" si="353"/>
        <v>-54.906483707878849</v>
      </c>
      <c r="BI389" s="60" t="str">
        <f t="shared" si="357"/>
        <v>0.143089333036199+0.0285807040820631i</v>
      </c>
      <c r="BJ389" s="66">
        <f t="shared" si="354"/>
        <v>-16.717954979071042</v>
      </c>
      <c r="BK389" s="63">
        <f t="shared" si="358"/>
        <v>11.295623485585315</v>
      </c>
      <c r="BL389" s="51">
        <f t="shared" si="355"/>
        <v>-30.166638917302684</v>
      </c>
      <c r="BM389" s="63">
        <f t="shared" si="356"/>
        <v>-54.906483707878849</v>
      </c>
    </row>
    <row r="390" spans="14:65" x14ac:dyDescent="0.35">
      <c r="N390" s="11">
        <v>72</v>
      </c>
      <c r="O390" s="52">
        <f t="shared" si="359"/>
        <v>52480.746024977314</v>
      </c>
      <c r="P390" s="50" t="str">
        <f t="shared" si="309"/>
        <v>36.531007751938</v>
      </c>
      <c r="Q390" s="18" t="str">
        <f t="shared" si="310"/>
        <v>1+161.038867418911i</v>
      </c>
      <c r="R390" s="18">
        <f t="shared" si="321"/>
        <v>161.04197222949549</v>
      </c>
      <c r="S390" s="18">
        <f t="shared" si="322"/>
        <v>1.564586725579082</v>
      </c>
      <c r="T390" s="18" t="str">
        <f t="shared" si="311"/>
        <v>1+0.0659492504667922i</v>
      </c>
      <c r="U390" s="18">
        <f t="shared" si="323"/>
        <v>1.0021722923914489</v>
      </c>
      <c r="V390" s="18">
        <f t="shared" si="324"/>
        <v>6.5853888094343491E-2</v>
      </c>
      <c r="W390" s="32" t="str">
        <f t="shared" si="312"/>
        <v>1-1.09265030359182i</v>
      </c>
      <c r="X390" s="18">
        <f t="shared" si="325"/>
        <v>1.4811767909129876</v>
      </c>
      <c r="Y390" s="18">
        <f t="shared" si="326"/>
        <v>-0.82964341394236951</v>
      </c>
      <c r="Z390" s="32" t="str">
        <f t="shared" si="313"/>
        <v>0.943094448278137+0.496510780164762i</v>
      </c>
      <c r="AA390" s="18">
        <f t="shared" si="327"/>
        <v>1.0658095951870878</v>
      </c>
      <c r="AB390" s="18">
        <f t="shared" si="328"/>
        <v>0.48459855270938679</v>
      </c>
      <c r="AC390" s="68" t="str">
        <f t="shared" si="329"/>
        <v>-0.29902531206737-0.101962036149259i</v>
      </c>
      <c r="AD390" s="66">
        <f t="shared" si="330"/>
        <v>-10.00815527418334</v>
      </c>
      <c r="AE390" s="63">
        <f t="shared" si="331"/>
        <v>-161.17158415366055</v>
      </c>
      <c r="AF390" s="51" t="str">
        <f t="shared" si="332"/>
        <v>42.1703962805665</v>
      </c>
      <c r="AG390" s="51" t="str">
        <f t="shared" si="314"/>
        <v>1+29.095257558879i</v>
      </c>
      <c r="AH390" s="51">
        <f t="shared" si="333"/>
        <v>29.112437418009254</v>
      </c>
      <c r="AI390" s="51">
        <f t="shared" si="334"/>
        <v>1.5364399883315423</v>
      </c>
      <c r="AJ390" s="51" t="str">
        <f t="shared" si="315"/>
        <v>1+0.0659492504667922i</v>
      </c>
      <c r="AK390" s="51">
        <f t="shared" si="335"/>
        <v>1.0021722923914489</v>
      </c>
      <c r="AL390" s="51">
        <f t="shared" si="336"/>
        <v>6.5853888094343491E-2</v>
      </c>
      <c r="AM390" s="51" t="str">
        <f t="shared" si="316"/>
        <v>1-0.171011444593328i</v>
      </c>
      <c r="AN390" s="51">
        <f t="shared" si="337"/>
        <v>1.0145170842237685</v>
      </c>
      <c r="AO390" s="51">
        <f t="shared" si="338"/>
        <v>-0.16937302746284147</v>
      </c>
      <c r="AP390" s="60" t="str">
        <f t="shared" si="339"/>
        <v>-0.101778758057147-1.46923518072631i</v>
      </c>
      <c r="AQ390" s="51">
        <f t="shared" si="340"/>
        <v>3.3626174087599798</v>
      </c>
      <c r="AR390" s="63">
        <f t="shared" si="341"/>
        <v>-93.962736591168337</v>
      </c>
      <c r="AS390" s="32" t="str">
        <f t="shared" si="317"/>
        <v>-0.000133283554228113</v>
      </c>
      <c r="AT390" s="32" t="str">
        <f t="shared" si="318"/>
        <v>0.020147496017605i</v>
      </c>
      <c r="AU390" s="32">
        <f t="shared" si="342"/>
        <v>2.0147496017605002E-2</v>
      </c>
      <c r="AV390" s="32">
        <f t="shared" si="343"/>
        <v>1.5707963267948966</v>
      </c>
      <c r="AW390" s="32" t="str">
        <f t="shared" si="319"/>
        <v>1+3.52264035651485i</v>
      </c>
      <c r="AX390" s="32">
        <f t="shared" si="344"/>
        <v>3.6618294719097815</v>
      </c>
      <c r="AY390" s="32">
        <f t="shared" si="345"/>
        <v>1.2941952141902153</v>
      </c>
      <c r="AZ390" s="32" t="str">
        <f t="shared" si="320"/>
        <v>1+52.4959331178189i</v>
      </c>
      <c r="BA390" s="32">
        <f t="shared" si="346"/>
        <v>52.505456801274612</v>
      </c>
      <c r="BB390" s="32">
        <f t="shared" si="347"/>
        <v>1.5517495357209843</v>
      </c>
      <c r="BC390" s="60" t="str">
        <f t="shared" si="348"/>
        <v>-0.024161203347059+0.0917266204958611i</v>
      </c>
      <c r="BD390" s="51">
        <f t="shared" si="349"/>
        <v>-20.458763754133926</v>
      </c>
      <c r="BE390" s="63">
        <f t="shared" si="350"/>
        <v>104.75677561906845</v>
      </c>
      <c r="BF390" s="60" t="str">
        <f t="shared" si="351"/>
        <v>0.0165774443656259-0.0249650558295777i</v>
      </c>
      <c r="BG390" s="66">
        <f t="shared" si="352"/>
        <v>-30.466919028317246</v>
      </c>
      <c r="BH390" s="63">
        <f t="shared" si="353"/>
        <v>-56.414808534592069</v>
      </c>
      <c r="BI390" s="60" t="str">
        <f t="shared" si="357"/>
        <v>0.13722707511148+0.0261626684513334i</v>
      </c>
      <c r="BJ390" s="66">
        <f t="shared" si="354"/>
        <v>-17.096146345373946</v>
      </c>
      <c r="BK390" s="63">
        <f t="shared" si="358"/>
        <v>10.794039027900119</v>
      </c>
      <c r="BL390" s="51">
        <f t="shared" si="355"/>
        <v>-30.466919028317246</v>
      </c>
      <c r="BM390" s="63">
        <f t="shared" si="356"/>
        <v>-56.414808534592069</v>
      </c>
    </row>
    <row r="391" spans="14:65" x14ac:dyDescent="0.35">
      <c r="N391" s="11">
        <v>73</v>
      </c>
      <c r="O391" s="52">
        <f t="shared" si="359"/>
        <v>53703.179637025423</v>
      </c>
      <c r="P391" s="50" t="str">
        <f t="shared" si="309"/>
        <v>36.531007751938</v>
      </c>
      <c r="Q391" s="18" t="str">
        <f t="shared" si="310"/>
        <v>1+164.789944514601i</v>
      </c>
      <c r="R391" s="18">
        <f t="shared" si="321"/>
        <v>164.79297865238456</v>
      </c>
      <c r="S391" s="18">
        <f t="shared" si="322"/>
        <v>1.5647280698491552</v>
      </c>
      <c r="T391" s="18" t="str">
        <f t="shared" si="311"/>
        <v>1+0.0674854058488368i</v>
      </c>
      <c r="U391" s="18">
        <f t="shared" si="323"/>
        <v>1.0022745532051496</v>
      </c>
      <c r="V391" s="18">
        <f t="shared" si="324"/>
        <v>6.738323574584007E-2</v>
      </c>
      <c r="W391" s="32" t="str">
        <f t="shared" si="312"/>
        <v>1-1.11810139867895i</v>
      </c>
      <c r="X391" s="18">
        <f t="shared" si="325"/>
        <v>1.5000502450677524</v>
      </c>
      <c r="Y391" s="18">
        <f t="shared" si="326"/>
        <v>-0.84109862953287695</v>
      </c>
      <c r="Z391" s="32" t="str">
        <f t="shared" si="313"/>
        <v>0.94041257224945+0.508076001934451i</v>
      </c>
      <c r="AA391" s="18">
        <f t="shared" si="327"/>
        <v>1.0688858824900456</v>
      </c>
      <c r="AB391" s="18">
        <f t="shared" si="328"/>
        <v>0.49534170799939303</v>
      </c>
      <c r="AC391" s="68" t="str">
        <f t="shared" si="329"/>
        <v>-0.297150918490888-0.0944677554940422i</v>
      </c>
      <c r="AD391" s="66">
        <f t="shared" si="330"/>
        <v>-10.122317629595043</v>
      </c>
      <c r="AE391" s="63">
        <f t="shared" si="331"/>
        <v>-162.36393038147449</v>
      </c>
      <c r="AF391" s="51" t="str">
        <f t="shared" si="332"/>
        <v>42.1703962805665</v>
      </c>
      <c r="AG391" s="51" t="str">
        <f t="shared" si="314"/>
        <v>1+29.7729731686046i</v>
      </c>
      <c r="AH391" s="51">
        <f t="shared" si="333"/>
        <v>29.789762189357091</v>
      </c>
      <c r="AI391" s="51">
        <f t="shared" si="334"/>
        <v>1.5372214396509396</v>
      </c>
      <c r="AJ391" s="51" t="str">
        <f t="shared" si="315"/>
        <v>1+0.0674854058488368i</v>
      </c>
      <c r="AK391" s="51">
        <f t="shared" si="335"/>
        <v>1.0022745532051496</v>
      </c>
      <c r="AL391" s="51">
        <f t="shared" si="336"/>
        <v>6.738323574584007E-2</v>
      </c>
      <c r="AM391" s="51" t="str">
        <f t="shared" si="316"/>
        <v>1-0.174994812852161i</v>
      </c>
      <c r="AN391" s="51">
        <f t="shared" si="337"/>
        <v>1.0151961310629403</v>
      </c>
      <c r="AO391" s="51">
        <f t="shared" si="338"/>
        <v>-0.17324063343608098</v>
      </c>
      <c r="AP391" s="60" t="str">
        <f t="shared" si="339"/>
        <v>-0.104023697248693-1.4366195501345i</v>
      </c>
      <c r="AQ391" s="51">
        <f t="shared" si="340"/>
        <v>3.1695460808304925</v>
      </c>
      <c r="AR391" s="63">
        <f t="shared" si="341"/>
        <v>-94.141482786911922</v>
      </c>
      <c r="AS391" s="32" t="str">
        <f t="shared" si="317"/>
        <v>-0.000133283554228113</v>
      </c>
      <c r="AT391" s="32" t="str">
        <f t="shared" si="318"/>
        <v>0.0206167914868196i</v>
      </c>
      <c r="AU391" s="32">
        <f t="shared" si="342"/>
        <v>2.0616791486819601E-2</v>
      </c>
      <c r="AV391" s="32">
        <f t="shared" si="343"/>
        <v>1.5707963267948966</v>
      </c>
      <c r="AW391" s="32" t="str">
        <f t="shared" si="319"/>
        <v>1+3.60469319114703i</v>
      </c>
      <c r="AX391" s="32">
        <f t="shared" si="344"/>
        <v>3.7408305230659353</v>
      </c>
      <c r="AY391" s="32">
        <f t="shared" si="345"/>
        <v>1.3001852585315894</v>
      </c>
      <c r="AZ391" s="32" t="str">
        <f t="shared" si="320"/>
        <v>1+53.7187204827033i</v>
      </c>
      <c r="BA391" s="32">
        <f t="shared" si="346"/>
        <v>53.728027418646285</v>
      </c>
      <c r="BB391" s="32">
        <f t="shared" si="347"/>
        <v>1.5521829923196697</v>
      </c>
      <c r="BC391" s="60" t="str">
        <f t="shared" si="348"/>
        <v>-0.0231514782130396+0.0899187817303038i</v>
      </c>
      <c r="BD391" s="51">
        <f t="shared" si="349"/>
        <v>-20.644233004059522</v>
      </c>
      <c r="BE391" s="63">
        <f t="shared" si="350"/>
        <v>104.43840659291821</v>
      </c>
      <c r="BF391" s="60" t="str">
        <f t="shared" si="351"/>
        <v>0.015373908502247-0.0245323803975864i</v>
      </c>
      <c r="BG391" s="66">
        <f t="shared" si="352"/>
        <v>-30.76655063365456</v>
      </c>
      <c r="BH391" s="63">
        <f t="shared" si="353"/>
        <v>-57.925523788556291</v>
      </c>
      <c r="BI391" s="60" t="str">
        <f t="shared" si="357"/>
        <v>0.131587382118524+0.0239061820876812i</v>
      </c>
      <c r="BJ391" s="66">
        <f t="shared" si="354"/>
        <v>-17.474686923229051</v>
      </c>
      <c r="BK391" s="63">
        <f t="shared" si="358"/>
        <v>10.296923806006326</v>
      </c>
      <c r="BL391" s="51">
        <f t="shared" si="355"/>
        <v>-30.76655063365456</v>
      </c>
      <c r="BM391" s="63">
        <f t="shared" si="356"/>
        <v>-57.925523788556291</v>
      </c>
    </row>
    <row r="392" spans="14:65" x14ac:dyDescent="0.35">
      <c r="N392" s="11">
        <v>74</v>
      </c>
      <c r="O392" s="52">
        <f t="shared" si="359"/>
        <v>54954.087385762505</v>
      </c>
      <c r="P392" s="50" t="str">
        <f t="shared" si="309"/>
        <v>36.531007751938</v>
      </c>
      <c r="Q392" s="18" t="str">
        <f t="shared" si="310"/>
        <v>1+168.628395420126i</v>
      </c>
      <c r="R392" s="18">
        <f t="shared" si="321"/>
        <v>168.63136049373014</v>
      </c>
      <c r="S392" s="18">
        <f t="shared" si="322"/>
        <v>1.5648661969651338</v>
      </c>
      <c r="T392" s="18" t="str">
        <f t="shared" si="311"/>
        <v>1+0.0690573428863372i</v>
      </c>
      <c r="U392" s="18">
        <f t="shared" si="323"/>
        <v>1.0023816222410111</v>
      </c>
      <c r="V392" s="18">
        <f t="shared" si="324"/>
        <v>6.8947879692121114E-2</v>
      </c>
      <c r="W392" s="32" t="str">
        <f t="shared" si="312"/>
        <v>1-1.14414532592748i</v>
      </c>
      <c r="X392" s="18">
        <f t="shared" si="325"/>
        <v>1.5195619522881254</v>
      </c>
      <c r="Y392" s="18">
        <f t="shared" si="326"/>
        <v>-0.85252456340074256</v>
      </c>
      <c r="Z392" s="32" t="str">
        <f t="shared" si="313"/>
        <v>0.937604303297479+0.519910612325546i</v>
      </c>
      <c r="AA392" s="18">
        <f t="shared" si="327"/>
        <v>1.0721048803035433</v>
      </c>
      <c r="AB392" s="18">
        <f t="shared" si="328"/>
        <v>0.5062989020875569</v>
      </c>
      <c r="AC392" s="68" t="str">
        <f t="shared" si="329"/>
        <v>-0.29520205414975-0.0870806016756177i</v>
      </c>
      <c r="AD392" s="66">
        <f t="shared" si="330"/>
        <v>-10.235249146851402</v>
      </c>
      <c r="AE392" s="63">
        <f t="shared" si="331"/>
        <v>-163.56465575187562</v>
      </c>
      <c r="AF392" s="51" t="str">
        <f t="shared" si="332"/>
        <v>42.1703962805665</v>
      </c>
      <c r="AG392" s="51" t="str">
        <f t="shared" si="314"/>
        <v>1+30.4664748027959i</v>
      </c>
      <c r="AH392" s="51">
        <f t="shared" si="333"/>
        <v>30.482881866867469</v>
      </c>
      <c r="AI392" s="51">
        <f t="shared" si="334"/>
        <v>1.5379851426071585</v>
      </c>
      <c r="AJ392" s="51" t="str">
        <f t="shared" si="315"/>
        <v>1+0.0690573428863372i</v>
      </c>
      <c r="AK392" s="51">
        <f t="shared" si="335"/>
        <v>1.0023816222410111</v>
      </c>
      <c r="AL392" s="51">
        <f t="shared" si="336"/>
        <v>6.8947879692121114E-2</v>
      </c>
      <c r="AM392" s="51" t="str">
        <f t="shared" si="316"/>
        <v>1-0.179070965677098i</v>
      </c>
      <c r="AN392" s="51">
        <f t="shared" si="337"/>
        <v>1.015906693918555</v>
      </c>
      <c r="AO392" s="51">
        <f t="shared" si="338"/>
        <v>-0.17719291442299229</v>
      </c>
      <c r="AP392" s="60" t="str">
        <f t="shared" si="339"/>
        <v>-0.106167820130921-1.40475885246066i</v>
      </c>
      <c r="AQ392" s="51">
        <f t="shared" si="340"/>
        <v>2.9767715347751085</v>
      </c>
      <c r="AR392" s="63">
        <f t="shared" si="341"/>
        <v>-94.322041268542122</v>
      </c>
      <c r="AS392" s="32" t="str">
        <f t="shared" si="317"/>
        <v>-0.000133283554228113</v>
      </c>
      <c r="AT392" s="32" t="str">
        <f t="shared" si="318"/>
        <v>0.021097018251776i</v>
      </c>
      <c r="AU392" s="32">
        <f t="shared" si="342"/>
        <v>2.1097018251776001E-2</v>
      </c>
      <c r="AV392" s="32">
        <f t="shared" si="343"/>
        <v>1.5707963267948966</v>
      </c>
      <c r="AW392" s="32" t="str">
        <f t="shared" si="319"/>
        <v>1+3.6886572818229i</v>
      </c>
      <c r="AX392" s="32">
        <f t="shared" si="344"/>
        <v>3.8218048802555455</v>
      </c>
      <c r="AY392" s="32">
        <f t="shared" si="345"/>
        <v>1.3060582523243598</v>
      </c>
      <c r="AZ392" s="32" t="str">
        <f t="shared" si="320"/>
        <v>1+54.9699902242388i</v>
      </c>
      <c r="BA392" s="32">
        <f t="shared" si="346"/>
        <v>54.97908534390973</v>
      </c>
      <c r="BB392" s="32">
        <f t="shared" si="347"/>
        <v>1.5526065890009715</v>
      </c>
      <c r="BC392" s="60" t="str">
        <f t="shared" si="348"/>
        <v>-0.02218082884311+0.0881351247326316i</v>
      </c>
      <c r="BD392" s="51">
        <f t="shared" si="349"/>
        <v>-20.830310268146274</v>
      </c>
      <c r="BE392" s="63">
        <f t="shared" si="350"/>
        <v>104.12617913754028</v>
      </c>
      <c r="BF392" s="60" t="str">
        <f t="shared" si="351"/>
        <v>0.0142226859277033-0.0240861499424954i</v>
      </c>
      <c r="BG392" s="66">
        <f t="shared" si="352"/>
        <v>-31.065559414997665</v>
      </c>
      <c r="BH392" s="63">
        <f t="shared" si="353"/>
        <v>-59.4384766143353</v>
      </c>
      <c r="BI392" s="60" t="str">
        <f t="shared" si="357"/>
        <v>0.126163486927859+0.0218016016024432i</v>
      </c>
      <c r="BJ392" s="66">
        <f t="shared" si="354"/>
        <v>-17.853538733371149</v>
      </c>
      <c r="BK392" s="63">
        <f t="shared" si="358"/>
        <v>9.8041378689981471</v>
      </c>
      <c r="BL392" s="51">
        <f t="shared" si="355"/>
        <v>-31.065559414997665</v>
      </c>
      <c r="BM392" s="63">
        <f t="shared" si="356"/>
        <v>-59.4384766143353</v>
      </c>
    </row>
    <row r="393" spans="14:65" x14ac:dyDescent="0.35">
      <c r="N393" s="11">
        <v>75</v>
      </c>
      <c r="O393" s="52">
        <f t="shared" si="359"/>
        <v>56234.132519034953</v>
      </c>
      <c r="P393" s="50" t="str">
        <f t="shared" si="309"/>
        <v>36.531007751938</v>
      </c>
      <c r="Q393" s="18" t="str">
        <f t="shared" si="310"/>
        <v>1+172.556255332962i</v>
      </c>
      <c r="R393" s="18">
        <f t="shared" si="321"/>
        <v>172.55915291439737</v>
      </c>
      <c r="S393" s="18">
        <f t="shared" si="322"/>
        <v>1.5650011801427486</v>
      </c>
      <c r="T393" s="18" t="str">
        <f t="shared" si="311"/>
        <v>1+0.070665895041118i</v>
      </c>
      <c r="U393" s="18">
        <f t="shared" si="323"/>
        <v>1.0024937250287218</v>
      </c>
      <c r="V393" s="18">
        <f t="shared" si="324"/>
        <v>7.0548618867516039E-2</v>
      </c>
      <c r="W393" s="32" t="str">
        <f t="shared" si="312"/>
        <v>1-1.17079589417237i</v>
      </c>
      <c r="X393" s="18">
        <f t="shared" si="325"/>
        <v>1.5397282311534328</v>
      </c>
      <c r="Y393" s="18">
        <f t="shared" si="326"/>
        <v>-0.86391534123768998</v>
      </c>
      <c r="Z393" s="32" t="str">
        <f t="shared" si="313"/>
        <v>0.934663684707265+0.532020886205127i</v>
      </c>
      <c r="AA393" s="18">
        <f t="shared" si="327"/>
        <v>1.0754731176877694</v>
      </c>
      <c r="AB393" s="18">
        <f t="shared" si="328"/>
        <v>0.51747283841384495</v>
      </c>
      <c r="AC393" s="68" t="str">
        <f t="shared" si="329"/>
        <v>-0.293177081890335-0.0797998726296074i</v>
      </c>
      <c r="AD393" s="66">
        <f t="shared" si="330"/>
        <v>-10.347003419509571</v>
      </c>
      <c r="AE393" s="63">
        <f t="shared" si="331"/>
        <v>-164.77353700687937</v>
      </c>
      <c r="AF393" s="51" t="str">
        <f t="shared" si="332"/>
        <v>42.1703962805665</v>
      </c>
      <c r="AG393" s="51" t="str">
        <f t="shared" si="314"/>
        <v>1+31.1761301651992i</v>
      </c>
      <c r="AH393" s="51">
        <f t="shared" si="333"/>
        <v>31.192163953105972</v>
      </c>
      <c r="AI393" s="51">
        <f t="shared" si="334"/>
        <v>1.5387314985601879</v>
      </c>
      <c r="AJ393" s="51" t="str">
        <f t="shared" si="315"/>
        <v>1+0.070665895041118i</v>
      </c>
      <c r="AK393" s="51">
        <f t="shared" si="335"/>
        <v>1.0024937250287218</v>
      </c>
      <c r="AL393" s="51">
        <f t="shared" si="336"/>
        <v>7.0548618867516039E-2</v>
      </c>
      <c r="AM393" s="51" t="str">
        <f t="shared" si="316"/>
        <v>1-0.183242064298322i</v>
      </c>
      <c r="AN393" s="51">
        <f t="shared" si="337"/>
        <v>1.0166502122796761</v>
      </c>
      <c r="AO393" s="51">
        <f t="shared" si="338"/>
        <v>-0.18123147183650282</v>
      </c>
      <c r="AP393" s="60" t="str">
        <f t="shared" si="339"/>
        <v>-0.108215644629882-1.37363664643226i</v>
      </c>
      <c r="AQ393" s="51">
        <f t="shared" si="340"/>
        <v>2.7843079156268691</v>
      </c>
      <c r="AR393" s="63">
        <f t="shared" si="341"/>
        <v>-94.50448101092924</v>
      </c>
      <c r="AS393" s="32" t="str">
        <f t="shared" si="317"/>
        <v>-0.000133283554228113</v>
      </c>
      <c r="AT393" s="32" t="str">
        <f t="shared" si="318"/>
        <v>0.0215884309350616i</v>
      </c>
      <c r="AU393" s="32">
        <f t="shared" si="342"/>
        <v>2.15884309350616E-2</v>
      </c>
      <c r="AV393" s="32">
        <f t="shared" si="343"/>
        <v>1.5707963267948966</v>
      </c>
      <c r="AW393" s="32" t="str">
        <f t="shared" si="319"/>
        <v>1+3.77457714741475i</v>
      </c>
      <c r="AX393" s="32">
        <f t="shared" si="344"/>
        <v>3.9047961075817605</v>
      </c>
      <c r="AY393" s="32">
        <f t="shared" si="345"/>
        <v>1.3118156882831946</v>
      </c>
      <c r="AZ393" s="32" t="str">
        <f t="shared" si="320"/>
        <v>1+56.2504057822051i</v>
      </c>
      <c r="BA393" s="32">
        <f t="shared" si="346"/>
        <v>56.259293904765038</v>
      </c>
      <c r="BB393" s="32">
        <f t="shared" si="347"/>
        <v>1.5530205497530465</v>
      </c>
      <c r="BC393" s="60" t="str">
        <f t="shared" si="348"/>
        <v>-0.0212480005291039+0.0863760588829664i</v>
      </c>
      <c r="BD393" s="51">
        <f t="shared" si="349"/>
        <v>-21.016971955556709</v>
      </c>
      <c r="BE393" s="63">
        <f t="shared" si="350"/>
        <v>103.82002056026018</v>
      </c>
      <c r="BF393" s="60" t="str">
        <f t="shared" si="351"/>
        <v>0.0131222252882352-0.0236278931526395i</v>
      </c>
      <c r="BG393" s="66">
        <f t="shared" si="352"/>
        <v>-31.363975375066278</v>
      </c>
      <c r="BH393" s="63">
        <f t="shared" si="353"/>
        <v>-60.953516446619112</v>
      </c>
      <c r="BI393" s="60" t="str">
        <f t="shared" si="357"/>
        <v>0.120948685930386+0.0198397912975803i</v>
      </c>
      <c r="BJ393" s="66">
        <f t="shared" si="354"/>
        <v>-18.232664039929873</v>
      </c>
      <c r="BK393" s="63">
        <f t="shared" si="358"/>
        <v>9.3155395493309605</v>
      </c>
      <c r="BL393" s="51">
        <f t="shared" si="355"/>
        <v>-31.363975375066278</v>
      </c>
      <c r="BM393" s="63">
        <f t="shared" si="356"/>
        <v>-60.953516446619112</v>
      </c>
    </row>
    <row r="394" spans="14:65" x14ac:dyDescent="0.35">
      <c r="N394" s="11">
        <v>76</v>
      </c>
      <c r="O394" s="52">
        <f t="shared" si="359"/>
        <v>57543.993733715732</v>
      </c>
      <c r="P394" s="50" t="str">
        <f t="shared" si="309"/>
        <v>36.531007751938</v>
      </c>
      <c r="Q394" s="18" t="str">
        <f t="shared" si="310"/>
        <v>1+176.575606856429i</v>
      </c>
      <c r="R394" s="18">
        <f t="shared" si="321"/>
        <v>176.5784384819284</v>
      </c>
      <c r="S394" s="18">
        <f t="shared" si="322"/>
        <v>1.5651330909321797</v>
      </c>
      <c r="T394" s="18" t="str">
        <f t="shared" si="311"/>
        <v>1+0.0723119151888234i</v>
      </c>
      <c r="U394" s="18">
        <f t="shared" si="323"/>
        <v>1.0026110976237375</v>
      </c>
      <c r="V394" s="18">
        <f t="shared" si="324"/>
        <v>7.218626917325742E-2</v>
      </c>
      <c r="W394" s="32" t="str">
        <f t="shared" si="312"/>
        <v>1-1.19806723389767i</v>
      </c>
      <c r="X394" s="18">
        <f t="shared" si="325"/>
        <v>1.5605656336531359</v>
      </c>
      <c r="Y394" s="18">
        <f t="shared" si="326"/>
        <v>-0.87526517985320895</v>
      </c>
      <c r="Z394" s="32" t="str">
        <f t="shared" si="313"/>
        <v>0.931584479032522+0.544413244600703i</v>
      </c>
      <c r="AA394" s="18">
        <f t="shared" si="327"/>
        <v>1.0789974154144022</v>
      </c>
      <c r="AB394" s="18">
        <f t="shared" si="328"/>
        <v>0.52886615313328755</v>
      </c>
      <c r="AC394" s="68" t="str">
        <f t="shared" si="329"/>
        <v>-0.291074392463602-0.072625064278851i</v>
      </c>
      <c r="AD394" s="66">
        <f t="shared" si="330"/>
        <v>-10.457637545337832</v>
      </c>
      <c r="AE394" s="63">
        <f t="shared" si="331"/>
        <v>-165.9903511864608</v>
      </c>
      <c r="AF394" s="51" t="str">
        <f t="shared" si="332"/>
        <v>42.1703962805665</v>
      </c>
      <c r="AG394" s="51" t="str">
        <f t="shared" si="314"/>
        <v>1+31.902315524481i</v>
      </c>
      <c r="AH394" s="51">
        <f t="shared" si="333"/>
        <v>31.917984520071773</v>
      </c>
      <c r="AI394" s="51">
        <f t="shared" si="334"/>
        <v>1.5394608999098878</v>
      </c>
      <c r="AJ394" s="51" t="str">
        <f t="shared" si="315"/>
        <v>1+0.0723119151888234i</v>
      </c>
      <c r="AK394" s="51">
        <f t="shared" si="335"/>
        <v>1.0026110976237375</v>
      </c>
      <c r="AL394" s="51">
        <f t="shared" si="336"/>
        <v>7.218626917325742E-2</v>
      </c>
      <c r="AM394" s="51" t="str">
        <f t="shared" si="316"/>
        <v>1-0.187510320287532i</v>
      </c>
      <c r="AN394" s="51">
        <f t="shared" si="337"/>
        <v>1.0174281892174666</v>
      </c>
      <c r="AO394" s="51">
        <f t="shared" si="338"/>
        <v>-0.18535791976425833</v>
      </c>
      <c r="AP394" s="60" t="str">
        <f t="shared" si="339"/>
        <v>-0.11017148704813-1.34323685229106i</v>
      </c>
      <c r="AQ394" s="51">
        <f t="shared" si="340"/>
        <v>2.5921699190911869</v>
      </c>
      <c r="AR394" s="63">
        <f t="shared" si="341"/>
        <v>-94.688870229641793</v>
      </c>
      <c r="AS394" s="32" t="str">
        <f t="shared" si="317"/>
        <v>-0.000133283554228113</v>
      </c>
      <c r="AT394" s="32" t="str">
        <f t="shared" si="318"/>
        <v>0.0220912900901855i</v>
      </c>
      <c r="AU394" s="32">
        <f t="shared" si="342"/>
        <v>2.2091290090185501E-2</v>
      </c>
      <c r="AV394" s="32">
        <f t="shared" si="343"/>
        <v>1.5707963267948966</v>
      </c>
      <c r="AW394" s="32" t="str">
        <f t="shared" si="319"/>
        <v>1+3.86249834377259i</v>
      </c>
      <c r="AX394" s="32">
        <f t="shared" si="344"/>
        <v>3.9898488011008637</v>
      </c>
      <c r="AY394" s="32">
        <f t="shared" si="345"/>
        <v>1.3174590916698801</v>
      </c>
      <c r="AZ394" s="32" t="str">
        <f t="shared" si="320"/>
        <v>1+57.5606460498793i</v>
      </c>
      <c r="BA394" s="32">
        <f t="shared" si="346"/>
        <v>57.569331884949698</v>
      </c>
      <c r="BB394" s="32">
        <f t="shared" si="347"/>
        <v>1.5534250934955374</v>
      </c>
      <c r="BC394" s="60" t="str">
        <f t="shared" si="348"/>
        <v>-0.0203517573468798+0.0846419369092343i</v>
      </c>
      <c r="BD394" s="51">
        <f t="shared" si="349"/>
        <v>-21.204195237864699</v>
      </c>
      <c r="BE394" s="63">
        <f t="shared" si="350"/>
        <v>103.51985601318643</v>
      </c>
      <c r="BF394" s="60" t="str">
        <f t="shared" si="351"/>
        <v>0.0120710015140293-0.0231590526772932i</v>
      </c>
      <c r="BG394" s="66">
        <f t="shared" si="352"/>
        <v>-31.66183278320252</v>
      </c>
      <c r="BH394" s="63">
        <f t="shared" si="353"/>
        <v>-62.470495173274358</v>
      </c>
      <c r="BI394" s="60" t="str">
        <f t="shared" si="357"/>
        <v>0.115936352276727+0.0180121024212899i</v>
      </c>
      <c r="BJ394" s="66">
        <f t="shared" si="354"/>
        <v>-18.612025318773497</v>
      </c>
      <c r="BK394" s="63">
        <f t="shared" si="358"/>
        <v>8.8309857835446017</v>
      </c>
      <c r="BL394" s="51">
        <f t="shared" si="355"/>
        <v>-31.66183278320252</v>
      </c>
      <c r="BM394" s="63">
        <f t="shared" si="356"/>
        <v>-62.470495173274358</v>
      </c>
    </row>
    <row r="395" spans="14:65" x14ac:dyDescent="0.35">
      <c r="N395" s="11">
        <v>77</v>
      </c>
      <c r="O395" s="52">
        <f t="shared" si="359"/>
        <v>58884.365535558936</v>
      </c>
      <c r="P395" s="50" t="str">
        <f t="shared" si="309"/>
        <v>36.531007751938</v>
      </c>
      <c r="Q395" s="18" t="str">
        <f t="shared" si="310"/>
        <v>1+180.688581103905i</v>
      </c>
      <c r="R395" s="18">
        <f t="shared" si="321"/>
        <v>180.69134827473744</v>
      </c>
      <c r="S395" s="18">
        <f t="shared" si="322"/>
        <v>1.5652619992559009</v>
      </c>
      <c r="T395" s="18" t="str">
        <f t="shared" si="311"/>
        <v>1+0.0739962760711232i</v>
      </c>
      <c r="U395" s="18">
        <f t="shared" si="323"/>
        <v>1.0027339870934833</v>
      </c>
      <c r="V395" s="18">
        <f t="shared" si="324"/>
        <v>7.3861663757404342E-2</v>
      </c>
      <c r="W395" s="32" t="str">
        <f t="shared" si="312"/>
        <v>1-1.22597380472867i</v>
      </c>
      <c r="X395" s="18">
        <f t="shared" si="325"/>
        <v>1.5820909486754833</v>
      </c>
      <c r="Y395" s="18">
        <f t="shared" si="326"/>
        <v>-0.88656840131332337</v>
      </c>
      <c r="Z395" s="32" t="str">
        <f t="shared" si="313"/>
        <v>0.928360154865179+0.557094258104727i</v>
      </c>
      <c r="AA395" s="18">
        <f t="shared" si="327"/>
        <v>1.082684898552924</v>
      </c>
      <c r="AB395" s="18">
        <f t="shared" si="328"/>
        <v>0.54048140756590002</v>
      </c>
      <c r="AC395" s="68" t="str">
        <f t="shared" si="329"/>
        <v>-0.288892413126937-0.0655558723362118i</v>
      </c>
      <c r="AD395" s="66">
        <f t="shared" si="330"/>
        <v>-10.567212071143095</v>
      </c>
      <c r="AE395" s="63">
        <f t="shared" si="331"/>
        <v>-167.21487599218921</v>
      </c>
      <c r="AF395" s="51" t="str">
        <f t="shared" si="332"/>
        <v>42.1703962805665</v>
      </c>
      <c r="AG395" s="51" t="str">
        <f t="shared" si="314"/>
        <v>1+32.6454159137309i</v>
      </c>
      <c r="AH395" s="51">
        <f t="shared" si="333"/>
        <v>32.660728408602196</v>
      </c>
      <c r="AI395" s="51">
        <f t="shared" si="334"/>
        <v>1.5401737302882474</v>
      </c>
      <c r="AJ395" s="51" t="str">
        <f t="shared" si="315"/>
        <v>1+0.0739962760711232i</v>
      </c>
      <c r="AK395" s="51">
        <f t="shared" si="335"/>
        <v>1.0027339870934833</v>
      </c>
      <c r="AL395" s="51">
        <f t="shared" si="336"/>
        <v>7.3861663757404342E-2</v>
      </c>
      <c r="AM395" s="51" t="str">
        <f t="shared" si="316"/>
        <v>1-0.191877996730552i</v>
      </c>
      <c r="AN395" s="51">
        <f t="shared" si="337"/>
        <v>1.0182421939938109</v>
      </c>
      <c r="AO395" s="51">
        <f t="shared" si="338"/>
        <v>-0.18957388372140666</v>
      </c>
      <c r="AP395" s="60" t="str">
        <f t="shared" si="339"/>
        <v>-0.112039470988743-1.31354374526126i</v>
      </c>
      <c r="AQ395" s="51">
        <f t="shared" si="340"/>
        <v>2.4003728128748727</v>
      </c>
      <c r="AR395" s="63">
        <f t="shared" si="341"/>
        <v>-94.875276304463725</v>
      </c>
      <c r="AS395" s="32" t="str">
        <f t="shared" si="317"/>
        <v>-0.000133283554228113</v>
      </c>
      <c r="AT395" s="32" t="str">
        <f t="shared" si="318"/>
        <v>0.0226058623397281i</v>
      </c>
      <c r="AU395" s="32">
        <f t="shared" si="342"/>
        <v>2.2605862339728101E-2</v>
      </c>
      <c r="AV395" s="32">
        <f t="shared" si="343"/>
        <v>1.5707963267948966</v>
      </c>
      <c r="AW395" s="32" t="str">
        <f t="shared" si="319"/>
        <v>1+3.95246748787851i</v>
      </c>
      <c r="AX395" s="32">
        <f t="shared" si="344"/>
        <v>4.0770086145036109</v>
      </c>
      <c r="AY395" s="32">
        <f t="shared" si="345"/>
        <v>1.3229900162457127</v>
      </c>
      <c r="AZ395" s="32" t="str">
        <f t="shared" si="320"/>
        <v>1+58.9014057339944i</v>
      </c>
      <c r="BA395" s="32">
        <f t="shared" si="346"/>
        <v>58.909893884139947</v>
      </c>
      <c r="BB395" s="32">
        <f t="shared" si="347"/>
        <v>1.55382043419294</v>
      </c>
      <c r="BC395" s="60" t="str">
        <f t="shared" si="348"/>
        <v>-0.0194908838647499+0.0829330577956742i</v>
      </c>
      <c r="BD395" s="51">
        <f t="shared" si="349"/>
        <v>-21.391958037210607</v>
      </c>
      <c r="BE395" s="63">
        <f t="shared" si="350"/>
        <v>103.225608731617</v>
      </c>
      <c r="BF395" s="60" t="str">
        <f t="shared" si="351"/>
        <v>0.0110675174229694-0.0226809893002306i</v>
      </c>
      <c r="BG395" s="66">
        <f t="shared" si="352"/>
        <v>-31.959170108353693</v>
      </c>
      <c r="BH395" s="63">
        <f t="shared" si="353"/>
        <v>-63.989267260572163</v>
      </c>
      <c r="BI395" s="60" t="str">
        <f t="shared" si="357"/>
        <v>0.111119947660208+0.0163103526672497i</v>
      </c>
      <c r="BJ395" s="66">
        <f t="shared" si="354"/>
        <v>-18.991585224335736</v>
      </c>
      <c r="BK395" s="63">
        <f t="shared" si="358"/>
        <v>8.3503324271532939</v>
      </c>
      <c r="BL395" s="51">
        <f t="shared" si="355"/>
        <v>-31.959170108353693</v>
      </c>
      <c r="BM395" s="63">
        <f t="shared" si="356"/>
        <v>-63.989267260572163</v>
      </c>
    </row>
    <row r="396" spans="14:65" x14ac:dyDescent="0.35">
      <c r="N396" s="11">
        <v>78</v>
      </c>
      <c r="O396" s="52">
        <f t="shared" si="359"/>
        <v>60255.95860743591</v>
      </c>
      <c r="P396" s="50" t="str">
        <f t="shared" si="309"/>
        <v>36.531007751938</v>
      </c>
      <c r="Q396" s="18" t="str">
        <f t="shared" si="310"/>
        <v>1+184.897358828779i</v>
      </c>
      <c r="R396" s="18">
        <f t="shared" si="321"/>
        <v>184.90006301204511</v>
      </c>
      <c r="S396" s="18">
        <f t="shared" si="322"/>
        <v>1.5653879734456653</v>
      </c>
      <c r="T396" s="18" t="str">
        <f t="shared" si="311"/>
        <v>1+0.0757198707584526i</v>
      </c>
      <c r="U396" s="18">
        <f t="shared" si="323"/>
        <v>1.0028626520255288</v>
      </c>
      <c r="V396" s="18">
        <f t="shared" si="324"/>
        <v>7.5575653293306053E-2</v>
      </c>
      <c r="W396" s="32" t="str">
        <f t="shared" si="312"/>
        <v>1-1.25453040309862i</v>
      </c>
      <c r="X396" s="18">
        <f t="shared" si="325"/>
        <v>1.6043212060864824</v>
      </c>
      <c r="Y396" s="18">
        <f t="shared" si="326"/>
        <v>-0.89781944642893541</v>
      </c>
      <c r="Z396" s="32" t="str">
        <f t="shared" si="313"/>
        <v>0.924983872981384+0.570070650358415i</v>
      </c>
      <c r="AA396" s="18">
        <f t="shared" si="327"/>
        <v>1.0865430095839315</v>
      </c>
      <c r="AB396" s="18">
        <f t="shared" si="328"/>
        <v>0.55232108034840155</v>
      </c>
      <c r="AC396" s="68" t="str">
        <f t="shared" si="329"/>
        <v>-0.286629616789228-0.058592193744282i</v>
      </c>
      <c r="AD396" s="66">
        <f t="shared" si="330"/>
        <v>-10.675790926419475</v>
      </c>
      <c r="AE396" s="63">
        <f t="shared" si="331"/>
        <v>-168.44689009654257</v>
      </c>
      <c r="AF396" s="51" t="str">
        <f t="shared" si="332"/>
        <v>42.1703962805665</v>
      </c>
      <c r="AG396" s="51" t="str">
        <f t="shared" si="314"/>
        <v>1+33.4058253346115i</v>
      </c>
      <c r="AH396" s="51">
        <f t="shared" si="333"/>
        <v>33.420789432426211</v>
      </c>
      <c r="AI396" s="51">
        <f t="shared" si="334"/>
        <v>1.540870364748044</v>
      </c>
      <c r="AJ396" s="51" t="str">
        <f t="shared" si="315"/>
        <v>1+0.0757198707584526i</v>
      </c>
      <c r="AK396" s="51">
        <f t="shared" si="335"/>
        <v>1.0028626520255288</v>
      </c>
      <c r="AL396" s="51">
        <f t="shared" si="336"/>
        <v>7.5575653293306053E-2</v>
      </c>
      <c r="AM396" s="51" t="str">
        <f t="shared" si="316"/>
        <v>1-0.196347409427243i</v>
      </c>
      <c r="AN396" s="51">
        <f t="shared" si="337"/>
        <v>1.0190938647586834</v>
      </c>
      <c r="AO396" s="51">
        <f t="shared" si="338"/>
        <v>-0.1938809992885337</v>
      </c>
      <c r="AP396" s="60" t="str">
        <f t="shared" si="339"/>
        <v>-0.113823535890864-1.28454194907417i</v>
      </c>
      <c r="AQ396" s="51">
        <f t="shared" si="340"/>
        <v>2.2089324583776206</v>
      </c>
      <c r="AR396" s="63">
        <f t="shared" si="341"/>
        <v>-95.063765696208137</v>
      </c>
      <c r="AS396" s="32" t="str">
        <f t="shared" si="317"/>
        <v>-0.000133283554228113</v>
      </c>
      <c r="AT396" s="32" t="str">
        <f t="shared" si="318"/>
        <v>0.0231324205167072i</v>
      </c>
      <c r="AU396" s="32">
        <f t="shared" si="342"/>
        <v>2.3132420516707199E-2</v>
      </c>
      <c r="AV396" s="32">
        <f t="shared" si="343"/>
        <v>1.5707963267948966</v>
      </c>
      <c r="AW396" s="32" t="str">
        <f t="shared" si="319"/>
        <v>1+4.04453228256361i</v>
      </c>
      <c r="AX396" s="32">
        <f t="shared" si="344"/>
        <v>4.1663222852654114</v>
      </c>
      <c r="AY396" s="32">
        <f t="shared" si="345"/>
        <v>1.3284100404319623</v>
      </c>
      <c r="AZ396" s="32" t="str">
        <f t="shared" si="320"/>
        <v>1+60.273395723082i</v>
      </c>
      <c r="BA396" s="32">
        <f t="shared" si="346"/>
        <v>60.28169068623771</v>
      </c>
      <c r="BB396" s="32">
        <f t="shared" si="347"/>
        <v>1.554206780965526</v>
      </c>
      <c r="BC396" s="60" t="str">
        <f t="shared" si="348"/>
        <v>-0.0186641866338901+0.0812496696479126i</v>
      </c>
      <c r="BD396" s="51">
        <f t="shared" si="349"/>
        <v>-21.580239013456076</v>
      </c>
      <c r="BE396" s="63">
        <f t="shared" si="350"/>
        <v>102.93720026038375</v>
      </c>
      <c r="BF396" s="60" t="str">
        <f t="shared" si="351"/>
        <v>0.010110305048224-0.0221949860361002i</v>
      </c>
      <c r="BG396" s="66">
        <f t="shared" si="352"/>
        <v>-32.25602993987556</v>
      </c>
      <c r="BH396" s="63">
        <f t="shared" si="353"/>
        <v>-65.509689836158714</v>
      </c>
      <c r="BI396" s="60" t="str">
        <f t="shared" si="357"/>
        <v>0.106493032728358+0.0147268059872912i</v>
      </c>
      <c r="BJ396" s="66">
        <f t="shared" si="354"/>
        <v>-19.371306555078498</v>
      </c>
      <c r="BK396" s="63">
        <f t="shared" si="358"/>
        <v>7.873434564175624</v>
      </c>
      <c r="BL396" s="51">
        <f t="shared" si="355"/>
        <v>-32.25602993987556</v>
      </c>
      <c r="BM396" s="63">
        <f t="shared" si="356"/>
        <v>-65.509689836158714</v>
      </c>
    </row>
    <row r="397" spans="14:65" x14ac:dyDescent="0.35">
      <c r="N397" s="11">
        <v>79</v>
      </c>
      <c r="O397" s="52">
        <f t="shared" si="359"/>
        <v>61659.500186148245</v>
      </c>
      <c r="P397" s="50" t="str">
        <f t="shared" si="309"/>
        <v>36.531007751938</v>
      </c>
      <c r="Q397" s="18" t="str">
        <f t="shared" si="310"/>
        <v>1+189.20417158071i</v>
      </c>
      <c r="R397" s="18">
        <f t="shared" si="321"/>
        <v>189.20681421011972</v>
      </c>
      <c r="S397" s="18">
        <f t="shared" si="322"/>
        <v>1.5655110802786527</v>
      </c>
      <c r="T397" s="18" t="str">
        <f t="shared" si="311"/>
        <v>1+0.0774836131235288i</v>
      </c>
      <c r="U397" s="18">
        <f t="shared" si="323"/>
        <v>1.0029973630586855</v>
      </c>
      <c r="V397" s="18">
        <f t="shared" si="324"/>
        <v>7.7329106256030303E-2</v>
      </c>
      <c r="W397" s="32" t="str">
        <f t="shared" si="312"/>
        <v>1-1.28375217009397i</v>
      </c>
      <c r="X397" s="18">
        <f t="shared" si="325"/>
        <v>1.6272736814134792</v>
      </c>
      <c r="Y397" s="18">
        <f t="shared" si="326"/>
        <v>-0.90901288752042975</v>
      </c>
      <c r="Z397" s="32" t="str">
        <f t="shared" si="313"/>
        <v>0.921448471834595+0.583349301616697i</v>
      </c>
      <c r="AA397" s="18">
        <f t="shared" si="327"/>
        <v>1.0905795220629253</v>
      </c>
      <c r="AB397" s="18">
        <f t="shared" si="328"/>
        <v>0.56438755929537221</v>
      </c>
      <c r="AC397" s="68" t="str">
        <f t="shared" si="329"/>
        <v>-0.284284531697691-0.0517341276908512i</v>
      </c>
      <c r="AD397" s="66">
        <f t="shared" si="330"/>
        <v>-10.783441346155353</v>
      </c>
      <c r="AE397" s="63">
        <f t="shared" si="331"/>
        <v>-169.68617339417895</v>
      </c>
      <c r="AF397" s="51" t="str">
        <f t="shared" si="332"/>
        <v>42.1703962805665</v>
      </c>
      <c r="AG397" s="51" t="str">
        <f t="shared" si="314"/>
        <v>1+34.1839469662628i</v>
      </c>
      <c r="AH397" s="51">
        <f t="shared" si="333"/>
        <v>34.198570586974355</v>
      </c>
      <c r="AI397" s="51">
        <f t="shared" si="334"/>
        <v>1.5415511699479305</v>
      </c>
      <c r="AJ397" s="51" t="str">
        <f t="shared" si="315"/>
        <v>1+0.0774836131235288i</v>
      </c>
      <c r="AK397" s="51">
        <f t="shared" si="335"/>
        <v>1.0029973630586855</v>
      </c>
      <c r="AL397" s="51">
        <f t="shared" si="336"/>
        <v>7.7329106256030303E-2</v>
      </c>
      <c r="AM397" s="51" t="str">
        <f t="shared" si="316"/>
        <v>1-0.200920928119378i</v>
      </c>
      <c r="AN397" s="51">
        <f t="shared" si="337"/>
        <v>1.0199849113375905</v>
      </c>
      <c r="AO397" s="51">
        <f t="shared" si="338"/>
        <v>-0.19828091062860242</v>
      </c>
      <c r="AP397" s="60" t="str">
        <f t="shared" si="339"/>
        <v>-0.115527445193128-1.25621642955436i</v>
      </c>
      <c r="AQ397" s="51">
        <f t="shared" si="340"/>
        <v>2.0178653327209237</v>
      </c>
      <c r="AR397" s="63">
        <f t="shared" si="341"/>
        <v>-95.254403856511075</v>
      </c>
      <c r="AS397" s="32" t="str">
        <f t="shared" si="317"/>
        <v>-0.000133283554228113</v>
      </c>
      <c r="AT397" s="32" t="str">
        <f t="shared" si="318"/>
        <v>0.023671243809238i</v>
      </c>
      <c r="AU397" s="32">
        <f t="shared" si="342"/>
        <v>2.3671243809238001E-2</v>
      </c>
      <c r="AV397" s="32">
        <f t="shared" si="343"/>
        <v>1.5707963267948966</v>
      </c>
      <c r="AW397" s="32" t="str">
        <f t="shared" si="319"/>
        <v>1+4.13874154180062i</v>
      </c>
      <c r="AX397" s="32">
        <f t="shared" si="344"/>
        <v>4.25783766128139</v>
      </c>
      <c r="AY397" s="32">
        <f t="shared" si="345"/>
        <v>1.3337207636748907</v>
      </c>
      <c r="AZ397" s="32" t="str">
        <f t="shared" si="320"/>
        <v>1+61.6773434643945i</v>
      </c>
      <c r="BA397" s="32">
        <f t="shared" si="346"/>
        <v>61.68544963623826</v>
      </c>
      <c r="BB397" s="32">
        <f t="shared" si="347"/>
        <v>1.5545843381978626</v>
      </c>
      <c r="BC397" s="60" t="str">
        <f t="shared" si="348"/>
        <v>-0.0178704954743667+0.0795919725044777i</v>
      </c>
      <c r="BD397" s="51">
        <f t="shared" si="349"/>
        <v>-21.76901755047048</v>
      </c>
      <c r="BE397" s="63">
        <f t="shared" si="350"/>
        <v>102.65455066833944</v>
      </c>
      <c r="BF397" s="60" t="str">
        <f t="shared" si="351"/>
        <v>0.00919792670584941-0.0217022521355613i</v>
      </c>
      <c r="BG397" s="66">
        <f t="shared" si="352"/>
        <v>-32.552458896625829</v>
      </c>
      <c r="BH397" s="63">
        <f t="shared" si="353"/>
        <v>-67.031622725839526</v>
      </c>
      <c r="BI397" s="60" t="str">
        <f t="shared" si="357"/>
        <v>0.102049276207253+0.0132541527778523i</v>
      </c>
      <c r="BJ397" s="66">
        <f t="shared" si="354"/>
        <v>-19.751152217749532</v>
      </c>
      <c r="BK397" s="63">
        <f t="shared" si="358"/>
        <v>7.4001468118283604</v>
      </c>
      <c r="BL397" s="51">
        <f t="shared" si="355"/>
        <v>-32.552458896625829</v>
      </c>
      <c r="BM397" s="63">
        <f t="shared" si="356"/>
        <v>-67.031622725839526</v>
      </c>
    </row>
    <row r="398" spans="14:65" x14ac:dyDescent="0.35">
      <c r="N398" s="11">
        <v>80</v>
      </c>
      <c r="O398" s="52">
        <f t="shared" si="359"/>
        <v>63095.734448019342</v>
      </c>
      <c r="P398" s="50" t="str">
        <f t="shared" si="309"/>
        <v>36.531007751938</v>
      </c>
      <c r="Q398" s="18" t="str">
        <f t="shared" si="310"/>
        <v>1+193.611302888825i</v>
      </c>
      <c r="R398" s="18">
        <f t="shared" si="321"/>
        <v>193.61388536545704</v>
      </c>
      <c r="S398" s="18">
        <f t="shared" si="322"/>
        <v>1.5656313850128019</v>
      </c>
      <c r="T398" s="18" t="str">
        <f t="shared" si="311"/>
        <v>1+0.0792884383259i</v>
      </c>
      <c r="U398" s="18">
        <f t="shared" si="323"/>
        <v>1.0031384034380102</v>
      </c>
      <c r="V398" s="18">
        <f t="shared" si="324"/>
        <v>7.9122909196139846E-2</v>
      </c>
      <c r="W398" s="32" t="str">
        <f t="shared" si="312"/>
        <v>1-1.31365459948237i</v>
      </c>
      <c r="X398" s="18">
        <f t="shared" si="325"/>
        <v>1.6509659011442925</v>
      </c>
      <c r="Y398" s="18">
        <f t="shared" si="326"/>
        <v>-0.92014344039334595</v>
      </c>
      <c r="Z398" s="32" t="str">
        <f t="shared" si="313"/>
        <v>0.91774645236498+0.596937252396237i</v>
      </c>
      <c r="AA398" s="18">
        <f t="shared" si="327"/>
        <v>1.0948025548594937</v>
      </c>
      <c r="AB398" s="18">
        <f t="shared" si="328"/>
        <v>0.57668313297987361</v>
      </c>
      <c r="AC398" s="68" t="str">
        <f t="shared" si="329"/>
        <v>-0.28185575165956-0.0449819761358662i</v>
      </c>
      <c r="AD398" s="66">
        <f t="shared" si="330"/>
        <v>-10.890233783187584</v>
      </c>
      <c r="AE398" s="63">
        <f t="shared" si="331"/>
        <v>-170.93250719203414</v>
      </c>
      <c r="AF398" s="51" t="str">
        <f t="shared" si="332"/>
        <v>42.1703962805665</v>
      </c>
      <c r="AG398" s="51" t="str">
        <f t="shared" si="314"/>
        <v>1+34.9801933790736i</v>
      </c>
      <c r="AH398" s="51">
        <f t="shared" si="333"/>
        <v>34.994484263057579</v>
      </c>
      <c r="AI398" s="51">
        <f t="shared" si="334"/>
        <v>1.5422165043339884</v>
      </c>
      <c r="AJ398" s="51" t="str">
        <f t="shared" si="315"/>
        <v>1+0.0792884383259i</v>
      </c>
      <c r="AK398" s="51">
        <f t="shared" si="335"/>
        <v>1.0031384034380102</v>
      </c>
      <c r="AL398" s="51">
        <f t="shared" si="336"/>
        <v>7.9122909196139846E-2</v>
      </c>
      <c r="AM398" s="51" t="str">
        <f t="shared" si="316"/>
        <v>1-0.205600977747104i</v>
      </c>
      <c r="AN398" s="51">
        <f t="shared" si="337"/>
        <v>1.0209171181102632</v>
      </c>
      <c r="AO398" s="51">
        <f t="shared" si="338"/>
        <v>-0.20277526887656916</v>
      </c>
      <c r="AP398" s="60" t="str">
        <f t="shared" si="339"/>
        <v>-0.117154794140626-1.22855248827218i</v>
      </c>
      <c r="AQ398" s="51">
        <f t="shared" si="340"/>
        <v>1.8271885510880401</v>
      </c>
      <c r="AR398" s="63">
        <f t="shared" si="341"/>
        <v>-95.447255130278975</v>
      </c>
      <c r="AS398" s="32" t="str">
        <f t="shared" si="317"/>
        <v>-0.000133283554228113</v>
      </c>
      <c r="AT398" s="32" t="str">
        <f t="shared" si="318"/>
        <v>0.0242226179085624i</v>
      </c>
      <c r="AU398" s="32">
        <f t="shared" si="342"/>
        <v>2.4222617908562401E-2</v>
      </c>
      <c r="AV398" s="32">
        <f t="shared" si="343"/>
        <v>1.5707963267948966</v>
      </c>
      <c r="AW398" s="32" t="str">
        <f t="shared" si="319"/>
        <v>1+4.23514521658581i</v>
      </c>
      <c r="AX398" s="32">
        <f t="shared" si="344"/>
        <v>4.3516037280030071</v>
      </c>
      <c r="AY398" s="32">
        <f t="shared" si="345"/>
        <v>1.3389238030111468</v>
      </c>
      <c r="AZ398" s="32" t="str">
        <f t="shared" si="320"/>
        <v>1+63.113993349608i</v>
      </c>
      <c r="BA398" s="32">
        <f t="shared" si="346"/>
        <v>63.121915025879588</v>
      </c>
      <c r="BB398" s="32">
        <f t="shared" si="347"/>
        <v>1.5549533056449798</v>
      </c>
      <c r="BC398" s="60" t="str">
        <f t="shared" si="348"/>
        <v>-0.0171086645702614+0.0779601210860983i</v>
      </c>
      <c r="BD398" s="51">
        <f t="shared" si="349"/>
        <v>-21.958273741671487</v>
      </c>
      <c r="BE398" s="63">
        <f t="shared" si="350"/>
        <v>102.37757875122888</v>
      </c>
      <c r="BF398" s="60" t="str">
        <f t="shared" si="351"/>
        <v>0.00832897581858642-0.0212039269867765i</v>
      </c>
      <c r="BG398" s="66">
        <f t="shared" si="352"/>
        <v>-32.84850752485908</v>
      </c>
      <c r="BH398" s="63">
        <f t="shared" si="353"/>
        <v>-68.554928440805227</v>
      </c>
      <c r="BI398" s="60" t="str">
        <f t="shared" si="357"/>
        <v>0.0977824628220765+0.0118854904917886i</v>
      </c>
      <c r="BJ398" s="66">
        <f t="shared" si="354"/>
        <v>-20.131085190583448</v>
      </c>
      <c r="BK398" s="63">
        <f t="shared" si="358"/>
        <v>6.9303236209499124</v>
      </c>
      <c r="BL398" s="51">
        <f t="shared" si="355"/>
        <v>-32.84850752485908</v>
      </c>
      <c r="BM398" s="63">
        <f t="shared" si="356"/>
        <v>-68.554928440805227</v>
      </c>
    </row>
    <row r="399" spans="14:65" x14ac:dyDescent="0.35">
      <c r="N399" s="11">
        <v>81</v>
      </c>
      <c r="O399" s="52">
        <f t="shared" si="359"/>
        <v>64565.422903465682</v>
      </c>
      <c r="P399" s="50" t="str">
        <f t="shared" si="309"/>
        <v>36.531007751938</v>
      </c>
      <c r="Q399" s="18" t="str">
        <f t="shared" si="310"/>
        <v>1+198.121089472482i</v>
      </c>
      <c r="R399" s="18">
        <f t="shared" si="321"/>
        <v>198.12361316552656</v>
      </c>
      <c r="S399" s="18">
        <f t="shared" si="322"/>
        <v>1.5657489514213372</v>
      </c>
      <c r="T399" s="18" t="str">
        <f t="shared" si="311"/>
        <v>1+0.0811353033077784i</v>
      </c>
      <c r="U399" s="18">
        <f t="shared" si="323"/>
        <v>1.0032860695947319</v>
      </c>
      <c r="V399" s="18">
        <f t="shared" si="324"/>
        <v>8.095796701013927E-2</v>
      </c>
      <c r="W399" s="32" t="str">
        <f t="shared" si="312"/>
        <v>1-1.34425354592769i</v>
      </c>
      <c r="X399" s="18">
        <f t="shared" si="325"/>
        <v>1.6754156486493639</v>
      </c>
      <c r="Y399" s="18">
        <f t="shared" si="326"/>
        <v>-0.93120597546846839</v>
      </c>
      <c r="Z399" s="32" t="str">
        <f t="shared" si="313"/>
        <v>0.913869962092905+0.610841707208398i</v>
      </c>
      <c r="AA399" s="18">
        <f t="shared" si="327"/>
        <v>1.099220586998332</v>
      </c>
      <c r="AB399" s="18">
        <f t="shared" si="328"/>
        <v>0.58920998204597852</v>
      </c>
      <c r="AC399" s="68" t="str">
        <f t="shared" si="329"/>
        <v>-0.279341946785936-0.0383362437828198i</v>
      </c>
      <c r="AD399" s="66">
        <f t="shared" si="330"/>
        <v>-10.996241810529519</v>
      </c>
      <c r="AE399" s="63">
        <f t="shared" si="331"/>
        <v>-172.18567433575615</v>
      </c>
      <c r="AF399" s="51" t="str">
        <f t="shared" si="332"/>
        <v>42.1703962805665</v>
      </c>
      <c r="AG399" s="51" t="str">
        <f t="shared" si="314"/>
        <v>1+35.7949867534318i</v>
      </c>
      <c r="AH399" s="51">
        <f t="shared" si="333"/>
        <v>35.808952465526801</v>
      </c>
      <c r="AI399" s="51">
        <f t="shared" si="334"/>
        <v>1.5428667183177802</v>
      </c>
      <c r="AJ399" s="51" t="str">
        <f t="shared" si="315"/>
        <v>1+0.0811353033077784i</v>
      </c>
      <c r="AK399" s="51">
        <f t="shared" si="335"/>
        <v>1.0032860695947319</v>
      </c>
      <c r="AL399" s="51">
        <f t="shared" si="336"/>
        <v>8.095796701013927E-2</v>
      </c>
      <c r="AM399" s="51" t="str">
        <f t="shared" si="316"/>
        <v>1-0.210390039734683i</v>
      </c>
      <c r="AN399" s="51">
        <f t="shared" si="337"/>
        <v>1.0218923469815993</v>
      </c>
      <c r="AO399" s="51">
        <f t="shared" si="338"/>
        <v>-0.20736573039529529</v>
      </c>
      <c r="AP399" s="60" t="str">
        <f t="shared" si="339"/>
        <v>-0.11870901725054-1.20153575626674i</v>
      </c>
      <c r="AQ399" s="51">
        <f t="shared" si="340"/>
        <v>1.6369198893420669</v>
      </c>
      <c r="AR399" s="63">
        <f t="shared" si="341"/>
        <v>-95.642382650466203</v>
      </c>
      <c r="AS399" s="32" t="str">
        <f t="shared" si="317"/>
        <v>-0.000133283554228113</v>
      </c>
      <c r="AT399" s="32" t="str">
        <f t="shared" si="318"/>
        <v>0.0247868351605263i</v>
      </c>
      <c r="AU399" s="32">
        <f t="shared" si="342"/>
        <v>2.4786835160526301E-2</v>
      </c>
      <c r="AV399" s="32">
        <f t="shared" si="343"/>
        <v>1.5707963267948966</v>
      </c>
      <c r="AW399" s="32" t="str">
        <f t="shared" si="319"/>
        <v>1+4.33379442142362i</v>
      </c>
      <c r="AX399" s="32">
        <f t="shared" si="344"/>
        <v>4.4476706360928402</v>
      </c>
      <c r="AY399" s="32">
        <f t="shared" si="345"/>
        <v>1.344020789828773</v>
      </c>
      <c r="AZ399" s="32" t="str">
        <f t="shared" si="320"/>
        <v>1+64.5841071095081i</v>
      </c>
      <c r="BA399" s="32">
        <f t="shared" si="346"/>
        <v>64.591848488276085</v>
      </c>
      <c r="BB399" s="32">
        <f t="shared" si="347"/>
        <v>1.555313878536231</v>
      </c>
      <c r="BC399" s="60" t="str">
        <f t="shared" si="348"/>
        <v>-0.0163775733871304+0.0763542274754855i</v>
      </c>
      <c r="BD399" s="51">
        <f t="shared" si="349"/>
        <v>-22.147988374933433</v>
      </c>
      <c r="BE399" s="63">
        <f t="shared" si="350"/>
        <v>102.10620222322063</v>
      </c>
      <c r="BF399" s="60" t="str">
        <f t="shared" si="351"/>
        <v>0.00750207751193963-0.0207010839023983i</v>
      </c>
      <c r="BG399" s="66">
        <f t="shared" si="352"/>
        <v>-33.144230185462938</v>
      </c>
      <c r="BH399" s="63">
        <f t="shared" si="353"/>
        <v>-70.079472112535541</v>
      </c>
      <c r="BI399" s="60" t="str">
        <f t="shared" si="357"/>
        <v>0.093686500095655+0.0106143047189807i</v>
      </c>
      <c r="BJ399" s="66">
        <f t="shared" si="354"/>
        <v>-20.511068485591366</v>
      </c>
      <c r="BK399" s="63">
        <f t="shared" si="358"/>
        <v>6.4638195727544332</v>
      </c>
      <c r="BL399" s="51">
        <f t="shared" si="355"/>
        <v>-33.144230185462938</v>
      </c>
      <c r="BM399" s="63">
        <f t="shared" si="356"/>
        <v>-70.079472112535541</v>
      </c>
    </row>
    <row r="400" spans="14:65" x14ac:dyDescent="0.35">
      <c r="N400" s="11">
        <v>82</v>
      </c>
      <c r="O400" s="52">
        <f t="shared" si="359"/>
        <v>66069.344800759733</v>
      </c>
      <c r="P400" s="50" t="str">
        <f t="shared" si="309"/>
        <v>36.531007751938</v>
      </c>
      <c r="Q400" s="18" t="str">
        <f t="shared" si="310"/>
        <v>1+202.735922480219i</v>
      </c>
      <c r="R400" s="18">
        <f t="shared" si="321"/>
        <v>202.73838872770335</v>
      </c>
      <c r="S400" s="18">
        <f t="shared" si="322"/>
        <v>1.5658638418265174</v>
      </c>
      <c r="T400" s="18" t="str">
        <f t="shared" si="311"/>
        <v>1+0.0830251873014232i</v>
      </c>
      <c r="U400" s="18">
        <f t="shared" si="323"/>
        <v>1.0034406717521651</v>
      </c>
      <c r="V400" s="18">
        <f t="shared" si="324"/>
        <v>8.2835203206868033E-2</v>
      </c>
      <c r="W400" s="32" t="str">
        <f t="shared" si="312"/>
        <v>1-1.37556523339636i</v>
      </c>
      <c r="X400" s="18">
        <f t="shared" si="325"/>
        <v>1.7006409707309718</v>
      </c>
      <c r="Y400" s="18">
        <f t="shared" si="326"/>
        <v>-0.9421955280186296</v>
      </c>
      <c r="Z400" s="32" t="str">
        <f t="shared" si="313"/>
        <v>0.909810778462775+0.625070038379167i</v>
      </c>
      <c r="AA400" s="18">
        <f t="shared" si="327"/>
        <v>1.1038424731302805</v>
      </c>
      <c r="AB400" s="18">
        <f t="shared" si="328"/>
        <v>0.60197017026836019</v>
      </c>
      <c r="AC400" s="68" t="str">
        <f t="shared" si="329"/>
        <v>-0.276741874738497-0.0317976374250939i</v>
      </c>
      <c r="AD400" s="66">
        <f t="shared" si="330"/>
        <v>-11.101542014133681</v>
      </c>
      <c r="AE400" s="63">
        <f t="shared" si="331"/>
        <v>-173.44545927065434</v>
      </c>
      <c r="AF400" s="51" t="str">
        <f t="shared" si="332"/>
        <v>42.1703962805665</v>
      </c>
      <c r="AG400" s="51" t="str">
        <f t="shared" si="314"/>
        <v>1+36.6287591035692i</v>
      </c>
      <c r="AH400" s="51">
        <f t="shared" si="333"/>
        <v>36.642407037028882</v>
      </c>
      <c r="AI400" s="51">
        <f t="shared" si="334"/>
        <v>1.5435021544509373</v>
      </c>
      <c r="AJ400" s="51" t="str">
        <f t="shared" si="315"/>
        <v>1+0.0830251873014232i</v>
      </c>
      <c r="AK400" s="51">
        <f t="shared" si="335"/>
        <v>1.0034406717521651</v>
      </c>
      <c r="AL400" s="51">
        <f t="shared" si="336"/>
        <v>8.2835203206868033E-2</v>
      </c>
      <c r="AM400" s="51" t="str">
        <f t="shared" si="316"/>
        <v>1-0.215290653306171i</v>
      </c>
      <c r="AN400" s="51">
        <f t="shared" si="337"/>
        <v>1.0229125404456618</v>
      </c>
      <c r="AO400" s="51">
        <f t="shared" si="338"/>
        <v>-0.21205395489124507</v>
      </c>
      <c r="AP400" s="60" t="str">
        <f t="shared" si="339"/>
        <v>-0.120193395450893-1.17515218784321i</v>
      </c>
      <c r="AQ400" s="51">
        <f t="shared" si="340"/>
        <v>1.4470778068859083</v>
      </c>
      <c r="AR400" s="63">
        <f t="shared" si="341"/>
        <v>-95.83984822485219</v>
      </c>
      <c r="AS400" s="32" t="str">
        <f t="shared" si="317"/>
        <v>-0.000133283554228113</v>
      </c>
      <c r="AT400" s="32" t="str">
        <f t="shared" si="318"/>
        <v>0.0253641947205848i</v>
      </c>
      <c r="AU400" s="32">
        <f t="shared" si="342"/>
        <v>2.53641947205848E-2</v>
      </c>
      <c r="AV400" s="32">
        <f t="shared" si="343"/>
        <v>1.5707963267948966</v>
      </c>
      <c r="AW400" s="32" t="str">
        <f t="shared" si="319"/>
        <v>1+4.43474146142822i</v>
      </c>
      <c r="AX400" s="32">
        <f t="shared" si="344"/>
        <v>4.5460897296149465</v>
      </c>
      <c r="AY400" s="32">
        <f t="shared" si="345"/>
        <v>1.3490133668186102</v>
      </c>
      <c r="AZ400" s="32" t="str">
        <f t="shared" si="320"/>
        <v>1+66.0884642178693i</v>
      </c>
      <c r="BA400" s="32">
        <f t="shared" si="346"/>
        <v>66.096029401746904</v>
      </c>
      <c r="BB400" s="32">
        <f t="shared" si="347"/>
        <v>1.5556662476768877</v>
      </c>
      <c r="BC400" s="60" t="str">
        <f t="shared" si="348"/>
        <v>-0.0156761274247005+0.0747743637215339i</v>
      </c>
      <c r="BD400" s="51">
        <f t="shared" si="349"/>
        <v>-22.338142916969915</v>
      </c>
      <c r="BE400" s="63">
        <f t="shared" si="350"/>
        <v>101.84033789739915</v>
      </c>
      <c r="BF400" s="60" t="str">
        <f t="shared" si="351"/>
        <v>0.00671588899846061-0.0201947337825953i</v>
      </c>
      <c r="BG400" s="66">
        <f t="shared" si="352"/>
        <v>-33.439684931103614</v>
      </c>
      <c r="BH400" s="63">
        <f t="shared" si="353"/>
        <v>-71.605121373255159</v>
      </c>
      <c r="BI400" s="60" t="str">
        <f t="shared" si="357"/>
        <v>0.0897554241046401+0.00943445077167451i</v>
      </c>
      <c r="BJ400" s="66">
        <f t="shared" si="354"/>
        <v>-20.891065110084011</v>
      </c>
      <c r="BK400" s="63">
        <f t="shared" si="358"/>
        <v>6.0004896725469603</v>
      </c>
      <c r="BL400" s="51">
        <f t="shared" si="355"/>
        <v>-33.439684931103614</v>
      </c>
      <c r="BM400" s="63">
        <f t="shared" si="356"/>
        <v>-71.605121373255159</v>
      </c>
    </row>
    <row r="401" spans="14:65" x14ac:dyDescent="0.35">
      <c r="N401" s="11">
        <v>83</v>
      </c>
      <c r="O401" s="52">
        <f t="shared" si="359"/>
        <v>67608.297539198305</v>
      </c>
      <c r="P401" s="50" t="str">
        <f t="shared" si="309"/>
        <v>36.531007751938</v>
      </c>
      <c r="Q401" s="18" t="str">
        <f t="shared" si="310"/>
        <v>1+207.458248757582i</v>
      </c>
      <c r="R401" s="18">
        <f t="shared" si="321"/>
        <v>207.46065886707959</v>
      </c>
      <c r="S401" s="18">
        <f t="shared" si="322"/>
        <v>1.5659761171326168</v>
      </c>
      <c r="T401" s="18" t="str">
        <f t="shared" si="311"/>
        <v>1+0.0849590923483434i</v>
      </c>
      <c r="U401" s="18">
        <f t="shared" si="323"/>
        <v>1.0036025345587039</v>
      </c>
      <c r="V401" s="18">
        <f t="shared" si="324"/>
        <v>8.4755560169055374E-2</v>
      </c>
      <c r="W401" s="32" t="str">
        <f t="shared" si="312"/>
        <v>1-1.40760626375954i</v>
      </c>
      <c r="X401" s="18">
        <f t="shared" si="325"/>
        <v>1.7266601848004406</v>
      </c>
      <c r="Y401" s="18">
        <f t="shared" si="326"/>
        <v>-0.95310730747378136</v>
      </c>
      <c r="Z401" s="32" t="str">
        <f t="shared" si="313"/>
        <v>0.905560291401885+0.639629789958063i</v>
      </c>
      <c r="AA401" s="18">
        <f t="shared" si="327"/>
        <v>1.1086774596633877</v>
      </c>
      <c r="AB401" s="18">
        <f t="shared" si="328"/>
        <v>0.61496563537686832</v>
      </c>
      <c r="AC401" s="68" t="str">
        <f t="shared" si="329"/>
        <v>-0.274054392452609-0.0253670645959092i</v>
      </c>
      <c r="AD401" s="66">
        <f t="shared" si="330"/>
        <v>-11.206213876574871</v>
      </c>
      <c r="AE401" s="63">
        <f t="shared" si="331"/>
        <v>-174.7116480360302</v>
      </c>
      <c r="AF401" s="51" t="str">
        <f t="shared" si="332"/>
        <v>42.1703962805665</v>
      </c>
      <c r="AG401" s="51" t="str">
        <f t="shared" si="314"/>
        <v>1+37.4819525066222i</v>
      </c>
      <c r="AH401" s="51">
        <f t="shared" si="333"/>
        <v>37.495289886980238</v>
      </c>
      <c r="AI401" s="51">
        <f t="shared" si="334"/>
        <v>1.5441231475963266</v>
      </c>
      <c r="AJ401" s="51" t="str">
        <f t="shared" si="315"/>
        <v>1+0.0849590923483434i</v>
      </c>
      <c r="AK401" s="51">
        <f t="shared" si="335"/>
        <v>1.0036025345587039</v>
      </c>
      <c r="AL401" s="51">
        <f t="shared" si="336"/>
        <v>8.4755560169055374E-2</v>
      </c>
      <c r="AM401" s="51" t="str">
        <f t="shared" si="316"/>
        <v>1-0.22030541683175i</v>
      </c>
      <c r="AN401" s="51">
        <f t="shared" si="337"/>
        <v>1.0239797247433229</v>
      </c>
      <c r="AO401" s="51">
        <f t="shared" si="338"/>
        <v>-0.21684160338344835</v>
      </c>
      <c r="AP401" s="60" t="str">
        <f t="shared" si="339"/>
        <v>-0.121611062906354-1.1493880544476i</v>
      </c>
      <c r="AQ401" s="51">
        <f t="shared" si="340"/>
        <v>1.2576814697206196</v>
      </c>
      <c r="AR401" s="63">
        <f t="shared" si="341"/>
        <v>-96.039712214493093</v>
      </c>
      <c r="AS401" s="32" t="str">
        <f t="shared" si="317"/>
        <v>-0.000133283554228113</v>
      </c>
      <c r="AT401" s="32" t="str">
        <f t="shared" si="318"/>
        <v>0.0259550027124189i</v>
      </c>
      <c r="AU401" s="32">
        <f t="shared" si="342"/>
        <v>2.59550027124189E-2</v>
      </c>
      <c r="AV401" s="32">
        <f t="shared" si="343"/>
        <v>1.5707963267948966</v>
      </c>
      <c r="AW401" s="32" t="str">
        <f t="shared" si="319"/>
        <v>1+4.53803986005641i</v>
      </c>
      <c r="AX401" s="32">
        <f t="shared" si="344"/>
        <v>4.6469135747785106</v>
      </c>
      <c r="AY401" s="32">
        <f t="shared" si="345"/>
        <v>1.3539031851104868</v>
      </c>
      <c r="AZ401" s="32" t="str">
        <f t="shared" si="320"/>
        <v>1+67.627862304743i</v>
      </c>
      <c r="BA401" s="32">
        <f t="shared" si="346"/>
        <v>67.635255303053881</v>
      </c>
      <c r="BB401" s="32">
        <f t="shared" si="347"/>
        <v>1.5560105995475189</v>
      </c>
      <c r="BC401" s="60" t="str">
        <f t="shared" si="348"/>
        <v>-0.0150032588173189+0.0732205643630138i</v>
      </c>
      <c r="BD401" s="51">
        <f t="shared" si="349"/>
        <v>-22.5287194972897</v>
      </c>
      <c r="BE401" s="63">
        <f t="shared" si="350"/>
        <v>101.57990185554335</v>
      </c>
      <c r="BF401" s="60" t="str">
        <f t="shared" si="351"/>
        <v>0.00596909976593508-0.0196858286459748i</v>
      </c>
      <c r="BG401" s="66">
        <f t="shared" si="352"/>
        <v>-33.734933373864578</v>
      </c>
      <c r="BH401" s="63">
        <f t="shared" si="353"/>
        <v>-73.1317461804868</v>
      </c>
      <c r="BI401" s="60" t="str">
        <f t="shared" si="357"/>
        <v>0.085983404270593+0.00834013580362276i</v>
      </c>
      <c r="BJ401" s="66">
        <f t="shared" si="354"/>
        <v>-21.27103802756908</v>
      </c>
      <c r="BK401" s="63">
        <f t="shared" si="358"/>
        <v>5.5401896410502633</v>
      </c>
      <c r="BL401" s="51">
        <f t="shared" si="355"/>
        <v>-33.734933373864578</v>
      </c>
      <c r="BM401" s="63">
        <f t="shared" si="356"/>
        <v>-73.1317461804868</v>
      </c>
    </row>
    <row r="402" spans="14:65" x14ac:dyDescent="0.35">
      <c r="N402" s="11">
        <v>84</v>
      </c>
      <c r="O402" s="52">
        <f t="shared" si="359"/>
        <v>69183.097091893651</v>
      </c>
      <c r="P402" s="50" t="str">
        <f t="shared" si="309"/>
        <v>36.531007751938</v>
      </c>
      <c r="Q402" s="18" t="str">
        <f t="shared" si="310"/>
        <v>1+212.290572144471i</v>
      </c>
      <c r="R402" s="18">
        <f t="shared" si="321"/>
        <v>212.29292739379437</v>
      </c>
      <c r="S402" s="18">
        <f t="shared" si="322"/>
        <v>1.5660858368581601</v>
      </c>
      <c r="T402" s="18" t="str">
        <f t="shared" si="311"/>
        <v>1+0.086938043830593i</v>
      </c>
      <c r="U402" s="18">
        <f t="shared" si="323"/>
        <v>1.0037719977490358</v>
      </c>
      <c r="V402" s="18">
        <f t="shared" si="324"/>
        <v>8.6719999409187204E-2</v>
      </c>
      <c r="W402" s="32" t="str">
        <f t="shared" si="312"/>
        <v>1-1.44039362559562i</v>
      </c>
      <c r="X402" s="18">
        <f t="shared" si="325"/>
        <v>1.7534918866811144</v>
      </c>
      <c r="Y402" s="18">
        <f t="shared" si="326"/>
        <v>-0.963936705765152</v>
      </c>
      <c r="Z402" s="32" t="str">
        <f t="shared" si="313"/>
        <v>0.901109485057306+0.654528681718095i</v>
      </c>
      <c r="AA402" s="18">
        <f t="shared" si="327"/>
        <v>1.1137352015860282</v>
      </c>
      <c r="AB402" s="18">
        <f t="shared" si="328"/>
        <v>0.62819817966690805</v>
      </c>
      <c r="AC402" s="68" t="str">
        <f t="shared" si="329"/>
        <v>-0.271278468302637-0.0190456314492313i</v>
      </c>
      <c r="AD402" s="66">
        <f t="shared" si="330"/>
        <v>-11.310339652156197</v>
      </c>
      <c r="AE402" s="63">
        <f t="shared" si="331"/>
        <v>-175.98402819246462</v>
      </c>
      <c r="AF402" s="51" t="str">
        <f t="shared" si="332"/>
        <v>42.1703962805665</v>
      </c>
      <c r="AG402" s="51" t="str">
        <f t="shared" si="314"/>
        <v>1+38.3550193370264i</v>
      </c>
      <c r="AH402" s="51">
        <f t="shared" si="333"/>
        <v>38.368053225876196</v>
      </c>
      <c r="AI402" s="51">
        <f t="shared" si="334"/>
        <v>1.5447300250958358</v>
      </c>
      <c r="AJ402" s="51" t="str">
        <f t="shared" si="315"/>
        <v>1+0.086938043830593i</v>
      </c>
      <c r="AK402" s="51">
        <f t="shared" si="335"/>
        <v>1.0037719977490358</v>
      </c>
      <c r="AL402" s="51">
        <f t="shared" si="336"/>
        <v>8.6719999409187204E-2</v>
      </c>
      <c r="AM402" s="51" t="str">
        <f t="shared" si="316"/>
        <v>1-0.22543698920542i</v>
      </c>
      <c r="AN402" s="51">
        <f t="shared" si="337"/>
        <v>1.025096013113896</v>
      </c>
      <c r="AO402" s="51">
        <f t="shared" si="338"/>
        <v>-0.22173033601916775</v>
      </c>
      <c r="AP402" s="60" t="str">
        <f t="shared" si="339"/>
        <v>-0.122965013544442-1.1242299386222i</v>
      </c>
      <c r="AQ402" s="51">
        <f t="shared" si="340"/>
        <v>1.0687507736560915</v>
      </c>
      <c r="AR402" s="63">
        <f t="shared" si="341"/>
        <v>-96.242033403521589</v>
      </c>
      <c r="AS402" s="32" t="str">
        <f t="shared" si="317"/>
        <v>-0.000133283554228113</v>
      </c>
      <c r="AT402" s="32" t="str">
        <f t="shared" si="318"/>
        <v>0.0265595723902462i</v>
      </c>
      <c r="AU402" s="32">
        <f t="shared" si="342"/>
        <v>2.65595723902462E-2</v>
      </c>
      <c r="AV402" s="32">
        <f t="shared" si="343"/>
        <v>1.5707963267948966</v>
      </c>
      <c r="AW402" s="32" t="str">
        <f t="shared" si="319"/>
        <v>1+4.64374438748645i</v>
      </c>
      <c r="AX402" s="32">
        <f t="shared" si="344"/>
        <v>4.750195989252644</v>
      </c>
      <c r="AY402" s="32">
        <f t="shared" si="345"/>
        <v>1.3586919015882679</v>
      </c>
      <c r="AZ402" s="32" t="str">
        <f t="shared" si="320"/>
        <v>1+69.2031175793711i</v>
      </c>
      <c r="BA402" s="32">
        <f t="shared" si="346"/>
        <v>69.210342310266469</v>
      </c>
      <c r="BB402" s="32">
        <f t="shared" si="347"/>
        <v>1.5563471164011959</v>
      </c>
      <c r="BC402" s="60" t="str">
        <f t="shared" si="348"/>
        <v>-0.0143579267942327+0.0716928288678848i</v>
      </c>
      <c r="BD402" s="51">
        <f t="shared" si="349"/>
        <v>-22.71970089181519</v>
      </c>
      <c r="BE402" s="63">
        <f t="shared" si="350"/>
        <v>101.3248096075324</v>
      </c>
      <c r="BF402" s="60" t="str">
        <f t="shared" si="351"/>
        <v>0.00526043158491138-0.0191752650214649i</v>
      </c>
      <c r="BG402" s="66">
        <f t="shared" si="352"/>
        <v>-34.030040543971374</v>
      </c>
      <c r="BH402" s="63">
        <f t="shared" si="353"/>
        <v>-74.659218584932262</v>
      </c>
      <c r="BI402" s="60" t="str">
        <f t="shared" si="357"/>
        <v>0.082364747260517+0.00732590148584345i</v>
      </c>
      <c r="BJ402" s="66">
        <f t="shared" si="354"/>
        <v>-21.650950118159095</v>
      </c>
      <c r="BK402" s="63">
        <f t="shared" si="358"/>
        <v>5.0827762040108144</v>
      </c>
      <c r="BL402" s="51">
        <f t="shared" si="355"/>
        <v>-34.030040543971374</v>
      </c>
      <c r="BM402" s="63">
        <f t="shared" si="356"/>
        <v>-74.659218584932262</v>
      </c>
    </row>
    <row r="403" spans="14:65" x14ac:dyDescent="0.35">
      <c r="N403" s="11">
        <v>85</v>
      </c>
      <c r="O403" s="52">
        <f t="shared" si="359"/>
        <v>70794.578438413781</v>
      </c>
      <c r="P403" s="50" t="str">
        <f t="shared" ref="P403:P466" si="360">COMPLEX(Adc,0)</f>
        <v>36.531007751938</v>
      </c>
      <c r="Q403" s="18" t="str">
        <f t="shared" ref="Q403:Q466" si="361">IMSUM(COMPLEX(1,0),IMDIV(COMPLEX(0,2*PI()*O403),COMPLEX(wp_lf,0)))</f>
        <v>1+217.235454802709i</v>
      </c>
      <c r="R403" s="18">
        <f t="shared" si="321"/>
        <v>217.23775644058708</v>
      </c>
      <c r="S403" s="18">
        <f t="shared" si="322"/>
        <v>1.5661930591674249</v>
      </c>
      <c r="T403" s="18" t="str">
        <f t="shared" ref="T403:T466" si="362">IMSUM(COMPLEX(1,0),IMDIV(COMPLEX(0,2*PI()*O403),COMPLEX(wz_esr,0)))</f>
        <v>1+0.0889630910144428i</v>
      </c>
      <c r="U403" s="18">
        <f t="shared" si="323"/>
        <v>1.0039494168347547</v>
      </c>
      <c r="V403" s="18">
        <f t="shared" si="324"/>
        <v>8.8729501818774537E-2</v>
      </c>
      <c r="W403" s="32" t="str">
        <f t="shared" ref="W403:W466" si="363">IMSUB(COMPLEX(1,0),IMDIV(COMPLEX(0,2*PI()*O403),COMPLEX(wz_rhp,0)))</f>
        <v>1-1.47394470319787i</v>
      </c>
      <c r="X403" s="18">
        <f t="shared" si="325"/>
        <v>1.7811549590322167</v>
      </c>
      <c r="Y403" s="18">
        <f t="shared" si="326"/>
        <v>-0.97467930468865638</v>
      </c>
      <c r="Z403" s="32" t="str">
        <f t="shared" ref="Z403:Z466" si="364">IMSUM(COMPLEX(1,0),IMDIV(COMPLEX(0,2*PI()*O403),COMPLEX(Q*(wsl/2),0)),IMDIV(IMPOWER(COMPLEX(0,2*PI()*O403),2),IMPOWER(COMPLEX(wsl/2,0),2)))</f>
        <v>0.896448918672051+0.669774613248886i</v>
      </c>
      <c r="AA403" s="18">
        <f t="shared" si="327"/>
        <v>1.1190257800162533</v>
      </c>
      <c r="AB403" s="18">
        <f t="shared" si="328"/>
        <v>0.64166946041948869</v>
      </c>
      <c r="AC403" s="68" t="str">
        <f t="shared" si="329"/>
        <v>-0.268413194666889-0.012834639798426i</v>
      </c>
      <c r="AD403" s="66">
        <f t="shared" si="330"/>
        <v>-11.414004233951275</v>
      </c>
      <c r="AE403" s="63">
        <f t="shared" si="331"/>
        <v>-177.26238868234162</v>
      </c>
      <c r="AF403" s="51" t="str">
        <f t="shared" si="332"/>
        <v>42.1703962805665</v>
      </c>
      <c r="AG403" s="51" t="str">
        <f t="shared" ref="AG403:AG466" si="365">IMSUM(COMPLEX(1,0),IMDIV(COMPLEX(0,2*PI()*O403),COMPLEX(wp_lf_DCM,0)))</f>
        <v>1+39.2484225063719i</v>
      </c>
      <c r="AH403" s="51">
        <f t="shared" si="333"/>
        <v>39.261159805062825</v>
      </c>
      <c r="AI403" s="51">
        <f t="shared" si="334"/>
        <v>1.5453231069348188</v>
      </c>
      <c r="AJ403" s="51" t="str">
        <f t="shared" ref="AJ403:AJ466" si="366">IMSUM(COMPLEX(1,0),IMDIV(COMPLEX(0,2*PI()*O403),COMPLEX(wz1_dcm,0)))</f>
        <v>1+0.0889630910144428i</v>
      </c>
      <c r="AK403" s="51">
        <f t="shared" si="335"/>
        <v>1.0039494168347547</v>
      </c>
      <c r="AL403" s="51">
        <f t="shared" si="336"/>
        <v>8.8729501818774537E-2</v>
      </c>
      <c r="AM403" s="51" t="str">
        <f t="shared" ref="AM403:AM466" si="367">IMSUB(COMPLEX(1,0),IMDIV(COMPLEX(0,2*PI()*O403),COMPLEX(wz2_dcm,0)))</f>
        <v>1-0.230688091254778i</v>
      </c>
      <c r="AN403" s="51">
        <f t="shared" si="337"/>
        <v>1.026263609140835</v>
      </c>
      <c r="AO403" s="51">
        <f t="shared" si="338"/>
        <v>-0.22672180972973627</v>
      </c>
      <c r="AP403" s="60" t="str">
        <f t="shared" si="339"/>
        <v>-0.12425810729495-1.09966472804404i</v>
      </c>
      <c r="AQ403" s="51">
        <f t="shared" si="340"/>
        <v>0.88030636761877323</v>
      </c>
      <c r="AR403" s="63">
        <f t="shared" si="341"/>
        <v>-96.446868859976561</v>
      </c>
      <c r="AS403" s="32" t="str">
        <f t="shared" ref="AS403:AS466" si="368">COMPLEX(Adc_ea,0)</f>
        <v>-0.000133283554228113</v>
      </c>
      <c r="AT403" s="32" t="str">
        <f t="shared" ref="AT403:AT466" si="369">COMPLEX(0,2*PI()*O403*wp0_ea)</f>
        <v>0.0271782243049123i</v>
      </c>
      <c r="AU403" s="32">
        <f t="shared" si="342"/>
        <v>2.7178224304912301E-2</v>
      </c>
      <c r="AV403" s="32">
        <f t="shared" si="343"/>
        <v>1.5707963267948966</v>
      </c>
      <c r="AW403" s="32" t="str">
        <f t="shared" ref="AW403:AW466" si="370">IMSUM(COMPLEX(1,0),IMDIV(COMPLEX(0,2*PI()*O403),COMPLEX(wp1_ea,0)))</f>
        <v>1+4.75191108965796i</v>
      </c>
      <c r="AX403" s="32">
        <f t="shared" si="344"/>
        <v>4.8559920720707836</v>
      </c>
      <c r="AY403" s="32">
        <f t="shared" si="345"/>
        <v>1.363381176377602</v>
      </c>
      <c r="AZ403" s="32" t="str">
        <f t="shared" ref="AZ403:AZ466" si="371">IMSUM(COMPLEX(1,0),IMDIV(COMPLEX(0,2*PI()*O403),COMPLEX(wz_ea,0)))</f>
        <v>1+70.8150652629515i</v>
      </c>
      <c r="BA403" s="32">
        <f t="shared" si="346"/>
        <v>70.82212555547936</v>
      </c>
      <c r="BB403" s="32">
        <f t="shared" si="347"/>
        <v>1.5566759763585671</v>
      </c>
      <c r="BC403" s="60" t="str">
        <f t="shared" si="348"/>
        <v>-0.01373911801129+0.0701911239852806i</v>
      </c>
      <c r="BD403" s="51">
        <f t="shared" si="349"/>
        <v>-22.91107050624786</v>
      </c>
      <c r="BE403" s="63">
        <f t="shared" si="350"/>
        <v>101.07497624073473</v>
      </c>
      <c r="BF403" s="60" t="str">
        <f t="shared" si="351"/>
        <v>0.00458863835071348-0.0186638871953259i</v>
      </c>
      <c r="BG403" s="66">
        <f t="shared" si="352"/>
        <v>-34.325074740199128</v>
      </c>
      <c r="BH403" s="63">
        <f t="shared" si="353"/>
        <v>-76.187412441606909</v>
      </c>
      <c r="BI403" s="60" t="str">
        <f t="shared" si="357"/>
        <v>0.0788939000683639+0.00638660725613405i</v>
      </c>
      <c r="BJ403" s="66">
        <f t="shared" si="354"/>
        <v>-22.030764138629088</v>
      </c>
      <c r="BK403" s="63">
        <f t="shared" si="358"/>
        <v>4.6281073807581601</v>
      </c>
      <c r="BL403" s="51">
        <f t="shared" si="355"/>
        <v>-34.325074740199128</v>
      </c>
      <c r="BM403" s="63">
        <f t="shared" si="356"/>
        <v>-76.187412441606909</v>
      </c>
    </row>
    <row r="404" spans="14:65" x14ac:dyDescent="0.35">
      <c r="N404" s="11">
        <v>86</v>
      </c>
      <c r="O404" s="52">
        <f t="shared" si="359"/>
        <v>72443.596007499116</v>
      </c>
      <c r="P404" s="50" t="str">
        <f t="shared" si="360"/>
        <v>36.531007751938</v>
      </c>
      <c r="Q404" s="18" t="str">
        <f t="shared" si="361"/>
        <v>1+222.295518574535i</v>
      </c>
      <c r="R404" s="18">
        <f t="shared" ref="R404:R467" si="372">IMABS(Q404)</f>
        <v>222.2977678212749</v>
      </c>
      <c r="S404" s="18">
        <f t="shared" ref="S404:S467" si="373">IMARGUMENT(Q404)</f>
        <v>1.5662978409012318</v>
      </c>
      <c r="T404" s="18" t="str">
        <f t="shared" si="362"/>
        <v>1+0.0910353076067144i</v>
      </c>
      <c r="U404" s="18">
        <f t="shared" ref="U404:U467" si="374">IMABS(T404)</f>
        <v>1.0041351638255924</v>
      </c>
      <c r="V404" s="18">
        <f t="shared" ref="V404:V467" si="375">IMARGUMENT(T404)</f>
        <v>9.078506791003868E-2</v>
      </c>
      <c r="W404" s="32" t="str">
        <f t="shared" si="363"/>
        <v>1-1.50827728579172i</v>
      </c>
      <c r="X404" s="18">
        <f t="shared" ref="X404:X467" si="376">IMABS(W404)</f>
        <v>1.809668580385712</v>
      </c>
      <c r="Y404" s="18">
        <f t="shared" ref="Y404:Y467" si="377">IMARGUMENT(W404)</f>
        <v>-0.98533088227666854</v>
      </c>
      <c r="Z404" s="32" t="str">
        <f t="shared" si="364"/>
        <v>0.891568706559964+0.685375668145139i</v>
      </c>
      <c r="AA404" s="18">
        <f t="shared" ref="AA404:AA467" si="378">IMABS(Z404)</f>
        <v>1.1245597205139455</v>
      </c>
      <c r="AB404" s="18">
        <f t="shared" ref="AB404:AB467" si="379">IMARGUMENT(Z404)</f>
        <v>0.65538098015791346</v>
      </c>
      <c r="AC404" s="68" t="str">
        <f t="shared" ref="AC404:AC467" si="380">(IMDIV(IMPRODUCT(P404,T404,W404),IMPRODUCT(Q404,Z404)))</f>
        <v>-0.265457800840715-0.00673558323970746i</v>
      </c>
      <c r="AD404" s="66">
        <f t="shared" ref="AD404:AD467" si="381">20*LOG(IMABS(AC404))</f>
        <v>-11.517295013300604</v>
      </c>
      <c r="AE404" s="63">
        <f t="shared" ref="AE404:AE467" si="382">(180/PI())*IMARGUMENT(AC404)</f>
        <v>-178.54651962459053</v>
      </c>
      <c r="AF404" s="51" t="str">
        <f t="shared" ref="AF404:AF467" si="383">COMPLEX($B$68,0)</f>
        <v>42.1703962805665</v>
      </c>
      <c r="AG404" s="51" t="str">
        <f t="shared" si="365"/>
        <v>1+40.1626357088447i</v>
      </c>
      <c r="AH404" s="51">
        <f t="shared" ref="AH404:AH467" si="384">IMABS(AG404)</f>
        <v>40.17508316209647</v>
      </c>
      <c r="AI404" s="51">
        <f t="shared" ref="AI404:AI467" si="385">IMARGUMENT(AG404)</f>
        <v>1.5459027059032477</v>
      </c>
      <c r="AJ404" s="51" t="str">
        <f t="shared" si="366"/>
        <v>1+0.0910353076067144i</v>
      </c>
      <c r="AK404" s="51">
        <f t="shared" ref="AK404:AK467" si="386">IMABS(AJ404)</f>
        <v>1.0041351638255924</v>
      </c>
      <c r="AL404" s="51">
        <f t="shared" ref="AL404:AL467" si="387">IMARGUMENT(AJ404)</f>
        <v>9.078506791003868E-2</v>
      </c>
      <c r="AM404" s="51" t="str">
        <f t="shared" si="367"/>
        <v>1-0.236061507183638i</v>
      </c>
      <c r="AN404" s="51">
        <f t="shared" ref="AN404:AN467" si="388">IMABS(AM404)</f>
        <v>1.0274848101912801</v>
      </c>
      <c r="AO404" s="51">
        <f t="shared" ref="AO404:AO467" si="389">IMARGUMENT(AM404)</f>
        <v>-0.23181767572010989</v>
      </c>
      <c r="AP404" s="60" t="str">
        <f t="shared" ref="AP404:AP467" si="390">(IMDIV(IMPRODUCT(AF404,AJ404,AM404),IMPRODUCT(AG404)))</f>
        <v>-0.125493076054884-1.07567960964873i</v>
      </c>
      <c r="AQ404" s="51">
        <f t="shared" ref="AQ404:AQ467" si="391">20*LOG(IMABS(AP404))</f>
        <v>0.69236967699726226</v>
      </c>
      <c r="AR404" s="63">
        <f t="shared" ref="AR404:AR467" si="392">(180/PI())*IMARGUMENT(AP404)</f>
        <v>-96.654273787350633</v>
      </c>
      <c r="AS404" s="32" t="str">
        <f t="shared" si="368"/>
        <v>-0.000133283554228113</v>
      </c>
      <c r="AT404" s="32" t="str">
        <f t="shared" si="369"/>
        <v>0.0278112864738513i</v>
      </c>
      <c r="AU404" s="32">
        <f t="shared" ref="AU404:AU467" si="393">IMABS(AT404)</f>
        <v>2.78112864738513E-2</v>
      </c>
      <c r="AV404" s="32">
        <f t="shared" ref="AV404:AV467" si="394">IMARGUMENT(AT404)</f>
        <v>1.5707963267948966</v>
      </c>
      <c r="AW404" s="32" t="str">
        <f t="shared" si="370"/>
        <v>1+4.8625973179882i</v>
      </c>
      <c r="AX404" s="32">
        <f t="shared" ref="AX404:AX467" si="395">IMABS(AW404)</f>
        <v>4.9643582341432655</v>
      </c>
      <c r="AY404" s="32">
        <f t="shared" ref="AY404:AY467" si="396">IMARGUMENT(AW404)</f>
        <v>1.3679726705000224</v>
      </c>
      <c r="AZ404" s="32" t="str">
        <f t="shared" si="371"/>
        <v>1+72.4645600314826i</v>
      </c>
      <c r="BA404" s="32">
        <f t="shared" ref="BA404:BA467" si="397">IMABS(AZ404)</f>
        <v>72.471459627610272</v>
      </c>
      <c r="BB404" s="32">
        <f t="shared" ref="BB404:BB467" si="398">IMARGUMENT(AZ404)</f>
        <v>1.556997353500845</v>
      </c>
      <c r="BC404" s="60" t="str">
        <f t="shared" ref="BC404:BC467" si="399">IMPRODUCT(AS404,IMDIV(AZ404,IMPRODUCT(AT404,AW404)))</f>
        <v>-0.0131458467651433+0.0687153860080682i</v>
      </c>
      <c r="BD404" s="51">
        <f t="shared" ref="BD404:BD467" si="400">20*LOG(IMABS(BC404))</f>
        <v>-23.102812359257385</v>
      </c>
      <c r="BE404" s="63">
        <f t="shared" ref="BE404:BE467" si="401">(180/PI())*IMARGUMENT(BC404)</f>
        <v>100.8303165597454</v>
      </c>
      <c r="BF404" s="60" t="str">
        <f t="shared" ref="BF404:BF467" si="402">IMPRODUCT(AC404,BC404)</f>
        <v>0.00395250577476994-0.0181524903084796i</v>
      </c>
      <c r="BG404" s="66">
        <f t="shared" ref="BG404:BG467" si="403">20*LOG(IMABS(BF404))</f>
        <v>-34.620107372557968</v>
      </c>
      <c r="BH404" s="63">
        <f t="shared" ref="BH404:BH467" si="404">(180/PI())*IMARGUMENT(BF404)</f>
        <v>-77.716203064845146</v>
      </c>
      <c r="BI404" s="60" t="str">
        <f t="shared" si="357"/>
        <v>0.0755654523459246+0.00551741415438015i</v>
      </c>
      <c r="BJ404" s="66">
        <f t="shared" ref="BJ404:BJ467" si="405">20*LOG(IMABS(BI404))</f>
        <v>-22.410442682260122</v>
      </c>
      <c r="BK404" s="63">
        <f t="shared" si="358"/>
        <v>4.1760427723947755</v>
      </c>
      <c r="BL404" s="51">
        <f t="shared" ref="BL404:BL467" si="406">IF($B$31=0,BJ404,BG404)</f>
        <v>-34.620107372557968</v>
      </c>
      <c r="BM404" s="63">
        <f t="shared" ref="BM404:BM467" si="407">IF($B$31=0,BK404,BH404)</f>
        <v>-77.716203064845146</v>
      </c>
    </row>
    <row r="405" spans="14:65" x14ac:dyDescent="0.35">
      <c r="N405" s="11">
        <v>87</v>
      </c>
      <c r="O405" s="52">
        <f t="shared" si="359"/>
        <v>74131.024130091857</v>
      </c>
      <c r="P405" s="50" t="str">
        <f t="shared" si="360"/>
        <v>36.531007751938</v>
      </c>
      <c r="Q405" s="18" t="str">
        <f t="shared" si="361"/>
        <v>1+227.473446372738i</v>
      </c>
      <c r="R405" s="18">
        <f t="shared" si="372"/>
        <v>227.47564442087182</v>
      </c>
      <c r="S405" s="18">
        <f t="shared" si="373"/>
        <v>1.5664002376070343</v>
      </c>
      <c r="T405" s="18" t="str">
        <f t="shared" si="362"/>
        <v>1+0.0931557923240738i</v>
      </c>
      <c r="U405" s="18">
        <f t="shared" si="374"/>
        <v>1.0043296279825293</v>
      </c>
      <c r="V405" s="18">
        <f t="shared" si="375"/>
        <v>9.2887718048958595E-2</v>
      </c>
      <c r="W405" s="32" t="str">
        <f t="shared" si="363"/>
        <v>1-1.5434095769669i</v>
      </c>
      <c r="X405" s="18">
        <f t="shared" si="376"/>
        <v>1.8390522347864799</v>
      </c>
      <c r="Y405" s="18">
        <f t="shared" si="377"/>
        <v>-0.99588741817627902</v>
      </c>
      <c r="Z405" s="32" t="str">
        <f t="shared" si="364"/>
        <v>0.886458497136854+0.701340118292661i</v>
      </c>
      <c r="AA405" s="18">
        <f t="shared" si="378"/>
        <v>1.1303480121948697</v>
      </c>
      <c r="AB405" s="18">
        <f t="shared" si="379"/>
        <v>0.66933407677125856</v>
      </c>
      <c r="AC405" s="68" t="str">
        <f t="shared" si="380"/>
        <v>-0.262411666236987-0.000750142288593482i</v>
      </c>
      <c r="AD405" s="66">
        <f t="shared" si="381"/>
        <v>-11.62030173227636</v>
      </c>
      <c r="AE405" s="63">
        <f t="shared" si="382"/>
        <v>-179.83621204532523</v>
      </c>
      <c r="AF405" s="51" t="str">
        <f t="shared" si="383"/>
        <v>42.1703962805665</v>
      </c>
      <c r="AG405" s="51" t="str">
        <f t="shared" si="365"/>
        <v>1+41.0981436723856i</v>
      </c>
      <c r="AH405" s="51">
        <f t="shared" si="384"/>
        <v>41.11030787182272</v>
      </c>
      <c r="AI405" s="51">
        <f t="shared" si="385"/>
        <v>1.5464691277536144</v>
      </c>
      <c r="AJ405" s="51" t="str">
        <f t="shared" si="366"/>
        <v>1+0.0931557923240738i</v>
      </c>
      <c r="AK405" s="51">
        <f t="shared" si="386"/>
        <v>1.0043296279825293</v>
      </c>
      <c r="AL405" s="51">
        <f t="shared" si="387"/>
        <v>9.2887718048958595E-2</v>
      </c>
      <c r="AM405" s="51" t="str">
        <f t="shared" si="367"/>
        <v>1-0.24156008604825i</v>
      </c>
      <c r="AN405" s="51">
        <f t="shared" si="388"/>
        <v>1.0287620109489064</v>
      </c>
      <c r="AO405" s="51">
        <f t="shared" si="389"/>
        <v>-0.23701957678578633</v>
      </c>
      <c r="AP405" s="60" t="str">
        <f t="shared" si="390"/>
        <v>-0.126672529390726-1.05226206384156i</v>
      </c>
      <c r="AQ405" s="51">
        <f t="shared" si="391"/>
        <v>0.50496292695873857</v>
      </c>
      <c r="AR405" s="63">
        <f t="shared" si="392"/>
        <v>-96.864301366555793</v>
      </c>
      <c r="AS405" s="32" t="str">
        <f t="shared" si="368"/>
        <v>-0.000133283554228113</v>
      </c>
      <c r="AT405" s="32" t="str">
        <f t="shared" si="369"/>
        <v>0.0284590945550045i</v>
      </c>
      <c r="AU405" s="32">
        <f t="shared" si="393"/>
        <v>2.8459094555004501E-2</v>
      </c>
      <c r="AV405" s="32">
        <f t="shared" si="394"/>
        <v>1.5707963267948966</v>
      </c>
      <c r="AW405" s="32" t="str">
        <f t="shared" si="370"/>
        <v>1+4.97586175978052i</v>
      </c>
      <c r="AX405" s="32">
        <f t="shared" si="395"/>
        <v>5.0753522293970983</v>
      </c>
      <c r="AY405" s="32">
        <f t="shared" si="396"/>
        <v>1.3724680436869421</v>
      </c>
      <c r="AZ405" s="32" t="str">
        <f t="shared" si="371"/>
        <v>1+74.1524764689243i</v>
      </c>
      <c r="BA405" s="32">
        <f t="shared" si="397"/>
        <v>74.159219025515469</v>
      </c>
      <c r="BB405" s="32">
        <f t="shared" si="398"/>
        <v>1.5573114179607486</v>
      </c>
      <c r="BC405" s="60" t="str">
        <f t="shared" si="399"/>
        <v>-0.0125771551005111+0.0672655229446635i</v>
      </c>
      <c r="BD405" s="51">
        <f t="shared" si="400"/>
        <v>-23.29491106556204</v>
      </c>
      <c r="BE405" s="63">
        <f t="shared" si="401"/>
        <v>100.59074521684613</v>
      </c>
      <c r="BF405" s="60" t="str">
        <f t="shared" si="402"/>
        <v>0.00335085093977128-0.0176418233003003i</v>
      </c>
      <c r="BG405" s="66">
        <f t="shared" si="403"/>
        <v>-34.915212797838414</v>
      </c>
      <c r="BH405" s="63">
        <f t="shared" si="404"/>
        <v>-79.245466828479081</v>
      </c>
      <c r="BI405" s="60" t="str">
        <f t="shared" si="357"/>
        <v>0.0723741380482546+0.00471376925112877i</v>
      </c>
      <c r="BJ405" s="66">
        <f t="shared" si="405"/>
        <v>-22.789948138603307</v>
      </c>
      <c r="BK405" s="63">
        <f t="shared" si="358"/>
        <v>3.7264438502903268</v>
      </c>
      <c r="BL405" s="51">
        <f t="shared" si="406"/>
        <v>-34.915212797838414</v>
      </c>
      <c r="BM405" s="63">
        <f t="shared" si="407"/>
        <v>-79.245466828479081</v>
      </c>
    </row>
    <row r="406" spans="14:65" x14ac:dyDescent="0.35">
      <c r="N406" s="11">
        <v>88</v>
      </c>
      <c r="O406" s="52">
        <f t="shared" si="359"/>
        <v>75857.757502918481</v>
      </c>
      <c r="P406" s="50" t="str">
        <f t="shared" si="360"/>
        <v>36.531007751938</v>
      </c>
      <c r="Q406" s="18" t="str">
        <f t="shared" si="361"/>
        <v>1+232.771983603174i</v>
      </c>
      <c r="R406" s="18">
        <f t="shared" si="372"/>
        <v>232.77413161809088</v>
      </c>
      <c r="S406" s="18">
        <f t="shared" si="373"/>
        <v>1.5665003035683271</v>
      </c>
      <c r="T406" s="18" t="str">
        <f t="shared" si="362"/>
        <v>1+0.0953256694755858i</v>
      </c>
      <c r="U406" s="18">
        <f t="shared" si="374"/>
        <v>1.0045332166040946</v>
      </c>
      <c r="V406" s="18">
        <f t="shared" si="375"/>
        <v>9.503849267854507E-2</v>
      </c>
      <c r="W406" s="32" t="str">
        <f t="shared" si="363"/>
        <v>1-1.57936020432923i</v>
      </c>
      <c r="X406" s="18">
        <f t="shared" si="376"/>
        <v>1.8693257220235504</v>
      </c>
      <c r="Y406" s="18">
        <f t="shared" si="377"/>
        <v>-1.0063450980403639</v>
      </c>
      <c r="Z406" s="32" t="str">
        <f t="shared" si="364"/>
        <v>0.881107450963397+0.717676428254234i</v>
      </c>
      <c r="AA406" s="18">
        <f t="shared" si="378"/>
        <v>1.1364021276885088</v>
      </c>
      <c r="AB406" s="18">
        <f t="shared" si="379"/>
        <v>0.68352991353801151</v>
      </c>
      <c r="AC406" s="68" t="str">
        <f t="shared" si="380"/>
        <v>-0.259274333803383+0.00511982154016973i</v>
      </c>
      <c r="AD406" s="66">
        <f t="shared" si="381"/>
        <v>-11.723116329624299</v>
      </c>
      <c r="AE406" s="63">
        <f t="shared" si="382"/>
        <v>178.86874245327618</v>
      </c>
      <c r="AF406" s="51" t="str">
        <f t="shared" si="383"/>
        <v>42.1703962805665</v>
      </c>
      <c r="AG406" s="51" t="str">
        <f t="shared" si="365"/>
        <v>1+42.0554424156997i</v>
      </c>
      <c r="AH406" s="51">
        <f t="shared" si="384"/>
        <v>42.067329803307381</v>
      </c>
      <c r="AI406" s="51">
        <f t="shared" si="385"/>
        <v>1.547022671355631</v>
      </c>
      <c r="AJ406" s="51" t="str">
        <f t="shared" si="366"/>
        <v>1+0.0953256694755858i</v>
      </c>
      <c r="AK406" s="51">
        <f t="shared" si="386"/>
        <v>1.0045332166040946</v>
      </c>
      <c r="AL406" s="51">
        <f t="shared" si="387"/>
        <v>9.503849267854507E-2</v>
      </c>
      <c r="AM406" s="51" t="str">
        <f t="shared" si="367"/>
        <v>1-0.24718674326791i</v>
      </c>
      <c r="AN406" s="51">
        <f t="shared" si="388"/>
        <v>1.0300977070391895</v>
      </c>
      <c r="AO406" s="51">
        <f t="shared" si="389"/>
        <v>-0.24232914445093306</v>
      </c>
      <c r="AP406" s="60" t="str">
        <f t="shared" si="390"/>
        <v>-0.127798959989319-1.02939985879755i</v>
      </c>
      <c r="AQ406" s="51">
        <f t="shared" si="391"/>
        <v>0.31810916566304293</v>
      </c>
      <c r="AR406" s="63">
        <f t="shared" si="392"/>
        <v>-97.077002588020747</v>
      </c>
      <c r="AS406" s="32" t="str">
        <f t="shared" si="368"/>
        <v>-0.000133283554228113</v>
      </c>
      <c r="AT406" s="32" t="str">
        <f t="shared" si="369"/>
        <v>0.0291219920247915i</v>
      </c>
      <c r="AU406" s="32">
        <f t="shared" si="393"/>
        <v>2.9121992024791502E-2</v>
      </c>
      <c r="AV406" s="32">
        <f t="shared" si="394"/>
        <v>1.5707963267948966</v>
      </c>
      <c r="AW406" s="32" t="str">
        <f t="shared" si="370"/>
        <v>1+5.09176446934118i</v>
      </c>
      <c r="AX406" s="32">
        <f t="shared" si="395"/>
        <v>5.1890331865623356</v>
      </c>
      <c r="AY406" s="32">
        <f t="shared" si="396"/>
        <v>1.3768689523470197</v>
      </c>
      <c r="AZ406" s="32" t="str">
        <f t="shared" si="371"/>
        <v>1+75.8797095309136i</v>
      </c>
      <c r="BA406" s="32">
        <f t="shared" si="397"/>
        <v>75.886298621660416</v>
      </c>
      <c r="BB406" s="32">
        <f t="shared" si="398"/>
        <v>1.5576183360114437</v>
      </c>
      <c r="BC406" s="60" t="str">
        <f t="shared" si="399"/>
        <v>-0.0120321128204952+0.0658414165994174i</v>
      </c>
      <c r="BD406" s="51">
        <f t="shared" si="400"/>
        <v>-23.487351818966861</v>
      </c>
      <c r="BE406" s="63">
        <f t="shared" si="401"/>
        <v>100.3561768335623</v>
      </c>
      <c r="BF406" s="60" t="str">
        <f t="shared" si="402"/>
        <v>0.00278252173284005-0.0171325916958771i</v>
      </c>
      <c r="BG406" s="66">
        <f t="shared" si="403"/>
        <v>-35.210468148591147</v>
      </c>
      <c r="BH406" s="63">
        <f t="shared" si="404"/>
        <v>-80.775080713161543</v>
      </c>
      <c r="BI406" s="60" t="str">
        <f t="shared" si="357"/>
        <v>0.0693148364554044+0.00397139067282492i</v>
      </c>
      <c r="BJ406" s="66">
        <f t="shared" si="405"/>
        <v>-23.169242653303815</v>
      </c>
      <c r="BK406" s="63">
        <f t="shared" si="358"/>
        <v>3.2791742455415545</v>
      </c>
      <c r="BL406" s="51">
        <f t="shared" si="406"/>
        <v>-35.210468148591147</v>
      </c>
      <c r="BM406" s="63">
        <f t="shared" si="407"/>
        <v>-80.775080713161543</v>
      </c>
    </row>
    <row r="407" spans="14:65" x14ac:dyDescent="0.35">
      <c r="N407" s="11">
        <v>89</v>
      </c>
      <c r="O407" s="52">
        <f t="shared" si="359"/>
        <v>77624.711662869129</v>
      </c>
      <c r="P407" s="50" t="str">
        <f t="shared" si="360"/>
        <v>36.531007751938</v>
      </c>
      <c r="Q407" s="18" t="str">
        <f t="shared" si="361"/>
        <v>1+238.193939620419i</v>
      </c>
      <c r="R407" s="18">
        <f t="shared" si="372"/>
        <v>238.19603874098289</v>
      </c>
      <c r="S407" s="18">
        <f t="shared" si="373"/>
        <v>1.5665980918333871</v>
      </c>
      <c r="T407" s="18" t="str">
        <f t="shared" si="362"/>
        <v>1+0.0975460895588382i</v>
      </c>
      <c r="U407" s="18">
        <f t="shared" si="374"/>
        <v>1.0047463558471963</v>
      </c>
      <c r="V407" s="18">
        <f t="shared" si="375"/>
        <v>9.7238452531123773E-2</v>
      </c>
      <c r="W407" s="32" t="str">
        <f t="shared" si="363"/>
        <v>1-1.6161482293772i</v>
      </c>
      <c r="X407" s="18">
        <f t="shared" si="376"/>
        <v>1.9005091684385687</v>
      </c>
      <c r="Y407" s="18">
        <f t="shared" si="377"/>
        <v>-1.016700316945768</v>
      </c>
      <c r="Z407" s="32" t="str">
        <f t="shared" si="364"/>
        <v>0.875504217753232+0.734393259757638i</v>
      </c>
      <c r="AA407" s="18">
        <f t="shared" si="378"/>
        <v>1.1427340439844906</v>
      </c>
      <c r="AB407" s="18">
        <f t="shared" si="379"/>
        <v>0.69796946908642354</v>
      </c>
      <c r="AC407" s="68" t="str">
        <f t="shared" si="380"/>
        <v>-0.256045523575896+0.0108722727753373i</v>
      </c>
      <c r="AD407" s="66">
        <f t="shared" si="381"/>
        <v>-11.825832780679304</v>
      </c>
      <c r="AE407" s="63">
        <f t="shared" si="382"/>
        <v>177.56855208287089</v>
      </c>
      <c r="AF407" s="51" t="str">
        <f t="shared" si="383"/>
        <v>42.1703962805665</v>
      </c>
      <c r="AG407" s="51" t="str">
        <f t="shared" si="365"/>
        <v>1+43.0350395112523i</v>
      </c>
      <c r="AH407" s="51">
        <f t="shared" si="384"/>
        <v>43.046656382755749</v>
      </c>
      <c r="AI407" s="51">
        <f t="shared" si="385"/>
        <v>1.5475636288477719</v>
      </c>
      <c r="AJ407" s="51" t="str">
        <f t="shared" si="366"/>
        <v>1+0.0975460895588382i</v>
      </c>
      <c r="AK407" s="51">
        <f t="shared" si="386"/>
        <v>1.0047463558471963</v>
      </c>
      <c r="AL407" s="51">
        <f t="shared" si="387"/>
        <v>9.7238452531123773E-2</v>
      </c>
      <c r="AM407" s="51" t="str">
        <f t="shared" si="367"/>
        <v>1-0.252944462170753i</v>
      </c>
      <c r="AN407" s="51">
        <f t="shared" si="388"/>
        <v>1.0314944987458012</v>
      </c>
      <c r="AO407" s="51">
        <f t="shared" si="389"/>
        <v>-0.24774799592179006</v>
      </c>
      <c r="AP407" s="60" t="str">
        <f t="shared" si="390"/>
        <v>-0.128874748868248-1.0070810448518i</v>
      </c>
      <c r="AQ407" s="51">
        <f t="shared" si="391"/>
        <v>0.1318322872932195</v>
      </c>
      <c r="AR407" s="63">
        <f t="shared" si="392"/>
        <v>-97.292426073653786</v>
      </c>
      <c r="AS407" s="32" t="str">
        <f t="shared" si="368"/>
        <v>-0.000133283554228113</v>
      </c>
      <c r="AT407" s="32" t="str">
        <f t="shared" si="369"/>
        <v>0.0298003303602251i</v>
      </c>
      <c r="AU407" s="32">
        <f t="shared" si="393"/>
        <v>2.98003303602251E-2</v>
      </c>
      <c r="AV407" s="32">
        <f t="shared" si="394"/>
        <v>1.5707963267948966</v>
      </c>
      <c r="AW407" s="32" t="str">
        <f t="shared" si="370"/>
        <v>1+5.21036689982096i</v>
      </c>
      <c r="AX407" s="32">
        <f t="shared" si="395"/>
        <v>5.3054616416245892</v>
      </c>
      <c r="AY407" s="32">
        <f t="shared" si="396"/>
        <v>1.3811770476803329</v>
      </c>
      <c r="AZ407" s="32" t="str">
        <f t="shared" si="371"/>
        <v>1+77.647175019283i</v>
      </c>
      <c r="BA407" s="32">
        <f t="shared" si="397"/>
        <v>77.653614136594868</v>
      </c>
      <c r="BB407" s="32">
        <f t="shared" si="398"/>
        <v>1.5579182701535206</v>
      </c>
      <c r="BC407" s="60" t="str">
        <f t="shared" si="399"/>
        <v>-0.0115098174094143+0.0644429245615363i</v>
      </c>
      <c r="BD407" s="51">
        <f t="shared" si="400"/>
        <v>-23.680120375413413</v>
      </c>
      <c r="BE407" s="63">
        <f t="shared" si="401"/>
        <v>100.12652611369641</v>
      </c>
      <c r="BF407" s="60" t="str">
        <f t="shared" si="402"/>
        <v>0.00224639617058294-0.01662546023459i</v>
      </c>
      <c r="BG407" s="66">
        <f t="shared" si="403"/>
        <v>-35.505953156092723</v>
      </c>
      <c r="BH407" s="63">
        <f t="shared" si="404"/>
        <v>-82.304921803432677</v>
      </c>
      <c r="BI407" s="60" t="str">
        <f t="shared" si="357"/>
        <v>0.0663825726288954+0.00328625322352295i</v>
      </c>
      <c r="BJ407" s="66">
        <f t="shared" si="405"/>
        <v>-23.548288088120188</v>
      </c>
      <c r="BK407" s="63">
        <f t="shared" si="358"/>
        <v>2.8341000400426291</v>
      </c>
      <c r="BL407" s="51">
        <f t="shared" si="406"/>
        <v>-35.505953156092723</v>
      </c>
      <c r="BM407" s="63">
        <f t="shared" si="407"/>
        <v>-82.304921803432677</v>
      </c>
    </row>
    <row r="408" spans="14:65" x14ac:dyDescent="0.35">
      <c r="N408" s="11">
        <v>90</v>
      </c>
      <c r="O408" s="52">
        <f t="shared" si="359"/>
        <v>79432.823472428237</v>
      </c>
      <c r="P408" s="50" t="str">
        <f t="shared" si="360"/>
        <v>36.531007751938</v>
      </c>
      <c r="Q408" s="18" t="str">
        <f t="shared" si="361"/>
        <v>1+243.74218921732i</v>
      </c>
      <c r="R408" s="18">
        <f t="shared" si="372"/>
        <v>243.7442405564731</v>
      </c>
      <c r="S408" s="18">
        <f t="shared" si="373"/>
        <v>1.5666936542433614</v>
      </c>
      <c r="T408" s="18" t="str">
        <f t="shared" si="362"/>
        <v>1+0.0998182298699502i</v>
      </c>
      <c r="U408" s="18">
        <f t="shared" si="374"/>
        <v>1.004969491583884</v>
      </c>
      <c r="V408" s="18">
        <f t="shared" si="375"/>
        <v>9.9488678828319591E-2</v>
      </c>
      <c r="W408" s="32" t="str">
        <f t="shared" si="363"/>
        <v>1-1.65379315760864i</v>
      </c>
      <c r="X408" s="18">
        <f t="shared" si="376"/>
        <v>1.9326230382961795</v>
      </c>
      <c r="Y408" s="18">
        <f t="shared" si="377"/>
        <v>-1.0269496818602077</v>
      </c>
      <c r="Z408" s="32" t="str">
        <f t="shared" si="364"/>
        <v>0.869636912297481+0.751499476288212i</v>
      </c>
      <c r="AA408" s="18">
        <f t="shared" si="378"/>
        <v>1.1493562642156494</v>
      </c>
      <c r="AB408" s="18">
        <f t="shared" si="379"/>
        <v>0.71265352733132126</v>
      </c>
      <c r="AC408" s="68" t="str">
        <f t="shared" si="380"/>
        <v>-0.252725146277769+0.0165050102160717i</v>
      </c>
      <c r="AD408" s="66">
        <f t="shared" si="381"/>
        <v>-11.928546931736715</v>
      </c>
      <c r="AE408" s="63">
        <f t="shared" si="382"/>
        <v>176.26342531403412</v>
      </c>
      <c r="AF408" s="51" t="str">
        <f t="shared" si="383"/>
        <v>42.1703962805665</v>
      </c>
      <c r="AG408" s="51" t="str">
        <f t="shared" si="365"/>
        <v>1+44.0374543543899i</v>
      </c>
      <c r="AH408" s="51">
        <f t="shared" si="384"/>
        <v>44.048806862558429</v>
      </c>
      <c r="AI408" s="51">
        <f t="shared" si="385"/>
        <v>1.5480922857857098</v>
      </c>
      <c r="AJ408" s="51" t="str">
        <f t="shared" si="366"/>
        <v>1+0.0998182298699502i</v>
      </c>
      <c r="AK408" s="51">
        <f t="shared" si="386"/>
        <v>1.004969491583884</v>
      </c>
      <c r="AL408" s="51">
        <f t="shared" si="387"/>
        <v>9.9488678828319591E-2</v>
      </c>
      <c r="AM408" s="51" t="str">
        <f t="shared" si="367"/>
        <v>1-0.258836295575557i</v>
      </c>
      <c r="AN408" s="51">
        <f t="shared" si="388"/>
        <v>1.0329550948164576</v>
      </c>
      <c r="AO408" s="51">
        <f t="shared" si="389"/>
        <v>-0.25327773084973937</v>
      </c>
      <c r="AP408" s="60" t="str">
        <f t="shared" si="390"/>
        <v>-0.129902170356108-0.985293948981308i</v>
      </c>
      <c r="AQ408" s="51">
        <f t="shared" si="391"/>
        <v>-5.3842945185718437E-2</v>
      </c>
      <c r="AR408" s="63">
        <f t="shared" si="392"/>
        <v>-97.51061788842685</v>
      </c>
      <c r="AS408" s="32" t="str">
        <f t="shared" si="368"/>
        <v>-0.000133283554228113</v>
      </c>
      <c r="AT408" s="32" t="str">
        <f t="shared" si="369"/>
        <v>0.0304944692252698i</v>
      </c>
      <c r="AU408" s="32">
        <f t="shared" si="393"/>
        <v>3.0494469225269799E-2</v>
      </c>
      <c r="AV408" s="32">
        <f t="shared" si="394"/>
        <v>1.5707963267948966</v>
      </c>
      <c r="AW408" s="32" t="str">
        <f t="shared" si="370"/>
        <v>1+5.33173193579839i</v>
      </c>
      <c r="AX408" s="32">
        <f t="shared" si="395"/>
        <v>5.4246995709635799</v>
      </c>
      <c r="AY408" s="32">
        <f t="shared" si="396"/>
        <v>1.3853939739328252</v>
      </c>
      <c r="AZ408" s="32" t="str">
        <f t="shared" si="371"/>
        <v>1+79.4558100676297i</v>
      </c>
      <c r="BA408" s="32">
        <f t="shared" si="397"/>
        <v>79.462102624479073</v>
      </c>
      <c r="BB408" s="32">
        <f t="shared" si="398"/>
        <v>1.5582113792000496</v>
      </c>
      <c r="BC408" s="60" t="str">
        <f t="shared" si="399"/>
        <v>-0.01100939387705+0.0630698821029713i</v>
      </c>
      <c r="BD408" s="51">
        <f t="shared" si="400"/>
        <v>-23.873203036095912</v>
      </c>
      <c r="BE408" s="63">
        <f t="shared" si="401"/>
        <v>99.901707948213897</v>
      </c>
      <c r="BF408" s="60" t="str">
        <f t="shared" si="402"/>
        <v>0.00174138162957106-0.0161210553386085i</v>
      </c>
      <c r="BG408" s="66">
        <f t="shared" si="403"/>
        <v>-35.801749967832642</v>
      </c>
      <c r="BH408" s="63">
        <f t="shared" si="404"/>
        <v>-83.834866737751952</v>
      </c>
      <c r="BI408" s="60" t="str">
        <f t="shared" si="357"/>
        <v>0.0635725173579562+0.0026545745997294i</v>
      </c>
      <c r="BJ408" s="66">
        <f t="shared" si="405"/>
        <v>-23.927045981281623</v>
      </c>
      <c r="BK408" s="63">
        <f t="shared" si="358"/>
        <v>2.391090059787047</v>
      </c>
      <c r="BL408" s="51">
        <f t="shared" si="406"/>
        <v>-35.801749967832642</v>
      </c>
      <c r="BM408" s="63">
        <f t="shared" si="407"/>
        <v>-83.834866737751952</v>
      </c>
    </row>
    <row r="409" spans="14:65" x14ac:dyDescent="0.35">
      <c r="N409" s="11">
        <v>91</v>
      </c>
      <c r="O409" s="52">
        <f t="shared" si="359"/>
        <v>81283.051616410012</v>
      </c>
      <c r="P409" s="50" t="str">
        <f t="shared" si="360"/>
        <v>36.531007751938</v>
      </c>
      <c r="Q409" s="18" t="str">
        <f t="shared" si="361"/>
        <v>1+249.419674149253i</v>
      </c>
      <c r="R409" s="18">
        <f t="shared" si="372"/>
        <v>249.42167879460587</v>
      </c>
      <c r="S409" s="18">
        <f t="shared" si="373"/>
        <v>1.5667870414597194</v>
      </c>
      <c r="T409" s="18" t="str">
        <f t="shared" si="362"/>
        <v>1+0.102143295127789i</v>
      </c>
      <c r="U409" s="18">
        <f t="shared" si="374"/>
        <v>1.0052030902954698</v>
      </c>
      <c r="V409" s="18">
        <f t="shared" si="375"/>
        <v>0.10179027346734411</v>
      </c>
      <c r="W409" s="32" t="str">
        <f t="shared" si="363"/>
        <v>1-1.69231494886278i</v>
      </c>
      <c r="X409" s="18">
        <f t="shared" si="376"/>
        <v>1.9656881456997277</v>
      </c>
      <c r="Y409" s="18">
        <f t="shared" si="377"/>
        <v>-1.0370900131861285</v>
      </c>
      <c r="Z409" s="32" t="str">
        <f t="shared" si="364"/>
        <v>0.863493089254629+0.769004147788384i</v>
      </c>
      <c r="AA409" s="18">
        <f t="shared" si="378"/>
        <v>1.1562818404291582</v>
      </c>
      <c r="AB409" s="18">
        <f t="shared" si="379"/>
        <v>0.72758266743021194</v>
      </c>
      <c r="AC409" s="68" t="str">
        <f t="shared" si="380"/>
        <v>-0.249313316862823+0.0220156763984831i</v>
      </c>
      <c r="AD409" s="66">
        <f t="shared" si="381"/>
        <v>-12.031356329344797</v>
      </c>
      <c r="AE409" s="63">
        <f t="shared" si="382"/>
        <v>174.9535713723769</v>
      </c>
      <c r="AF409" s="51" t="str">
        <f t="shared" si="383"/>
        <v>42.1703962805665</v>
      </c>
      <c r="AG409" s="51" t="str">
        <f t="shared" si="365"/>
        <v>1+45.0632184387308i</v>
      </c>
      <c r="AH409" s="51">
        <f t="shared" si="384"/>
        <v>45.074312596608365</v>
      </c>
      <c r="AI409" s="51">
        <f t="shared" si="385"/>
        <v>1.5486089212876883</v>
      </c>
      <c r="AJ409" s="51" t="str">
        <f t="shared" si="366"/>
        <v>1+0.102143295127789i</v>
      </c>
      <c r="AK409" s="51">
        <f t="shared" si="386"/>
        <v>1.0052030902954698</v>
      </c>
      <c r="AL409" s="51">
        <f t="shared" si="387"/>
        <v>0.10179027346734411</v>
      </c>
      <c r="AM409" s="51" t="str">
        <f t="shared" si="367"/>
        <v>1-0.264865367410377i</v>
      </c>
      <c r="AN409" s="51">
        <f t="shared" si="388"/>
        <v>1.0344823163560768</v>
      </c>
      <c r="AO409" s="51">
        <f t="shared" si="389"/>
        <v>-0.25891992789879492</v>
      </c>
      <c r="AP409" s="60" t="str">
        <f t="shared" si="390"/>
        <v>-0.130883396852617-0.964027169379155i</v>
      </c>
      <c r="AQ409" s="51">
        <f t="shared" si="391"/>
        <v>-0.23889087763625083</v>
      </c>
      <c r="AR409" s="63">
        <f t="shared" si="392"/>
        <v>-97.731621341362882</v>
      </c>
      <c r="AS409" s="32" t="str">
        <f t="shared" si="368"/>
        <v>-0.000133283554228113</v>
      </c>
      <c r="AT409" s="32" t="str">
        <f t="shared" si="369"/>
        <v>0.0312047766615397i</v>
      </c>
      <c r="AU409" s="32">
        <f t="shared" si="393"/>
        <v>3.1204776661539702E-2</v>
      </c>
      <c r="AV409" s="32">
        <f t="shared" si="394"/>
        <v>1.5707963267948966</v>
      </c>
      <c r="AW409" s="32" t="str">
        <f t="shared" si="370"/>
        <v>1+5.45592392662199i</v>
      </c>
      <c r="AX409" s="32">
        <f t="shared" si="395"/>
        <v>5.5468104251980987</v>
      </c>
      <c r="AY409" s="32">
        <f t="shared" si="396"/>
        <v>1.3895213667845361</v>
      </c>
      <c r="AZ409" s="32" t="str">
        <f t="shared" si="371"/>
        <v>1+81.3065736381959i</v>
      </c>
      <c r="BA409" s="32">
        <f t="shared" si="397"/>
        <v>81.312722969922561</v>
      </c>
      <c r="BB409" s="32">
        <f t="shared" si="398"/>
        <v>1.5584978183597564</v>
      </c>
      <c r="BC409" s="60" t="str">
        <f t="shared" si="399"/>
        <v>-0.0105299945326655+0.0617221039862138i</v>
      </c>
      <c r="BD409" s="51">
        <f t="shared" si="400"/>
        <v>-24.066586630687002</v>
      </c>
      <c r="BE409" s="63">
        <f t="shared" si="401"/>
        <v>99.681637512356872</v>
      </c>
      <c r="BF409" s="60" t="str">
        <f t="shared" si="402"/>
        <v>0.00126641399549222-0.015619967420664i</v>
      </c>
      <c r="BG409" s="66">
        <f t="shared" si="403"/>
        <v>-36.097942960031794</v>
      </c>
      <c r="BH409" s="63">
        <f t="shared" si="404"/>
        <v>-85.364791115266243</v>
      </c>
      <c r="BI409" s="60" t="str">
        <f t="shared" si="357"/>
        <v>0.0608799866472303+0.00207280219229739i</v>
      </c>
      <c r="BJ409" s="66">
        <f t="shared" si="405"/>
        <v>-24.305477508323253</v>
      </c>
      <c r="BK409" s="63">
        <f t="shared" si="358"/>
        <v>1.9500161709939878</v>
      </c>
      <c r="BL409" s="51">
        <f t="shared" si="406"/>
        <v>-36.097942960031794</v>
      </c>
      <c r="BM409" s="63">
        <f t="shared" si="407"/>
        <v>-85.364791115266243</v>
      </c>
    </row>
    <row r="410" spans="14:65" x14ac:dyDescent="0.35">
      <c r="N410" s="11">
        <v>92</v>
      </c>
      <c r="O410" s="52">
        <f t="shared" si="359"/>
        <v>83176.377110267174</v>
      </c>
      <c r="P410" s="50" t="str">
        <f t="shared" si="360"/>
        <v>36.531007751938</v>
      </c>
      <c r="Q410" s="18" t="str">
        <f t="shared" si="361"/>
        <v>1+255.22940469388i</v>
      </c>
      <c r="R410" s="18">
        <f t="shared" si="372"/>
        <v>255.23136370828794</v>
      </c>
      <c r="S410" s="18">
        <f t="shared" si="373"/>
        <v>1.56687830299108</v>
      </c>
      <c r="T410" s="18" t="str">
        <f t="shared" si="362"/>
        <v>1+0.104522518112732i</v>
      </c>
      <c r="U410" s="18">
        <f t="shared" si="374"/>
        <v>1.0054476400054984</v>
      </c>
      <c r="V410" s="18">
        <f t="shared" si="375"/>
        <v>0.10414435919209586</v>
      </c>
      <c r="W410" s="32" t="str">
        <f t="shared" si="363"/>
        <v>1-1.73173402790325i</v>
      </c>
      <c r="X410" s="18">
        <f t="shared" si="376"/>
        <v>1.9997256670348598</v>
      </c>
      <c r="Y410" s="18">
        <f t="shared" si="377"/>
        <v>-1.0471183454157298</v>
      </c>
      <c r="Z410" s="32" t="str">
        <f t="shared" si="364"/>
        <v>0.857059716752286+0.786916555466686i</v>
      </c>
      <c r="AA410" s="18">
        <f t="shared" si="378"/>
        <v>1.163524397400872</v>
      </c>
      <c r="AB410" s="18">
        <f t="shared" si="379"/>
        <v>0.74275725380450563</v>
      </c>
      <c r="AC410" s="68" t="str">
        <f t="shared" si="380"/>
        <v>-0.245810367892044+0.0274017683498781i</v>
      </c>
      <c r="AD410" s="66">
        <f t="shared" si="381"/>
        <v>-12.134360044965382</v>
      </c>
      <c r="AE410" s="63">
        <f t="shared" si="382"/>
        <v>173.63920078102328</v>
      </c>
      <c r="AF410" s="51" t="str">
        <f t="shared" si="383"/>
        <v>42.1703962805665</v>
      </c>
      <c r="AG410" s="51" t="str">
        <f t="shared" si="365"/>
        <v>1+46.11287563797i</v>
      </c>
      <c r="AH410" s="51">
        <f t="shared" si="384"/>
        <v>46.123717322033862</v>
      </c>
      <c r="AI410" s="51">
        <f t="shared" si="385"/>
        <v>1.5491138081768865</v>
      </c>
      <c r="AJ410" s="51" t="str">
        <f t="shared" si="366"/>
        <v>1+0.104522518112732i</v>
      </c>
      <c r="AK410" s="51">
        <f t="shared" si="386"/>
        <v>1.0054476400054984</v>
      </c>
      <c r="AL410" s="51">
        <f t="shared" si="387"/>
        <v>0.10414435919209586</v>
      </c>
      <c r="AM410" s="51" t="str">
        <f t="shared" si="367"/>
        <v>1-0.271034874368906i</v>
      </c>
      <c r="AN410" s="51">
        <f t="shared" si="388"/>
        <v>1.0360791008046484</v>
      </c>
      <c r="AO410" s="51">
        <f t="shared" si="389"/>
        <v>-0.2646761411127927</v>
      </c>
      <c r="AP410" s="60" t="str">
        <f t="shared" si="390"/>
        <v>-0.131820503378165-0.943269570121802i</v>
      </c>
      <c r="AQ410" s="51">
        <f t="shared" si="391"/>
        <v>-0.42328494283024287</v>
      </c>
      <c r="AR410" s="63">
        <f t="shared" si="392"/>
        <v>-97.955476775744671</v>
      </c>
      <c r="AS410" s="32" t="str">
        <f t="shared" si="368"/>
        <v>-0.000133283554228113</v>
      </c>
      <c r="AT410" s="32" t="str">
        <f t="shared" si="369"/>
        <v>0.0319316292834396i</v>
      </c>
      <c r="AU410" s="32">
        <f t="shared" si="393"/>
        <v>3.1931629283439601E-2</v>
      </c>
      <c r="AV410" s="32">
        <f t="shared" si="394"/>
        <v>1.5707963267948966</v>
      </c>
      <c r="AW410" s="32" t="str">
        <f t="shared" si="370"/>
        <v>1+5.58300872052918i</v>
      </c>
      <c r="AX410" s="32">
        <f t="shared" si="395"/>
        <v>5.6718591637579356</v>
      </c>
      <c r="AY410" s="32">
        <f t="shared" si="396"/>
        <v>1.3935608518652145</v>
      </c>
      <c r="AZ410" s="32" t="str">
        <f t="shared" si="371"/>
        <v>1+83.200447030325i</v>
      </c>
      <c r="BA410" s="32">
        <f t="shared" si="397"/>
        <v>83.206456396399403</v>
      </c>
      <c r="BB410" s="32">
        <f t="shared" si="398"/>
        <v>1.5587777393183546</v>
      </c>
      <c r="BC410" s="60" t="str">
        <f t="shared" si="399"/>
        <v>-0.0100707986966065+0.0603993861832858i</v>
      </c>
      <c r="BD410" s="51">
        <f t="shared" si="400"/>
        <v>-24.260258500716855</v>
      </c>
      <c r="BE410" s="63">
        <f t="shared" si="401"/>
        <v>99.46623035535292</v>
      </c>
      <c r="BF410" s="60" t="str">
        <f t="shared" si="402"/>
        <v>0.000820456743910335-0.0151227530311498i</v>
      </c>
      <c r="BG410" s="66">
        <f t="shared" si="403"/>
        <v>-36.394618545682235</v>
      </c>
      <c r="BH410" s="63">
        <f t="shared" si="404"/>
        <v>-86.894568863623803</v>
      </c>
      <c r="BI410" s="60" t="str">
        <f t="shared" si="357"/>
        <v>0.0583004407943356+0.0015376004669183i</v>
      </c>
      <c r="BJ410" s="66">
        <f t="shared" si="405"/>
        <v>-24.683543443547087</v>
      </c>
      <c r="BK410" s="63">
        <f t="shared" si="358"/>
        <v>1.5107535796082481</v>
      </c>
      <c r="BL410" s="51">
        <f t="shared" si="406"/>
        <v>-36.394618545682235</v>
      </c>
      <c r="BM410" s="63">
        <f t="shared" si="407"/>
        <v>-86.894568863623803</v>
      </c>
    </row>
    <row r="411" spans="14:65" x14ac:dyDescent="0.35">
      <c r="N411" s="11">
        <v>93</v>
      </c>
      <c r="O411" s="52">
        <f t="shared" si="359"/>
        <v>85113.803820237721</v>
      </c>
      <c r="P411" s="50" t="str">
        <f t="shared" si="360"/>
        <v>36.531007751938</v>
      </c>
      <c r="Q411" s="18" t="str">
        <f t="shared" si="361"/>
        <v>1+261.174461247236i</v>
      </c>
      <c r="R411" s="18">
        <f t="shared" si="372"/>
        <v>261.17637566936253</v>
      </c>
      <c r="S411" s="18">
        <f t="shared" si="373"/>
        <v>1.5669674872194308</v>
      </c>
      <c r="T411" s="18" t="str">
        <f t="shared" si="362"/>
        <v>1+0.106957160320297i</v>
      </c>
      <c r="U411" s="18">
        <f t="shared" si="374"/>
        <v>1.0057036512530826</v>
      </c>
      <c r="V411" s="18">
        <f t="shared" si="375"/>
        <v>0.10655207974745674</v>
      </c>
      <c r="W411" s="32" t="str">
        <f t="shared" si="363"/>
        <v>1-1.77207129524752i</v>
      </c>
      <c r="X411" s="18">
        <f t="shared" si="376"/>
        <v>2.0347571539228517</v>
      </c>
      <c r="Y411" s="18">
        <f t="shared" si="377"/>
        <v>-1.0570319269365518</v>
      </c>
      <c r="Z411" s="32" t="str">
        <f t="shared" si="364"/>
        <v>0.850323148744837+0.805246196718769i</v>
      </c>
      <c r="AA411" s="18">
        <f t="shared" si="378"/>
        <v>1.1710981575518666</v>
      </c>
      <c r="AB411" s="18">
        <f t="shared" si="379"/>
        <v>0.75817742627444351</v>
      </c>
      <c r="AC411" s="68" t="str">
        <f t="shared" si="380"/>
        <v>-0.242216862622516+0.0326606496698092i</v>
      </c>
      <c r="AD411" s="66">
        <f t="shared" si="381"/>
        <v>-12.237658495431017</v>
      </c>
      <c r="AE411" s="63">
        <f t="shared" si="382"/>
        <v>172.32052594431559</v>
      </c>
      <c r="AF411" s="51" t="str">
        <f t="shared" si="383"/>
        <v>42.1703962805665</v>
      </c>
      <c r="AG411" s="51" t="str">
        <f t="shared" si="365"/>
        <v>1+47.1869824942486i</v>
      </c>
      <c r="AH411" s="51">
        <f t="shared" si="384"/>
        <v>47.197577447497494</v>
      </c>
      <c r="AI411" s="51">
        <f t="shared" si="385"/>
        <v>1.5496072131208167</v>
      </c>
      <c r="AJ411" s="51" t="str">
        <f t="shared" si="366"/>
        <v>1+0.106957160320297i</v>
      </c>
      <c r="AK411" s="51">
        <f t="shared" si="386"/>
        <v>1.0057036512530826</v>
      </c>
      <c r="AL411" s="51">
        <f t="shared" si="387"/>
        <v>0.10655207974745674</v>
      </c>
      <c r="AM411" s="51" t="str">
        <f t="shared" si="367"/>
        <v>1-0.277348087605396i</v>
      </c>
      <c r="AN411" s="51">
        <f t="shared" si="388"/>
        <v>1.037748505996694</v>
      </c>
      <c r="AO411" s="51">
        <f t="shared" si="389"/>
        <v>-0.27054789607804614</v>
      </c>
      <c r="AP411" s="60" t="str">
        <f t="shared" si="390"/>
        <v>-0.132715471921925-0.923010275929988i</v>
      </c>
      <c r="AQ411" s="51">
        <f t="shared" si="391"/>
        <v>-0.6069976391163292</v>
      </c>
      <c r="AR411" s="63">
        <f t="shared" si="392"/>
        <v>-98.182221348397675</v>
      </c>
      <c r="AS411" s="32" t="str">
        <f t="shared" si="368"/>
        <v>-0.000133283554228113</v>
      </c>
      <c r="AT411" s="32" t="str">
        <f t="shared" si="369"/>
        <v>0.0326754124778506i</v>
      </c>
      <c r="AU411" s="32">
        <f t="shared" si="393"/>
        <v>3.26754124778506E-2</v>
      </c>
      <c r="AV411" s="32">
        <f t="shared" si="394"/>
        <v>1.5707963267948966</v>
      </c>
      <c r="AW411" s="32" t="str">
        <f t="shared" si="370"/>
        <v>1+5.71305369955985i</v>
      </c>
      <c r="AX411" s="32">
        <f t="shared" si="395"/>
        <v>5.7999122902035767</v>
      </c>
      <c r="AY411" s="32">
        <f t="shared" si="396"/>
        <v>1.3975140433910005</v>
      </c>
      <c r="AZ411" s="32" t="str">
        <f t="shared" si="371"/>
        <v>1+85.1384344007576i</v>
      </c>
      <c r="BA411" s="32">
        <f t="shared" si="397"/>
        <v>85.144306986504418</v>
      </c>
      <c r="BB411" s="32">
        <f t="shared" si="398"/>
        <v>1.5590512903180735</v>
      </c>
      <c r="BC411" s="60" t="str">
        <f t="shared" si="399"/>
        <v>-0.00963101235677749+0.0591015075075765i</v>
      </c>
      <c r="BD411" s="51">
        <f t="shared" si="400"/>
        <v>-24.454206483140936</v>
      </c>
      <c r="BE411" s="63">
        <f t="shared" si="401"/>
        <v>99.255402483083927</v>
      </c>
      <c r="BF411" s="60" t="str">
        <f t="shared" si="402"/>
        <v>0.000402499965274773-0.0146299368452966i</v>
      </c>
      <c r="BG411" s="66">
        <f t="shared" si="403"/>
        <v>-36.691864978571928</v>
      </c>
      <c r="BH411" s="63">
        <f t="shared" si="404"/>
        <v>-88.424071572600482</v>
      </c>
      <c r="BI411" s="60" t="str">
        <f t="shared" si="357"/>
        <v>0.0558294831024621+0.00104583891274911i</v>
      </c>
      <c r="BJ411" s="66">
        <f t="shared" si="405"/>
        <v>-25.061204122257251</v>
      </c>
      <c r="BK411" s="63">
        <f t="shared" si="358"/>
        <v>1.0731811346862672</v>
      </c>
      <c r="BL411" s="51">
        <f t="shared" si="406"/>
        <v>-36.691864978571928</v>
      </c>
      <c r="BM411" s="63">
        <f t="shared" si="407"/>
        <v>-88.424071572600482</v>
      </c>
    </row>
    <row r="412" spans="14:65" x14ac:dyDescent="0.35">
      <c r="N412" s="11">
        <v>94</v>
      </c>
      <c r="O412" s="52">
        <f t="shared" si="359"/>
        <v>87096.358995608127</v>
      </c>
      <c r="P412" s="50" t="str">
        <f t="shared" si="360"/>
        <v>36.531007751938</v>
      </c>
      <c r="Q412" s="18" t="str">
        <f t="shared" si="361"/>
        <v>1+267.257995956998i</v>
      </c>
      <c r="R412" s="18">
        <f t="shared" si="372"/>
        <v>267.25986680186526</v>
      </c>
      <c r="S412" s="18">
        <f t="shared" si="373"/>
        <v>1.5670546414257522</v>
      </c>
      <c r="T412" s="18" t="str">
        <f t="shared" si="362"/>
        <v>1+0.109448512630009i</v>
      </c>
      <c r="U412" s="18">
        <f t="shared" si="374"/>
        <v>1.0059716581081801</v>
      </c>
      <c r="V412" s="18">
        <f t="shared" si="375"/>
        <v>0.1090146000150978</v>
      </c>
      <c r="W412" s="32" t="str">
        <f t="shared" si="363"/>
        <v>1-1.81334813824867i</v>
      </c>
      <c r="X412" s="18">
        <f t="shared" si="376"/>
        <v>2.0708045466653577</v>
      </c>
      <c r="Y412" s="18">
        <f t="shared" si="377"/>
        <v>-1.0668282190315479</v>
      </c>
      <c r="Z412" s="32" t="str">
        <f t="shared" si="364"/>
        <v>0.84326909606835+0.824002790163047i</v>
      </c>
      <c r="AA412" s="18">
        <f t="shared" si="378"/>
        <v>1.1790179670303667</v>
      </c>
      <c r="AB412" s="18">
        <f t="shared" si="379"/>
        <v>0.77384309035893784</v>
      </c>
      <c r="AC412" s="68" t="str">
        <f t="shared" si="380"/>
        <v>-0.238533607678535+0.0377895639665982i</v>
      </c>
      <c r="AD412" s="66">
        <f t="shared" si="381"/>
        <v>-12.34135325960828</v>
      </c>
      <c r="AE412" s="63">
        <f t="shared" si="382"/>
        <v>170.9977617671959</v>
      </c>
      <c r="AF412" s="51" t="str">
        <f t="shared" si="383"/>
        <v>42.1703962805665</v>
      </c>
      <c r="AG412" s="51" t="str">
        <f t="shared" si="365"/>
        <v>1+48.2861085132393i</v>
      </c>
      <c r="AH412" s="51">
        <f t="shared" si="384"/>
        <v>48.296462348212636</v>
      </c>
      <c r="AI412" s="51">
        <f t="shared" si="385"/>
        <v>1.5500893967678111</v>
      </c>
      <c r="AJ412" s="51" t="str">
        <f t="shared" si="366"/>
        <v>1+0.109448512630009i</v>
      </c>
      <c r="AK412" s="51">
        <f t="shared" si="386"/>
        <v>1.0059716581081801</v>
      </c>
      <c r="AL412" s="51">
        <f t="shared" si="387"/>
        <v>0.1090146000150978</v>
      </c>
      <c r="AM412" s="51" t="str">
        <f t="shared" si="367"/>
        <v>1-0.283808354469071i</v>
      </c>
      <c r="AN412" s="51">
        <f t="shared" si="388"/>
        <v>1.0394937142986684</v>
      </c>
      <c r="AO412" s="51">
        <f t="shared" si="389"/>
        <v>-0.27653668587797092</v>
      </c>
      <c r="AP412" s="60" t="str">
        <f t="shared" si="390"/>
        <v>-0.133570195597314-0.903238667023649i</v>
      </c>
      <c r="AQ412" s="51">
        <f t="shared" si="391"/>
        <v>-0.79000050979351188</v>
      </c>
      <c r="AR412" s="63">
        <f t="shared" si="392"/>
        <v>-98.411888797946105</v>
      </c>
      <c r="AS412" s="32" t="str">
        <f t="shared" si="368"/>
        <v>-0.000133283554228113</v>
      </c>
      <c r="AT412" s="32" t="str">
        <f t="shared" si="369"/>
        <v>0.0334365206084677i</v>
      </c>
      <c r="AU412" s="32">
        <f t="shared" si="393"/>
        <v>3.3436520608467697E-2</v>
      </c>
      <c r="AV412" s="32">
        <f t="shared" si="394"/>
        <v>1.5707963267948966</v>
      </c>
      <c r="AW412" s="32" t="str">
        <f t="shared" si="370"/>
        <v>1+5.84612781528323i</v>
      </c>
      <c r="AX412" s="32">
        <f t="shared" si="395"/>
        <v>5.9310378883150197</v>
      </c>
      <c r="AY412" s="32">
        <f t="shared" si="396"/>
        <v>1.4013825429160158</v>
      </c>
      <c r="AZ412" s="32" t="str">
        <f t="shared" si="371"/>
        <v>1+87.1215632960501i</v>
      </c>
      <c r="BA412" s="32">
        <f t="shared" si="397"/>
        <v>87.127302214332701</v>
      </c>
      <c r="BB412" s="32">
        <f t="shared" si="398"/>
        <v>1.5593186162354209</v>
      </c>
      <c r="BC412" s="60" t="str">
        <f t="shared" si="399"/>
        <v>-0.00920986777677054+0.0578282311604491i</v>
      </c>
      <c r="BD412" s="51">
        <f t="shared" si="400"/>
        <v>-24.648418894128611</v>
      </c>
      <c r="BE412" s="63">
        <f t="shared" si="401"/>
        <v>99.049070434070643</v>
      </c>
      <c r="BF412" s="60" t="str">
        <f t="shared" si="402"/>
        <v>0.0000115593465223468-0.0141420134918444i</v>
      </c>
      <c r="BG412" s="66">
        <f t="shared" si="403"/>
        <v>-36.989772153736872</v>
      </c>
      <c r="BH412" s="63">
        <f t="shared" si="404"/>
        <v>-89.95316779873346</v>
      </c>
      <c r="BI412" s="60" t="str">
        <f t="shared" si="357"/>
        <v>0.0534628582700681+0.000594580547006405i</v>
      </c>
      <c r="BJ412" s="66">
        <f t="shared" si="405"/>
        <v>-25.438419403922122</v>
      </c>
      <c r="BK412" s="63">
        <f t="shared" si="358"/>
        <v>0.63718163612453427</v>
      </c>
      <c r="BL412" s="51">
        <f t="shared" si="406"/>
        <v>-36.989772153736872</v>
      </c>
      <c r="BM412" s="63">
        <f t="shared" si="407"/>
        <v>-89.95316779873346</v>
      </c>
    </row>
    <row r="413" spans="14:65" x14ac:dyDescent="0.35">
      <c r="N413" s="11">
        <v>95</v>
      </c>
      <c r="O413" s="52">
        <f t="shared" si="359"/>
        <v>89125.093813374609</v>
      </c>
      <c r="P413" s="50" t="str">
        <f t="shared" si="360"/>
        <v>36.531007751938</v>
      </c>
      <c r="Q413" s="18" t="str">
        <f t="shared" si="361"/>
        <v>1+273.483234393794i</v>
      </c>
      <c r="R413" s="18">
        <f t="shared" si="372"/>
        <v>273.48506265332094</v>
      </c>
      <c r="S413" s="18">
        <f t="shared" si="373"/>
        <v>1.5671398118150588</v>
      </c>
      <c r="T413" s="18" t="str">
        <f t="shared" si="362"/>
        <v>1+0.11199789598984i</v>
      </c>
      <c r="U413" s="18">
        <f t="shared" si="374"/>
        <v>1.0062522192304229</v>
      </c>
      <c r="V413" s="18">
        <f t="shared" si="375"/>
        <v>0.11153310612895212</v>
      </c>
      <c r="W413" s="32" t="str">
        <f t="shared" si="363"/>
        <v>1-1.85558644243521i</v>
      </c>
      <c r="X413" s="18">
        <f t="shared" si="376"/>
        <v>2.1078901881619356</v>
      </c>
      <c r="Y413" s="18">
        <f t="shared" si="377"/>
        <v>-1.0765048941211979</v>
      </c>
      <c r="Z413" s="32" t="str">
        <f t="shared" si="364"/>
        <v>0.835882596131346+0.843196280793635i</v>
      </c>
      <c r="AA413" s="18">
        <f t="shared" si="378"/>
        <v>1.1872993230266315</v>
      </c>
      <c r="AB413" s="18">
        <f t="shared" si="379"/>
        <v>0.78975390779382904</v>
      </c>
      <c r="AC413" s="68" t="str">
        <f t="shared" si="380"/>
        <v>-0.234761665166192+0.0427856496659287i</v>
      </c>
      <c r="AD413" s="66">
        <f t="shared" si="381"/>
        <v>-12.445546891661149</v>
      </c>
      <c r="AE413" s="63">
        <f t="shared" si="382"/>
        <v>169.67112630437217</v>
      </c>
      <c r="AF413" s="51" t="str">
        <f t="shared" si="383"/>
        <v>42.1703962805665</v>
      </c>
      <c r="AG413" s="51" t="str">
        <f t="shared" si="365"/>
        <v>1+49.4108364661058i</v>
      </c>
      <c r="AH413" s="51">
        <f t="shared" si="384"/>
        <v>49.420954667835488</v>
      </c>
      <c r="AI413" s="51">
        <f t="shared" si="385"/>
        <v>1.5505606138806418</v>
      </c>
      <c r="AJ413" s="51" t="str">
        <f t="shared" si="366"/>
        <v>1+0.11199789598984i</v>
      </c>
      <c r="AK413" s="51">
        <f t="shared" si="386"/>
        <v>1.0062522192304229</v>
      </c>
      <c r="AL413" s="51">
        <f t="shared" si="387"/>
        <v>0.11153310612895212</v>
      </c>
      <c r="AM413" s="51" t="str">
        <f t="shared" si="367"/>
        <v>1-0.290419100278932i</v>
      </c>
      <c r="AN413" s="51">
        <f t="shared" si="388"/>
        <v>1.0413180368200794</v>
      </c>
      <c r="AO413" s="51">
        <f t="shared" si="389"/>
        <v>-0.28264396683690296</v>
      </c>
      <c r="AP413" s="60" t="str">
        <f t="shared" si="390"/>
        <v>-0.134386482613199-0.883944374070997i</v>
      </c>
      <c r="AQ413" s="51">
        <f t="shared" si="391"/>
        <v>-0.97226412332128054</v>
      </c>
      <c r="AR413" s="63">
        <f t="shared" si="392"/>
        <v>-98.64450920199134</v>
      </c>
      <c r="AS413" s="32" t="str">
        <f t="shared" si="368"/>
        <v>-0.000133283554228113</v>
      </c>
      <c r="AT413" s="32" t="str">
        <f t="shared" si="369"/>
        <v>0.034215357224896i</v>
      </c>
      <c r="AU413" s="32">
        <f t="shared" si="393"/>
        <v>3.4215357224895999E-2</v>
      </c>
      <c r="AV413" s="32">
        <f t="shared" si="394"/>
        <v>1.5707963267948966</v>
      </c>
      <c r="AW413" s="32" t="str">
        <f t="shared" si="370"/>
        <v>1+5.98230162535693i</v>
      </c>
      <c r="AX413" s="32">
        <f t="shared" si="395"/>
        <v>6.0653056589712095</v>
      </c>
      <c r="AY413" s="32">
        <f t="shared" si="396"/>
        <v>1.4051679381928275</v>
      </c>
      <c r="AZ413" s="32" t="str">
        <f t="shared" si="371"/>
        <v>1+89.1508851973922i</v>
      </c>
      <c r="BA413" s="32">
        <f t="shared" si="397"/>
        <v>89.156493490259038</v>
      </c>
      <c r="BB413" s="32">
        <f t="shared" si="398"/>
        <v>1.5595798586572176</v>
      </c>
      <c r="BC413" s="60" t="str">
        <f t="shared" si="399"/>
        <v>-0.00880662306192904+0.0565793061947754i</v>
      </c>
      <c r="BD413" s="51">
        <f t="shared" si="400"/>
        <v>-24.842884513101037</v>
      </c>
      <c r="BE413" s="63">
        <f t="shared" si="401"/>
        <v>98.847151349119301</v>
      </c>
      <c r="BF413" s="60" t="str">
        <f t="shared" si="402"/>
        <v>-0.00035332487868152-0.0136594492253009i</v>
      </c>
      <c r="BG413" s="66">
        <f t="shared" si="403"/>
        <v>-37.288431404762186</v>
      </c>
      <c r="BH413" s="63">
        <f t="shared" si="404"/>
        <v>-91.481722346508505</v>
      </c>
      <c r="BI413" s="60" t="str">
        <f t="shared" si="357"/>
        <v>0.0511964504967049+0.000181070961945026i</v>
      </c>
      <c r="BJ413" s="66">
        <f t="shared" si="405"/>
        <v>-25.815148636422329</v>
      </c>
      <c r="BK413" s="63">
        <f t="shared" si="358"/>
        <v>0.20264214712796511</v>
      </c>
      <c r="BL413" s="51">
        <f t="shared" si="406"/>
        <v>-37.288431404762186</v>
      </c>
      <c r="BM413" s="63">
        <f t="shared" si="407"/>
        <v>-91.481722346508505</v>
      </c>
    </row>
    <row r="414" spans="14:65" x14ac:dyDescent="0.35">
      <c r="N414" s="11">
        <v>96</v>
      </c>
      <c r="O414" s="52">
        <f t="shared" si="359"/>
        <v>91201.083935591028</v>
      </c>
      <c r="P414" s="50" t="str">
        <f t="shared" si="360"/>
        <v>36.531007751938</v>
      </c>
      <c r="Q414" s="18" t="str">
        <f t="shared" si="361"/>
        <v>1+279.853477261444i</v>
      </c>
      <c r="R414" s="18">
        <f t="shared" si="372"/>
        <v>279.85526390497211</v>
      </c>
      <c r="S414" s="18">
        <f t="shared" si="373"/>
        <v>1.5672230435408729</v>
      </c>
      <c r="T414" s="18" t="str">
        <f t="shared" si="362"/>
        <v>1+0.114606662116592i</v>
      </c>
      <c r="U414" s="18">
        <f t="shared" si="374"/>
        <v>1.0065459189731518</v>
      </c>
      <c r="V414" s="18">
        <f t="shared" si="375"/>
        <v>0.11410880556841804</v>
      </c>
      <c r="W414" s="32" t="str">
        <f t="shared" si="363"/>
        <v>1-1.89880860311513i</v>
      </c>
      <c r="X414" s="18">
        <f t="shared" si="376"/>
        <v>2.146036838282146</v>
      </c>
      <c r="Y414" s="18">
        <f t="shared" si="377"/>
        <v>-1.0860598332982609</v>
      </c>
      <c r="Z414" s="32" t="str">
        <f t="shared" si="364"/>
        <v>0.828147981177134+0.862836845253321i</v>
      </c>
      <c r="AA414" s="18">
        <f t="shared" si="378"/>
        <v>1.1959584023930205</v>
      </c>
      <c r="AB414" s="18">
        <f t="shared" si="379"/>
        <v>0.80590928732407452</v>
      </c>
      <c r="AC414" s="68" t="str">
        <f t="shared" si="380"/>
        <v>-0.230902364085238+0.0476459561946209i</v>
      </c>
      <c r="AD414" s="66">
        <f t="shared" si="381"/>
        <v>-12.550342731290504</v>
      </c>
      <c r="AE414" s="63">
        <f t="shared" si="382"/>
        <v>168.340841433072</v>
      </c>
      <c r="AF414" s="51" t="str">
        <f t="shared" si="383"/>
        <v>42.1703962805665</v>
      </c>
      <c r="AG414" s="51" t="str">
        <f t="shared" si="365"/>
        <v>1+50.5617626984965i</v>
      </c>
      <c r="AH414" s="51">
        <f t="shared" si="384"/>
        <v>50.571650627392728</v>
      </c>
      <c r="AI414" s="51">
        <f t="shared" si="385"/>
        <v>1.551021113467326</v>
      </c>
      <c r="AJ414" s="51" t="str">
        <f t="shared" si="366"/>
        <v>1+0.114606662116592i</v>
      </c>
      <c r="AK414" s="51">
        <f t="shared" si="386"/>
        <v>1.0065459189731518</v>
      </c>
      <c r="AL414" s="51">
        <f t="shared" si="387"/>
        <v>0.11410880556841804</v>
      </c>
      <c r="AM414" s="51" t="str">
        <f t="shared" si="367"/>
        <v>1-0.297183830139913i</v>
      </c>
      <c r="AN414" s="51">
        <f t="shared" si="388"/>
        <v>1.0432249176935091</v>
      </c>
      <c r="AO414" s="51">
        <f t="shared" si="389"/>
        <v>-0.28887115405125513</v>
      </c>
      <c r="AP414" s="60" t="str">
        <f t="shared" si="390"/>
        <v>-0.135166060068914-0.865117273231855i</v>
      </c>
      <c r="AQ414" s="51">
        <f t="shared" si="391"/>
        <v>-1.1537580545043777</v>
      </c>
      <c r="AR414" s="63">
        <f t="shared" si="392"/>
        <v>-98.880108723220417</v>
      </c>
      <c r="AS414" s="32" t="str">
        <f t="shared" si="368"/>
        <v>-0.000133283554228113</v>
      </c>
      <c r="AT414" s="32" t="str">
        <f t="shared" si="369"/>
        <v>0.0350123352766187i</v>
      </c>
      <c r="AU414" s="32">
        <f t="shared" si="393"/>
        <v>3.5012335276618699E-2</v>
      </c>
      <c r="AV414" s="32">
        <f t="shared" si="394"/>
        <v>1.5707963267948966</v>
      </c>
      <c r="AW414" s="32" t="str">
        <f t="shared" si="370"/>
        <v>1+6.12164733093751i</v>
      </c>
      <c r="AX414" s="32">
        <f t="shared" si="395"/>
        <v>6.2027869578419619</v>
      </c>
      <c r="AY414" s="32">
        <f t="shared" si="396"/>
        <v>1.4088718021359219</v>
      </c>
      <c r="AZ414" s="32" t="str">
        <f t="shared" si="371"/>
        <v>1+91.2274760781174i</v>
      </c>
      <c r="BA414" s="32">
        <f t="shared" si="397"/>
        <v>91.232956718411145</v>
      </c>
      <c r="BB414" s="32">
        <f t="shared" si="398"/>
        <v>1.5598351559549379</v>
      </c>
      <c r="BC414" s="60" t="str">
        <f t="shared" si="399"/>
        <v>-0.00842056168915546+0.0553544688977452i</v>
      </c>
      <c r="BD414" s="51">
        <f t="shared" si="400"/>
        <v>-25.037592567043106</v>
      </c>
      <c r="BE414" s="63">
        <f t="shared" si="401"/>
        <v>98.649563034969788</v>
      </c>
      <c r="BF414" s="60" t="str">
        <f t="shared" si="402"/>
        <v>-0.000693088999326892-0.0131826834445477i</v>
      </c>
      <c r="BG414" s="66">
        <f t="shared" si="403"/>
        <v>-37.587935298333647</v>
      </c>
      <c r="BH414" s="63">
        <f t="shared" si="404"/>
        <v>-93.009595531958198</v>
      </c>
      <c r="BI414" s="60" t="str">
        <f t="shared" si="357"/>
        <v>0.0490262813411052-0.000197272100512664i</v>
      </c>
      <c r="BJ414" s="66">
        <f t="shared" si="405"/>
        <v>-26.1913506215475</v>
      </c>
      <c r="BK414" s="63">
        <f t="shared" si="358"/>
        <v>-0.23054568825062532</v>
      </c>
      <c r="BL414" s="51">
        <f t="shared" si="406"/>
        <v>-37.587935298333647</v>
      </c>
      <c r="BM414" s="63">
        <f t="shared" si="407"/>
        <v>-93.009595531958198</v>
      </c>
    </row>
    <row r="415" spans="14:65" x14ac:dyDescent="0.35">
      <c r="N415" s="11">
        <v>97</v>
      </c>
      <c r="O415" s="52">
        <f t="shared" si="359"/>
        <v>93325.430079699145</v>
      </c>
      <c r="P415" s="50" t="str">
        <f t="shared" si="360"/>
        <v>36.531007751938</v>
      </c>
      <c r="Q415" s="18" t="str">
        <f t="shared" si="361"/>
        <v>1+286.372102147037i</v>
      </c>
      <c r="R415" s="18">
        <f t="shared" si="372"/>
        <v>286.37384812184405</v>
      </c>
      <c r="S415" s="18">
        <f t="shared" si="373"/>
        <v>1.5673043807291418</v>
      </c>
      <c r="T415" s="18" t="str">
        <f t="shared" si="362"/>
        <v>1+0.117276194212596i</v>
      </c>
      <c r="U415" s="18">
        <f t="shared" si="374"/>
        <v>1.0068533685343612</v>
      </c>
      <c r="V415" s="18">
        <f t="shared" si="375"/>
        <v>0.11674292722722361</v>
      </c>
      <c r="W415" s="32" t="str">
        <f t="shared" si="363"/>
        <v>1-1.94303753725012i</v>
      </c>
      <c r="X415" s="18">
        <f t="shared" si="376"/>
        <v>2.1852676886740929</v>
      </c>
      <c r="Y415" s="18">
        <f t="shared" si="377"/>
        <v>-1.0954911232079001</v>
      </c>
      <c r="Z415" s="32" t="str">
        <f t="shared" si="364"/>
        <v>0.820048845050396+0.882934897229358i</v>
      </c>
      <c r="AA415" s="18">
        <f t="shared" si="378"/>
        <v>1.2050120916463474</v>
      </c>
      <c r="AB415" s="18">
        <f t="shared" si="379"/>
        <v>0.82230837582698368</v>
      </c>
      <c r="AC415" s="68" t="str">
        <f t="shared" si="380"/>
        <v>-0.226957310885613+0.0523674615275665i</v>
      </c>
      <c r="AD415" s="66">
        <f t="shared" si="381"/>
        <v>-12.655844711317512</v>
      </c>
      <c r="AE415" s="63">
        <f t="shared" si="382"/>
        <v>167.00713354297545</v>
      </c>
      <c r="AF415" s="51" t="str">
        <f t="shared" si="383"/>
        <v>42.1703962805665</v>
      </c>
      <c r="AG415" s="51" t="str">
        <f t="shared" si="365"/>
        <v>1+51.7394974467339i</v>
      </c>
      <c r="AH415" s="51">
        <f t="shared" si="384"/>
        <v>51.749160341406352</v>
      </c>
      <c r="AI415" s="51">
        <f t="shared" si="385"/>
        <v>1.551471138909164</v>
      </c>
      <c r="AJ415" s="51" t="str">
        <f t="shared" si="366"/>
        <v>1+0.117276194212596i</v>
      </c>
      <c r="AK415" s="51">
        <f t="shared" si="386"/>
        <v>1.0068533685343612</v>
      </c>
      <c r="AL415" s="51">
        <f t="shared" si="387"/>
        <v>0.11674292722722361</v>
      </c>
      <c r="AM415" s="51" t="str">
        <f t="shared" si="367"/>
        <v>1-0.304106130801327i</v>
      </c>
      <c r="AN415" s="51">
        <f t="shared" si="388"/>
        <v>1.045217938418086</v>
      </c>
      <c r="AO415" s="51">
        <f t="shared" si="389"/>
        <v>-0.2952196167071281</v>
      </c>
      <c r="AP415" s="60" t="str">
        <f t="shared" si="390"/>
        <v>-0.135910577580777-0.846747481295165i</v>
      </c>
      <c r="AQ415" s="51">
        <f t="shared" si="391"/>
        <v>-1.3344508667992907</v>
      </c>
      <c r="AR415" s="63">
        <f t="shared" si="392"/>
        <v>-99.118709344515651</v>
      </c>
      <c r="AS415" s="32" t="str">
        <f t="shared" si="368"/>
        <v>-0.000133283554228113</v>
      </c>
      <c r="AT415" s="32" t="str">
        <f t="shared" si="369"/>
        <v>0.0358278773319482i</v>
      </c>
      <c r="AU415" s="32">
        <f t="shared" si="393"/>
        <v>3.5827877331948199E-2</v>
      </c>
      <c r="AV415" s="32">
        <f t="shared" si="394"/>
        <v>1.5707963267948966</v>
      </c>
      <c r="AW415" s="32" t="str">
        <f t="shared" si="370"/>
        <v>1+6.26423881496254i</v>
      </c>
      <c r="AX415" s="32">
        <f t="shared" si="395"/>
        <v>6.3435548339147569</v>
      </c>
      <c r="AY415" s="32">
        <f t="shared" si="396"/>
        <v>1.4124956918824996</v>
      </c>
      <c r="AZ415" s="32" t="str">
        <f t="shared" si="371"/>
        <v>1+93.3524369741977i</v>
      </c>
      <c r="BA415" s="32">
        <f t="shared" si="397"/>
        <v>93.357792867127884</v>
      </c>
      <c r="BB415" s="32">
        <f t="shared" si="398"/>
        <v>1.5600846433573969</v>
      </c>
      <c r="BC415" s="60" t="str">
        <f t="shared" si="399"/>
        <v>-0.00805099200581757+0.0541534440954599i</v>
      </c>
      <c r="BD415" s="51">
        <f t="shared" si="400"/>
        <v>-25.232532715109475</v>
      </c>
      <c r="BE415" s="63">
        <f t="shared" si="401"/>
        <v>98.456224022272735</v>
      </c>
      <c r="BF415" s="60" t="str">
        <f t="shared" si="402"/>
        <v>-0.0010086469046523-0.0127121300612234i</v>
      </c>
      <c r="BG415" s="66">
        <f t="shared" si="403"/>
        <v>-37.888377426426956</v>
      </c>
      <c r="BH415" s="63">
        <f t="shared" si="404"/>
        <v>-94.536642434751826</v>
      </c>
      <c r="BI415" s="60" t="str">
        <f t="shared" si="357"/>
        <v>0.0469485073648981-0.000542868662148736i</v>
      </c>
      <c r="BJ415" s="66">
        <f t="shared" si="405"/>
        <v>-26.566983581908762</v>
      </c>
      <c r="BK415" s="63">
        <f t="shared" si="358"/>
        <v>-0.66248532224291512</v>
      </c>
      <c r="BL415" s="51">
        <f t="shared" si="406"/>
        <v>-37.888377426426956</v>
      </c>
      <c r="BM415" s="63">
        <f t="shared" si="407"/>
        <v>-94.536642434751826</v>
      </c>
    </row>
    <row r="416" spans="14:65" x14ac:dyDescent="0.35">
      <c r="N416" s="11">
        <v>98</v>
      </c>
      <c r="O416" s="52">
        <f t="shared" si="359"/>
        <v>95499.258602143804</v>
      </c>
      <c r="P416" s="50" t="str">
        <f t="shared" si="360"/>
        <v>36.531007751938</v>
      </c>
      <c r="Q416" s="18" t="str">
        <f t="shared" si="361"/>
        <v>1+293.042565311772i</v>
      </c>
      <c r="R416" s="18">
        <f t="shared" si="372"/>
        <v>293.04427154357438</v>
      </c>
      <c r="S416" s="18">
        <f t="shared" si="373"/>
        <v>1.5673838665016124</v>
      </c>
      <c r="T416" s="18" t="str">
        <f t="shared" si="362"/>
        <v>1+0.120007907699107i</v>
      </c>
      <c r="U416" s="18">
        <f t="shared" si="374"/>
        <v>1.0071752071562907</v>
      </c>
      <c r="V416" s="18">
        <f t="shared" si="375"/>
        <v>0.11943672145574931</v>
      </c>
      <c r="W416" s="32" t="str">
        <f t="shared" si="363"/>
        <v>1-1.9882966956065i</v>
      </c>
      <c r="X416" s="18">
        <f t="shared" si="376"/>
        <v>2.2256063779922375</v>
      </c>
      <c r="Y416" s="18">
        <f t="shared" si="377"/>
        <v>-1.1047970523275534</v>
      </c>
      <c r="Z416" s="32" t="str">
        <f t="shared" si="364"/>
        <v>0.811568008397539+0.903501092974931i</v>
      </c>
      <c r="AA416" s="18">
        <f t="shared" si="378"/>
        <v>1.214478018434769</v>
      </c>
      <c r="AB416" s="18">
        <f t="shared" si="379"/>
        <v>0.83895004982482069</v>
      </c>
      <c r="AC416" s="68" t="str">
        <f t="shared" si="380"/>
        <v>-0.222928399011328+0.0569470910694379i</v>
      </c>
      <c r="AD416" s="66">
        <f t="shared" si="381"/>
        <v>-12.762157162963202</v>
      </c>
      <c r="AE416" s="63">
        <f t="shared" si="382"/>
        <v>165.67023423673999</v>
      </c>
      <c r="AF416" s="51" t="str">
        <f t="shared" si="383"/>
        <v>42.1703962805665</v>
      </c>
      <c r="AG416" s="51" t="str">
        <f t="shared" si="365"/>
        <v>1+52.9446651613708i</v>
      </c>
      <c r="AH416" s="51">
        <f t="shared" si="384"/>
        <v>52.954108141386641</v>
      </c>
      <c r="AI416" s="51">
        <f t="shared" si="385"/>
        <v>1.5519109280860603</v>
      </c>
      <c r="AJ416" s="51" t="str">
        <f t="shared" si="366"/>
        <v>1+0.120007907699107i</v>
      </c>
      <c r="AK416" s="51">
        <f t="shared" si="386"/>
        <v>1.0071752071562907</v>
      </c>
      <c r="AL416" s="51">
        <f t="shared" si="387"/>
        <v>0.11943672145574931</v>
      </c>
      <c r="AM416" s="51" t="str">
        <f t="shared" si="367"/>
        <v>1-0.311189672558613i</v>
      </c>
      <c r="AN416" s="51">
        <f t="shared" si="388"/>
        <v>1.0473008222603173</v>
      </c>
      <c r="AO416" s="51">
        <f t="shared" si="389"/>
        <v>-0.30169067318467158</v>
      </c>
      <c r="AP416" s="60" t="str">
        <f t="shared" si="390"/>
        <v>-0.13662161074749-0.828825350910472i</v>
      </c>
      <c r="AQ416" s="51">
        <f t="shared" si="391"/>
        <v>-1.5143100958980154</v>
      </c>
      <c r="AR416" s="63">
        <f t="shared" si="392"/>
        <v>-99.360328593210156</v>
      </c>
      <c r="AS416" s="32" t="str">
        <f t="shared" si="368"/>
        <v>-0.000133283554228113</v>
      </c>
      <c r="AT416" s="32" t="str">
        <f t="shared" si="369"/>
        <v>0.0366624158020771i</v>
      </c>
      <c r="AU416" s="32">
        <f t="shared" si="393"/>
        <v>3.6662415802077103E-2</v>
      </c>
      <c r="AV416" s="32">
        <f t="shared" si="394"/>
        <v>1.5707963267948966</v>
      </c>
      <c r="AW416" s="32" t="str">
        <f t="shared" si="370"/>
        <v>1+6.41015168132427i</v>
      </c>
      <c r="AX416" s="32">
        <f t="shared" si="395"/>
        <v>6.4876840688788446</v>
      </c>
      <c r="AY416" s="32">
        <f t="shared" si="396"/>
        <v>1.4160411479450781</v>
      </c>
      <c r="AZ416" s="32" t="str">
        <f t="shared" si="371"/>
        <v>1+95.5268945680274i</v>
      </c>
      <c r="BA416" s="32">
        <f t="shared" si="397"/>
        <v>95.532128552707462</v>
      </c>
      <c r="BB416" s="32">
        <f t="shared" si="398"/>
        <v>1.5603284530218136</v>
      </c>
      <c r="BC416" s="60" t="str">
        <f t="shared" si="399"/>
        <v>-0.00769724670267226+0.0529759463819232i</v>
      </c>
      <c r="BD416" s="51">
        <f t="shared" si="400"/>
        <v>-25.427695033543433</v>
      </c>
      <c r="BE416" s="63">
        <f t="shared" si="401"/>
        <v>98.267053618213438</v>
      </c>
      <c r="BF416" s="60" t="str">
        <f t="shared" si="402"/>
        <v>-0.00130089115887909-0.0122481787219931i</v>
      </c>
      <c r="BG416" s="66">
        <f t="shared" si="403"/>
        <v>-38.189852196506635</v>
      </c>
      <c r="BH416" s="63">
        <f t="shared" si="404"/>
        <v>-96.062712145046561</v>
      </c>
      <c r="BI416" s="60" t="str">
        <f t="shared" si="357"/>
        <v>0.0449594175926517-0.000857985926184202i</v>
      </c>
      <c r="BJ416" s="66">
        <f t="shared" si="405"/>
        <v>-26.942005129441458</v>
      </c>
      <c r="BK416" s="63">
        <f t="shared" si="358"/>
        <v>-1.0932749749967121</v>
      </c>
      <c r="BL416" s="51">
        <f t="shared" si="406"/>
        <v>-38.189852196506635</v>
      </c>
      <c r="BM416" s="63">
        <f t="shared" si="407"/>
        <v>-96.062712145046561</v>
      </c>
    </row>
    <row r="417" spans="14:65" x14ac:dyDescent="0.35">
      <c r="N417" s="11">
        <v>99</v>
      </c>
      <c r="O417" s="52">
        <f t="shared" si="359"/>
        <v>97723.722095581266</v>
      </c>
      <c r="P417" s="50" t="str">
        <f t="shared" si="360"/>
        <v>36.531007751938</v>
      </c>
      <c r="Q417" s="18" t="str">
        <f t="shared" si="361"/>
        <v>1+299.868403523511i</v>
      </c>
      <c r="R417" s="18">
        <f t="shared" si="372"/>
        <v>299.87007091695432</v>
      </c>
      <c r="S417" s="18">
        <f t="shared" si="373"/>
        <v>1.5674615429986731</v>
      </c>
      <c r="T417" s="18" t="str">
        <f t="shared" si="362"/>
        <v>1+0.122803250966771i</v>
      </c>
      <c r="U417" s="18">
        <f t="shared" si="374"/>
        <v>1.0075121033754422</v>
      </c>
      <c r="V417" s="18">
        <f t="shared" si="375"/>
        <v>0.12219146007445465</v>
      </c>
      <c r="W417" s="32" t="str">
        <f t="shared" si="363"/>
        <v>1-2.03461007518911i</v>
      </c>
      <c r="X417" s="18">
        <f t="shared" si="376"/>
        <v>2.2670770075277629</v>
      </c>
      <c r="Y417" s="18">
        <f t="shared" si="377"/>
        <v>-1.1139761067016889</v>
      </c>
      <c r="Z417" s="32" t="str">
        <f t="shared" si="364"/>
        <v>0.802687482226975+0.924546336959247i</v>
      </c>
      <c r="AA417" s="18">
        <f t="shared" si="378"/>
        <v>1.2243745845568021</v>
      </c>
      <c r="AB417" s="18">
        <f t="shared" si="379"/>
        <v>0.8558329074458616</v>
      </c>
      <c r="AC417" s="68" t="str">
        <f t="shared" si="380"/>
        <v>-0.218817817271126+0.0613817378250005i</v>
      </c>
      <c r="AD417" s="66">
        <f t="shared" si="381"/>
        <v>-12.869384619175223</v>
      </c>
      <c r="AE417" s="63">
        <f t="shared" si="382"/>
        <v>164.33038103443968</v>
      </c>
      <c r="AF417" s="51" t="str">
        <f t="shared" si="383"/>
        <v>42.1703962805665</v>
      </c>
      <c r="AG417" s="51" t="str">
        <f t="shared" si="365"/>
        <v>1+54.1779048382817i</v>
      </c>
      <c r="AH417" s="51">
        <f t="shared" si="384"/>
        <v>54.187132906861827</v>
      </c>
      <c r="AI417" s="51">
        <f t="shared" si="385"/>
        <v>1.5523407134991745</v>
      </c>
      <c r="AJ417" s="51" t="str">
        <f t="shared" si="366"/>
        <v>1+0.122803250966771i</v>
      </c>
      <c r="AK417" s="51">
        <f t="shared" si="386"/>
        <v>1.0075121033754422</v>
      </c>
      <c r="AL417" s="51">
        <f t="shared" si="387"/>
        <v>0.12219146007445465</v>
      </c>
      <c r="AM417" s="51" t="str">
        <f t="shared" si="367"/>
        <v>1-0.318438211199371i</v>
      </c>
      <c r="AN417" s="51">
        <f t="shared" si="388"/>
        <v>1.0494774387054995</v>
      </c>
      <c r="AO417" s="51">
        <f t="shared" si="389"/>
        <v>-0.30828558595072159</v>
      </c>
      <c r="AP417" s="60" t="str">
        <f t="shared" si="390"/>
        <v>-0.13730066446151-0.811341465913098i</v>
      </c>
      <c r="AQ417" s="51">
        <f t="shared" si="391"/>
        <v>-1.6933022347526616</v>
      </c>
      <c r="AR417" s="63">
        <f t="shared" si="392"/>
        <v>-99.604979254715985</v>
      </c>
      <c r="AS417" s="32" t="str">
        <f t="shared" si="368"/>
        <v>-0.000133283554228113</v>
      </c>
      <c r="AT417" s="32" t="str">
        <f t="shared" si="369"/>
        <v>0.0375163931703487i</v>
      </c>
      <c r="AU417" s="32">
        <f t="shared" si="393"/>
        <v>3.7516393170348702E-2</v>
      </c>
      <c r="AV417" s="32">
        <f t="shared" si="394"/>
        <v>1.5707963267948966</v>
      </c>
      <c r="AW417" s="32" t="str">
        <f t="shared" si="370"/>
        <v>1+6.55946329495581i</v>
      </c>
      <c r="AX417" s="32">
        <f t="shared" si="395"/>
        <v>6.6352512173897775</v>
      </c>
      <c r="AY417" s="32">
        <f t="shared" si="396"/>
        <v>1.4195096934505884</v>
      </c>
      <c r="AZ417" s="32" t="str">
        <f t="shared" si="371"/>
        <v>1+97.7520017858048i</v>
      </c>
      <c r="BA417" s="32">
        <f t="shared" si="397"/>
        <v>97.757116636754304</v>
      </c>
      <c r="BB417" s="32">
        <f t="shared" si="398"/>
        <v>1.5605667141032897</v>
      </c>
      <c r="BC417" s="60" t="str">
        <f t="shared" si="399"/>
        <v>-0.00735868226531686+0.0518216812751407i</v>
      </c>
      <c r="BD417" s="51">
        <f t="shared" si="400"/>
        <v>-25.623070000922773</v>
      </c>
      <c r="BE417" s="63">
        <f t="shared" si="401"/>
        <v>98.081971954089468</v>
      </c>
      <c r="BF417" s="60" t="str">
        <f t="shared" si="402"/>
        <v>-0.00157069406239304-0.0117911958894934i</v>
      </c>
      <c r="BG417" s="66">
        <f t="shared" si="403"/>
        <v>-38.492454620098023</v>
      </c>
      <c r="BH417" s="63">
        <f t="shared" si="404"/>
        <v>-97.587647011470835</v>
      </c>
      <c r="BI417" s="60" t="str">
        <f t="shared" si="357"/>
        <v>0.0430554308164431-0.00114474721625851i</v>
      </c>
      <c r="BJ417" s="66">
        <f t="shared" si="405"/>
        <v>-27.316372235675441</v>
      </c>
      <c r="BK417" s="63">
        <f t="shared" si="358"/>
        <v>-1.5230073006265175</v>
      </c>
      <c r="BL417" s="51">
        <f t="shared" si="406"/>
        <v>-38.492454620098023</v>
      </c>
      <c r="BM417" s="63">
        <f t="shared" si="407"/>
        <v>-97.587647011470835</v>
      </c>
    </row>
    <row r="418" spans="14:65" x14ac:dyDescent="0.35">
      <c r="N418" s="11">
        <v>100</v>
      </c>
      <c r="O418" s="52">
        <f t="shared" si="359"/>
        <v>100000</v>
      </c>
      <c r="P418" s="50" t="str">
        <f t="shared" si="360"/>
        <v>36.531007751938</v>
      </c>
      <c r="Q418" s="18" t="str">
        <f t="shared" si="361"/>
        <v>1+306.853235932026i</v>
      </c>
      <c r="R418" s="18">
        <f t="shared" si="372"/>
        <v>306.85486537116469</v>
      </c>
      <c r="S418" s="18">
        <f t="shared" si="373"/>
        <v>1.5675374514016795</v>
      </c>
      <c r="T418" s="18" t="str">
        <f t="shared" si="362"/>
        <v>1+0.125663706143592i</v>
      </c>
      <c r="U418" s="18">
        <f t="shared" si="374"/>
        <v>1.0078647563248468</v>
      </c>
      <c r="V418" s="18">
        <f t="shared" si="375"/>
        <v>0.12500843635595246</v>
      </c>
      <c r="W418" s="32" t="str">
        <f t="shared" si="363"/>
        <v>1-2.08200223196484i</v>
      </c>
      <c r="X418" s="18">
        <f t="shared" si="376"/>
        <v>2.3097041572258936</v>
      </c>
      <c r="Y418" s="18">
        <f t="shared" si="377"/>
        <v>-1.1230269651869034</v>
      </c>
      <c r="Z418" s="32" t="str">
        <f t="shared" si="364"/>
        <v>0.793388429752066+0.946081787649238i</v>
      </c>
      <c r="AA418" s="18">
        <f t="shared" si="378"/>
        <v>1.2347210006256584</v>
      </c>
      <c r="AB418" s="18">
        <f t="shared" si="379"/>
        <v>0.87295526089316966</v>
      </c>
      <c r="AC418" s="68" t="str">
        <f t="shared" si="380"/>
        <v>-0.214628056874286+0.0656682837930438i</v>
      </c>
      <c r="AD418" s="66">
        <f t="shared" si="381"/>
        <v>-12.977631616346672</v>
      </c>
      <c r="AE418" s="63">
        <f t="shared" si="382"/>
        <v>162.98781807520109</v>
      </c>
      <c r="AF418" s="51" t="str">
        <f t="shared" si="383"/>
        <v>42.1703962805665</v>
      </c>
      <c r="AG418" s="51" t="str">
        <f t="shared" si="365"/>
        <v>1+55.4398703574671i</v>
      </c>
      <c r="AH418" s="51">
        <f t="shared" si="384"/>
        <v>55.448888404121853</v>
      </c>
      <c r="AI418" s="51">
        <f t="shared" si="385"/>
        <v>1.5527607223909528</v>
      </c>
      <c r="AJ418" s="51" t="str">
        <f t="shared" si="366"/>
        <v>1+0.125663706143592i</v>
      </c>
      <c r="AK418" s="51">
        <f t="shared" si="386"/>
        <v>1.0078647563248468</v>
      </c>
      <c r="AL418" s="51">
        <f t="shared" si="387"/>
        <v>0.12500843635595246</v>
      </c>
      <c r="AM418" s="51" t="str">
        <f t="shared" si="367"/>
        <v>1-0.325855589994735i</v>
      </c>
      <c r="AN418" s="51">
        <f t="shared" si="388"/>
        <v>1.0517518079522454</v>
      </c>
      <c r="AO418" s="51">
        <f t="shared" si="389"/>
        <v>-0.31500555624268906</v>
      </c>
      <c r="AP418" s="60" t="str">
        <f t="shared" si="390"/>
        <v>-0.137949176073121-0.794286636742602i</v>
      </c>
      <c r="AQ418" s="51">
        <f t="shared" si="391"/>
        <v>-1.8713927202124756</v>
      </c>
      <c r="AR418" s="63">
        <f t="shared" si="392"/>
        <v>-99.852669075837582</v>
      </c>
      <c r="AS418" s="32" t="str">
        <f t="shared" si="368"/>
        <v>-0.000133283554228113</v>
      </c>
      <c r="AT418" s="32" t="str">
        <f t="shared" si="369"/>
        <v>0.0383902622268673i</v>
      </c>
      <c r="AU418" s="32">
        <f t="shared" si="393"/>
        <v>3.8390262226867297E-2</v>
      </c>
      <c r="AV418" s="32">
        <f t="shared" si="394"/>
        <v>1.5707963267948966</v>
      </c>
      <c r="AW418" s="32" t="str">
        <f t="shared" si="370"/>
        <v>1+6.7122528228511i</v>
      </c>
      <c r="AX418" s="32">
        <f t="shared" si="395"/>
        <v>6.7863346482377764</v>
      </c>
      <c r="AY418" s="32">
        <f t="shared" si="396"/>
        <v>1.4229028334608411</v>
      </c>
      <c r="AZ418" s="32" t="str">
        <f t="shared" si="371"/>
        <v>1+100.02893840883i</v>
      </c>
      <c r="BA418" s="32">
        <f t="shared" si="397"/>
        <v>100.03393683744287</v>
      </c>
      <c r="BB418" s="32">
        <f t="shared" si="398"/>
        <v>1.5607995528227374</v>
      </c>
      <c r="BC418" s="60" t="str">
        <f t="shared" si="399"/>
        <v>-0.00703467840828574+0.0506903463030901i</v>
      </c>
      <c r="BD418" s="51">
        <f t="shared" si="400"/>
        <v>-25.818648483745214</v>
      </c>
      <c r="BE418" s="63">
        <f t="shared" si="401"/>
        <v>97.90090002813659</v>
      </c>
      <c r="BF418" s="60" t="str">
        <f t="shared" si="402"/>
        <v>-0.00181890868909313-0.011341525787425i</v>
      </c>
      <c r="BG418" s="66">
        <f t="shared" si="403"/>
        <v>-38.79628010009187</v>
      </c>
      <c r="BH418" s="63">
        <f t="shared" si="404"/>
        <v>-99.111281896662319</v>
      </c>
      <c r="BI418" s="60" t="str">
        <f t="shared" si="357"/>
        <v>0.0412330927707616-0.00140514045388937i</v>
      </c>
      <c r="BJ418" s="66">
        <f t="shared" si="405"/>
        <v>-27.690041203957691</v>
      </c>
      <c r="BK418" s="63">
        <f t="shared" si="358"/>
        <v>-1.9517690477009937</v>
      </c>
      <c r="BL418" s="51">
        <f t="shared" si="406"/>
        <v>-38.79628010009187</v>
      </c>
      <c r="BM418" s="63">
        <f t="shared" si="407"/>
        <v>-99.111281896662319</v>
      </c>
    </row>
    <row r="419" spans="14:65" x14ac:dyDescent="0.35">
      <c r="N419" s="11">
        <v>1</v>
      </c>
      <c r="O419" s="52">
        <f>10^(5+(N419/100))</f>
        <v>102329.29922807543</v>
      </c>
      <c r="P419" s="50" t="str">
        <f t="shared" si="360"/>
        <v>36.531007751938</v>
      </c>
      <c r="Q419" s="18" t="str">
        <f t="shared" si="361"/>
        <v>1+314.000765987915i</v>
      </c>
      <c r="R419" s="18">
        <f t="shared" si="372"/>
        <v>314.00235833668091</v>
      </c>
      <c r="S419" s="18">
        <f t="shared" si="373"/>
        <v>1.5676116319547706</v>
      </c>
      <c r="T419" s="18" t="str">
        <f t="shared" si="362"/>
        <v>1+0.128590789880765i</v>
      </c>
      <c r="U419" s="18">
        <f t="shared" si="374"/>
        <v>1.0082338970904317</v>
      </c>
      <c r="V419" s="18">
        <f t="shared" si="375"/>
        <v>0.12788896497305269</v>
      </c>
      <c r="W419" s="32" t="str">
        <f t="shared" si="363"/>
        <v>1-2.13049829388251i</v>
      </c>
      <c r="X419" s="18">
        <f t="shared" si="376"/>
        <v>2.353512902075594</v>
      </c>
      <c r="Y419" s="18">
        <f t="shared" si="377"/>
        <v>-1.1319484942624862</v>
      </c>
      <c r="Z419" s="32" t="str">
        <f t="shared" si="364"/>
        <v>0.783651126435764+0.968118863425913i</v>
      </c>
      <c r="AA419" s="18">
        <f t="shared" si="378"/>
        <v>1.2455373224777824</v>
      </c>
      <c r="AB419" s="18">
        <f t="shared" si="379"/>
        <v>0.89031512948005487</v>
      </c>
      <c r="AC419" s="68" t="str">
        <f t="shared" si="380"/>
        <v>-0.210361916970985+0.0698036224992093i</v>
      </c>
      <c r="AD419" s="66">
        <f t="shared" si="381"/>
        <v>-13.087002494772131</v>
      </c>
      <c r="AE419" s="63">
        <f t="shared" si="382"/>
        <v>161.64279680934911</v>
      </c>
      <c r="AF419" s="51" t="str">
        <f t="shared" si="383"/>
        <v>42.1703962805665</v>
      </c>
      <c r="AG419" s="51" t="str">
        <f t="shared" si="365"/>
        <v>1+56.7312308297496i</v>
      </c>
      <c r="AH419" s="51">
        <f t="shared" si="384"/>
        <v>56.740043632855368</v>
      </c>
      <c r="AI419" s="51">
        <f t="shared" si="385"/>
        <v>1.5531711768625878</v>
      </c>
      <c r="AJ419" s="51" t="str">
        <f t="shared" si="366"/>
        <v>1+0.128590789880765i</v>
      </c>
      <c r="AK419" s="51">
        <f t="shared" si="386"/>
        <v>1.0082338970904317</v>
      </c>
      <c r="AL419" s="51">
        <f t="shared" si="387"/>
        <v>0.12788896497305269</v>
      </c>
      <c r="AM419" s="51" t="str">
        <f t="shared" si="367"/>
        <v>1-0.333445741737122i</v>
      </c>
      <c r="AN419" s="51">
        <f t="shared" si="388"/>
        <v>1.0541281054419427</v>
      </c>
      <c r="AO419" s="51">
        <f t="shared" si="389"/>
        <v>-0.32185171854819661</v>
      </c>
      <c r="AP419" s="60" t="str">
        <f t="shared" si="390"/>
        <v>-0.138568518413716-0.777651895954032i</v>
      </c>
      <c r="AQ419" s="51">
        <f t="shared" si="391"/>
        <v>-2.0485459214524013</v>
      </c>
      <c r="AR419" s="63">
        <f t="shared" si="392"/>
        <v>-100.10340045818522</v>
      </c>
      <c r="AS419" s="32" t="str">
        <f t="shared" si="368"/>
        <v>-0.000133283554228113</v>
      </c>
      <c r="AT419" s="32" t="str">
        <f t="shared" si="369"/>
        <v>0.0392844863085738i</v>
      </c>
      <c r="AU419" s="32">
        <f t="shared" si="393"/>
        <v>3.9284486308573799E-2</v>
      </c>
      <c r="AV419" s="32">
        <f t="shared" si="394"/>
        <v>1.5707963267948966</v>
      </c>
      <c r="AW419" s="32" t="str">
        <f t="shared" si="370"/>
        <v>1+6.86860127604024i</v>
      </c>
      <c r="AX419" s="32">
        <f t="shared" si="395"/>
        <v>6.9410145864435124</v>
      </c>
      <c r="AY419" s="32">
        <f t="shared" si="396"/>
        <v>1.4262220543694382</v>
      </c>
      <c r="AZ419" s="32" t="str">
        <f t="shared" si="371"/>
        <v>1+102.358911699039i</v>
      </c>
      <c r="BA419" s="32">
        <f t="shared" si="397"/>
        <v>102.36379635501831</v>
      </c>
      <c r="BB419" s="32">
        <f t="shared" si="398"/>
        <v>1.5610270925332845</v>
      </c>
      <c r="BC419" s="60" t="str">
        <f t="shared" si="399"/>
        <v>-0.00672463749554548+0.0495816320223626i</v>
      </c>
      <c r="BD419" s="51">
        <f t="shared" si="400"/>
        <v>-26.014421722363124</v>
      </c>
      <c r="BE419" s="63">
        <f t="shared" si="401"/>
        <v>97.723759743888408</v>
      </c>
      <c r="BF419" s="60" t="str">
        <f t="shared" si="402"/>
        <v>-0.0020463698900858-0.0108994912159573i</v>
      </c>
      <c r="BG419" s="66">
        <f t="shared" si="403"/>
        <v>-39.101424217135225</v>
      </c>
      <c r="BH419" s="63">
        <f t="shared" si="404"/>
        <v>-100.63344344676247</v>
      </c>
      <c r="BI419" s="60" t="str">
        <f t="shared" si="357"/>
        <v>0.0394890732013125-0.00164102619185833i</v>
      </c>
      <c r="BJ419" s="66">
        <f t="shared" si="405"/>
        <v>-28.062967643815519</v>
      </c>
      <c r="BK419" s="63">
        <f t="shared" si="358"/>
        <v>-2.379640714296813</v>
      </c>
      <c r="BL419" s="51">
        <f t="shared" si="406"/>
        <v>-39.101424217135225</v>
      </c>
      <c r="BM419" s="63">
        <f t="shared" si="407"/>
        <v>-100.63344344676247</v>
      </c>
    </row>
    <row r="420" spans="14:65" x14ac:dyDescent="0.35">
      <c r="N420" s="11">
        <v>2</v>
      </c>
      <c r="O420" s="52">
        <f t="shared" ref="O420:O483" si="408">10^(5+(N420/100))</f>
        <v>104712.85480508996</v>
      </c>
      <c r="P420" s="50" t="str">
        <f t="shared" si="360"/>
        <v>36.531007751938</v>
      </c>
      <c r="Q420" s="18" t="str">
        <f t="shared" si="361"/>
        <v>1+321.314783406223i</v>
      </c>
      <c r="R420" s="18">
        <f t="shared" si="372"/>
        <v>321.3163395088834</v>
      </c>
      <c r="S420" s="18">
        <f t="shared" si="373"/>
        <v>1.5676841239861901</v>
      </c>
      <c r="T420" s="18" t="str">
        <f t="shared" si="362"/>
        <v>1+0.131586054156834i</v>
      </c>
      <c r="U420" s="18">
        <f t="shared" si="374"/>
        <v>1.008620290123377</v>
      </c>
      <c r="V420" s="18">
        <f t="shared" si="375"/>
        <v>0.13083438191002375</v>
      </c>
      <c r="W420" s="32" t="str">
        <f t="shared" si="363"/>
        <v>1-2.18012397419607i</v>
      </c>
      <c r="X420" s="18">
        <f t="shared" si="376"/>
        <v>2.3985288288583204</v>
      </c>
      <c r="Y420" s="18">
        <f t="shared" si="377"/>
        <v>-1.1407397424607628</v>
      </c>
      <c r="Z420" s="32" t="str">
        <f t="shared" si="364"/>
        <v>0.773454918152234+0.990669248638546i</v>
      </c>
      <c r="AA420" s="18">
        <f t="shared" si="378"/>
        <v>1.2568444894305502</v>
      </c>
      <c r="AB420" s="18">
        <f t="shared" si="379"/>
        <v>0.90791023329027909</v>
      </c>
      <c r="AC420" s="68" t="str">
        <f t="shared" si="380"/>
        <v>-0.206022508540076+0.0737846825626184i</v>
      </c>
      <c r="AD420" s="66">
        <f t="shared" si="381"/>
        <v>-13.197601198191066</v>
      </c>
      <c r="AE420" s="63">
        <f t="shared" si="382"/>
        <v>160.29557667446164</v>
      </c>
      <c r="AF420" s="51" t="str">
        <f t="shared" si="383"/>
        <v>42.1703962805665</v>
      </c>
      <c r="AG420" s="51" t="str">
        <f t="shared" si="365"/>
        <v>1+58.0526709515447i</v>
      </c>
      <c r="AH420" s="51">
        <f t="shared" si="384"/>
        <v>58.061283180862631</v>
      </c>
      <c r="AI420" s="51">
        <f t="shared" si="385"/>
        <v>1.5535722939889522</v>
      </c>
      <c r="AJ420" s="51" t="str">
        <f t="shared" si="366"/>
        <v>1+0.131586054156834i</v>
      </c>
      <c r="AK420" s="51">
        <f t="shared" si="386"/>
        <v>1.008620290123377</v>
      </c>
      <c r="AL420" s="51">
        <f t="shared" si="387"/>
        <v>0.13083438191002375</v>
      </c>
      <c r="AM420" s="51" t="str">
        <f t="shared" si="367"/>
        <v>1-0.341212690825456i</v>
      </c>
      <c r="AN420" s="51">
        <f t="shared" si="388"/>
        <v>1.0566106664142418</v>
      </c>
      <c r="AO420" s="51">
        <f t="shared" si="389"/>
        <v>-0.32882513488670362</v>
      </c>
      <c r="AP420" s="60" t="str">
        <f t="shared" si="390"/>
        <v>-0.139160002684454-0.761428493821433i</v>
      </c>
      <c r="AQ420" s="51">
        <f t="shared" si="391"/>
        <v>-2.2247251303786122</v>
      </c>
      <c r="AR420" s="63">
        <f t="shared" si="392"/>
        <v>-100.3571701422055</v>
      </c>
      <c r="AS420" s="32" t="str">
        <f t="shared" si="368"/>
        <v>-0.000133283554228113</v>
      </c>
      <c r="AT420" s="32" t="str">
        <f t="shared" si="369"/>
        <v>0.0401995395449128i</v>
      </c>
      <c r="AU420" s="32">
        <f t="shared" si="393"/>
        <v>4.0199539544912802E-2</v>
      </c>
      <c r="AV420" s="32">
        <f t="shared" si="394"/>
        <v>1.5707963267948966</v>
      </c>
      <c r="AW420" s="32" t="str">
        <f t="shared" si="370"/>
        <v>1+7.02859155254262i</v>
      </c>
      <c r="AX420" s="32">
        <f t="shared" si="395"/>
        <v>7.0993731563056661</v>
      </c>
      <c r="AY420" s="32">
        <f t="shared" si="396"/>
        <v>1.4294688233704063</v>
      </c>
      <c r="AZ420" s="32" t="str">
        <f t="shared" si="371"/>
        <v>1+104.743157039111i</v>
      </c>
      <c r="BA420" s="32">
        <f t="shared" si="397"/>
        <v>104.74793051187154</v>
      </c>
      <c r="BB420" s="32">
        <f t="shared" si="398"/>
        <v>1.561249453785198</v>
      </c>
      <c r="BC420" s="60" t="str">
        <f t="shared" si="399"/>
        <v>-0.00642798395079371+0.04849522297229i</v>
      </c>
      <c r="BD420" s="51">
        <f t="shared" si="400"/>
        <v>-26.210381317274791</v>
      </c>
      <c r="BE420" s="63">
        <f t="shared" si="401"/>
        <v>97.550473944340894</v>
      </c>
      <c r="BF420" s="60" t="str">
        <f t="shared" si="402"/>
        <v>-0.00225389525441595-0.0104653942442884i</v>
      </c>
      <c r="BG420" s="66">
        <f t="shared" si="403"/>
        <v>-39.407982515465875</v>
      </c>
      <c r="BH420" s="63">
        <f t="shared" si="404"/>
        <v>-102.15394938119748</v>
      </c>
      <c r="BI420" s="60" t="str">
        <f t="shared" si="357"/>
        <v>0.0378201628491734-0.00185414522104587i</v>
      </c>
      <c r="BJ420" s="66">
        <f t="shared" si="405"/>
        <v>-28.435106447653403</v>
      </c>
      <c r="BK420" s="63">
        <f t="shared" si="358"/>
        <v>-2.8066961978646052</v>
      </c>
      <c r="BL420" s="51">
        <f t="shared" si="406"/>
        <v>-39.407982515465875</v>
      </c>
      <c r="BM420" s="63">
        <f t="shared" si="407"/>
        <v>-102.15394938119748</v>
      </c>
    </row>
    <row r="421" spans="14:65" x14ac:dyDescent="0.35">
      <c r="N421" s="11">
        <v>3</v>
      </c>
      <c r="O421" s="52">
        <f t="shared" si="408"/>
        <v>107151.93052376082</v>
      </c>
      <c r="P421" s="50" t="str">
        <f t="shared" si="360"/>
        <v>36.531007751938</v>
      </c>
      <c r="Q421" s="18" t="str">
        <f t="shared" si="361"/>
        <v>1+328.799166175796i</v>
      </c>
      <c r="R421" s="18">
        <f t="shared" si="372"/>
        <v>328.80068685740105</v>
      </c>
      <c r="S421" s="18">
        <f t="shared" si="373"/>
        <v>1.5677549659291228</v>
      </c>
      <c r="T421" s="18" t="str">
        <f t="shared" si="362"/>
        <v>1+0.134651087100564i</v>
      </c>
      <c r="U421" s="18">
        <f t="shared" si="374"/>
        <v>1.0090247347103853</v>
      </c>
      <c r="V421" s="18">
        <f t="shared" si="375"/>
        <v>0.13384604433407749</v>
      </c>
      <c r="W421" s="32" t="str">
        <f t="shared" si="363"/>
        <v>1-2.23090558509811i</v>
      </c>
      <c r="X421" s="18">
        <f t="shared" si="376"/>
        <v>2.4447780532436765</v>
      </c>
      <c r="Y421" s="18">
        <f t="shared" si="377"/>
        <v>-1.1493999344702417</v>
      </c>
      <c r="Z421" s="32" t="str">
        <f t="shared" si="364"/>
        <v>0.762778177376676+1.01374489979987i</v>
      </c>
      <c r="AA421" s="18">
        <f t="shared" si="378"/>
        <v>1.2686643645000566</v>
      </c>
      <c r="AB421" s="18">
        <f t="shared" si="379"/>
        <v>0.9257379875195697</v>
      </c>
      <c r="AC421" s="68" t="str">
        <f t="shared" si="380"/>
        <v>-0.20161325647327+0.0776084521704905i</v>
      </c>
      <c r="AD421" s="66">
        <f t="shared" si="381"/>
        <v>-13.30953107277313</v>
      </c>
      <c r="AE421" s="63">
        <f t="shared" si="382"/>
        <v>158.94642574888456</v>
      </c>
      <c r="AF421" s="51" t="str">
        <f t="shared" si="383"/>
        <v>42.1703962805665</v>
      </c>
      <c r="AG421" s="51" t="str">
        <f t="shared" si="365"/>
        <v>1+59.4048913678962i</v>
      </c>
      <c r="AH421" s="51">
        <f t="shared" si="384"/>
        <v>59.413307587034303</v>
      </c>
      <c r="AI421" s="51">
        <f t="shared" si="385"/>
        <v>1.5539642859310581</v>
      </c>
      <c r="AJ421" s="51" t="str">
        <f t="shared" si="366"/>
        <v>1+0.134651087100564i</v>
      </c>
      <c r="AK421" s="51">
        <f t="shared" si="386"/>
        <v>1.0090247347103853</v>
      </c>
      <c r="AL421" s="51">
        <f t="shared" si="387"/>
        <v>0.13384604433407749</v>
      </c>
      <c r="AM421" s="51" t="str">
        <f t="shared" si="367"/>
        <v>1-0.349160555398949i</v>
      </c>
      <c r="AN421" s="51">
        <f t="shared" si="388"/>
        <v>1.0592039904789363</v>
      </c>
      <c r="AO421" s="51">
        <f t="shared" si="389"/>
        <v>-0.33592678890117345</v>
      </c>
      <c r="AP421" s="60" t="str">
        <f t="shared" si="390"/>
        <v>-0.139724881216251-0.74560789403294i</v>
      </c>
      <c r="AQ421" s="51">
        <f t="shared" si="391"/>
        <v>-2.3998925542031784</v>
      </c>
      <c r="AR421" s="63">
        <f t="shared" si="392"/>
        <v>-100.61396888246615</v>
      </c>
      <c r="AS421" s="32" t="str">
        <f t="shared" si="368"/>
        <v>-0.000133283554228113</v>
      </c>
      <c r="AT421" s="32" t="str">
        <f t="shared" si="369"/>
        <v>0.0411359071092224i</v>
      </c>
      <c r="AU421" s="32">
        <f t="shared" si="393"/>
        <v>4.1135907109222401E-2</v>
      </c>
      <c r="AV421" s="32">
        <f t="shared" si="394"/>
        <v>1.5707963267948966</v>
      </c>
      <c r="AW421" s="32" t="str">
        <f t="shared" si="370"/>
        <v>1+7.19230848132058i</v>
      </c>
      <c r="AX421" s="32">
        <f t="shared" si="395"/>
        <v>7.2614944254248348</v>
      </c>
      <c r="AY421" s="32">
        <f t="shared" si="396"/>
        <v>1.4326445879940319</v>
      </c>
      <c r="AZ421" s="32" t="str">
        <f t="shared" si="371"/>
        <v>1+107.182938587485i</v>
      </c>
      <c r="BA421" s="32">
        <f t="shared" si="397"/>
        <v>107.18760340752367</v>
      </c>
      <c r="BB421" s="32">
        <f t="shared" si="398"/>
        <v>1.5614667543893499</v>
      </c>
      <c r="BC421" s="60" t="str">
        <f t="shared" si="399"/>
        <v>-0.00614416366064493+0.0474307985673635i</v>
      </c>
      <c r="BD421" s="51">
        <f t="shared" si="400"/>
        <v>-26.40651921577799</v>
      </c>
      <c r="BE421" s="63">
        <f t="shared" si="401"/>
        <v>97.38096644218372</v>
      </c>
      <c r="BF421" s="60" t="str">
        <f t="shared" si="402"/>
        <v>-0.00244228601809605-0.0100395167878787i</v>
      </c>
      <c r="BG421" s="66">
        <f t="shared" si="403"/>
        <v>-39.716050288551109</v>
      </c>
      <c r="BH421" s="63">
        <f t="shared" si="404"/>
        <v>-103.6726078089317</v>
      </c>
      <c r="BI421" s="60" t="str">
        <f t="shared" si="357"/>
        <v>0.0362232703697693-0.00204612576820961i</v>
      </c>
      <c r="BJ421" s="66">
        <f t="shared" si="405"/>
        <v>-28.806411769981175</v>
      </c>
      <c r="BK421" s="63">
        <f t="shared" si="358"/>
        <v>-3.2330024402824438</v>
      </c>
      <c r="BL421" s="51">
        <f t="shared" si="406"/>
        <v>-39.716050288551109</v>
      </c>
      <c r="BM421" s="63">
        <f t="shared" si="407"/>
        <v>-103.6726078089317</v>
      </c>
    </row>
    <row r="422" spans="14:65" x14ac:dyDescent="0.35">
      <c r="N422" s="11">
        <v>4</v>
      </c>
      <c r="O422" s="52">
        <f t="shared" si="408"/>
        <v>109647.81961431868</v>
      </c>
      <c r="P422" s="50" t="str">
        <f t="shared" si="360"/>
        <v>36.531007751938</v>
      </c>
      <c r="Q422" s="18" t="str">
        <f t="shared" si="361"/>
        <v>1+336.457882615448i</v>
      </c>
      <c r="R422" s="18">
        <f t="shared" si="372"/>
        <v>336.4593686822684</v>
      </c>
      <c r="S422" s="18">
        <f t="shared" si="373"/>
        <v>1.5678241953420591</v>
      </c>
      <c r="T422" s="18" t="str">
        <f t="shared" si="362"/>
        <v>1+0.137787513832993i</v>
      </c>
      <c r="U422" s="18">
        <f t="shared" si="374"/>
        <v>1.0094480665038086</v>
      </c>
      <c r="V422" s="18">
        <f t="shared" si="375"/>
        <v>0.13692533042398056</v>
      </c>
      <c r="W422" s="32" t="str">
        <f t="shared" si="363"/>
        <v>1-2.28287005167089i</v>
      </c>
      <c r="X422" s="18">
        <f t="shared" si="376"/>
        <v>2.4922872372212344</v>
      </c>
      <c r="Y422" s="18">
        <f t="shared" si="377"/>
        <v>-1.1579284649629222</v>
      </c>
      <c r="Z422" s="32" t="str">
        <f t="shared" si="364"/>
        <v>0.751598257310451+1.03735805192556i</v>
      </c>
      <c r="AA422" s="18">
        <f t="shared" si="378"/>
        <v>1.2810197766962461</v>
      </c>
      <c r="AB422" s="18">
        <f t="shared" si="379"/>
        <v>0.94379549755285719</v>
      </c>
      <c r="AC422" s="68" t="str">
        <f t="shared" si="380"/>
        <v>-0.197137899713493+0.0812720043141869i</v>
      </c>
      <c r="AD422" s="66">
        <f t="shared" si="381"/>
        <v>-13.422894665911532</v>
      </c>
      <c r="AE422" s="63">
        <f t="shared" si="382"/>
        <v>157.59562137646827</v>
      </c>
      <c r="AF422" s="51" t="str">
        <f t="shared" si="383"/>
        <v>42.1703962805665</v>
      </c>
      <c r="AG422" s="51" t="str">
        <f t="shared" si="365"/>
        <v>1+60.7886090439677i</v>
      </c>
      <c r="AH422" s="51">
        <f t="shared" si="384"/>
        <v>60.796833712787645</v>
      </c>
      <c r="AI422" s="51">
        <f t="shared" si="385"/>
        <v>1.5543473600460846</v>
      </c>
      <c r="AJ422" s="51" t="str">
        <f t="shared" si="366"/>
        <v>1+0.137787513832993i</v>
      </c>
      <c r="AK422" s="51">
        <f t="shared" si="386"/>
        <v>1.0094480665038086</v>
      </c>
      <c r="AL422" s="51">
        <f t="shared" si="387"/>
        <v>0.13692533042398056</v>
      </c>
      <c r="AM422" s="51" t="str">
        <f t="shared" si="367"/>
        <v>1-0.3572935495206i</v>
      </c>
      <c r="AN422" s="51">
        <f t="shared" si="388"/>
        <v>1.0619127461938807</v>
      </c>
      <c r="AO422" s="51">
        <f t="shared" si="389"/>
        <v>-0.34315757976989608</v>
      </c>
      <c r="AP422" s="60" t="str">
        <f t="shared" si="390"/>
        <v>-0.140264350106756-0.730181769476774i</v>
      </c>
      <c r="AQ422" s="51">
        <f t="shared" si="391"/>
        <v>-2.5740093103846018</v>
      </c>
      <c r="AR422" s="63">
        <f t="shared" si="392"/>
        <v>-100.87378111495265</v>
      </c>
      <c r="AS422" s="32" t="str">
        <f t="shared" si="368"/>
        <v>-0.000133283554228113</v>
      </c>
      <c r="AT422" s="32" t="str">
        <f t="shared" si="369"/>
        <v>0.0420940854759793i</v>
      </c>
      <c r="AU422" s="32">
        <f t="shared" si="393"/>
        <v>4.2094085475979301E-2</v>
      </c>
      <c r="AV422" s="32">
        <f t="shared" si="394"/>
        <v>1.5707963267948966</v>
      </c>
      <c r="AW422" s="32" t="str">
        <f t="shared" si="370"/>
        <v>1+7.35983886725679i</v>
      </c>
      <c r="AX422" s="32">
        <f t="shared" si="395"/>
        <v>7.4274644497287028</v>
      </c>
      <c r="AY422" s="32">
        <f t="shared" si="396"/>
        <v>1.4357507757055723</v>
      </c>
      <c r="AZ422" s="32" t="str">
        <f t="shared" si="371"/>
        <v>1+109.679549948632i</v>
      </c>
      <c r="BA422" s="32">
        <f t="shared" si="397"/>
        <v>109.68410858886743</v>
      </c>
      <c r="BB422" s="32">
        <f t="shared" si="398"/>
        <v>1.5616791094792628</v>
      </c>
      <c r="BC422" s="60" t="str">
        <f t="shared" si="399"/>
        <v>-0.00587264337348246+0.046388033930731i</v>
      </c>
      <c r="BD422" s="51">
        <f t="shared" si="400"/>
        <v>-26.602827698989579</v>
      </c>
      <c r="BE422" s="63">
        <f t="shared" si="401"/>
        <v>97.215162046347203</v>
      </c>
      <c r="BF422" s="60" t="str">
        <f t="shared" si="402"/>
        <v>-0.00261232791333032-0.00962212107852791i</v>
      </c>
      <c r="BG422" s="66">
        <f t="shared" si="403"/>
        <v>-40.025722364901107</v>
      </c>
      <c r="BH422" s="63">
        <f t="shared" si="404"/>
        <v>-105.1892165771845</v>
      </c>
      <c r="BI422" s="60" t="str">
        <f t="shared" si="357"/>
        <v>0.0346954192042801-0.00221849030206866i</v>
      </c>
      <c r="BJ422" s="66">
        <f t="shared" si="405"/>
        <v>-29.176837009374172</v>
      </c>
      <c r="BK422" s="63">
        <f t="shared" si="358"/>
        <v>-3.6586190686054434</v>
      </c>
      <c r="BL422" s="51">
        <f t="shared" si="406"/>
        <v>-40.025722364901107</v>
      </c>
      <c r="BM422" s="63">
        <f t="shared" si="407"/>
        <v>-105.1892165771845</v>
      </c>
    </row>
    <row r="423" spans="14:65" x14ac:dyDescent="0.35">
      <c r="N423" s="11">
        <v>5</v>
      </c>
      <c r="O423" s="52">
        <f t="shared" si="408"/>
        <v>112201.84543019651</v>
      </c>
      <c r="P423" s="50" t="str">
        <f t="shared" si="360"/>
        <v>36.531007751938</v>
      </c>
      <c r="Q423" s="18" t="str">
        <f t="shared" si="361"/>
        <v>1+344.294993478008i</v>
      </c>
      <c r="R423" s="18">
        <f t="shared" si="372"/>
        <v>344.296445717962</v>
      </c>
      <c r="S423" s="18">
        <f t="shared" si="373"/>
        <v>1.5678918489286942</v>
      </c>
      <c r="T423" s="18" t="str">
        <f t="shared" si="362"/>
        <v>1+0.140996997329089i</v>
      </c>
      <c r="U423" s="18">
        <f t="shared" si="374"/>
        <v>1.0098911591136042</v>
      </c>
      <c r="V423" s="18">
        <f t="shared" si="375"/>
        <v>0.14007363915247104</v>
      </c>
      <c r="W423" s="32" t="str">
        <f t="shared" si="363"/>
        <v>1-2.33604492616243i</v>
      </c>
      <c r="X423" s="18">
        <f t="shared" si="376"/>
        <v>2.5410836068593325</v>
      </c>
      <c r="Y423" s="18">
        <f t="shared" si="377"/>
        <v>-1.1663248921951506</v>
      </c>
      <c r="Z423" s="32" t="str">
        <f t="shared" si="364"/>
        <v>0.739891443844179+1.06152122502144i</v>
      </c>
      <c r="AA423" s="18">
        <f t="shared" si="378"/>
        <v>1.2939345655189998</v>
      </c>
      <c r="AB423" s="18">
        <f t="shared" si="379"/>
        <v>0.96207955482899721</v>
      </c>
      <c r="AC423" s="68" t="str">
        <f t="shared" si="380"/>
        <v>-0.192600489316947+0.0847725226198307i</v>
      </c>
      <c r="AD423" s="66">
        <f t="shared" si="381"/>
        <v>-13.537793525198513</v>
      </c>
      <c r="AE423" s="63">
        <f t="shared" si="382"/>
        <v>156.24345075653815</v>
      </c>
      <c r="AF423" s="51" t="str">
        <f t="shared" si="383"/>
        <v>42.1703962805665</v>
      </c>
      <c r="AG423" s="51" t="str">
        <f t="shared" si="365"/>
        <v>1+62.2045576451866i</v>
      </c>
      <c r="AH423" s="51">
        <f t="shared" si="384"/>
        <v>62.212595122156266</v>
      </c>
      <c r="AI423" s="51">
        <f t="shared" si="385"/>
        <v>1.554721718995024</v>
      </c>
      <c r="AJ423" s="51" t="str">
        <f t="shared" si="366"/>
        <v>1+0.140996997329089i</v>
      </c>
      <c r="AK423" s="51">
        <f t="shared" si="386"/>
        <v>1.0098911591136042</v>
      </c>
      <c r="AL423" s="51">
        <f t="shared" si="387"/>
        <v>0.14007363915247104</v>
      </c>
      <c r="AM423" s="51" t="str">
        <f t="shared" si="367"/>
        <v>1-0.365615985411547i</v>
      </c>
      <c r="AN423" s="51">
        <f t="shared" si="388"/>
        <v>1.064741775637857</v>
      </c>
      <c r="AO423" s="51">
        <f t="shared" si="389"/>
        <v>-0.35051831595068289</v>
      </c>
      <c r="AP423" s="60" t="str">
        <f t="shared" si="390"/>
        <v>-0.140779551739764-0.715141998117405i</v>
      </c>
      <c r="AQ423" s="51">
        <f t="shared" si="391"/>
        <v>-2.7470354241348631</v>
      </c>
      <c r="AR423" s="63">
        <f t="shared" si="392"/>
        <v>-101.13658461727142</v>
      </c>
      <c r="AS423" s="32" t="str">
        <f t="shared" si="368"/>
        <v>-0.000133283554228113</v>
      </c>
      <c r="AT423" s="32" t="str">
        <f t="shared" si="369"/>
        <v>0.0430745826840367i</v>
      </c>
      <c r="AU423" s="32">
        <f t="shared" si="393"/>
        <v>4.3074582684036702E-2</v>
      </c>
      <c r="AV423" s="32">
        <f t="shared" si="394"/>
        <v>1.5707963267948966</v>
      </c>
      <c r="AW423" s="32" t="str">
        <f t="shared" si="370"/>
        <v>1+7.53127153717939i</v>
      </c>
      <c r="AX423" s="32">
        <f t="shared" si="395"/>
        <v>7.5973713195241688</v>
      </c>
      <c r="AY423" s="32">
        <f t="shared" si="396"/>
        <v>1.4387887935627175</v>
      </c>
      <c r="AZ423" s="32" t="str">
        <f t="shared" si="371"/>
        <v>1+112.234314858942i</v>
      </c>
      <c r="BA423" s="32">
        <f t="shared" si="397"/>
        <v>112.23876973602361</v>
      </c>
      <c r="BB423" s="32">
        <f t="shared" si="398"/>
        <v>1.5618866315717637</v>
      </c>
      <c r="BC423" s="60" t="str">
        <f t="shared" si="399"/>
        <v>-0.00561291009647395+0.0453666006715235i</v>
      </c>
      <c r="BD423" s="51">
        <f t="shared" si="400"/>
        <v>-26.79929936923331</v>
      </c>
      <c r="BE423" s="63">
        <f t="shared" si="401"/>
        <v>97.05298658510344</v>
      </c>
      <c r="BF423" s="60" t="str">
        <f t="shared" si="402"/>
        <v>-0.00276479195053864-0.00921345003609838i</v>
      </c>
      <c r="BG423" s="66">
        <f t="shared" si="403"/>
        <v>-40.337092894431812</v>
      </c>
      <c r="BH423" s="63">
        <f t="shared" si="404"/>
        <v>-106.70356265835842</v>
      </c>
      <c r="BI423" s="60" t="str">
        <f t="shared" si="357"/>
        <v>0.0332337444193649-0.00237266196484822i</v>
      </c>
      <c r="BJ423" s="66">
        <f t="shared" si="405"/>
        <v>-29.546334793368175</v>
      </c>
      <c r="BK423" s="63">
        <f t="shared" si="358"/>
        <v>-4.0835980321680081</v>
      </c>
      <c r="BL423" s="51">
        <f t="shared" si="406"/>
        <v>-40.337092894431812</v>
      </c>
      <c r="BM423" s="63">
        <f t="shared" si="407"/>
        <v>-106.70356265835842</v>
      </c>
    </row>
    <row r="424" spans="14:65" x14ac:dyDescent="0.35">
      <c r="N424" s="11">
        <v>6</v>
      </c>
      <c r="O424" s="52">
        <f t="shared" si="408"/>
        <v>114815.36214968823</v>
      </c>
      <c r="P424" s="50" t="str">
        <f t="shared" si="360"/>
        <v>36.531007751938</v>
      </c>
      <c r="Q424" s="18" t="str">
        <f t="shared" si="361"/>
        <v>1+352.314654103393i</v>
      </c>
      <c r="R424" s="18">
        <f t="shared" si="372"/>
        <v>352.31607328646453</v>
      </c>
      <c r="S424" s="18">
        <f t="shared" si="373"/>
        <v>1.5679579625573763</v>
      </c>
      <c r="T424" s="18" t="str">
        <f t="shared" si="362"/>
        <v>1+0.144281239299485i</v>
      </c>
      <c r="U424" s="18">
        <f t="shared" si="374"/>
        <v>1.0103549257631179</v>
      </c>
      <c r="V424" s="18">
        <f t="shared" si="375"/>
        <v>0.14329239001901545</v>
      </c>
      <c r="W424" s="32" t="str">
        <f t="shared" si="363"/>
        <v>1-2.39045840259502i</v>
      </c>
      <c r="X424" s="18">
        <f t="shared" si="376"/>
        <v>2.5911949703828028</v>
      </c>
      <c r="Y424" s="18">
        <f t="shared" si="377"/>
        <v>-1.1745889314290585</v>
      </c>
      <c r="Z424" s="32" t="str">
        <f t="shared" si="364"/>
        <v>0.727632905256941+1.08624723072172i</v>
      </c>
      <c r="AA424" s="18">
        <f t="shared" si="378"/>
        <v>1.3074336277850827</v>
      </c>
      <c r="AB424" s="18">
        <f t="shared" si="379"/>
        <v>0.98058663354126174</v>
      </c>
      <c r="AC424" s="68" t="str">
        <f t="shared" si="380"/>
        <v>-0.18800538432294+0.0881073275869814i</v>
      </c>
      <c r="AD424" s="66">
        <f t="shared" si="381"/>
        <v>-13.65432799797339</v>
      </c>
      <c r="AE424" s="63">
        <f t="shared" si="382"/>
        <v>154.8902114934408</v>
      </c>
      <c r="AF424" s="51" t="str">
        <f t="shared" si="383"/>
        <v>42.1703962805665</v>
      </c>
      <c r="AG424" s="51" t="str">
        <f t="shared" si="365"/>
        <v>1+63.6534879262435i</v>
      </c>
      <c r="AH424" s="51">
        <f t="shared" si="384"/>
        <v>63.66134247073672</v>
      </c>
      <c r="AI424" s="51">
        <f t="shared" si="385"/>
        <v>1.5550875608479902</v>
      </c>
      <c r="AJ424" s="51" t="str">
        <f t="shared" si="366"/>
        <v>1+0.144281239299485i</v>
      </c>
      <c r="AK424" s="51">
        <f t="shared" si="386"/>
        <v>1.0103549257631179</v>
      </c>
      <c r="AL424" s="51">
        <f t="shared" si="387"/>
        <v>0.14329239001901545</v>
      </c>
      <c r="AM424" s="51" t="str">
        <f t="shared" si="367"/>
        <v>1-0.374132275737457i</v>
      </c>
      <c r="AN424" s="51">
        <f t="shared" si="388"/>
        <v>1.0676960989665967</v>
      </c>
      <c r="AO424" s="51">
        <f t="shared" si="389"/>
        <v>-0.35800970877197508</v>
      </c>
      <c r="AP424" s="60" t="str">
        <f t="shared" si="390"/>
        <v>-0.141271577192233-0.700480658961032i</v>
      </c>
      <c r="AQ424" s="51">
        <f t="shared" si="391"/>
        <v>-2.9189298286971734</v>
      </c>
      <c r="AR424" s="63">
        <f t="shared" si="392"/>
        <v>-101.40235016279323</v>
      </c>
      <c r="AS424" s="32" t="str">
        <f t="shared" si="368"/>
        <v>-0.000133283554228113</v>
      </c>
      <c r="AT424" s="32" t="str">
        <f t="shared" si="369"/>
        <v>0.0440779186059926i</v>
      </c>
      <c r="AU424" s="32">
        <f t="shared" si="393"/>
        <v>4.4077918605992597E-2</v>
      </c>
      <c r="AV424" s="32">
        <f t="shared" si="394"/>
        <v>1.5707963267948966</v>
      </c>
      <c r="AW424" s="32" t="str">
        <f t="shared" si="370"/>
        <v>1+7.70669738695915i</v>
      </c>
      <c r="AX424" s="32">
        <f t="shared" si="395"/>
        <v>7.7713052066022348</v>
      </c>
      <c r="AY424" s="32">
        <f t="shared" si="396"/>
        <v>1.4417600279278764</v>
      </c>
      <c r="AZ424" s="32" t="str">
        <f t="shared" si="371"/>
        <v>1+114.848587888586i</v>
      </c>
      <c r="BA424" s="32">
        <f t="shared" si="397"/>
        <v>114.85294136417343</v>
      </c>
      <c r="BB424" s="32">
        <f t="shared" si="398"/>
        <v>1.5620894306262756</v>
      </c>
      <c r="BC424" s="60" t="str">
        <f t="shared" si="399"/>
        <v>-0.0053644704929861+0.0443661676087201i</v>
      </c>
      <c r="BD424" s="51">
        <f t="shared" si="400"/>
        <v>-26.995927137795693</v>
      </c>
      <c r="BE424" s="63">
        <f t="shared" si="401"/>
        <v>96.894366925948361</v>
      </c>
      <c r="BF424" s="60" t="str">
        <f t="shared" si="402"/>
        <v>-0.0029004351265575-0.00881372755126962i</v>
      </c>
      <c r="BG424" s="66">
        <f t="shared" si="403"/>
        <v>-40.650255135769086</v>
      </c>
      <c r="BH424" s="63">
        <f t="shared" si="404"/>
        <v>-108.21542158061081</v>
      </c>
      <c r="BI424" s="60" t="str">
        <f t="shared" si="357"/>
        <v>0.0318354895294772-0.00250997064615493i</v>
      </c>
      <c r="BJ424" s="66">
        <f t="shared" si="405"/>
        <v>-29.914856966492863</v>
      </c>
      <c r="BK424" s="63">
        <f t="shared" si="358"/>
        <v>-4.5079832368448516</v>
      </c>
      <c r="BL424" s="51">
        <f t="shared" si="406"/>
        <v>-40.650255135769086</v>
      </c>
      <c r="BM424" s="63">
        <f t="shared" si="407"/>
        <v>-108.21542158061081</v>
      </c>
    </row>
    <row r="425" spans="14:65" x14ac:dyDescent="0.35">
      <c r="N425" s="11">
        <v>7</v>
      </c>
      <c r="O425" s="52">
        <f t="shared" si="408"/>
        <v>117489.75549395311</v>
      </c>
      <c r="P425" s="50" t="str">
        <f t="shared" si="360"/>
        <v>36.531007751938</v>
      </c>
      <c r="Q425" s="18" t="str">
        <f t="shared" si="361"/>
        <v>1+360.52111662182i</v>
      </c>
      <c r="R425" s="18">
        <f t="shared" si="372"/>
        <v>360.5225035004666</v>
      </c>
      <c r="S425" s="18">
        <f t="shared" si="373"/>
        <v>1.5680225712801137</v>
      </c>
      <c r="T425" s="18" t="str">
        <f t="shared" si="362"/>
        <v>1+0.147641981092746i</v>
      </c>
      <c r="U425" s="18">
        <f t="shared" si="374"/>
        <v>1.010840321010688</v>
      </c>
      <c r="V425" s="18">
        <f t="shared" si="375"/>
        <v>0.14658302272922685</v>
      </c>
      <c r="W425" s="32" t="str">
        <f t="shared" si="363"/>
        <v>1-2.44613933171413i</v>
      </c>
      <c r="X425" s="18">
        <f t="shared" si="376"/>
        <v>2.6426497365634458</v>
      </c>
      <c r="Y425" s="18">
        <f t="shared" si="377"/>
        <v>-1.1827204482191902</v>
      </c>
      <c r="Z425" s="32" t="str">
        <f t="shared" si="364"/>
        <v>0.714796639544858+1.11154917908191i</v>
      </c>
      <c r="AA425" s="18">
        <f t="shared" si="378"/>
        <v>1.321542966922487</v>
      </c>
      <c r="AB425" s="18">
        <f t="shared" si="379"/>
        <v>0.99931288821811137</v>
      </c>
      <c r="AC425" s="68" t="str">
        <f t="shared" si="380"/>
        <v>-0.183357245333107+0.0912739030305642i</v>
      </c>
      <c r="AD425" s="66">
        <f t="shared" si="381"/>
        <v>-13.772597031843985</v>
      </c>
      <c r="AE425" s="63">
        <f t="shared" si="382"/>
        <v>153.53621210034612</v>
      </c>
      <c r="AF425" s="51" t="str">
        <f t="shared" si="383"/>
        <v>42.1703962805665</v>
      </c>
      <c r="AG425" s="51" t="str">
        <f t="shared" si="365"/>
        <v>1+65.1361681291527i</v>
      </c>
      <c r="AH425" s="51">
        <f t="shared" si="384"/>
        <v>65.143843903697046</v>
      </c>
      <c r="AI425" s="51">
        <f t="shared" si="385"/>
        <v>1.5554450791872365</v>
      </c>
      <c r="AJ425" s="51" t="str">
        <f t="shared" si="366"/>
        <v>1+0.147641981092746i</v>
      </c>
      <c r="AK425" s="51">
        <f t="shared" si="386"/>
        <v>1.010840321010688</v>
      </c>
      <c r="AL425" s="51">
        <f t="shared" si="387"/>
        <v>0.14658302272922685</v>
      </c>
      <c r="AM425" s="51" t="str">
        <f t="shared" si="367"/>
        <v>1-0.382846935948192i</v>
      </c>
      <c r="AN425" s="51">
        <f t="shared" si="388"/>
        <v>1.0707809189394994</v>
      </c>
      <c r="AO425" s="51">
        <f t="shared" si="389"/>
        <v>-0.3656323658878643</v>
      </c>
      <c r="AP425" s="60" t="str">
        <f t="shared" si="390"/>
        <v>-0.141741468533904-0.686190028109555i</v>
      </c>
      <c r="AQ425" s="51">
        <f t="shared" si="391"/>
        <v>-3.0896503685989742</v>
      </c>
      <c r="AR425" s="63">
        <f t="shared" si="392"/>
        <v>-101.67104116992361</v>
      </c>
      <c r="AS425" s="32" t="str">
        <f t="shared" si="368"/>
        <v>-0.000133283554228113</v>
      </c>
      <c r="AT425" s="32" t="str">
        <f t="shared" si="369"/>
        <v>0.0451046252238338i</v>
      </c>
      <c r="AU425" s="32">
        <f t="shared" si="393"/>
        <v>4.5104625223833801E-2</v>
      </c>
      <c r="AV425" s="32">
        <f t="shared" si="394"/>
        <v>1.5707963267948966</v>
      </c>
      <c r="AW425" s="32" t="str">
        <f t="shared" si="370"/>
        <v>1+7.88620942970372i</v>
      </c>
      <c r="AX425" s="32">
        <f t="shared" si="395"/>
        <v>7.9493584124222165</v>
      </c>
      <c r="AY425" s="32">
        <f t="shared" si="396"/>
        <v>1.4446658442315441</v>
      </c>
      <c r="AZ425" s="32" t="str">
        <f t="shared" si="371"/>
        <v>1+117.523755159731i</v>
      </c>
      <c r="BA425" s="32">
        <f t="shared" si="397"/>
        <v>117.52800954174454</v>
      </c>
      <c r="BB425" s="32">
        <f t="shared" si="398"/>
        <v>1.5622876141027786</v>
      </c>
      <c r="BC425" s="60" t="str">
        <f t="shared" si="399"/>
        <v>-0.00512685028238876+0.0433864014441939i</v>
      </c>
      <c r="BD425" s="51">
        <f t="shared" si="400"/>
        <v>-27.192704213050401</v>
      </c>
      <c r="BE425" s="63">
        <f t="shared" si="401"/>
        <v>96.739230992480756</v>
      </c>
      <c r="BF425" s="60" t="str">
        <f t="shared" si="402"/>
        <v>-0.00302000105324842-0.0084231586892507i</v>
      </c>
      <c r="BG425" s="66">
        <f t="shared" si="403"/>
        <v>-40.965301244894391</v>
      </c>
      <c r="BH425" s="63">
        <f t="shared" si="404"/>
        <v>-109.72455690717312</v>
      </c>
      <c r="BI425" s="60" t="str">
        <f t="shared" si="357"/>
        <v>0.0304980033145431-0.00263165871571571i</v>
      </c>
      <c r="BJ425" s="66">
        <f t="shared" si="405"/>
        <v>-30.282354581649376</v>
      </c>
      <c r="BK425" s="63">
        <f t="shared" si="358"/>
        <v>-4.9318101774428262</v>
      </c>
      <c r="BL425" s="51">
        <f t="shared" si="406"/>
        <v>-40.965301244894391</v>
      </c>
      <c r="BM425" s="63">
        <f t="shared" si="407"/>
        <v>-109.72455690717312</v>
      </c>
    </row>
    <row r="426" spans="14:65" x14ac:dyDescent="0.35">
      <c r="N426" s="11">
        <v>8</v>
      </c>
      <c r="O426" s="52">
        <f t="shared" si="408"/>
        <v>120226.44346174144</v>
      </c>
      <c r="P426" s="50" t="str">
        <f t="shared" si="360"/>
        <v>36.531007751938</v>
      </c>
      <c r="Q426" s="18" t="str">
        <f t="shared" si="361"/>
        <v>1+368.918732208341i</v>
      </c>
      <c r="R426" s="18">
        <f t="shared" si="372"/>
        <v>368.92008751789268</v>
      </c>
      <c r="S426" s="18">
        <f t="shared" si="373"/>
        <v>1.5680857093511473</v>
      </c>
      <c r="T426" s="18" t="str">
        <f t="shared" si="362"/>
        <v>1+0.151081004618654i</v>
      </c>
      <c r="U426" s="18">
        <f t="shared" si="374"/>
        <v>1.0113483425390986</v>
      </c>
      <c r="V426" s="18">
        <f t="shared" si="375"/>
        <v>0.14994699681709764</v>
      </c>
      <c r="W426" s="32" t="str">
        <f t="shared" si="363"/>
        <v>1-2.5031172362854i</v>
      </c>
      <c r="X426" s="18">
        <f t="shared" si="376"/>
        <v>2.6954769334181026</v>
      </c>
      <c r="Y426" s="18">
        <f t="shared" si="377"/>
        <v>-1.1907194516061548</v>
      </c>
      <c r="Z426" s="32" t="str">
        <f t="shared" si="364"/>
        <v>0.70135541926737+1.13744048552994i</v>
      </c>
      <c r="AA426" s="18">
        <f t="shared" si="378"/>
        <v>1.3362897448750752</v>
      </c>
      <c r="AB426" s="18">
        <f t="shared" si="379"/>
        <v>1.0182541522241313</v>
      </c>
      <c r="AC426" s="68" t="str">
        <f t="shared" si="380"/>
        <v>-0.178661025721931+0.094269922504432i</v>
      </c>
      <c r="AD426" s="66">
        <f t="shared" si="381"/>
        <v>-13.892697976599289</v>
      </c>
      <c r="AE426" s="63">
        <f t="shared" si="382"/>
        <v>152.18177245240372</v>
      </c>
      <c r="AF426" s="51" t="str">
        <f t="shared" si="383"/>
        <v>42.1703962805665</v>
      </c>
      <c r="AG426" s="51" t="str">
        <f t="shared" si="365"/>
        <v>1+66.6533843905829i</v>
      </c>
      <c r="AH426" s="51">
        <f t="shared" si="384"/>
        <v>66.660885463056971</v>
      </c>
      <c r="AI426" s="51">
        <f t="shared" si="385"/>
        <v>1.5557944632079268</v>
      </c>
      <c r="AJ426" s="51" t="str">
        <f t="shared" si="366"/>
        <v>1+0.151081004618654i</v>
      </c>
      <c r="AK426" s="51">
        <f t="shared" si="386"/>
        <v>1.0113483425390986</v>
      </c>
      <c r="AL426" s="51">
        <f t="shared" si="387"/>
        <v>0.14994699681709764</v>
      </c>
      <c r="AM426" s="51" t="str">
        <f t="shared" si="367"/>
        <v>1-0.391764586671943i</v>
      </c>
      <c r="AN426" s="51">
        <f t="shared" si="388"/>
        <v>1.0740016254039089</v>
      </c>
      <c r="AO426" s="51">
        <f t="shared" si="389"/>
        <v>-0.37338678461652375</v>
      </c>
      <c r="AP426" s="60" t="str">
        <f t="shared" si="390"/>
        <v>-0.142190221024249-0.672262574902182i</v>
      </c>
      <c r="AQ426" s="51">
        <f t="shared" si="391"/>
        <v>-3.2591538060843539</v>
      </c>
      <c r="AR426" s="63">
        <f t="shared" si="392"/>
        <v>-101.9426133478414</v>
      </c>
      <c r="AS426" s="32" t="str">
        <f t="shared" si="368"/>
        <v>-0.000133283554228113</v>
      </c>
      <c r="AT426" s="32" t="str">
        <f t="shared" si="369"/>
        <v>0.0461552469109989i</v>
      </c>
      <c r="AU426" s="32">
        <f t="shared" si="393"/>
        <v>4.6155246910998898E-2</v>
      </c>
      <c r="AV426" s="32">
        <f t="shared" si="394"/>
        <v>1.5707963267948966</v>
      </c>
      <c r="AW426" s="32" t="str">
        <f t="shared" si="370"/>
        <v>1+8.06990284507422i</v>
      </c>
      <c r="AX426" s="32">
        <f t="shared" si="395"/>
        <v>8.1316254174019225</v>
      </c>
      <c r="AY426" s="32">
        <f t="shared" si="396"/>
        <v>1.4475075867831937</v>
      </c>
      <c r="AZ426" s="32" t="str">
        <f t="shared" si="371"/>
        <v>1+120.261235081472i</v>
      </c>
      <c r="BA426" s="32">
        <f t="shared" si="397"/>
        <v>120.26539262531459</v>
      </c>
      <c r="BB426" s="32">
        <f t="shared" si="398"/>
        <v>1.5624812870184674</v>
      </c>
      <c r="BC426" s="60" t="str">
        <f t="shared" si="399"/>
        <v>-0.00489959364401541+0.0424269673875283i</v>
      </c>
      <c r="BD426" s="51">
        <f t="shared" si="400"/>
        <v>-27.389624088948366</v>
      </c>
      <c r="BE426" s="63">
        <f t="shared" si="401"/>
        <v>96.58750777848347</v>
      </c>
      <c r="BF426" s="60" t="str">
        <f t="shared" si="402"/>
        <v>-0.00312422050165991-0.00804192982485126i</v>
      </c>
      <c r="BG426" s="66">
        <f t="shared" si="403"/>
        <v>-41.282322065547646</v>
      </c>
      <c r="BH426" s="63">
        <f t="shared" si="404"/>
        <v>-111.23071976911281</v>
      </c>
      <c r="BI426" s="60" t="str">
        <f t="shared" si="357"/>
        <v>0.0292187366444022-0.00273888643112109i</v>
      </c>
      <c r="BJ426" s="66">
        <f t="shared" si="405"/>
        <v>-30.648777895032726</v>
      </c>
      <c r="BK426" s="63">
        <f t="shared" si="358"/>
        <v>-5.3551055693579324</v>
      </c>
      <c r="BL426" s="51">
        <f t="shared" si="406"/>
        <v>-41.282322065547646</v>
      </c>
      <c r="BM426" s="63">
        <f t="shared" si="407"/>
        <v>-111.23071976911281</v>
      </c>
    </row>
    <row r="427" spans="14:65" x14ac:dyDescent="0.35">
      <c r="N427" s="11">
        <v>9</v>
      </c>
      <c r="O427" s="52">
        <f t="shared" si="408"/>
        <v>123026.87708123829</v>
      </c>
      <c r="P427" s="50" t="str">
        <f t="shared" si="360"/>
        <v>36.531007751938</v>
      </c>
      <c r="Q427" s="18" t="str">
        <f t="shared" si="361"/>
        <v>1+377.511953389895i</v>
      </c>
      <c r="R427" s="18">
        <f t="shared" si="372"/>
        <v>377.51327784894431</v>
      </c>
      <c r="S427" s="18">
        <f t="shared" si="373"/>
        <v>1.5681474102451034</v>
      </c>
      <c r="T427" s="18" t="str">
        <f t="shared" si="362"/>
        <v>1+0.154600133293005i</v>
      </c>
      <c r="U427" s="18">
        <f t="shared" si="374"/>
        <v>1.01188003301489</v>
      </c>
      <c r="V427" s="18">
        <f t="shared" si="375"/>
        <v>0.15338579120600168</v>
      </c>
      <c r="W427" s="32" t="str">
        <f t="shared" si="363"/>
        <v>1-2.56142232674801i</v>
      </c>
      <c r="X427" s="18">
        <f t="shared" si="376"/>
        <v>2.7497062272110431</v>
      </c>
      <c r="Y427" s="18">
        <f t="shared" si="377"/>
        <v>-1.1985860872564045</v>
      </c>
      <c r="Z427" s="32" t="str">
        <f t="shared" si="364"/>
        <v>0.687280733794171+1.16393487797921i</v>
      </c>
      <c r="AA427" s="18">
        <f t="shared" si="378"/>
        <v>1.3517023367669128</v>
      </c>
      <c r="AB427" s="18">
        <f t="shared" si="379"/>
        <v>1.0374059372161279</v>
      </c>
      <c r="AC427" s="68" t="str">
        <f t="shared" si="380"/>
        <v>-0.173921960423529+0.097093275470354i</v>
      </c>
      <c r="AD427" s="66">
        <f t="shared" si="381"/>
        <v>-14.014726387942243</v>
      </c>
      <c r="AE427" s="63">
        <f t="shared" si="382"/>
        <v>150.82722418477556</v>
      </c>
      <c r="AF427" s="51" t="str">
        <f t="shared" si="383"/>
        <v>42.1703962805665</v>
      </c>
      <c r="AG427" s="51" t="str">
        <f t="shared" si="365"/>
        <v>1+68.2059411586789i</v>
      </c>
      <c r="AH427" s="51">
        <f t="shared" si="384"/>
        <v>68.213271504459954</v>
      </c>
      <c r="AI427" s="51">
        <f t="shared" si="385"/>
        <v>1.5561358978167055</v>
      </c>
      <c r="AJ427" s="51" t="str">
        <f t="shared" si="366"/>
        <v>1+0.154600133293005i</v>
      </c>
      <c r="AK427" s="51">
        <f t="shared" si="386"/>
        <v>1.01188003301489</v>
      </c>
      <c r="AL427" s="51">
        <f t="shared" si="387"/>
        <v>0.15338579120600168</v>
      </c>
      <c r="AM427" s="51" t="str">
        <f t="shared" si="367"/>
        <v>1-0.400889956165165i</v>
      </c>
      <c r="AN427" s="51">
        <f t="shared" si="388"/>
        <v>1.0773637997232448</v>
      </c>
      <c r="AO427" s="51">
        <f t="shared" si="389"/>
        <v>-0.38127334518432759</v>
      </c>
      <c r="AP427" s="60" t="str">
        <f t="shared" si="390"/>
        <v>-0.142618785211324-0.658690958143668i</v>
      </c>
      <c r="AQ427" s="51">
        <f t="shared" si="391"/>
        <v>-3.4273958309289272</v>
      </c>
      <c r="AR427" s="63">
        <f t="shared" si="392"/>
        <v>-102.21701434021611</v>
      </c>
      <c r="AS427" s="32" t="str">
        <f t="shared" si="368"/>
        <v>-0.000133283554228113</v>
      </c>
      <c r="AT427" s="32" t="str">
        <f t="shared" si="369"/>
        <v>0.0472303407210131i</v>
      </c>
      <c r="AU427" s="32">
        <f t="shared" si="393"/>
        <v>4.7230340721013099E-2</v>
      </c>
      <c r="AV427" s="32">
        <f t="shared" si="394"/>
        <v>1.5707963267948966</v>
      </c>
      <c r="AW427" s="32" t="str">
        <f t="shared" si="370"/>
        <v>1+8.25787502975096i</v>
      </c>
      <c r="AX427" s="32">
        <f t="shared" si="395"/>
        <v>8.3182029313418653</v>
      </c>
      <c r="AY427" s="32">
        <f t="shared" si="396"/>
        <v>1.450286578626337</v>
      </c>
      <c r="AZ427" s="32" t="str">
        <f t="shared" si="371"/>
        <v>1+123.062479101898i</v>
      </c>
      <c r="BA427" s="32">
        <f t="shared" si="397"/>
        <v>123.06654201164947</v>
      </c>
      <c r="BB427" s="32">
        <f t="shared" si="398"/>
        <v>1.5626705520031359</v>
      </c>
      <c r="BC427" s="60" t="str">
        <f t="shared" si="399"/>
        <v>-0.00468226262683724+0.0414875297351156i</v>
      </c>
      <c r="BD427" s="51">
        <f t="shared" si="400"/>
        <v>-27.586680533871078</v>
      </c>
      <c r="BE427" s="63">
        <f t="shared" si="401"/>
        <v>96.439127359401198</v>
      </c>
      <c r="BF427" s="60" t="str">
        <f t="shared" si="402"/>
        <v>-0.00321381185787873-0.00767020871971281i</v>
      </c>
      <c r="BG427" s="66">
        <f t="shared" si="403"/>
        <v>-41.601406921813322</v>
      </c>
      <c r="BH427" s="63">
        <f t="shared" si="404"/>
        <v>-112.73364845582326</v>
      </c>
      <c r="BI427" s="60" t="str">
        <f t="shared" si="357"/>
        <v>0.0279952393201171-0.00283273703628916i</v>
      </c>
      <c r="BJ427" s="66">
        <f t="shared" si="405"/>
        <v>-31.014076364800012</v>
      </c>
      <c r="BK427" s="63">
        <f t="shared" si="358"/>
        <v>-5.7778869808149276</v>
      </c>
      <c r="BL427" s="51">
        <f t="shared" si="406"/>
        <v>-41.601406921813322</v>
      </c>
      <c r="BM427" s="63">
        <f t="shared" si="407"/>
        <v>-112.73364845582326</v>
      </c>
    </row>
    <row r="428" spans="14:65" x14ac:dyDescent="0.35">
      <c r="N428" s="11">
        <v>10</v>
      </c>
      <c r="O428" s="52">
        <f t="shared" si="408"/>
        <v>125892.54117941685</v>
      </c>
      <c r="P428" s="50" t="str">
        <f t="shared" si="360"/>
        <v>36.531007751938</v>
      </c>
      <c r="Q428" s="18" t="str">
        <f t="shared" si="361"/>
        <v>1+386.305336406099i</v>
      </c>
      <c r="R428" s="18">
        <f t="shared" si="372"/>
        <v>386.30663071688184</v>
      </c>
      <c r="S428" s="18">
        <f t="shared" si="373"/>
        <v>1.5682077066747324</v>
      </c>
      <c r="T428" s="18" t="str">
        <f t="shared" si="362"/>
        <v>1+0.158201233004403i</v>
      </c>
      <c r="U428" s="18">
        <f t="shared" si="374"/>
        <v>1.0124364820195455</v>
      </c>
      <c r="V428" s="18">
        <f t="shared" si="375"/>
        <v>0.15690090370420642</v>
      </c>
      <c r="W428" s="32" t="str">
        <f t="shared" si="363"/>
        <v>1-2.62108551723271i</v>
      </c>
      <c r="X428" s="18">
        <f t="shared" si="376"/>
        <v>2.8053679417586324</v>
      </c>
      <c r="Y428" s="18">
        <f t="shared" si="377"/>
        <v>-1.2063206305843168</v>
      </c>
      <c r="Z428" s="32" t="str">
        <f t="shared" si="364"/>
        <v>0.672542728830348+1.19104640410728i</v>
      </c>
      <c r="AA428" s="18">
        <f t="shared" si="378"/>
        <v>1.3678103884820632</v>
      </c>
      <c r="AB428" s="18">
        <f t="shared" si="379"/>
        <v>1.0567634335838123</v>
      </c>
      <c r="AC428" s="68" t="str">
        <f t="shared" si="380"/>
        <v>-0.169145552265129+0.0997420929640589i</v>
      </c>
      <c r="AD428" s="66">
        <f t="shared" si="381"/>
        <v>-14.138775833485834</v>
      </c>
      <c r="AE428" s="63">
        <f t="shared" si="382"/>
        <v>149.47291103154024</v>
      </c>
      <c r="AF428" s="51" t="str">
        <f t="shared" si="383"/>
        <v>42.1703962805665</v>
      </c>
      <c r="AG428" s="51" t="str">
        <f t="shared" si="365"/>
        <v>1+69.7946616195896i</v>
      </c>
      <c r="AH428" s="51">
        <f t="shared" si="384"/>
        <v>69.801825123652847</v>
      </c>
      <c r="AI428" s="51">
        <f t="shared" si="385"/>
        <v>1.5564695637281096</v>
      </c>
      <c r="AJ428" s="51" t="str">
        <f t="shared" si="366"/>
        <v>1+0.158201233004403i</v>
      </c>
      <c r="AK428" s="51">
        <f t="shared" si="386"/>
        <v>1.0124364820195455</v>
      </c>
      <c r="AL428" s="51">
        <f t="shared" si="387"/>
        <v>0.15690090370420642</v>
      </c>
      <c r="AM428" s="51" t="str">
        <f t="shared" si="367"/>
        <v>1-0.410227882819553i</v>
      </c>
      <c r="AN428" s="51">
        <f t="shared" si="388"/>
        <v>1.0808732191347017</v>
      </c>
      <c r="AO428" s="51">
        <f t="shared" si="389"/>
        <v>-0.3892923039006041</v>
      </c>
      <c r="AP428" s="60" t="str">
        <f t="shared" si="390"/>
        <v>-0.14302806893684-0.645468022418317i</v>
      </c>
      <c r="AQ428" s="51">
        <f t="shared" si="391"/>
        <v>-3.5943310738341303</v>
      </c>
      <c r="AR428" s="63">
        <f t="shared" si="392"/>
        <v>-102.49418336857845</v>
      </c>
      <c r="AS428" s="32" t="str">
        <f t="shared" si="368"/>
        <v>-0.000133283554228113</v>
      </c>
      <c r="AT428" s="32" t="str">
        <f t="shared" si="369"/>
        <v>0.048330476682845i</v>
      </c>
      <c r="AU428" s="32">
        <f t="shared" si="393"/>
        <v>4.8330476682845E-2</v>
      </c>
      <c r="AV428" s="32">
        <f t="shared" si="394"/>
        <v>1.5707963267948966</v>
      </c>
      <c r="AW428" s="32" t="str">
        <f t="shared" si="370"/>
        <v>1+8.45022564907439i</v>
      </c>
      <c r="AX428" s="32">
        <f t="shared" si="395"/>
        <v>8.5091899450109061</v>
      </c>
      <c r="AY428" s="32">
        <f t="shared" si="396"/>
        <v>1.4530041214345422</v>
      </c>
      <c r="AZ428" s="32" t="str">
        <f t="shared" si="371"/>
        <v>1+125.928972477669i</v>
      </c>
      <c r="BA428" s="32">
        <f t="shared" si="397"/>
        <v>125.93294290725328</v>
      </c>
      <c r="BB428" s="32">
        <f t="shared" si="398"/>
        <v>1.5628555093533152</v>
      </c>
      <c r="BC428" s="60" t="str">
        <f t="shared" si="399"/>
        <v>-0.00447443656621767+0.0405677524059765i</v>
      </c>
      <c r="BD428" s="51">
        <f t="shared" si="400"/>
        <v>-27.783867579843111</v>
      </c>
      <c r="BE428" s="63">
        <f t="shared" si="401"/>
        <v>96.294020901400074</v>
      </c>
      <c r="BF428" s="60" t="str">
        <f t="shared" si="402"/>
        <v>-0.00328948148775166-0.00730814455281338i</v>
      </c>
      <c r="BG428" s="66">
        <f t="shared" si="403"/>
        <v>-41.922643413328942</v>
      </c>
      <c r="BH428" s="63">
        <f t="shared" si="404"/>
        <v>-114.23306806705969</v>
      </c>
      <c r="BI428" s="60" t="str">
        <f t="shared" si="357"/>
        <v>0.0268251569410881-0.00291422156590194i</v>
      </c>
      <c r="BJ428" s="66">
        <f t="shared" si="405"/>
        <v>-31.378198653677231</v>
      </c>
      <c r="BK428" s="63">
        <f t="shared" si="358"/>
        <v>-6.2001624671783624</v>
      </c>
      <c r="BL428" s="51">
        <f t="shared" si="406"/>
        <v>-41.922643413328942</v>
      </c>
      <c r="BM428" s="63">
        <f t="shared" si="407"/>
        <v>-114.23306806705969</v>
      </c>
    </row>
    <row r="429" spans="14:65" x14ac:dyDescent="0.35">
      <c r="N429" s="11">
        <v>11</v>
      </c>
      <c r="O429" s="52">
        <f t="shared" si="408"/>
        <v>128824.95516931375</v>
      </c>
      <c r="P429" s="50" t="str">
        <f t="shared" si="360"/>
        <v>36.531007751938</v>
      </c>
      <c r="Q429" s="18" t="str">
        <f t="shared" si="361"/>
        <v>1+395.303543625021i</v>
      </c>
      <c r="R429" s="18">
        <f t="shared" si="372"/>
        <v>395.30480847378891</v>
      </c>
      <c r="S429" s="18">
        <f t="shared" si="373"/>
        <v>1.5682666306082449</v>
      </c>
      <c r="T429" s="18" t="str">
        <f t="shared" si="362"/>
        <v>1+0.16188621310358i</v>
      </c>
      <c r="U429" s="18">
        <f t="shared" si="374"/>
        <v>1.0130188280545518</v>
      </c>
      <c r="V429" s="18">
        <f t="shared" si="375"/>
        <v>0.16049385043046566</v>
      </c>
      <c r="W429" s="32" t="str">
        <f t="shared" si="363"/>
        <v>1-2.68213844195281i</v>
      </c>
      <c r="X429" s="18">
        <f t="shared" si="376"/>
        <v>2.8624930780354823</v>
      </c>
      <c r="Y429" s="18">
        <f t="shared" si="377"/>
        <v>-1.2139234798898062</v>
      </c>
      <c r="Z429" s="32" t="str">
        <f t="shared" si="364"/>
        <v>0.657110143091412+1.21878943880417i</v>
      </c>
      <c r="AA429" s="18">
        <f t="shared" si="378"/>
        <v>1.3846448773220517</v>
      </c>
      <c r="AB429" s="18">
        <f t="shared" si="379"/>
        <v>1.0763215118987786</v>
      </c>
      <c r="AC429" s="68" t="str">
        <f t="shared" si="380"/>
        <v>-0.164337555845362+0.102214772500781i</v>
      </c>
      <c r="AD429" s="66">
        <f t="shared" si="381"/>
        <v>-14.264937701465248</v>
      </c>
      <c r="AE429" s="63">
        <f t="shared" si="382"/>
        <v>148.11918910195527</v>
      </c>
      <c r="AF429" s="51" t="str">
        <f t="shared" si="383"/>
        <v>42.1703962805665</v>
      </c>
      <c r="AG429" s="51" t="str">
        <f t="shared" si="365"/>
        <v>1+71.4203881339326i</v>
      </c>
      <c r="AH429" s="51">
        <f t="shared" si="384"/>
        <v>71.427388592903071</v>
      </c>
      <c r="AI429" s="51">
        <f t="shared" si="385"/>
        <v>1.5567956375588676</v>
      </c>
      <c r="AJ429" s="51" t="str">
        <f t="shared" si="366"/>
        <v>1+0.16188621310358i</v>
      </c>
      <c r="AK429" s="51">
        <f t="shared" si="386"/>
        <v>1.0130188280545518</v>
      </c>
      <c r="AL429" s="51">
        <f t="shared" si="387"/>
        <v>0.16049385043046566</v>
      </c>
      <c r="AM429" s="51" t="str">
        <f t="shared" si="367"/>
        <v>1-0.419783317727419i</v>
      </c>
      <c r="AN429" s="51">
        <f t="shared" si="388"/>
        <v>1.0845358610217732</v>
      </c>
      <c r="AO429" s="51">
        <f t="shared" si="389"/>
        <v>-0.39744378629090388</v>
      </c>
      <c r="AP429" s="60" t="str">
        <f t="shared" si="390"/>
        <v>-0.143418939251643-0.632586794488737i</v>
      </c>
      <c r="AQ429" s="51">
        <f t="shared" si="391"/>
        <v>-3.7599131235924466</v>
      </c>
      <c r="AR429" s="63">
        <f t="shared" si="392"/>
        <v>-102.77405087719994</v>
      </c>
      <c r="AS429" s="32" t="str">
        <f t="shared" si="368"/>
        <v>-0.000133283554228113</v>
      </c>
      <c r="AT429" s="32" t="str">
        <f t="shared" si="369"/>
        <v>0.0494562381031438i</v>
      </c>
      <c r="AU429" s="32">
        <f t="shared" si="393"/>
        <v>4.9456238103143799E-2</v>
      </c>
      <c r="AV429" s="32">
        <f t="shared" si="394"/>
        <v>1.5707963267948966</v>
      </c>
      <c r="AW429" s="32" t="str">
        <f t="shared" si="370"/>
        <v>1+8.64705668988892i</v>
      </c>
      <c r="AX429" s="32">
        <f t="shared" si="395"/>
        <v>8.7046877829220701</v>
      </c>
      <c r="AY429" s="32">
        <f t="shared" si="396"/>
        <v>1.4556614954453972</v>
      </c>
      <c r="AZ429" s="32" t="str">
        <f t="shared" si="371"/>
        <v>1+128.862235061515i</v>
      </c>
      <c r="BA429" s="32">
        <f t="shared" si="397"/>
        <v>128.86611511584087</v>
      </c>
      <c r="BB429" s="32">
        <f t="shared" si="398"/>
        <v>1.5630362570851939</v>
      </c>
      <c r="BC429" s="60" t="str">
        <f t="shared" si="399"/>
        <v>-0.00427571150893711+0.0396672994366559i</v>
      </c>
      <c r="BD429" s="51">
        <f t="shared" si="400"/>
        <v>-27.981179512099679</v>
      </c>
      <c r="BE429" s="63">
        <f t="shared" si="401"/>
        <v>96.152120668183557</v>
      </c>
      <c r="BF429" s="60" t="str">
        <f t="shared" si="402"/>
        <v>-0.00335192400875953-0.00695586791557111i</v>
      </c>
      <c r="BG429" s="66">
        <f t="shared" si="403"/>
        <v>-42.246117213564929</v>
      </c>
      <c r="BH429" s="63">
        <f t="shared" si="404"/>
        <v>-115.72869022986114</v>
      </c>
      <c r="BI429" s="60" t="str">
        <f t="shared" si="357"/>
        <v>0.0257062278058168-0.00298428337058536i</v>
      </c>
      <c r="BJ429" s="66">
        <f t="shared" si="405"/>
        <v>-31.741092635692141</v>
      </c>
      <c r="BK429" s="63">
        <f t="shared" si="358"/>
        <v>-6.6219302090163863</v>
      </c>
      <c r="BL429" s="51">
        <f t="shared" si="406"/>
        <v>-42.246117213564929</v>
      </c>
      <c r="BM429" s="63">
        <f t="shared" si="407"/>
        <v>-115.72869022986114</v>
      </c>
    </row>
    <row r="430" spans="14:65" x14ac:dyDescent="0.35">
      <c r="N430" s="11">
        <v>12</v>
      </c>
      <c r="O430" s="52">
        <f t="shared" si="408"/>
        <v>131825.67385564081</v>
      </c>
      <c r="P430" s="50" t="str">
        <f t="shared" si="360"/>
        <v>36.531007751938</v>
      </c>
      <c r="Q430" s="18" t="str">
        <f t="shared" si="361"/>
        <v>1+404.511346015232i</v>
      </c>
      <c r="R430" s="18">
        <f t="shared" si="372"/>
        <v>404.51258207261577</v>
      </c>
      <c r="S430" s="18">
        <f t="shared" si="373"/>
        <v>1.5683242132862525</v>
      </c>
      <c r="T430" s="18" t="str">
        <f t="shared" si="362"/>
        <v>1+0.165657027415762i</v>
      </c>
      <c r="U430" s="18">
        <f t="shared" si="374"/>
        <v>1.0136282606223184</v>
      </c>
      <c r="V430" s="18">
        <f t="shared" si="375"/>
        <v>0.16416616516504487</v>
      </c>
      <c r="W430" s="32" t="str">
        <f t="shared" si="363"/>
        <v>1-2.74461347197712i</v>
      </c>
      <c r="X430" s="18">
        <f t="shared" si="376"/>
        <v>2.9211133340831372</v>
      </c>
      <c r="Y430" s="18">
        <f t="shared" si="377"/>
        <v>-1.2213951495418274</v>
      </c>
      <c r="Z430" s="32" t="str">
        <f t="shared" si="364"/>
        <v>0.640950241993931+1.2471786917941i</v>
      </c>
      <c r="AA430" s="18">
        <f t="shared" si="378"/>
        <v>1.4022381759092573</v>
      </c>
      <c r="AB430" s="18">
        <f t="shared" si="379"/>
        <v>1.0960747253891818</v>
      </c>
      <c r="AC430" s="68" t="str">
        <f t="shared" si="380"/>
        <v>-0.159503958984963+0.104510001956882i</v>
      </c>
      <c r="AD430" s="66">
        <f t="shared" si="381"/>
        <v>-14.393301012628623</v>
      </c>
      <c r="AE430" s="63">
        <f t="shared" si="382"/>
        <v>146.76642709106972</v>
      </c>
      <c r="AF430" s="51" t="str">
        <f t="shared" si="383"/>
        <v>42.1703962805665</v>
      </c>
      <c r="AG430" s="51" t="str">
        <f t="shared" si="365"/>
        <v>1+73.0839826834246i</v>
      </c>
      <c r="AH430" s="51">
        <f t="shared" si="384"/>
        <v>73.090823807582751</v>
      </c>
      <c r="AI430" s="51">
        <f t="shared" si="385"/>
        <v>1.5571142919201251</v>
      </c>
      <c r="AJ430" s="51" t="str">
        <f t="shared" si="366"/>
        <v>1+0.165657027415762i</v>
      </c>
      <c r="AK430" s="51">
        <f t="shared" si="386"/>
        <v>1.0136282606223184</v>
      </c>
      <c r="AL430" s="51">
        <f t="shared" si="387"/>
        <v>0.16416616516504487</v>
      </c>
      <c r="AM430" s="51" t="str">
        <f t="shared" si="367"/>
        <v>1-0.429561327306832i</v>
      </c>
      <c r="AN430" s="51">
        <f t="shared" si="388"/>
        <v>1.0883579070864544</v>
      </c>
      <c r="AO430" s="51">
        <f t="shared" si="389"/>
        <v>-0.40572778021954603</v>
      </c>
      <c r="AP430" s="60" t="str">
        <f t="shared" si="390"/>
        <v>-0.143792224245559-0.620040479778333i</v>
      </c>
      <c r="AQ430" s="51">
        <f t="shared" si="391"/>
        <v>-3.924094548205912</v>
      </c>
      <c r="AR430" s="63">
        <f t="shared" si="392"/>
        <v>-103.05653818151154</v>
      </c>
      <c r="AS430" s="32" t="str">
        <f t="shared" si="368"/>
        <v>-0.000133283554228113</v>
      </c>
      <c r="AT430" s="32" t="str">
        <f t="shared" si="369"/>
        <v>0.0506082218755153i</v>
      </c>
      <c r="AU430" s="32">
        <f t="shared" si="393"/>
        <v>5.0608221875515301E-2</v>
      </c>
      <c r="AV430" s="32">
        <f t="shared" si="394"/>
        <v>1.5707963267948966</v>
      </c>
      <c r="AW430" s="32" t="str">
        <f t="shared" si="370"/>
        <v>1+8.84847251461773i</v>
      </c>
      <c r="AX430" s="32">
        <f t="shared" si="395"/>
        <v>8.9048001573278128</v>
      </c>
      <c r="AY430" s="32">
        <f t="shared" si="396"/>
        <v>1.4582599594295589</v>
      </c>
      <c r="AZ430" s="32" t="str">
        <f t="shared" si="371"/>
        <v>1+131.863822108084i</v>
      </c>
      <c r="BA430" s="32">
        <f t="shared" si="397"/>
        <v>131.86761384415973</v>
      </c>
      <c r="BB430" s="32">
        <f t="shared" si="398"/>
        <v>1.5632128909863447</v>
      </c>
      <c r="BC430" s="60" t="str">
        <f t="shared" si="399"/>
        <v>-0.0040856996475171+0.0387858354374751i</v>
      </c>
      <c r="BD430" s="51">
        <f t="shared" si="400"/>
        <v>-28.178610859003037</v>
      </c>
      <c r="BE430" s="63">
        <f t="shared" si="401"/>
        <v>96.013360025729227</v>
      </c>
      <c r="BF430" s="60" t="str">
        <f t="shared" si="402"/>
        <v>-0.00340182246846738-0.0066134907829738i</v>
      </c>
      <c r="BG430" s="66">
        <f t="shared" si="403"/>
        <v>-42.571911871631656</v>
      </c>
      <c r="BH430" s="63">
        <f t="shared" si="404"/>
        <v>-117.22021288320104</v>
      </c>
      <c r="BI430" s="60" t="str">
        <f t="shared" si="357"/>
        <v>0.0246362798531713-0.0030438023771001i</v>
      </c>
      <c r="BJ430" s="66">
        <f t="shared" si="405"/>
        <v>-32.102705407208944</v>
      </c>
      <c r="BK430" s="63">
        <f t="shared" si="358"/>
        <v>-7.0431781557823303</v>
      </c>
      <c r="BL430" s="51">
        <f t="shared" si="406"/>
        <v>-42.571911871631656</v>
      </c>
      <c r="BM430" s="63">
        <f t="shared" si="407"/>
        <v>-117.22021288320104</v>
      </c>
    </row>
    <row r="431" spans="14:65" x14ac:dyDescent="0.35">
      <c r="N431" s="11">
        <v>13</v>
      </c>
      <c r="O431" s="52">
        <f t="shared" si="408"/>
        <v>134896.28825916545</v>
      </c>
      <c r="P431" s="50" t="str">
        <f t="shared" si="360"/>
        <v>36.531007751938</v>
      </c>
      <c r="Q431" s="18" t="str">
        <f t="shared" si="361"/>
        <v>1+413.933625675443i</v>
      </c>
      <c r="R431" s="18">
        <f t="shared" si="372"/>
        <v>413.9348335968088</v>
      </c>
      <c r="S431" s="18">
        <f t="shared" si="373"/>
        <v>1.568380485238325</v>
      </c>
      <c r="T431" s="18" t="str">
        <f t="shared" si="362"/>
        <v>1+0.16951567527661i</v>
      </c>
      <c r="U431" s="18">
        <f t="shared" si="374"/>
        <v>1.0142660223848994</v>
      </c>
      <c r="V431" s="18">
        <f t="shared" si="375"/>
        <v>0.16791939862132602</v>
      </c>
      <c r="W431" s="32" t="str">
        <f t="shared" si="363"/>
        <v>1-2.80854373239354i</v>
      </c>
      <c r="X431" s="18">
        <f t="shared" si="376"/>
        <v>2.9812611252231891</v>
      </c>
      <c r="Y431" s="18">
        <f t="shared" si="377"/>
        <v>-1.2287362632351633</v>
      </c>
      <c r="Z431" s="32" t="str">
        <f t="shared" si="364"/>
        <v>0.624028748221078+1.27622921543478i</v>
      </c>
      <c r="AA431" s="18">
        <f t="shared" si="378"/>
        <v>1.4206241195107312</v>
      </c>
      <c r="AB431" s="18">
        <f t="shared" si="379"/>
        <v>1.1160173134512505</v>
      </c>
      <c r="AC431" s="68" t="str">
        <f t="shared" si="380"/>
        <v>-0.154650961808417+0.106626782161899i</v>
      </c>
      <c r="AD431" s="66">
        <f t="shared" si="381"/>
        <v>-14.523952235772754</v>
      </c>
      <c r="AE431" s="63">
        <f t="shared" si="382"/>
        <v>145.41500642220493</v>
      </c>
      <c r="AF431" s="51" t="str">
        <f t="shared" si="383"/>
        <v>42.1703962805665</v>
      </c>
      <c r="AG431" s="51" t="str">
        <f t="shared" si="365"/>
        <v>1+74.7863273279164i</v>
      </c>
      <c r="AH431" s="51">
        <f t="shared" si="384"/>
        <v>74.793012743158386</v>
      </c>
      <c r="AI431" s="51">
        <f t="shared" si="385"/>
        <v>1.5574256955076431</v>
      </c>
      <c r="AJ431" s="51" t="str">
        <f t="shared" si="366"/>
        <v>1+0.16951567527661i</v>
      </c>
      <c r="AK431" s="51">
        <f t="shared" si="386"/>
        <v>1.0142660223848994</v>
      </c>
      <c r="AL431" s="51">
        <f t="shared" si="387"/>
        <v>0.16791939862132602</v>
      </c>
      <c r="AM431" s="51" t="str">
        <f t="shared" si="367"/>
        <v>1-0.439567095987901i</v>
      </c>
      <c r="AN431" s="51">
        <f t="shared" si="388"/>
        <v>1.092345747405663</v>
      </c>
      <c r="AO431" s="51">
        <f t="shared" si="389"/>
        <v>-0.41414412903512704</v>
      </c>
      <c r="AP431" s="60" t="str">
        <f t="shared" si="390"/>
        <v>-0.144148714795417-0.607822458936569i</v>
      </c>
      <c r="AQ431" s="51">
        <f t="shared" si="391"/>
        <v>-4.0868269201277023</v>
      </c>
      <c r="AR431" s="63">
        <f t="shared" si="392"/>
        <v>-103.34155712227205</v>
      </c>
      <c r="AS431" s="32" t="str">
        <f t="shared" si="368"/>
        <v>-0.000133283554228113</v>
      </c>
      <c r="AT431" s="32" t="str">
        <f t="shared" si="369"/>
        <v>0.0517870387970044i</v>
      </c>
      <c r="AU431" s="32">
        <f t="shared" si="393"/>
        <v>5.17870387970044E-2</v>
      </c>
      <c r="AV431" s="32">
        <f t="shared" si="394"/>
        <v>1.5707963267948966</v>
      </c>
      <c r="AW431" s="32" t="str">
        <f t="shared" si="370"/>
        <v>1+9.05457991659718i</v>
      </c>
      <c r="AX431" s="32">
        <f t="shared" si="395"/>
        <v>9.1096332234643231</v>
      </c>
      <c r="AY431" s="32">
        <f t="shared" si="396"/>
        <v>1.4608007506921887</v>
      </c>
      <c r="AZ431" s="32" t="str">
        <f t="shared" si="371"/>
        <v>1+134.935325098558i</v>
      </c>
      <c r="BA431" s="32">
        <f t="shared" si="397"/>
        <v>134.93903052658092</v>
      </c>
      <c r="BB431" s="32">
        <f t="shared" si="398"/>
        <v>1.5633855046662877</v>
      </c>
      <c r="BC431" s="60" t="str">
        <f t="shared" si="399"/>
        <v>-0.00390402876472485+0.0379230260123234i</v>
      </c>
      <c r="BD431" s="51">
        <f t="shared" si="400"/>
        <v>-28.376156382303101</v>
      </c>
      <c r="BE431" s="63">
        <f t="shared" si="401"/>
        <v>95.877673445103767</v>
      </c>
      <c r="BF431" s="60" t="str">
        <f t="shared" si="402"/>
        <v>-0.00343984843014361-0.00628110647214153i</v>
      </c>
      <c r="BG431" s="66">
        <f t="shared" si="403"/>
        <v>-42.900108618075862</v>
      </c>
      <c r="BH431" s="63">
        <f t="shared" si="404"/>
        <v>-118.70732013269129</v>
      </c>
      <c r="BI431" s="60" t="str">
        <f t="shared" si="357"/>
        <v>0.0236132276500853-0.00309359909729543i</v>
      </c>
      <c r="BJ431" s="66">
        <f t="shared" si="405"/>
        <v>-32.4629833024308</v>
      </c>
      <c r="BK431" s="63">
        <f t="shared" si="358"/>
        <v>-7.4638836771682824</v>
      </c>
      <c r="BL431" s="51">
        <f t="shared" si="406"/>
        <v>-42.900108618075862</v>
      </c>
      <c r="BM431" s="63">
        <f t="shared" si="407"/>
        <v>-118.70732013269129</v>
      </c>
    </row>
    <row r="432" spans="14:65" x14ac:dyDescent="0.35">
      <c r="N432" s="11">
        <v>14</v>
      </c>
      <c r="O432" s="52">
        <f t="shared" si="408"/>
        <v>138038.42646028858</v>
      </c>
      <c r="P432" s="50" t="str">
        <f t="shared" si="360"/>
        <v>36.531007751938</v>
      </c>
      <c r="Q432" s="18" t="str">
        <f t="shared" si="361"/>
        <v>1+423.575378423045i</v>
      </c>
      <c r="R432" s="18">
        <f t="shared" si="372"/>
        <v>423.57655884884116</v>
      </c>
      <c r="S432" s="18">
        <f t="shared" si="373"/>
        <v>1.5684354762991701</v>
      </c>
      <c r="T432" s="18" t="str">
        <f t="shared" si="362"/>
        <v>1+0.173464202592295i</v>
      </c>
      <c r="U432" s="18">
        <f t="shared" si="374"/>
        <v>1.0149334114024333</v>
      </c>
      <c r="V432" s="18">
        <f t="shared" si="375"/>
        <v>0.17175511763295595</v>
      </c>
      <c r="W432" s="32" t="str">
        <f t="shared" si="363"/>
        <v>1-2.87396311987235i</v>
      </c>
      <c r="X432" s="18">
        <f t="shared" si="376"/>
        <v>3.0429696045781349</v>
      </c>
      <c r="Y432" s="18">
        <f t="shared" si="377"/>
        <v>-1.235947547345067</v>
      </c>
      <c r="Z432" s="32" t="str">
        <f t="shared" si="364"/>
        <v>0.606309769015858+1.30595641269838i</v>
      </c>
      <c r="AA432" s="18">
        <f t="shared" si="378"/>
        <v>1.4398380769628523</v>
      </c>
      <c r="AB432" s="18">
        <f t="shared" si="379"/>
        <v>1.1361432062021488</v>
      </c>
      <c r="AC432" s="68" t="str">
        <f t="shared" si="380"/>
        <v>-0.149784953546855+0.108564447937063i</v>
      </c>
      <c r="AD432" s="66">
        <f t="shared" si="381"/>
        <v>-14.656975107394402</v>
      </c>
      <c r="AE432" s="63">
        <f t="shared" si="382"/>
        <v>144.06532131934529</v>
      </c>
      <c r="AF432" s="51" t="str">
        <f t="shared" si="383"/>
        <v>42.1703962805665</v>
      </c>
      <c r="AG432" s="51" t="str">
        <f t="shared" si="365"/>
        <v>1+76.5283246730716i</v>
      </c>
      <c r="AH432" s="51">
        <f t="shared" si="384"/>
        <v>76.534857922825324</v>
      </c>
      <c r="AI432" s="51">
        <f t="shared" si="385"/>
        <v>1.5577300131900069</v>
      </c>
      <c r="AJ432" s="51" t="str">
        <f t="shared" si="366"/>
        <v>1+0.173464202592295i</v>
      </c>
      <c r="AK432" s="51">
        <f t="shared" si="386"/>
        <v>1.0149334114024333</v>
      </c>
      <c r="AL432" s="51">
        <f t="shared" si="387"/>
        <v>0.17175511763295595</v>
      </c>
      <c r="AM432" s="51" t="str">
        <f t="shared" si="367"/>
        <v>1-0.449805928961621i</v>
      </c>
      <c r="AN432" s="51">
        <f t="shared" si="388"/>
        <v>1.0965059843562308</v>
      </c>
      <c r="AO432" s="51">
        <f t="shared" si="389"/>
        <v>-0.42269252477560865</v>
      </c>
      <c r="AP432" s="60" t="str">
        <f t="shared" si="390"/>
        <v>-0.144489166234882-0.595926284485954i</v>
      </c>
      <c r="AQ432" s="51">
        <f t="shared" si="391"/>
        <v>-4.248060845782776</v>
      </c>
      <c r="AR432" s="63">
        <f t="shared" si="392"/>
        <v>-103.62900972787551</v>
      </c>
      <c r="AS432" s="32" t="str">
        <f t="shared" si="368"/>
        <v>-0.000133283554228113</v>
      </c>
      <c r="AT432" s="32" t="str">
        <f t="shared" si="369"/>
        <v>0.0529933138919461i</v>
      </c>
      <c r="AU432" s="32">
        <f t="shared" si="393"/>
        <v>5.2993313891946101E-2</v>
      </c>
      <c r="AV432" s="32">
        <f t="shared" si="394"/>
        <v>1.5707963267948966</v>
      </c>
      <c r="AW432" s="32" t="str">
        <f t="shared" si="370"/>
        <v>1+9.26548817669995i</v>
      </c>
      <c r="AX432" s="32">
        <f t="shared" si="395"/>
        <v>9.3192956360750028</v>
      </c>
      <c r="AY432" s="32">
        <f t="shared" si="396"/>
        <v>1.4632850851042314</v>
      </c>
      <c r="AZ432" s="32" t="str">
        <f t="shared" si="371"/>
        <v>1+138.07837258448i</v>
      </c>
      <c r="BA432" s="32">
        <f t="shared" si="397"/>
        <v>138.08199366890125</v>
      </c>
      <c r="BB432" s="32">
        <f t="shared" si="398"/>
        <v>1.5635541896059122</v>
      </c>
      <c r="BC432" s="60" t="str">
        <f t="shared" si="399"/>
        <v>-0.00373034168900525+0.0370785381441022i</v>
      </c>
      <c r="BD432" s="51">
        <f t="shared" si="400"/>
        <v>-28.573811067734184</v>
      </c>
      <c r="BE432" s="63">
        <f t="shared" si="401"/>
        <v>95.744996503502492</v>
      </c>
      <c r="BF432" s="60" t="str">
        <f t="shared" si="402"/>
        <v>-0.00346666196732624-0.0059587895995831i</v>
      </c>
      <c r="BG432" s="66">
        <f t="shared" si="403"/>
        <v>-43.230786175128593</v>
      </c>
      <c r="BH432" s="63">
        <f t="shared" si="404"/>
        <v>-120.18968217715224</v>
      </c>
      <c r="BI432" s="60" t="str">
        <f t="shared" si="357"/>
        <v>0.0226350694308011-0.00313443839905764i</v>
      </c>
      <c r="BJ432" s="66">
        <f t="shared" si="405"/>
        <v>-32.821871913516965</v>
      </c>
      <c r="BK432" s="63">
        <f t="shared" si="358"/>
        <v>-7.8840132243730432</v>
      </c>
      <c r="BL432" s="51">
        <f t="shared" si="406"/>
        <v>-43.230786175128593</v>
      </c>
      <c r="BM432" s="63">
        <f t="shared" si="407"/>
        <v>-120.18968217715224</v>
      </c>
    </row>
    <row r="433" spans="14:65" x14ac:dyDescent="0.35">
      <c r="N433" s="11">
        <v>15</v>
      </c>
      <c r="O433" s="52">
        <f t="shared" si="408"/>
        <v>141253.75446227577</v>
      </c>
      <c r="P433" s="50" t="str">
        <f t="shared" si="360"/>
        <v>36.531007751938</v>
      </c>
      <c r="Q433" s="18" t="str">
        <f t="shared" si="361"/>
        <v>1+433.441716442972i</v>
      </c>
      <c r="R433" s="18">
        <f t="shared" si="372"/>
        <v>433.44286999906888</v>
      </c>
      <c r="S433" s="18">
        <f t="shared" si="373"/>
        <v>1.5684892156244448</v>
      </c>
      <c r="T433" s="18" t="str">
        <f t="shared" si="362"/>
        <v>1+0.177504702924265i</v>
      </c>
      <c r="U433" s="18">
        <f t="shared" si="374"/>
        <v>1.0156317834531525</v>
      </c>
      <c r="V433" s="18">
        <f t="shared" si="375"/>
        <v>0.17567490425129303</v>
      </c>
      <c r="W433" s="32" t="str">
        <f t="shared" si="363"/>
        <v>1-2.94090632063871i</v>
      </c>
      <c r="X433" s="18">
        <f t="shared" si="376"/>
        <v>3.106272683904733</v>
      </c>
      <c r="Y433" s="18">
        <f t="shared" si="377"/>
        <v>-1.2430298244015934</v>
      </c>
      <c r="Z433" s="32" t="str">
        <f t="shared" si="364"/>
        <v>0.58775572004775+1.33637604533836i</v>
      </c>
      <c r="AA433" s="18">
        <f t="shared" si="378"/>
        <v>1.4599170253829648</v>
      </c>
      <c r="AB433" s="18">
        <f t="shared" si="379"/>
        <v>1.1564460300721797</v>
      </c>
      <c r="AC433" s="68" t="str">
        <f t="shared" si="380"/>
        <v>-0.144912487184724+0.110322687322188i</v>
      </c>
      <c r="AD433" s="66">
        <f t="shared" si="381"/>
        <v>-14.792450455924911</v>
      </c>
      <c r="AE433" s="63">
        <f t="shared" si="382"/>
        <v>142.71777880800428</v>
      </c>
      <c r="AF433" s="51" t="str">
        <f t="shared" si="383"/>
        <v>42.1703962805665</v>
      </c>
      <c r="AG433" s="51" t="str">
        <f t="shared" si="365"/>
        <v>1+78.3108983489406i</v>
      </c>
      <c r="AH433" s="51">
        <f t="shared" si="384"/>
        <v>78.317282896038378</v>
      </c>
      <c r="AI433" s="51">
        <f t="shared" si="385"/>
        <v>1.5580274060948893</v>
      </c>
      <c r="AJ433" s="51" t="str">
        <f t="shared" si="366"/>
        <v>1+0.177504702924265i</v>
      </c>
      <c r="AK433" s="51">
        <f t="shared" si="386"/>
        <v>1.0156317834531525</v>
      </c>
      <c r="AL433" s="51">
        <f t="shared" si="387"/>
        <v>0.17567490425129303</v>
      </c>
      <c r="AM433" s="51" t="str">
        <f t="shared" si="367"/>
        <v>1-0.460283254992762i</v>
      </c>
      <c r="AN433" s="51">
        <f t="shared" si="388"/>
        <v>1.1008454363927445</v>
      </c>
      <c r="AO433" s="51">
        <f t="shared" si="389"/>
        <v>-0.43137250147250317</v>
      </c>
      <c r="AP433" s="60" t="str">
        <f t="shared" si="390"/>
        <v>-0.144814299949568-0.584345677549708i</v>
      </c>
      <c r="AQ433" s="51">
        <f t="shared" si="391"/>
        <v>-4.4077459995060266</v>
      </c>
      <c r="AR433" s="63">
        <f t="shared" si="392"/>
        <v>-103.91878788736371</v>
      </c>
      <c r="AS433" s="32" t="str">
        <f t="shared" si="368"/>
        <v>-0.000133283554228113</v>
      </c>
      <c r="AT433" s="32" t="str">
        <f t="shared" si="369"/>
        <v>0.0542276867433629i</v>
      </c>
      <c r="AU433" s="32">
        <f t="shared" si="393"/>
        <v>5.4227686743362903E-2</v>
      </c>
      <c r="AV433" s="32">
        <f t="shared" si="394"/>
        <v>1.5707963267948966</v>
      </c>
      <c r="AW433" s="32" t="str">
        <f t="shared" si="370"/>
        <v>1+9.48130912127726i</v>
      </c>
      <c r="AX433" s="32">
        <f t="shared" si="395"/>
        <v>9.5338986072443284</v>
      </c>
      <c r="AY433" s="32">
        <f t="shared" si="396"/>
        <v>1.4657141571611378</v>
      </c>
      <c r="AZ433" s="32" t="str">
        <f t="shared" si="371"/>
        <v>1+141.294631051229i</v>
      </c>
      <c r="BA433" s="32">
        <f t="shared" si="397"/>
        <v>141.29816971179395</v>
      </c>
      <c r="BB433" s="32">
        <f t="shared" si="398"/>
        <v>1.563719035205785</v>
      </c>
      <c r="BC433" s="60" t="str">
        <f t="shared" si="399"/>
        <v>-0.00356429576146353+0.0362520405478282i</v>
      </c>
      <c r="BD433" s="51">
        <f t="shared" si="400"/>
        <v>-28.77157011594317</v>
      </c>
      <c r="BE433" s="63">
        <f t="shared" si="401"/>
        <v>95.615265883652611</v>
      </c>
      <c r="BF433" s="60" t="str">
        <f t="shared" si="402"/>
        <v>-0.00348291157029368-0.00564659604812299i</v>
      </c>
      <c r="BG433" s="66">
        <f t="shared" si="403"/>
        <v>-43.564020571868085</v>
      </c>
      <c r="BH433" s="63">
        <f t="shared" si="404"/>
        <v>-121.66695530834306</v>
      </c>
      <c r="BI433" s="60" t="str">
        <f t="shared" si="357"/>
        <v>0.0216998841919897-0.00316703305195714i</v>
      </c>
      <c r="BJ433" s="66">
        <f t="shared" si="405"/>
        <v>-33.179316115449204</v>
      </c>
      <c r="BK433" s="63">
        <f t="shared" si="358"/>
        <v>-8.3035220037111053</v>
      </c>
      <c r="BL433" s="51">
        <f t="shared" si="406"/>
        <v>-43.564020571868085</v>
      </c>
      <c r="BM433" s="63">
        <f t="shared" si="407"/>
        <v>-121.66695530834306</v>
      </c>
    </row>
    <row r="434" spans="14:65" x14ac:dyDescent="0.35">
      <c r="N434" s="11">
        <v>16</v>
      </c>
      <c r="O434" s="52">
        <f t="shared" si="408"/>
        <v>144543.97707459307</v>
      </c>
      <c r="P434" s="50" t="str">
        <f t="shared" si="360"/>
        <v>36.531007751938</v>
      </c>
      <c r="Q434" s="18" t="str">
        <f t="shared" si="361"/>
        <v>1+443.537870998234i</v>
      </c>
      <c r="R434" s="18">
        <f t="shared" si="372"/>
        <v>443.53899829625584</v>
      </c>
      <c r="S434" s="18">
        <f t="shared" si="373"/>
        <v>1.5685417317062087</v>
      </c>
      <c r="T434" s="18" t="str">
        <f t="shared" si="362"/>
        <v>1+0.181639318599277i</v>
      </c>
      <c r="U434" s="18">
        <f t="shared" si="374"/>
        <v>1.0163625544367569</v>
      </c>
      <c r="V434" s="18">
        <f t="shared" si="375"/>
        <v>0.17968035474771532</v>
      </c>
      <c r="W434" s="32" t="str">
        <f t="shared" si="363"/>
        <v>1-3.00940882886377i</v>
      </c>
      <c r="X434" s="18">
        <f t="shared" si="376"/>
        <v>3.1712050547454682</v>
      </c>
      <c r="Y434" s="18">
        <f t="shared" si="377"/>
        <v>-1.2499840067027486</v>
      </c>
      <c r="Z434" s="32" t="str">
        <f t="shared" si="364"/>
        <v>0.568327245691312+1.36750424224661i</v>
      </c>
      <c r="AA434" s="18">
        <f t="shared" si="378"/>
        <v>1.4808996288599532</v>
      </c>
      <c r="AB434" s="18">
        <f t="shared" si="379"/>
        <v>1.1769191144277833</v>
      </c>
      <c r="AC434" s="68" t="str">
        <f t="shared" si="380"/>
        <v>-0.140040252104685+0.111901558742915i</v>
      </c>
      <c r="AD434" s="66">
        <f t="shared" si="381"/>
        <v>-14.930456031012696</v>
      </c>
      <c r="AE434" s="63">
        <f t="shared" si="382"/>
        <v>141.37279864364405</v>
      </c>
      <c r="AF434" s="51" t="str">
        <f t="shared" si="383"/>
        <v>42.1703962805665</v>
      </c>
      <c r="AG434" s="51" t="str">
        <f t="shared" si="365"/>
        <v>1+80.1349934996814i</v>
      </c>
      <c r="AH434" s="51">
        <f t="shared" si="384"/>
        <v>80.141232728190431</v>
      </c>
      <c r="AI434" s="51">
        <f t="shared" si="385"/>
        <v>1.5583180316934067</v>
      </c>
      <c r="AJ434" s="51" t="str">
        <f t="shared" si="366"/>
        <v>1+0.181639318599277i</v>
      </c>
      <c r="AK434" s="51">
        <f t="shared" si="386"/>
        <v>1.0163625544367569</v>
      </c>
      <c r="AL434" s="51">
        <f t="shared" si="387"/>
        <v>0.17968035474771532</v>
      </c>
      <c r="AM434" s="51" t="str">
        <f t="shared" si="367"/>
        <v>1-0.471004629298269i</v>
      </c>
      <c r="AN434" s="51">
        <f t="shared" si="388"/>
        <v>1.1053711416625638</v>
      </c>
      <c r="AO434" s="51">
        <f t="shared" si="389"/>
        <v>-0.44018342859642923</v>
      </c>
      <c r="AP434" s="60" t="str">
        <f t="shared" si="390"/>
        <v>-0.145124804900781-0.573074524659087i</v>
      </c>
      <c r="AQ434" s="51">
        <f t="shared" si="391"/>
        <v>-4.565831162015253</v>
      </c>
      <c r="AR434" s="63">
        <f t="shared" si="392"/>
        <v>-104.21077303688193</v>
      </c>
      <c r="AS434" s="32" t="str">
        <f t="shared" si="368"/>
        <v>-0.000133283554228113</v>
      </c>
      <c r="AT434" s="32" t="str">
        <f t="shared" si="369"/>
        <v>0.0554908118320792i</v>
      </c>
      <c r="AU434" s="32">
        <f t="shared" si="393"/>
        <v>5.5490811832079198E-2</v>
      </c>
      <c r="AV434" s="32">
        <f t="shared" si="394"/>
        <v>1.5707963267948966</v>
      </c>
      <c r="AW434" s="32" t="str">
        <f t="shared" si="370"/>
        <v>1+9.70215718145061i</v>
      </c>
      <c r="AX434" s="32">
        <f t="shared" si="395"/>
        <v>9.7535559655734598</v>
      </c>
      <c r="AY434" s="32">
        <f t="shared" si="396"/>
        <v>1.4680891400667782</v>
      </c>
      <c r="AZ434" s="32" t="str">
        <f t="shared" si="371"/>
        <v>1+144.585805801618i</v>
      </c>
      <c r="BA434" s="32">
        <f t="shared" si="397"/>
        <v>144.58926391438331</v>
      </c>
      <c r="BB434" s="32">
        <f t="shared" si="398"/>
        <v>1.5638801288333684</v>
      </c>
      <c r="BC434" s="60" t="str">
        <f t="shared" si="399"/>
        <v>-0.00340556231491228+0.0354432039933386i</v>
      </c>
      <c r="BD434" s="51">
        <f t="shared" si="400"/>
        <v>-28.969428933739486</v>
      </c>
      <c r="BE434" s="63">
        <f t="shared" si="401"/>
        <v>95.488419371710691</v>
      </c>
      <c r="BF434" s="60" t="str">
        <f t="shared" si="402"/>
        <v>-0.00348923396855917-0.00534456295405973i</v>
      </c>
      <c r="BG434" s="66">
        <f t="shared" si="403"/>
        <v>-43.899884964752182</v>
      </c>
      <c r="BH434" s="63">
        <f t="shared" si="404"/>
        <v>-123.13878198464526</v>
      </c>
      <c r="BI434" s="60" t="str">
        <f t="shared" ref="BI434:BI497" si="409">IMPRODUCT(AP434,BC434)</f>
        <v>0.0208058288474067-0.00319204705977659i</v>
      </c>
      <c r="BJ434" s="66">
        <f t="shared" si="405"/>
        <v>-33.53526009575473</v>
      </c>
      <c r="BK434" s="63">
        <f t="shared" ref="BK434:BK497" si="410">(180/PI())*IMARGUMENT(BI434)</f>
        <v>-8.7223536651712283</v>
      </c>
      <c r="BL434" s="51">
        <f t="shared" si="406"/>
        <v>-43.899884964752182</v>
      </c>
      <c r="BM434" s="63">
        <f t="shared" si="407"/>
        <v>-123.13878198464526</v>
      </c>
    </row>
    <row r="435" spans="14:65" x14ac:dyDescent="0.35">
      <c r="N435" s="11">
        <v>17</v>
      </c>
      <c r="O435" s="52">
        <f t="shared" si="408"/>
        <v>147910.83881682079</v>
      </c>
      <c r="P435" s="50" t="str">
        <f t="shared" si="360"/>
        <v>36.531007751938</v>
      </c>
      <c r="Q435" s="18" t="str">
        <f t="shared" si="361"/>
        <v>1+453.869195203618i</v>
      </c>
      <c r="R435" s="18">
        <f t="shared" si="372"/>
        <v>453.87029684126708</v>
      </c>
      <c r="S435" s="18">
        <f t="shared" si="373"/>
        <v>1.5685930523880238</v>
      </c>
      <c r="T435" s="18" t="str">
        <f t="shared" si="362"/>
        <v>1+0.185870241845291i</v>
      </c>
      <c r="U435" s="18">
        <f t="shared" si="374"/>
        <v>1.0171272028628606</v>
      </c>
      <c r="V435" s="18">
        <f t="shared" si="375"/>
        <v>0.18377307851517716</v>
      </c>
      <c r="W435" s="32" t="str">
        <f t="shared" si="363"/>
        <v>1-3.07950696548412i</v>
      </c>
      <c r="X435" s="18">
        <f t="shared" si="376"/>
        <v>3.2378022099049244</v>
      </c>
      <c r="Y435" s="18">
        <f t="shared" si="377"/>
        <v>-1.2568110900830609</v>
      </c>
      <c r="Z435" s="32" t="str">
        <f t="shared" si="364"/>
        <v>0.547983135547613+1.39935750800516i</v>
      </c>
      <c r="AA435" s="18">
        <f t="shared" si="378"/>
        <v>1.5028263213209319</v>
      </c>
      <c r="AB435" s="18">
        <f t="shared" si="379"/>
        <v>1.197555499210375</v>
      </c>
      <c r="AC435" s="68" t="str">
        <f t="shared" si="380"/>
        <v>-0.135175044916382+0.113301505884675i</v>
      </c>
      <c r="AD435" s="66">
        <f t="shared" si="381"/>
        <v>-15.071066338308468</v>
      </c>
      <c r="AE435" s="63">
        <f t="shared" si="382"/>
        <v>140.03081316723598</v>
      </c>
      <c r="AF435" s="51" t="str">
        <f t="shared" si="383"/>
        <v>42.1703962805665</v>
      </c>
      <c r="AG435" s="51" t="str">
        <f t="shared" si="365"/>
        <v>1+82.0015772846875i</v>
      </c>
      <c r="AH435" s="51">
        <f t="shared" si="384"/>
        <v>82.007674501698787</v>
      </c>
      <c r="AI435" s="51">
        <f t="shared" si="385"/>
        <v>1.558602043882608</v>
      </c>
      <c r="AJ435" s="51" t="str">
        <f t="shared" si="366"/>
        <v>1+0.185870241845291i</v>
      </c>
      <c r="AK435" s="51">
        <f t="shared" si="386"/>
        <v>1.0171272028628606</v>
      </c>
      <c r="AL435" s="51">
        <f t="shared" si="387"/>
        <v>0.18377307851517716</v>
      </c>
      <c r="AM435" s="51" t="str">
        <f t="shared" si="367"/>
        <v>1-0.481975736492712i</v>
      </c>
      <c r="AN435" s="51">
        <f t="shared" si="388"/>
        <v>1.1100903614425683</v>
      </c>
      <c r="AO435" s="51">
        <f t="shared" si="389"/>
        <v>-0.44912450468900245</v>
      </c>
      <c r="AP435" s="60" t="str">
        <f t="shared" si="390"/>
        <v>-0.145421339081027-0.56210687463932i</v>
      </c>
      <c r="AQ435" s="51">
        <f t="shared" si="391"/>
        <v>-4.7222642635131127</v>
      </c>
      <c r="AR435" s="63">
        <f t="shared" si="392"/>
        <v>-104.50483586247479</v>
      </c>
      <c r="AS435" s="32" t="str">
        <f t="shared" si="368"/>
        <v>-0.000133283554228113</v>
      </c>
      <c r="AT435" s="32" t="str">
        <f t="shared" si="369"/>
        <v>0.0567833588837365i</v>
      </c>
      <c r="AU435" s="32">
        <f t="shared" si="393"/>
        <v>5.67833588837365E-2</v>
      </c>
      <c r="AV435" s="32">
        <f t="shared" si="394"/>
        <v>1.5707963267948966</v>
      </c>
      <c r="AW435" s="32" t="str">
        <f t="shared" si="370"/>
        <v>1+9.92814945378478i</v>
      </c>
      <c r="AX435" s="32">
        <f t="shared" si="395"/>
        <v>9.9783842167300314</v>
      </c>
      <c r="AY435" s="32">
        <f t="shared" si="396"/>
        <v>1.4704111858404205</v>
      </c>
      <c r="AZ435" s="32" t="str">
        <f t="shared" si="371"/>
        <v>1+147.953641860061i</v>
      </c>
      <c r="BA435" s="32">
        <f t="shared" si="397"/>
        <v>147.95702125838838</v>
      </c>
      <c r="BB435" s="32">
        <f t="shared" si="398"/>
        <v>1.5640375558691721</v>
      </c>
      <c r="BC435" s="60" t="str">
        <f t="shared" si="399"/>
        <v>-0.00325382616539399+0.0346517015994312i</v>
      </c>
      <c r="BD435" s="51">
        <f t="shared" si="400"/>
        <v>-29.167383125662035</v>
      </c>
      <c r="BE435" s="63">
        <f t="shared" si="401"/>
        <v>95.364395853777609</v>
      </c>
      <c r="BF435" s="60" t="str">
        <f t="shared" si="402"/>
        <v>-0.00348625387462472-0.00505270872455827i</v>
      </c>
      <c r="BG435" s="66">
        <f t="shared" si="403"/>
        <v>-44.238449463970511</v>
      </c>
      <c r="BH435" s="63">
        <f t="shared" si="404"/>
        <v>-124.60479097898637</v>
      </c>
      <c r="BI435" s="60" t="str">
        <f t="shared" si="409"/>
        <v>0.0199511354450991-0.00321009879157619i</v>
      </c>
      <c r="BJ435" s="66">
        <f t="shared" si="405"/>
        <v>-33.889647389175138</v>
      </c>
      <c r="BK435" s="63">
        <f t="shared" si="410"/>
        <v>-9.1404400086971602</v>
      </c>
      <c r="BL435" s="51">
        <f t="shared" si="406"/>
        <v>-44.238449463970511</v>
      </c>
      <c r="BM435" s="63">
        <f t="shared" si="407"/>
        <v>-124.60479097898637</v>
      </c>
    </row>
    <row r="436" spans="14:65" x14ac:dyDescent="0.35">
      <c r="N436" s="11">
        <v>18</v>
      </c>
      <c r="O436" s="52">
        <f t="shared" si="408"/>
        <v>151356.12484362084</v>
      </c>
      <c r="P436" s="50" t="str">
        <f t="shared" si="360"/>
        <v>36.531007751938</v>
      </c>
      <c r="Q436" s="18" t="str">
        <f t="shared" si="361"/>
        <v>1+464.441166863968i</v>
      </c>
      <c r="R436" s="18">
        <f t="shared" si="372"/>
        <v>464.44224342534153</v>
      </c>
      <c r="S436" s="18">
        <f t="shared" si="373"/>
        <v>1.5686432048797132</v>
      </c>
      <c r="T436" s="18" t="str">
        <f t="shared" si="362"/>
        <v>1+0.190199715953816i</v>
      </c>
      <c r="U436" s="18">
        <f t="shared" si="374"/>
        <v>1.0179272724261357</v>
      </c>
      <c r="V436" s="18">
        <f t="shared" si="375"/>
        <v>0.18795469686320435</v>
      </c>
      <c r="W436" s="32" t="str">
        <f t="shared" si="363"/>
        <v>1-3.15123789745967i</v>
      </c>
      <c r="X436" s="18">
        <f t="shared" si="376"/>
        <v>3.3061004652590404</v>
      </c>
      <c r="Y436" s="18">
        <f t="shared" si="377"/>
        <v>-1.2635121478517644</v>
      </c>
      <c r="Z436" s="32" t="str">
        <f t="shared" si="364"/>
        <v>0.526680237031452+1.43195273163714i</v>
      </c>
      <c r="AA436" s="18">
        <f t="shared" si="378"/>
        <v>1.5257393937768577</v>
      </c>
      <c r="AB436" s="18">
        <f t="shared" si="379"/>
        <v>1.2183479435699685</v>
      </c>
      <c r="AC436" s="68" t="str">
        <f t="shared" si="380"/>
        <v>-0.130323738684416+0.114523370058396i</v>
      </c>
      <c r="AD436" s="66">
        <f t="shared" si="381"/>
        <v>-15.214352480195252</v>
      </c>
      <c r="AE436" s="63">
        <f t="shared" si="382"/>
        <v>138.69226708802137</v>
      </c>
      <c r="AF436" s="51" t="str">
        <f t="shared" si="383"/>
        <v>42.1703962805665</v>
      </c>
      <c r="AG436" s="51" t="str">
        <f t="shared" si="365"/>
        <v>1+83.9116393913895i</v>
      </c>
      <c r="AH436" s="51">
        <f t="shared" si="384"/>
        <v>83.917597828766461</v>
      </c>
      <c r="AI436" s="51">
        <f t="shared" si="385"/>
        <v>1.5588795930661365</v>
      </c>
      <c r="AJ436" s="51" t="str">
        <f t="shared" si="366"/>
        <v>1+0.190199715953816i</v>
      </c>
      <c r="AK436" s="51">
        <f t="shared" si="386"/>
        <v>1.0179272724261357</v>
      </c>
      <c r="AL436" s="51">
        <f t="shared" si="387"/>
        <v>0.18795469686320435</v>
      </c>
      <c r="AM436" s="51" t="str">
        <f t="shared" si="367"/>
        <v>1-0.493202393602347i</v>
      </c>
      <c r="AN436" s="51">
        <f t="shared" si="388"/>
        <v>1.1150105833825454</v>
      </c>
      <c r="AO436" s="51">
        <f t="shared" si="389"/>
        <v>-0.45819475122849329</v>
      </c>
      <c r="AP436" s="60" t="str">
        <f t="shared" si="390"/>
        <v>-0.14570453090436-0.551436935573082i</v>
      </c>
      <c r="AQ436" s="51">
        <f t="shared" si="391"/>
        <v>-4.8769924314855144</v>
      </c>
      <c r="AR436" s="63">
        <f t="shared" si="392"/>
        <v>-104.80083602227785</v>
      </c>
      <c r="AS436" s="32" t="str">
        <f t="shared" si="368"/>
        <v>-0.000133283554228113</v>
      </c>
      <c r="AT436" s="32" t="str">
        <f t="shared" si="369"/>
        <v>0.0581060132238906i</v>
      </c>
      <c r="AU436" s="32">
        <f t="shared" si="393"/>
        <v>5.8106013223890599E-2</v>
      </c>
      <c r="AV436" s="32">
        <f t="shared" si="394"/>
        <v>1.5707963267948966</v>
      </c>
      <c r="AW436" s="32" t="str">
        <f t="shared" si="370"/>
        <v>1+10.159405762374i</v>
      </c>
      <c r="AX436" s="32">
        <f t="shared" si="395"/>
        <v>10.20850260540487</v>
      </c>
      <c r="AY436" s="32">
        <f t="shared" si="396"/>
        <v>1.4726814254447853</v>
      </c>
      <c r="AZ436" s="32" t="str">
        <f t="shared" si="371"/>
        <v>1+151.399924897817i</v>
      </c>
      <c r="BA436" s="32">
        <f t="shared" si="397"/>
        <v>151.40322737334441</v>
      </c>
      <c r="BB436" s="32">
        <f t="shared" si="398"/>
        <v>1.5641913997518644</v>
      </c>
      <c r="BC436" s="60" t="str">
        <f t="shared" si="399"/>
        <v>-0.003108785116501+0.0338772091012118i</v>
      </c>
      <c r="BD436" s="51">
        <f t="shared" si="400"/>
        <v>-29.365428485852789</v>
      </c>
      <c r="BE436" s="63">
        <f t="shared" si="401"/>
        <v>95.243135311146247</v>
      </c>
      <c r="BF436" s="60" t="str">
        <f t="shared" si="402"/>
        <v>-0.00347458365529486-0.00477103309459272i</v>
      </c>
      <c r="BG436" s="66">
        <f t="shared" si="403"/>
        <v>-44.579780966048048</v>
      </c>
      <c r="BH436" s="63">
        <f t="shared" si="404"/>
        <v>-126.06459760083239</v>
      </c>
      <c r="BI436" s="60" t="str">
        <f t="shared" si="409"/>
        <v>0.019134108449623-0.00322176392244246i</v>
      </c>
      <c r="BJ436" s="66">
        <f t="shared" si="405"/>
        <v>-34.242420917338301</v>
      </c>
      <c r="BK436" s="63">
        <f t="shared" si="410"/>
        <v>-9.5577007111315915</v>
      </c>
      <c r="BL436" s="51">
        <f t="shared" si="406"/>
        <v>-44.579780966048048</v>
      </c>
      <c r="BM436" s="63">
        <f t="shared" si="407"/>
        <v>-126.06459760083239</v>
      </c>
    </row>
    <row r="437" spans="14:65" x14ac:dyDescent="0.35">
      <c r="N437" s="11">
        <v>19</v>
      </c>
      <c r="O437" s="52">
        <f t="shared" si="408"/>
        <v>154881.66189124843</v>
      </c>
      <c r="P437" s="50" t="str">
        <f t="shared" si="360"/>
        <v>36.531007751938</v>
      </c>
      <c r="Q437" s="18" t="str">
        <f t="shared" si="361"/>
        <v>1+475.259391378595i</v>
      </c>
      <c r="R437" s="18">
        <f t="shared" si="372"/>
        <v>475.26044343449473</v>
      </c>
      <c r="S437" s="18">
        <f t="shared" si="373"/>
        <v>1.568692215771782</v>
      </c>
      <c r="T437" s="18" t="str">
        <f t="shared" si="362"/>
        <v>1+0.19463003646933i</v>
      </c>
      <c r="U437" s="18">
        <f t="shared" si="374"/>
        <v>1.0187643746696546</v>
      </c>
      <c r="V437" s="18">
        <f t="shared" si="375"/>
        <v>0.19222684170036772</v>
      </c>
      <c r="W437" s="32" t="str">
        <f t="shared" si="363"/>
        <v>1-3.22463965748002i</v>
      </c>
      <c r="X437" s="18">
        <f t="shared" si="376"/>
        <v>3.376136981905927</v>
      </c>
      <c r="Y437" s="18">
        <f t="shared" si="377"/>
        <v>-1.2700883249124886</v>
      </c>
      <c r="Z437" s="32" t="str">
        <f t="shared" si="364"/>
        <v>0.504373363838946+1.46530719556157i</v>
      </c>
      <c r="AA437" s="18">
        <f t="shared" si="378"/>
        <v>1.5496830861549491</v>
      </c>
      <c r="AB437" s="18">
        <f t="shared" si="379"/>
        <v>1.2392889354666659</v>
      </c>
      <c r="AC437" s="68" t="str">
        <f t="shared" si="380"/>
        <v>-0.125493250798457+0.115568399865652i</v>
      </c>
      <c r="AD437" s="66">
        <f t="shared" si="381"/>
        <v>-15.360382002891743</v>
      </c>
      <c r="AE437" s="63">
        <f t="shared" si="382"/>
        <v>137.35761719398516</v>
      </c>
      <c r="AF437" s="51" t="str">
        <f t="shared" si="383"/>
        <v>42.1703962805665</v>
      </c>
      <c r="AG437" s="51" t="str">
        <f t="shared" si="365"/>
        <v>1+85.8661925599987i</v>
      </c>
      <c r="AH437" s="51">
        <f t="shared" si="384"/>
        <v>85.872015376086139</v>
      </c>
      <c r="AI437" s="51">
        <f t="shared" si="385"/>
        <v>1.5591508262330995</v>
      </c>
      <c r="AJ437" s="51" t="str">
        <f t="shared" si="366"/>
        <v>1+0.19463003646933i</v>
      </c>
      <c r="AK437" s="51">
        <f t="shared" si="386"/>
        <v>1.0187643746696546</v>
      </c>
      <c r="AL437" s="51">
        <f t="shared" si="387"/>
        <v>0.19222684170036772</v>
      </c>
      <c r="AM437" s="51" t="str">
        <f t="shared" si="367"/>
        <v>1-0.504690553149377i</v>
      </c>
      <c r="AN437" s="51">
        <f t="shared" si="388"/>
        <v>1.1201395245406816</v>
      </c>
      <c r="AO437" s="51">
        <f t="shared" si="389"/>
        <v>-0.46739300677892692</v>
      </c>
      <c r="AP437" s="60" t="str">
        <f t="shared" si="390"/>
        <v>-0.145974980534463-0.541059071840529i</v>
      </c>
      <c r="AQ437" s="51">
        <f t="shared" si="391"/>
        <v>-5.0299620432326231</v>
      </c>
      <c r="AR437" s="63">
        <f t="shared" si="392"/>
        <v>-105.09862189129335</v>
      </c>
      <c r="AS437" s="32" t="str">
        <f t="shared" si="368"/>
        <v>-0.000133283554228113</v>
      </c>
      <c r="AT437" s="32" t="str">
        <f t="shared" si="369"/>
        <v>0.0594594761413802i</v>
      </c>
      <c r="AU437" s="32">
        <f t="shared" si="393"/>
        <v>5.9459476141380203E-2</v>
      </c>
      <c r="AV437" s="32">
        <f t="shared" si="394"/>
        <v>1.5707963267948966</v>
      </c>
      <c r="AW437" s="32" t="str">
        <f t="shared" si="370"/>
        <v>1+10.396048722374i</v>
      </c>
      <c r="AX437" s="32">
        <f t="shared" si="395"/>
        <v>10.444033178708985</v>
      </c>
      <c r="AY437" s="32">
        <f t="shared" si="396"/>
        <v>1.4749009689332977</v>
      </c>
      <c r="AZ437" s="32" t="str">
        <f t="shared" si="371"/>
        <v>1+154.926482179769i</v>
      </c>
      <c r="BA437" s="32">
        <f t="shared" si="397"/>
        <v>154.92970948335986</v>
      </c>
      <c r="BB437" s="32">
        <f t="shared" si="398"/>
        <v>1.564341742022362</v>
      </c>
      <c r="BC437" s="60" t="str">
        <f t="shared" si="399"/>
        <v>-0.00297014947673144+0.033119405092317i</v>
      </c>
      <c r="BD437" s="51">
        <f t="shared" si="400"/>
        <v>-29.563560990231114</v>
      </c>
      <c r="BE437" s="63">
        <f t="shared" si="401"/>
        <v>95.124578814390659</v>
      </c>
      <c r="BF437" s="60" t="str">
        <f t="shared" si="402"/>
        <v>-0.00345482293782904-0.00449951723193349i</v>
      </c>
      <c r="BG437" s="66">
        <f t="shared" si="403"/>
        <v>-44.92394299312285</v>
      </c>
      <c r="BH437" s="63">
        <f t="shared" si="404"/>
        <v>-127.51780399162418</v>
      </c>
      <c r="BI437" s="60" t="str">
        <f t="shared" si="409"/>
        <v>0.0183531220912098-0.00322757819455602i</v>
      </c>
      <c r="BJ437" s="66">
        <f t="shared" si="405"/>
        <v>-34.593523033463761</v>
      </c>
      <c r="BK437" s="63">
        <f t="shared" si="410"/>
        <v>-9.9740430769027046</v>
      </c>
      <c r="BL437" s="51">
        <f t="shared" si="406"/>
        <v>-44.92394299312285</v>
      </c>
      <c r="BM437" s="63">
        <f t="shared" si="407"/>
        <v>-127.51780399162418</v>
      </c>
    </row>
    <row r="438" spans="14:65" x14ac:dyDescent="0.35">
      <c r="N438" s="11">
        <v>20</v>
      </c>
      <c r="O438" s="52">
        <f t="shared" si="408"/>
        <v>158489.31924611164</v>
      </c>
      <c r="P438" s="50" t="str">
        <f t="shared" si="360"/>
        <v>36.531007751938</v>
      </c>
      <c r="Q438" s="18" t="str">
        <f t="shared" si="361"/>
        <v>1+486.329604713333i</v>
      </c>
      <c r="R438" s="18">
        <f t="shared" si="372"/>
        <v>486.33063282156803</v>
      </c>
      <c r="S438" s="18">
        <f t="shared" si="373"/>
        <v>1.5687401110495114</v>
      </c>
      <c r="T438" s="18" t="str">
        <f t="shared" si="362"/>
        <v>1+0.199163552406413i</v>
      </c>
      <c r="U438" s="18">
        <f t="shared" si="374"/>
        <v>1.0196401917378217</v>
      </c>
      <c r="V438" s="18">
        <f t="shared" si="375"/>
        <v>0.19659115409812589</v>
      </c>
      <c r="W438" s="32" t="str">
        <f t="shared" si="363"/>
        <v>1-3.29975116412992i</v>
      </c>
      <c r="X438" s="18">
        <f t="shared" si="376"/>
        <v>3.4479497886681534</v>
      </c>
      <c r="Y438" s="18">
        <f t="shared" si="377"/>
        <v>-1.2765408320742415</v>
      </c>
      <c r="Z438" s="32" t="str">
        <f t="shared" si="364"/>
        <v>0.481015200101325+1.49943858475672i</v>
      </c>
      <c r="AA438" s="18">
        <f t="shared" si="378"/>
        <v>1.5747036839309652</v>
      </c>
      <c r="AB438" s="18">
        <f t="shared" si="379"/>
        <v>1.2603707022076873</v>
      </c>
      <c r="AC438" s="68" t="str">
        <f t="shared" si="380"/>
        <v>-0.120690509753458+0.116438257997488i</v>
      </c>
      <c r="AD438" s="66">
        <f t="shared" si="381"/>
        <v>-15.509218750336128</v>
      </c>
      <c r="AE438" s="63">
        <f t="shared" si="382"/>
        <v>136.02733199099467</v>
      </c>
      <c r="AF438" s="51" t="str">
        <f t="shared" si="383"/>
        <v>42.1703962805665</v>
      </c>
      <c r="AG438" s="51" t="str">
        <f t="shared" si="365"/>
        <v>1+87.8662731204764i</v>
      </c>
      <c r="AH438" s="51">
        <f t="shared" si="384"/>
        <v>87.871963401770827</v>
      </c>
      <c r="AI438" s="51">
        <f t="shared" si="385"/>
        <v>1.5594158870351897</v>
      </c>
      <c r="AJ438" s="51" t="str">
        <f t="shared" si="366"/>
        <v>1+0.199163552406413i</v>
      </c>
      <c r="AK438" s="51">
        <f t="shared" si="386"/>
        <v>1.0196401917378217</v>
      </c>
      <c r="AL438" s="51">
        <f t="shared" si="387"/>
        <v>0.19659115409812589</v>
      </c>
      <c r="AM438" s="51" t="str">
        <f t="shared" si="367"/>
        <v>1-0.516446306308055i</v>
      </c>
      <c r="AN438" s="51">
        <f t="shared" si="388"/>
        <v>1.1254851341973529</v>
      </c>
      <c r="AO438" s="51">
        <f t="shared" si="389"/>
        <v>-0.47671792147426728</v>
      </c>
      <c r="AP438" s="60" t="str">
        <f t="shared" si="390"/>
        <v>-0.146233261153222-0.530967801234759i</v>
      </c>
      <c r="AQ438" s="51">
        <f t="shared" si="391"/>
        <v>-5.1811187831379444</v>
      </c>
      <c r="AR438" s="63">
        <f t="shared" si="392"/>
        <v>-105.39803033206182</v>
      </c>
      <c r="AS438" s="32" t="str">
        <f t="shared" si="368"/>
        <v>-0.000133283554228113</v>
      </c>
      <c r="AT438" s="32" t="str">
        <f t="shared" si="369"/>
        <v>0.0608444652601591i</v>
      </c>
      <c r="AU438" s="32">
        <f t="shared" si="393"/>
        <v>6.0844465260159103E-2</v>
      </c>
      <c r="AV438" s="32">
        <f t="shared" si="394"/>
        <v>1.5707963267948966</v>
      </c>
      <c r="AW438" s="32" t="str">
        <f t="shared" si="370"/>
        <v>1+10.6382038050146i</v>
      </c>
      <c r="AX438" s="32">
        <f t="shared" si="395"/>
        <v>10.685100851046148</v>
      </c>
      <c r="AY438" s="32">
        <f t="shared" si="396"/>
        <v>1.4770709056147999</v>
      </c>
      <c r="AZ438" s="32" t="str">
        <f t="shared" si="371"/>
        <v>1+158.535183533266i</v>
      </c>
      <c r="BA438" s="32">
        <f t="shared" si="397"/>
        <v>158.53833737593672</v>
      </c>
      <c r="BB438" s="32">
        <f t="shared" si="398"/>
        <v>1.5644886623669256</v>
      </c>
      <c r="BC438" s="60" t="str">
        <f t="shared" si="399"/>
        <v>-0.00283764159004689+0.0323779712436126i</v>
      </c>
      <c r="BD438" s="51">
        <f t="shared" si="400"/>
        <v>-29.761776788959942</v>
      </c>
      <c r="BE438" s="63">
        <f t="shared" si="401"/>
        <v>95.008668516398075</v>
      </c>
      <c r="BF438" s="60" t="str">
        <f t="shared" si="402"/>
        <v>-0.00342755815909864-0.00423812389774069i</v>
      </c>
      <c r="BG438" s="66">
        <f t="shared" si="403"/>
        <v>-45.270995539296067</v>
      </c>
      <c r="BH438" s="63">
        <f t="shared" si="404"/>
        <v>-128.96399949260726</v>
      </c>
      <c r="BI438" s="60" t="str">
        <f t="shared" si="409"/>
        <v>0.0176066177833598-0.00322804000871921i</v>
      </c>
      <c r="BJ438" s="66">
        <f t="shared" si="405"/>
        <v>-34.942895572097889</v>
      </c>
      <c r="BK438" s="63">
        <f t="shared" si="410"/>
        <v>-10.38936181566376</v>
      </c>
      <c r="BL438" s="51">
        <f t="shared" si="406"/>
        <v>-45.270995539296067</v>
      </c>
      <c r="BM438" s="63">
        <f t="shared" si="407"/>
        <v>-128.96399949260726</v>
      </c>
    </row>
    <row r="439" spans="14:65" x14ac:dyDescent="0.35">
      <c r="N439" s="11">
        <v>21</v>
      </c>
      <c r="O439" s="52">
        <f t="shared" si="408"/>
        <v>162181.00973589328</v>
      </c>
      <c r="P439" s="50" t="str">
        <f t="shared" si="360"/>
        <v>36.531007751938</v>
      </c>
      <c r="Q439" s="18" t="str">
        <f t="shared" si="361"/>
        <v>1+497.657676441821i</v>
      </c>
      <c r="R439" s="18">
        <f t="shared" si="372"/>
        <v>497.65868114750322</v>
      </c>
      <c r="S439" s="18">
        <f t="shared" si="373"/>
        <v>1.5687869161067323</v>
      </c>
      <c r="T439" s="18" t="str">
        <f t="shared" si="362"/>
        <v>1+0.203802667495222i</v>
      </c>
      <c r="U439" s="18">
        <f t="shared" si="374"/>
        <v>1.0205564792201205</v>
      </c>
      <c r="V439" s="18">
        <f t="shared" si="375"/>
        <v>0.20104928272976733</v>
      </c>
      <c r="W439" s="32" t="str">
        <f t="shared" si="363"/>
        <v>1-3.37661224252439i</v>
      </c>
      <c r="X439" s="18">
        <f t="shared" si="376"/>
        <v>3.5215778049569755</v>
      </c>
      <c r="Y439" s="18">
        <f t="shared" si="377"/>
        <v>-1.2828709405614585</v>
      </c>
      <c r="Z439" s="32" t="str">
        <f t="shared" si="364"/>
        <v>0.456556200021618+1.53436499613692i</v>
      </c>
      <c r="AA439" s="18">
        <f t="shared" si="378"/>
        <v>1.6008496197795812</v>
      </c>
      <c r="AB439" s="18">
        <f t="shared" si="379"/>
        <v>1.2815852218826369</v>
      </c>
      <c r="AC439" s="68" t="str">
        <f t="shared" si="380"/>
        <v>-0.11592242112959+0.117135025031178i</v>
      </c>
      <c r="AD439" s="66">
        <f t="shared" si="381"/>
        <v>-15.660922725237864</v>
      </c>
      <c r="AE439" s="63">
        <f t="shared" si="382"/>
        <v>134.701891271926</v>
      </c>
      <c r="AF439" s="51" t="str">
        <f t="shared" si="383"/>
        <v>42.1703962805665</v>
      </c>
      <c r="AG439" s="51" t="str">
        <f t="shared" si="365"/>
        <v>1+89.91294154201i</v>
      </c>
      <c r="AH439" s="51">
        <f t="shared" si="384"/>
        <v>89.918502304792142</v>
      </c>
      <c r="AI439" s="51">
        <f t="shared" si="385"/>
        <v>1.5596749158620877</v>
      </c>
      <c r="AJ439" s="51" t="str">
        <f t="shared" si="366"/>
        <v>1+0.203802667495222i</v>
      </c>
      <c r="AK439" s="51">
        <f t="shared" si="386"/>
        <v>1.0205564792201205</v>
      </c>
      <c r="AL439" s="51">
        <f t="shared" si="387"/>
        <v>0.20104928272976733</v>
      </c>
      <c r="AM439" s="51" t="str">
        <f t="shared" si="367"/>
        <v>1-0.52847588613431i</v>
      </c>
      <c r="AN439" s="51">
        <f t="shared" si="388"/>
        <v>1.1310555964343416</v>
      </c>
      <c r="AO439" s="51">
        <f t="shared" si="389"/>
        <v>-0.48616795189094414</v>
      </c>
      <c r="AP439" s="60" t="str">
        <f t="shared" si="390"/>
        <v>-0.14647992017247-0.521157792151742i</v>
      </c>
      <c r="AQ439" s="51">
        <f t="shared" si="391"/>
        <v>-5.3304077046423952</v>
      </c>
      <c r="AR439" s="63">
        <f t="shared" si="392"/>
        <v>-105.69888649464161</v>
      </c>
      <c r="AS439" s="32" t="str">
        <f t="shared" si="368"/>
        <v>-0.000133283554228113</v>
      </c>
      <c r="AT439" s="32" t="str">
        <f t="shared" si="369"/>
        <v>0.0622617149197906i</v>
      </c>
      <c r="AU439" s="32">
        <f t="shared" si="393"/>
        <v>6.2261714919790601E-2</v>
      </c>
      <c r="AV439" s="32">
        <f t="shared" si="394"/>
        <v>1.5707963267948966</v>
      </c>
      <c r="AW439" s="32" t="str">
        <f t="shared" si="370"/>
        <v>1+10.8859994041259i</v>
      </c>
      <c r="AX439" s="32">
        <f t="shared" si="395"/>
        <v>10.931833470494757</v>
      </c>
      <c r="AY439" s="32">
        <f t="shared" si="396"/>
        <v>1.4791923042340611</v>
      </c>
      <c r="AZ439" s="32" t="str">
        <f t="shared" si="371"/>
        <v>1+162.227942339534i</v>
      </c>
      <c r="BA439" s="32">
        <f t="shared" si="397"/>
        <v>162.23102439336063</v>
      </c>
      <c r="BB439" s="32">
        <f t="shared" si="398"/>
        <v>1.5646322386592812</v>
      </c>
      <c r="BC439" s="60" t="str">
        <f t="shared" si="399"/>
        <v>-0.00271099537973195+0.0316525924998831i</v>
      </c>
      <c r="BD439" s="51">
        <f t="shared" si="400"/>
        <v>-29.960072199195608</v>
      </c>
      <c r="BE439" s="63">
        <f t="shared" si="401"/>
        <v>94.895347644439624</v>
      </c>
      <c r="BF439" s="60" t="str">
        <f t="shared" si="402"/>
        <v>-0.00339336206668582-0.00398679766927906i</v>
      </c>
      <c r="BG439" s="66">
        <f t="shared" si="403"/>
        <v>-45.620994924433475</v>
      </c>
      <c r="BH439" s="63">
        <f t="shared" si="404"/>
        <v>-130.40276108363432</v>
      </c>
      <c r="BI439" s="60" t="str">
        <f t="shared" si="409"/>
        <v>0.0168931016099289-0.00322361285599992i</v>
      </c>
      <c r="BJ439" s="66">
        <f t="shared" si="405"/>
        <v>-35.290479903838019</v>
      </c>
      <c r="BK439" s="63">
        <f t="shared" si="410"/>
        <v>-10.803538850201999</v>
      </c>
      <c r="BL439" s="51">
        <f t="shared" si="406"/>
        <v>-45.620994924433475</v>
      </c>
      <c r="BM439" s="63">
        <f t="shared" si="407"/>
        <v>-130.40276108363432</v>
      </c>
    </row>
    <row r="440" spans="14:65" x14ac:dyDescent="0.35">
      <c r="N440" s="11">
        <v>22</v>
      </c>
      <c r="O440" s="52">
        <f t="shared" si="408"/>
        <v>165958.69074375604</v>
      </c>
      <c r="P440" s="50" t="str">
        <f t="shared" si="360"/>
        <v>36.531007751938</v>
      </c>
      <c r="Q440" s="18" t="str">
        <f t="shared" si="361"/>
        <v>1+509.24961285764i</v>
      </c>
      <c r="R440" s="18">
        <f t="shared" si="372"/>
        <v>509.25059469347332</v>
      </c>
      <c r="S440" s="18">
        <f t="shared" si="373"/>
        <v>1.5688326557592849</v>
      </c>
      <c r="T440" s="18" t="str">
        <f t="shared" si="362"/>
        <v>1+0.208549841455986i</v>
      </c>
      <c r="U440" s="18">
        <f t="shared" si="374"/>
        <v>1.0215150690867545</v>
      </c>
      <c r="V440" s="18">
        <f t="shared" si="375"/>
        <v>0.20560288217810041</v>
      </c>
      <c r="W440" s="32" t="str">
        <f t="shared" si="363"/>
        <v>1-3.45526364542462i</v>
      </c>
      <c r="X440" s="18">
        <f t="shared" si="376"/>
        <v>3.5970608640100927</v>
      </c>
      <c r="Y440" s="18">
        <f t="shared" si="377"/>
        <v>-1.2890799767290932</v>
      </c>
      <c r="Z440" s="32" t="str">
        <f t="shared" si="364"/>
        <v>0.430944482781371+1.5701049481478i</v>
      </c>
      <c r="AA440" s="18">
        <f t="shared" si="378"/>
        <v>1.6281715804662322</v>
      </c>
      <c r="AB440" s="18">
        <f t="shared" si="379"/>
        <v>1.3029242356552098</v>
      </c>
      <c r="AC440" s="68" t="str">
        <f t="shared" si="380"/>
        <v>-0.111195833079526+0.117661200122181i</v>
      </c>
      <c r="AD440" s="66">
        <f t="shared" si="381"/>
        <v>-15.815549957660567</v>
      </c>
      <c r="AE440" s="63">
        <f t="shared" si="382"/>
        <v>133.38178561747173</v>
      </c>
      <c r="AF440" s="51" t="str">
        <f t="shared" si="383"/>
        <v>42.1703962805665</v>
      </c>
      <c r="AG440" s="51" t="str">
        <f t="shared" si="365"/>
        <v>1+92.0072829952882i</v>
      </c>
      <c r="AH440" s="51">
        <f t="shared" si="384"/>
        <v>92.012717187218456</v>
      </c>
      <c r="AI440" s="51">
        <f t="shared" si="385"/>
        <v>1.559928049915188</v>
      </c>
      <c r="AJ440" s="51" t="str">
        <f t="shared" si="366"/>
        <v>1+0.208549841455986i</v>
      </c>
      <c r="AK440" s="51">
        <f t="shared" si="386"/>
        <v>1.0215150690867545</v>
      </c>
      <c r="AL440" s="51">
        <f t="shared" si="387"/>
        <v>0.20560288217810041</v>
      </c>
      <c r="AM440" s="51" t="str">
        <f t="shared" si="367"/>
        <v>1-0.540785670870603i</v>
      </c>
      <c r="AN440" s="51">
        <f t="shared" si="388"/>
        <v>1.1368593324677281</v>
      </c>
      <c r="AO440" s="51">
        <f t="shared" si="389"/>
        <v>-0.49574135636317807</v>
      </c>
      <c r="AP440" s="60" t="str">
        <f t="shared" si="390"/>
        <v>-0.146715480391425-0.511623860853645i</v>
      </c>
      <c r="AQ440" s="51">
        <f t="shared" si="391"/>
        <v>-5.4777732968534343</v>
      </c>
      <c r="AR440" s="63">
        <f t="shared" si="392"/>
        <v>-106.00100364938346</v>
      </c>
      <c r="AS440" s="32" t="str">
        <f t="shared" si="368"/>
        <v>-0.000133283554228113</v>
      </c>
      <c r="AT440" s="32" t="str">
        <f t="shared" si="369"/>
        <v>0.0637119765648036i</v>
      </c>
      <c r="AU440" s="32">
        <f t="shared" si="393"/>
        <v>6.3711976564803596E-2</v>
      </c>
      <c r="AV440" s="32">
        <f t="shared" si="394"/>
        <v>1.5707963267948966</v>
      </c>
      <c r="AW440" s="32" t="str">
        <f t="shared" si="370"/>
        <v>1+11.1395669042145i</v>
      </c>
      <c r="AX440" s="32">
        <f t="shared" si="395"/>
        <v>11.184361886735918</v>
      </c>
      <c r="AY440" s="32">
        <f t="shared" si="396"/>
        <v>1.4812662131665644</v>
      </c>
      <c r="AZ440" s="32" t="str">
        <f t="shared" si="371"/>
        <v>1+166.006716548172i</v>
      </c>
      <c r="BA440" s="32">
        <f t="shared" si="397"/>
        <v>166.00972844717603</v>
      </c>
      <c r="BB440" s="32">
        <f t="shared" si="398"/>
        <v>1.5647725470017886</v>
      </c>
      <c r="BC440" s="60" t="str">
        <f t="shared" si="399"/>
        <v>-0.00258995590559662+0.0309429572559501i</v>
      </c>
      <c r="BD440" s="51">
        <f t="shared" si="400"/>
        <v>-30.158443698113647</v>
      </c>
      <c r="BE440" s="63">
        <f t="shared" si="401"/>
        <v>94.784560491368836</v>
      </c>
      <c r="BF440" s="60" t="str">
        <f t="shared" si="402"/>
        <v>-0.00335279318150238-0.00374546523013556i</v>
      </c>
      <c r="BG440" s="66">
        <f t="shared" si="403"/>
        <v>-45.973993655774223</v>
      </c>
      <c r="BH440" s="63">
        <f t="shared" si="404"/>
        <v>-131.83365389115946</v>
      </c>
      <c r="BI440" s="60" t="str">
        <f t="shared" si="409"/>
        <v>0.0162111418824007-0.00321472759867601i</v>
      </c>
      <c r="BJ440" s="66">
        <f t="shared" si="405"/>
        <v>-35.636216994967086</v>
      </c>
      <c r="BK440" s="63">
        <f t="shared" si="410"/>
        <v>-11.216443158014634</v>
      </c>
      <c r="BL440" s="51">
        <f t="shared" si="406"/>
        <v>-45.973993655774223</v>
      </c>
      <c r="BM440" s="63">
        <f t="shared" si="407"/>
        <v>-131.83365389115946</v>
      </c>
    </row>
    <row r="441" spans="14:65" x14ac:dyDescent="0.35">
      <c r="N441" s="11">
        <v>23</v>
      </c>
      <c r="O441" s="52">
        <f t="shared" si="408"/>
        <v>169824.36524617471</v>
      </c>
      <c r="P441" s="50" t="str">
        <f t="shared" si="360"/>
        <v>36.531007751938</v>
      </c>
      <c r="Q441" s="18" t="str">
        <f t="shared" si="361"/>
        <v>1+521.111560158908i</v>
      </c>
      <c r="R441" s="18">
        <f t="shared" si="372"/>
        <v>521.1125196454708</v>
      </c>
      <c r="S441" s="18">
        <f t="shared" si="373"/>
        <v>1.5688773542581722</v>
      </c>
      <c r="T441" s="18" t="str">
        <f t="shared" si="362"/>
        <v>1+0.213407591303172i</v>
      </c>
      <c r="U441" s="18">
        <f t="shared" si="374"/>
        <v>1.0225178727170601</v>
      </c>
      <c r="V441" s="18">
        <f t="shared" si="375"/>
        <v>0.21025361110540758</v>
      </c>
      <c r="W441" s="32" t="str">
        <f t="shared" si="363"/>
        <v>1-3.53574707484546i</v>
      </c>
      <c r="X441" s="18">
        <f t="shared" si="376"/>
        <v>3.6744397365147012</v>
      </c>
      <c r="Y441" s="18">
        <f t="shared" si="377"/>
        <v>-1.2951693169869842</v>
      </c>
      <c r="Z441" s="32" t="str">
        <f t="shared" si="364"/>
        <v>0.404125722494507+1.60667739058497i</v>
      </c>
      <c r="AA441" s="18">
        <f t="shared" si="378"/>
        <v>1.6567226192089719</v>
      </c>
      <c r="AB441" s="18">
        <f t="shared" si="379"/>
        <v>1.32437926086559</v>
      </c>
      <c r="AC441" s="68" t="str">
        <f t="shared" si="380"/>
        <v>-0.106517501644455+0.118019698524128i</v>
      </c>
      <c r="AD441" s="66">
        <f t="shared" si="381"/>
        <v>-15.973152381473483</v>
      </c>
      <c r="AE441" s="63">
        <f t="shared" si="382"/>
        <v>132.06751583063112</v>
      </c>
      <c r="AF441" s="51" t="str">
        <f t="shared" si="383"/>
        <v>42.1703962805665</v>
      </c>
      <c r="AG441" s="51" t="str">
        <f t="shared" si="365"/>
        <v>1+94.1504079278703i</v>
      </c>
      <c r="AH441" s="51">
        <f t="shared" si="384"/>
        <v>94.155718429548301</v>
      </c>
      <c r="AI441" s="51">
        <f t="shared" si="385"/>
        <v>1.5601754232796814</v>
      </c>
      <c r="AJ441" s="51" t="str">
        <f t="shared" si="366"/>
        <v>1+0.213407591303172i</v>
      </c>
      <c r="AK441" s="51">
        <f t="shared" si="386"/>
        <v>1.0225178727170601</v>
      </c>
      <c r="AL441" s="51">
        <f t="shared" si="387"/>
        <v>0.21025361110540758</v>
      </c>
      <c r="AM441" s="51" t="str">
        <f t="shared" si="367"/>
        <v>1-0.553382187327733i</v>
      </c>
      <c r="AN441" s="51">
        <f t="shared" si="388"/>
        <v>1.1429050027240348</v>
      </c>
      <c r="AO441" s="51">
        <f t="shared" si="389"/>
        <v>-0.5054361907962871</v>
      </c>
      <c r="AP441" s="60" t="str">
        <f t="shared" si="390"/>
        <v>-0.146940441102235-0.502360968804557i</v>
      </c>
      <c r="AQ441" s="51">
        <f t="shared" si="391"/>
        <v>-5.6231595556771374</v>
      </c>
      <c r="AR441" s="63">
        <f t="shared" si="392"/>
        <v>-106.30418305603389</v>
      </c>
      <c r="AS441" s="32" t="str">
        <f t="shared" si="368"/>
        <v>-0.000133283554228113</v>
      </c>
      <c r="AT441" s="32" t="str">
        <f t="shared" si="369"/>
        <v>0.0651960191431193i</v>
      </c>
      <c r="AU441" s="32">
        <f t="shared" si="393"/>
        <v>6.5196019143119302E-2</v>
      </c>
      <c r="AV441" s="32">
        <f t="shared" si="394"/>
        <v>1.5707963267948966</v>
      </c>
      <c r="AW441" s="32" t="str">
        <f t="shared" si="370"/>
        <v>1+11.3990407501253i</v>
      </c>
      <c r="AX441" s="32">
        <f t="shared" si="395"/>
        <v>11.442820020563861</v>
      </c>
      <c r="AY441" s="32">
        <f t="shared" si="396"/>
        <v>1.4832936606261273</v>
      </c>
      <c r="AZ441" s="32" t="str">
        <f t="shared" si="371"/>
        <v>1+169.873509715281i</v>
      </c>
      <c r="BA441" s="32">
        <f t="shared" si="397"/>
        <v>169.87645305629516</v>
      </c>
      <c r="BB441" s="32">
        <f t="shared" si="398"/>
        <v>1.5649096617656779</v>
      </c>
      <c r="BC441" s="60" t="str">
        <f t="shared" si="399"/>
        <v>-0.00247427893451042+0.0302487575135827i</v>
      </c>
      <c r="BD441" s="51">
        <f t="shared" si="400"/>
        <v>-30.356887916202492</v>
      </c>
      <c r="BE441" s="63">
        <f t="shared" si="401"/>
        <v>94.676252406031153</v>
      </c>
      <c r="BF441" s="60" t="str">
        <f t="shared" si="402"/>
        <v>-0.00330639523200693-0.00351403573211129i</v>
      </c>
      <c r="BG441" s="66">
        <f t="shared" si="403"/>
        <v>-46.330040297675971</v>
      </c>
      <c r="BH441" s="63">
        <f t="shared" si="404"/>
        <v>-133.25623176333772</v>
      </c>
      <c r="BI441" s="60" t="str">
        <f t="shared" si="409"/>
        <v>0.0155593667677045-0.00320178460920703i</v>
      </c>
      <c r="BJ441" s="66">
        <f t="shared" si="405"/>
        <v>-35.980047471879608</v>
      </c>
      <c r="BK441" s="63">
        <f t="shared" si="410"/>
        <v>-11.627930650002721</v>
      </c>
      <c r="BL441" s="51">
        <f t="shared" si="406"/>
        <v>-46.330040297675971</v>
      </c>
      <c r="BM441" s="63">
        <f t="shared" si="407"/>
        <v>-133.25623176333772</v>
      </c>
    </row>
    <row r="442" spans="14:65" x14ac:dyDescent="0.35">
      <c r="N442" s="11">
        <v>24</v>
      </c>
      <c r="O442" s="52">
        <f t="shared" si="408"/>
        <v>173780.0828749378</v>
      </c>
      <c r="P442" s="50" t="str">
        <f t="shared" si="360"/>
        <v>36.531007751938</v>
      </c>
      <c r="Q442" s="18" t="str">
        <f t="shared" si="361"/>
        <v>1+533.249807707103i</v>
      </c>
      <c r="R442" s="18">
        <f t="shared" si="372"/>
        <v>533.25074535312399</v>
      </c>
      <c r="S442" s="18">
        <f t="shared" si="373"/>
        <v>1.5689210353024154</v>
      </c>
      <c r="T442" s="18" t="str">
        <f t="shared" si="362"/>
        <v>1+0.218378492680052i</v>
      </c>
      <c r="U442" s="18">
        <f t="shared" si="374"/>
        <v>1.0235668840213674</v>
      </c>
      <c r="V442" s="18">
        <f t="shared" si="375"/>
        <v>0.21500313027917825</v>
      </c>
      <c r="W442" s="32" t="str">
        <f t="shared" si="363"/>
        <v>1-3.61810520416655i</v>
      </c>
      <c r="X442" s="18">
        <f t="shared" si="376"/>
        <v>3.7537561546292633</v>
      </c>
      <c r="Y442" s="18">
        <f t="shared" si="377"/>
        <v>-1.3011403829362838</v>
      </c>
      <c r="Z442" s="32" t="str">
        <f t="shared" si="364"/>
        <v>0.376043032974787+1.64410171464154i</v>
      </c>
      <c r="AA442" s="18">
        <f t="shared" si="378"/>
        <v>1.6865582737445297</v>
      </c>
      <c r="AB442" s="18">
        <f t="shared" si="379"/>
        <v>1.3459416048945394</v>
      </c>
      <c r="AC442" s="68" t="str">
        <f t="shared" si="380"/>
        <v>-0.101894056229375+0.118213845907093i</v>
      </c>
      <c r="AD442" s="66">
        <f t="shared" si="381"/>
        <v>-16.133777718985243</v>
      </c>
      <c r="AE442" s="63">
        <f t="shared" si="382"/>
        <v>130.75959230716779</v>
      </c>
      <c r="AF442" s="51" t="str">
        <f t="shared" si="383"/>
        <v>42.1703962805665</v>
      </c>
      <c r="AG442" s="51" t="str">
        <f t="shared" si="365"/>
        <v>1+96.3434526529644i</v>
      </c>
      <c r="AH442" s="51">
        <f t="shared" si="384"/>
        <v>96.34864227945296</v>
      </c>
      <c r="AI442" s="51">
        <f t="shared" si="385"/>
        <v>1.5604171669950295</v>
      </c>
      <c r="AJ442" s="51" t="str">
        <f t="shared" si="366"/>
        <v>1+0.218378492680052i</v>
      </c>
      <c r="AK442" s="51">
        <f t="shared" si="386"/>
        <v>1.0235668840213674</v>
      </c>
      <c r="AL442" s="51">
        <f t="shared" si="387"/>
        <v>0.21500313027917825</v>
      </c>
      <c r="AM442" s="51" t="str">
        <f t="shared" si="367"/>
        <v>1-0.566272114345467i</v>
      </c>
      <c r="AN442" s="51">
        <f t="shared" si="388"/>
        <v>1.1492015086508047</v>
      </c>
      <c r="AO442" s="51">
        <f t="shared" si="389"/>
        <v>-0.51525030503347546</v>
      </c>
      <c r="AP442" s="60" t="str">
        <f t="shared" si="390"/>
        <v>-0.14715527914598-0.49336422007756i</v>
      </c>
      <c r="AQ442" s="51">
        <f t="shared" si="391"/>
        <v>-5.7665100593187733</v>
      </c>
      <c r="AR442" s="63">
        <f t="shared" si="392"/>
        <v>-106.60821387272388</v>
      </c>
      <c r="AS442" s="32" t="str">
        <f t="shared" si="368"/>
        <v>-0.000133283554228113</v>
      </c>
      <c r="AT442" s="32" t="str">
        <f t="shared" si="369"/>
        <v>0.0667146295137559i</v>
      </c>
      <c r="AU442" s="32">
        <f t="shared" si="393"/>
        <v>6.6714629513755896E-2</v>
      </c>
      <c r="AV442" s="32">
        <f t="shared" si="394"/>
        <v>1.5707963267948966</v>
      </c>
      <c r="AW442" s="32" t="str">
        <f t="shared" si="370"/>
        <v>1+11.664558518326i</v>
      </c>
      <c r="AX442" s="32">
        <f t="shared" si="395"/>
        <v>11.707344935016293</v>
      </c>
      <c r="AY442" s="32">
        <f t="shared" si="396"/>
        <v>1.485275654884016</v>
      </c>
      <c r="AZ442" s="32" t="str">
        <f t="shared" si="371"/>
        <v>1+173.830372065785i</v>
      </c>
      <c r="BA442" s="32">
        <f t="shared" si="397"/>
        <v>173.83324840929956</v>
      </c>
      <c r="BB442" s="32">
        <f t="shared" si="398"/>
        <v>1.5650436556303775</v>
      </c>
      <c r="BC442" s="60" t="str">
        <f t="shared" si="399"/>
        <v>-0.00236373052421202+0.029569689020497i</v>
      </c>
      <c r="BD442" s="51">
        <f t="shared" si="400"/>
        <v>-30.555401630815432</v>
      </c>
      <c r="BE442" s="63">
        <f t="shared" si="401"/>
        <v>94.570369782962885</v>
      </c>
      <c r="BF442" s="60" t="str">
        <f t="shared" si="402"/>
        <v>-0.00325469657044454-0.00329240123169475i</v>
      </c>
      <c r="BG442" s="66">
        <f t="shared" si="403"/>
        <v>-46.689179349800668</v>
      </c>
      <c r="BH442" s="63">
        <f t="shared" si="404"/>
        <v>-134.67003790986925</v>
      </c>
      <c r="BI442" s="60" t="str">
        <f t="shared" si="409"/>
        <v>0.0149364619866498-0.00318515577551967i</v>
      </c>
      <c r="BJ442" s="66">
        <f t="shared" si="405"/>
        <v>-36.321911690134186</v>
      </c>
      <c r="BK442" s="63">
        <f t="shared" si="410"/>
        <v>-12.037844089760974</v>
      </c>
      <c r="BL442" s="51">
        <f t="shared" si="406"/>
        <v>-46.689179349800668</v>
      </c>
      <c r="BM442" s="63">
        <f t="shared" si="407"/>
        <v>-134.67003790986925</v>
      </c>
    </row>
    <row r="443" spans="14:65" x14ac:dyDescent="0.35">
      <c r="N443" s="11">
        <v>25</v>
      </c>
      <c r="O443" s="52">
        <f t="shared" si="408"/>
        <v>177827.94100389251</v>
      </c>
      <c r="P443" s="50" t="str">
        <f t="shared" si="360"/>
        <v>36.531007751938</v>
      </c>
      <c r="Q443" s="18" t="str">
        <f t="shared" si="361"/>
        <v>1+545.67079136174i</v>
      </c>
      <c r="R443" s="18">
        <f t="shared" si="372"/>
        <v>545.67170766436823</v>
      </c>
      <c r="S443" s="18">
        <f t="shared" si="373"/>
        <v>1.5689637220516151</v>
      </c>
      <c r="T443" s="18" t="str">
        <f t="shared" si="362"/>
        <v>1+0.223465181224332i</v>
      </c>
      <c r="U443" s="18">
        <f t="shared" si="374"/>
        <v>1.0246641826567491</v>
      </c>
      <c r="V443" s="18">
        <f t="shared" si="375"/>
        <v>0.21985310044702325</v>
      </c>
      <c r="W443" s="32" t="str">
        <f t="shared" si="363"/>
        <v>1-3.70238170075817i</v>
      </c>
      <c r="X443" s="18">
        <f t="shared" si="376"/>
        <v>3.835052836416855</v>
      </c>
      <c r="Y443" s="18">
        <f t="shared" si="377"/>
        <v>-1.3069946367192424</v>
      </c>
      <c r="Z443" s="32" t="str">
        <f t="shared" si="364"/>
        <v>0.346636847072641+1.68239776318946i</v>
      </c>
      <c r="AA443" s="18">
        <f t="shared" si="378"/>
        <v>1.7177366903380038</v>
      </c>
      <c r="AB443" s="18">
        <f t="shared" si="379"/>
        <v>1.3676023797370866</v>
      </c>
      <c r="AC443" s="68" t="str">
        <f t="shared" si="380"/>
        <v>-0.0973319655726089+0.118247369483186i</v>
      </c>
      <c r="AD443" s="66">
        <f t="shared" si="381"/>
        <v>-16.297469374042851</v>
      </c>
      <c r="AE443" s="63">
        <f t="shared" si="382"/>
        <v>129.45853434455626</v>
      </c>
      <c r="AF443" s="51" t="str">
        <f t="shared" si="383"/>
        <v>42.1703962805665</v>
      </c>
      <c r="AG443" s="51" t="str">
        <f t="shared" si="365"/>
        <v>1+98.5875799519115i</v>
      </c>
      <c r="AH443" s="51">
        <f t="shared" si="384"/>
        <v>98.592651454226242</v>
      </c>
      <c r="AI443" s="51">
        <f t="shared" si="385"/>
        <v>1.5606534091238649</v>
      </c>
      <c r="AJ443" s="51" t="str">
        <f t="shared" si="366"/>
        <v>1+0.223465181224332i</v>
      </c>
      <c r="AK443" s="51">
        <f t="shared" si="386"/>
        <v>1.0246641826567491</v>
      </c>
      <c r="AL443" s="51">
        <f t="shared" si="387"/>
        <v>0.21985310044702325</v>
      </c>
      <c r="AM443" s="51" t="str">
        <f t="shared" si="367"/>
        <v>1-0.579462286333724i</v>
      </c>
      <c r="AN443" s="51">
        <f t="shared" si="388"/>
        <v>1.1557579942544662</v>
      </c>
      <c r="AO443" s="51">
        <f t="shared" si="389"/>
        <v>-0.52518133983111703</v>
      </c>
      <c r="AP443" s="60" t="str">
        <f t="shared" si="390"/>
        <v>-0.147360449921295-0.48462885883221i</v>
      </c>
      <c r="AQ443" s="51">
        <f t="shared" si="391"/>
        <v>-5.9077680479511603</v>
      </c>
      <c r="AR443" s="63">
        <f t="shared" si="392"/>
        <v>-106.91287310836985</v>
      </c>
      <c r="AS443" s="32" t="str">
        <f t="shared" si="368"/>
        <v>-0.000133283554228113</v>
      </c>
      <c r="AT443" s="32" t="str">
        <f t="shared" si="369"/>
        <v>0.0682686128640332i</v>
      </c>
      <c r="AU443" s="32">
        <f t="shared" si="393"/>
        <v>6.8268612864033199E-2</v>
      </c>
      <c r="AV443" s="32">
        <f t="shared" si="394"/>
        <v>1.5707963267948966</v>
      </c>
      <c r="AW443" s="32" t="str">
        <f t="shared" si="370"/>
        <v>1+11.9362609898518i</v>
      </c>
      <c r="AX443" s="32">
        <f t="shared" si="395"/>
        <v>11.97807690816259</v>
      </c>
      <c r="AY443" s="32">
        <f t="shared" si="396"/>
        <v>1.4872131844982968</v>
      </c>
      <c r="AZ443" s="32" t="str">
        <f t="shared" si="371"/>
        <v>1+177.879401580474i</v>
      </c>
      <c r="BA443" s="32">
        <f t="shared" si="397"/>
        <v>177.88221245146332</v>
      </c>
      <c r="BB443" s="32">
        <f t="shared" si="398"/>
        <v>1.5651745996219506</v>
      </c>
      <c r="BC443" s="60" t="str">
        <f t="shared" si="399"/>
        <v>-0.00225808662029597+0.028905451392655i</v>
      </c>
      <c r="BD443" s="51">
        <f t="shared" si="400"/>
        <v>-30.753981759975701</v>
      </c>
      <c r="BE443" s="63">
        <f t="shared" si="401"/>
        <v>94.46686005145277</v>
      </c>
      <c r="BF443" s="60" t="str">
        <f t="shared" si="402"/>
        <v>-0.00319820958171893-0.00308043720272579i</v>
      </c>
      <c r="BG443" s="66">
        <f t="shared" si="403"/>
        <v>-47.051451134018556</v>
      </c>
      <c r="BH443" s="63">
        <f t="shared" si="404"/>
        <v>-136.07460560399096</v>
      </c>
      <c r="BI443" s="60" t="str">
        <f t="shared" si="409"/>
        <v>0.0143411685827804-0.00316518638046145i</v>
      </c>
      <c r="BJ443" s="66">
        <f t="shared" si="405"/>
        <v>-36.661749807926853</v>
      </c>
      <c r="BK443" s="63">
        <f t="shared" si="410"/>
        <v>-12.446013056917087</v>
      </c>
      <c r="BL443" s="51">
        <f t="shared" si="406"/>
        <v>-47.051451134018556</v>
      </c>
      <c r="BM443" s="63">
        <f t="shared" si="407"/>
        <v>-136.07460560399096</v>
      </c>
    </row>
    <row r="444" spans="14:65" x14ac:dyDescent="0.35">
      <c r="N444" s="11">
        <v>26</v>
      </c>
      <c r="O444" s="52">
        <f t="shared" si="408"/>
        <v>181970.08586099857</v>
      </c>
      <c r="P444" s="50" t="str">
        <f t="shared" si="360"/>
        <v>36.531007751938</v>
      </c>
      <c r="Q444" s="18" t="str">
        <f t="shared" si="361"/>
        <v>1+558.381096892758i</v>
      </c>
      <c r="R444" s="18">
        <f t="shared" si="372"/>
        <v>558.38199233782575</v>
      </c>
      <c r="S444" s="18">
        <f t="shared" si="373"/>
        <v>1.569005437138228</v>
      </c>
      <c r="T444" s="18" t="str">
        <f t="shared" si="362"/>
        <v>1+0.228670353965606i</v>
      </c>
      <c r="U444" s="18">
        <f t="shared" si="374"/>
        <v>1.0258119373368373</v>
      </c>
      <c r="V444" s="18">
        <f t="shared" si="375"/>
        <v>0.22480518005426375</v>
      </c>
      <c r="W444" s="32" t="str">
        <f t="shared" si="363"/>
        <v>1-3.7886212491343i</v>
      </c>
      <c r="X444" s="18">
        <f t="shared" si="376"/>
        <v>3.9183735107046571</v>
      </c>
      <c r="Y444" s="18">
        <f t="shared" si="377"/>
        <v>-1.3127335765824801</v>
      </c>
      <c r="Z444" s="32" t="str">
        <f t="shared" si="364"/>
        <v>0.315844790325227+1.72158584130058i</v>
      </c>
      <c r="AA444" s="18">
        <f t="shared" si="378"/>
        <v>1.7503187539823177</v>
      </c>
      <c r="AB444" s="18">
        <f t="shared" si="379"/>
        <v>1.3893525172317915</v>
      </c>
      <c r="AC444" s="68" t="str">
        <f t="shared" si="380"/>
        <v>-0.0928375045437261+0.118124385987736i</v>
      </c>
      <c r="AD444" s="66">
        <f t="shared" si="381"/>
        <v>-16.464266333858667</v>
      </c>
      <c r="AE444" s="63">
        <f t="shared" si="382"/>
        <v>128.16486939214036</v>
      </c>
      <c r="AF444" s="51" t="str">
        <f t="shared" si="383"/>
        <v>42.1703962805665</v>
      </c>
      <c r="AG444" s="51" t="str">
        <f t="shared" si="365"/>
        <v>1+100.883979690709i</v>
      </c>
      <c r="AH444" s="51">
        <f t="shared" si="384"/>
        <v>100.88893575727413</v>
      </c>
      <c r="AI444" s="51">
        <f t="shared" si="385"/>
        <v>1.5608842748193525</v>
      </c>
      <c r="AJ444" s="51" t="str">
        <f t="shared" si="366"/>
        <v>1+0.228670353965606i</v>
      </c>
      <c r="AK444" s="51">
        <f t="shared" si="386"/>
        <v>1.0258119373368373</v>
      </c>
      <c r="AL444" s="51">
        <f t="shared" si="387"/>
        <v>0.22480518005426375</v>
      </c>
      <c r="AM444" s="51" t="str">
        <f t="shared" si="367"/>
        <v>1-0.592959696896279i</v>
      </c>
      <c r="AN444" s="51">
        <f t="shared" si="388"/>
        <v>1.1625838473604073</v>
      </c>
      <c r="AO444" s="51">
        <f t="shared" si="389"/>
        <v>-0.53522672449672981</v>
      </c>
      <c r="AP444" s="60" t="str">
        <f t="shared" si="390"/>
        <v>-0.147556388347785-0.476150266861378i</v>
      </c>
      <c r="AQ444" s="51">
        <f t="shared" si="391"/>
        <v>-6.0468765073057149</v>
      </c>
      <c r="AR444" s="63">
        <f t="shared" si="392"/>
        <v>-107.21792562197305</v>
      </c>
      <c r="AS444" s="32" t="str">
        <f t="shared" si="368"/>
        <v>-0.000133283554228113</v>
      </c>
      <c r="AT444" s="32" t="str">
        <f t="shared" si="369"/>
        <v>0.0698587931364929i</v>
      </c>
      <c r="AU444" s="32">
        <f t="shared" si="393"/>
        <v>6.9858793136492903E-2</v>
      </c>
      <c r="AV444" s="32">
        <f t="shared" si="394"/>
        <v>1.5707963267948966</v>
      </c>
      <c r="AW444" s="32" t="str">
        <f t="shared" si="370"/>
        <v>1+12.2142922249494i</v>
      </c>
      <c r="AX444" s="32">
        <f t="shared" si="395"/>
        <v>12.25515950758942</v>
      </c>
      <c r="AY444" s="32">
        <f t="shared" si="396"/>
        <v>1.4891072185522656</v>
      </c>
      <c r="AZ444" s="32" t="str">
        <f t="shared" si="371"/>
        <v>1+182.022745108392i</v>
      </c>
      <c r="BA444" s="32">
        <f t="shared" si="397"/>
        <v>182.02549199712291</v>
      </c>
      <c r="BB444" s="32">
        <f t="shared" si="398"/>
        <v>1.565302563150663</v>
      </c>
      <c r="BC444" s="60" t="str">
        <f t="shared" si="399"/>
        <v>-0.00215713266624412+0.0282557482210301i</v>
      </c>
      <c r="BD444" s="51">
        <f t="shared" si="400"/>
        <v>-30.952625356423219</v>
      </c>
      <c r="BE444" s="63">
        <f t="shared" si="401"/>
        <v>94.365671664033101</v>
      </c>
      <c r="BF444" s="60" t="str">
        <f t="shared" si="402"/>
        <v>-0.00313743009552939-0.00287800312555044i</v>
      </c>
      <c r="BG444" s="66">
        <f t="shared" si="403"/>
        <v>-47.416891690281872</v>
      </c>
      <c r="BH444" s="63">
        <f t="shared" si="404"/>
        <v>-137.46945894382654</v>
      </c>
      <c r="BI444" s="60" t="str">
        <f t="shared" si="409"/>
        <v>0.0137722807612294-0.00314219686287202i</v>
      </c>
      <c r="BJ444" s="66">
        <f t="shared" si="405"/>
        <v>-36.999501863728938</v>
      </c>
      <c r="BK444" s="63">
        <f t="shared" si="410"/>
        <v>-12.852253957939951</v>
      </c>
      <c r="BL444" s="51">
        <f t="shared" si="406"/>
        <v>-47.416891690281872</v>
      </c>
      <c r="BM444" s="63">
        <f t="shared" si="407"/>
        <v>-137.46945894382654</v>
      </c>
    </row>
    <row r="445" spans="14:65" x14ac:dyDescent="0.35">
      <c r="N445" s="11">
        <v>27</v>
      </c>
      <c r="O445" s="52">
        <f t="shared" si="408"/>
        <v>186208.71366628664</v>
      </c>
      <c r="P445" s="50" t="str">
        <f t="shared" si="360"/>
        <v>36.531007751938</v>
      </c>
      <c r="Q445" s="18" t="str">
        <f t="shared" si="361"/>
        <v>1+571.3874634724i</v>
      </c>
      <c r="R445" s="18">
        <f t="shared" si="372"/>
        <v>571.38833853468111</v>
      </c>
      <c r="S445" s="18">
        <f t="shared" si="373"/>
        <v>1.5690462026795642</v>
      </c>
      <c r="T445" s="18" t="str">
        <f t="shared" si="362"/>
        <v>1+0.233996770755364i</v>
      </c>
      <c r="U445" s="18">
        <f t="shared" si="374"/>
        <v>1.027012409235613</v>
      </c>
      <c r="V445" s="18">
        <f t="shared" si="375"/>
        <v>0.22986102279768975</v>
      </c>
      <c r="W445" s="32" t="str">
        <f t="shared" si="363"/>
        <v>1-3.87686957464509i</v>
      </c>
      <c r="X445" s="18">
        <f t="shared" si="376"/>
        <v>4.0037629423841761</v>
      </c>
      <c r="Y445" s="18">
        <f t="shared" si="377"/>
        <v>-1.318358732652716</v>
      </c>
      <c r="Z445" s="32" t="str">
        <f t="shared" si="364"/>
        <v>0.283601548651798+1.76168672701265i</v>
      </c>
      <c r="AA445" s="18">
        <f t="shared" si="378"/>
        <v>1.7843682250393949</v>
      </c>
      <c r="AB445" s="18">
        <f t="shared" si="379"/>
        <v>1.4111827848894922</v>
      </c>
      <c r="AC445" s="68" t="str">
        <f t="shared" si="380"/>
        <v>-0.0884167220983564+0.117849386603564i</v>
      </c>
      <c r="AD445" s="66">
        <f t="shared" si="381"/>
        <v>-16.634203079797384</v>
      </c>
      <c r="AE445" s="63">
        <f t="shared" si="382"/>
        <v>126.87913224539808</v>
      </c>
      <c r="AF445" s="51" t="str">
        <f t="shared" si="383"/>
        <v>42.1703962805665</v>
      </c>
      <c r="AG445" s="51" t="str">
        <f t="shared" si="365"/>
        <v>1+103.233869450896i</v>
      </c>
      <c r="AH445" s="51">
        <f t="shared" si="384"/>
        <v>103.23871270896706</v>
      </c>
      <c r="AI445" s="51">
        <f t="shared" si="385"/>
        <v>1.5611098863910446</v>
      </c>
      <c r="AJ445" s="51" t="str">
        <f t="shared" si="366"/>
        <v>1+0.233996770755364i</v>
      </c>
      <c r="AK445" s="51">
        <f t="shared" si="386"/>
        <v>1.027012409235613</v>
      </c>
      <c r="AL445" s="51">
        <f t="shared" si="387"/>
        <v>0.22986102279768975</v>
      </c>
      <c r="AM445" s="51" t="str">
        <f t="shared" si="367"/>
        <v>1-0.606771502538882i</v>
      </c>
      <c r="AN445" s="51">
        <f t="shared" si="388"/>
        <v>1.1696887005922953</v>
      </c>
      <c r="AO445" s="51">
        <f t="shared" si="389"/>
        <v>-0.54538367524211573</v>
      </c>
      <c r="AP445" s="60" t="str">
        <f t="shared" si="390"/>
        <v>-0.147743509786205-0.467923961206497i</v>
      </c>
      <c r="AQ445" s="51">
        <f t="shared" si="391"/>
        <v>-6.1837782558934276</v>
      </c>
      <c r="AR445" s="63">
        <f t="shared" si="392"/>
        <v>-107.52312417219294</v>
      </c>
      <c r="AS445" s="32" t="str">
        <f t="shared" si="368"/>
        <v>-0.000133283554228113</v>
      </c>
      <c r="AT445" s="32" t="str">
        <f t="shared" si="369"/>
        <v>0.0714860134657639i</v>
      </c>
      <c r="AU445" s="32">
        <f t="shared" si="393"/>
        <v>7.1486013465763901E-2</v>
      </c>
      <c r="AV445" s="32">
        <f t="shared" si="394"/>
        <v>1.5707963267948966</v>
      </c>
      <c r="AW445" s="32" t="str">
        <f t="shared" si="370"/>
        <v>1+12.49879963946i</v>
      </c>
      <c r="AX445" s="32">
        <f t="shared" si="395"/>
        <v>12.538739666623812</v>
      </c>
      <c r="AY445" s="32">
        <f t="shared" si="396"/>
        <v>1.4909587069008652</v>
      </c>
      <c r="AZ445" s="32" t="str">
        <f t="shared" si="371"/>
        <v>1+186.262599505123i</v>
      </c>
      <c r="BA445" s="32">
        <f t="shared" si="397"/>
        <v>186.26528386794425</v>
      </c>
      <c r="BB445" s="32">
        <f t="shared" si="398"/>
        <v>1.5654276140476988</v>
      </c>
      <c r="BC445" s="60" t="str">
        <f t="shared" si="399"/>
        <v>-0.00206066322633754+0.0276202871639181i</v>
      </c>
      <c r="BD445" s="51">
        <f t="shared" si="400"/>
        <v>-31.151329601897871</v>
      </c>
      <c r="BE445" s="63">
        <f t="shared" si="401"/>
        <v>94.266754084465177</v>
      </c>
      <c r="BF445" s="60" t="str">
        <f t="shared" si="402"/>
        <v>-0.00307283681226065-0.00268494315166935i</v>
      </c>
      <c r="BG445" s="66">
        <f t="shared" si="403"/>
        <v>-47.785532681695251</v>
      </c>
      <c r="BH445" s="63">
        <f t="shared" si="404"/>
        <v>-138.85411367013668</v>
      </c>
      <c r="BI445" s="60" t="str">
        <f t="shared" si="409"/>
        <v>0.013228643796948-0.0031164844673197i</v>
      </c>
      <c r="BJ445" s="66">
        <f t="shared" si="405"/>
        <v>-37.3351078577913</v>
      </c>
      <c r="BK445" s="63">
        <f t="shared" si="410"/>
        <v>-13.256370087727722</v>
      </c>
      <c r="BL445" s="51">
        <f t="shared" si="406"/>
        <v>-47.785532681695251</v>
      </c>
      <c r="BM445" s="63">
        <f t="shared" si="407"/>
        <v>-138.85411367013668</v>
      </c>
    </row>
    <row r="446" spans="14:65" x14ac:dyDescent="0.35">
      <c r="N446" s="11">
        <v>28</v>
      </c>
      <c r="O446" s="52">
        <f t="shared" si="408"/>
        <v>190546.07179632492</v>
      </c>
      <c r="P446" s="50" t="str">
        <f t="shared" si="360"/>
        <v>36.531007751938</v>
      </c>
      <c r="Q446" s="18" t="str">
        <f t="shared" si="361"/>
        <v>1+584.696787248387i</v>
      </c>
      <c r="R446" s="18">
        <f t="shared" si="372"/>
        <v>584.69764239184804</v>
      </c>
      <c r="S446" s="18">
        <f t="shared" si="373"/>
        <v>1.569086040289511</v>
      </c>
      <c r="T446" s="18" t="str">
        <f t="shared" si="362"/>
        <v>1+0.239447255730292i</v>
      </c>
      <c r="U446" s="18">
        <f t="shared" si="374"/>
        <v>1.0282679554847403</v>
      </c>
      <c r="V446" s="18">
        <f t="shared" si="375"/>
        <v>0.23502227500907402</v>
      </c>
      <c r="W446" s="32" t="str">
        <f t="shared" si="363"/>
        <v>1-3.96717346772082i</v>
      </c>
      <c r="X446" s="18">
        <f t="shared" si="376"/>
        <v>4.0912669581668757</v>
      </c>
      <c r="Y446" s="18">
        <f t="shared" si="377"/>
        <v>-1.323871662922907</v>
      </c>
      <c r="Z446" s="32" t="str">
        <f t="shared" si="364"/>
        <v>0.249838729813831+1.80272168234608i</v>
      </c>
      <c r="AA446" s="18">
        <f t="shared" si="378"/>
        <v>1.8199518825825232</v>
      </c>
      <c r="AB446" s="18">
        <f t="shared" si="379"/>
        <v>1.4330838022642236</v>
      </c>
      <c r="AC446" s="68" t="str">
        <f t="shared" si="380"/>
        <v>-0.0840754107075232+0.117427218954091i</v>
      </c>
      <c r="AD446" s="66">
        <f t="shared" si="381"/>
        <v>-16.807309507335539</v>
      </c>
      <c r="AE446" s="63">
        <f t="shared" si="382"/>
        <v>125.60186418735059</v>
      </c>
      <c r="AF446" s="51" t="str">
        <f t="shared" si="383"/>
        <v>42.1703962805665</v>
      </c>
      <c r="AG446" s="51" t="str">
        <f t="shared" si="365"/>
        <v>1+105.638495175129i</v>
      </c>
      <c r="AH446" s="51">
        <f t="shared" si="384"/>
        <v>105.64322819218349</v>
      </c>
      <c r="AI446" s="51">
        <f t="shared" si="385"/>
        <v>1.5613303633692601</v>
      </c>
      <c r="AJ446" s="51" t="str">
        <f t="shared" si="366"/>
        <v>1+0.239447255730292i</v>
      </c>
      <c r="AK446" s="51">
        <f t="shared" si="386"/>
        <v>1.0282679554847403</v>
      </c>
      <c r="AL446" s="51">
        <f t="shared" si="387"/>
        <v>0.23502227500907402</v>
      </c>
      <c r="AM446" s="51" t="str">
        <f t="shared" si="367"/>
        <v>1-0.620905026463707i</v>
      </c>
      <c r="AN446" s="51">
        <f t="shared" si="388"/>
        <v>1.1770824320700299</v>
      </c>
      <c r="AO446" s="51">
        <f t="shared" si="389"/>
        <v>-0.55564919430178461</v>
      </c>
      <c r="AP446" s="60" t="str">
        <f t="shared" si="390"/>
        <v>-0.147922210917373-0.459945591840278i</v>
      </c>
      <c r="AQ446" s="51">
        <f t="shared" si="391"/>
        <v>-6.3184160355163552</v>
      </c>
      <c r="AR446" s="63">
        <f t="shared" si="392"/>
        <v>-107.82820952043983</v>
      </c>
      <c r="AS446" s="32" t="str">
        <f t="shared" si="368"/>
        <v>-0.000133283554228113</v>
      </c>
      <c r="AT446" s="32" t="str">
        <f t="shared" si="369"/>
        <v>0.0731511366256039i</v>
      </c>
      <c r="AU446" s="32">
        <f t="shared" si="393"/>
        <v>7.3151136625603894E-2</v>
      </c>
      <c r="AV446" s="32">
        <f t="shared" si="394"/>
        <v>1.5707963267948966</v>
      </c>
      <c r="AW446" s="32" t="str">
        <f t="shared" si="370"/>
        <v>1+12.7899340829807i</v>
      </c>
      <c r="AX446" s="32">
        <f t="shared" si="395"/>
        <v>12.828967762333466</v>
      </c>
      <c r="AY446" s="32">
        <f t="shared" si="396"/>
        <v>1.4927685804240753</v>
      </c>
      <c r="AZ446" s="32" t="str">
        <f t="shared" si="371"/>
        <v>1+190.601212797591i</v>
      </c>
      <c r="BA446" s="32">
        <f t="shared" si="397"/>
        <v>190.60383605770522</v>
      </c>
      <c r="BB446" s="32">
        <f t="shared" si="398"/>
        <v>1.5655498186010461</v>
      </c>
      <c r="BC446" s="60" t="str">
        <f t="shared" si="399"/>
        <v>-0.00196848162125837+0.0269987800258287i</v>
      </c>
      <c r="BD446" s="51">
        <f t="shared" si="400"/>
        <v>-31.35009180164953</v>
      </c>
      <c r="BE446" s="63">
        <f t="shared" si="401"/>
        <v>94.170057775276831</v>
      </c>
      <c r="BF446" s="60" t="str">
        <f t="shared" si="402"/>
        <v>-0.00300489075280882-0.00250108684162023i</v>
      </c>
      <c r="BG446" s="66">
        <f t="shared" si="403"/>
        <v>-48.157401308985058</v>
      </c>
      <c r="BH446" s="63">
        <f t="shared" si="404"/>
        <v>-140.22807803737265</v>
      </c>
      <c r="BI446" s="60" t="str">
        <f t="shared" si="409"/>
        <v>0.012709152011512-0.003088324789176i</v>
      </c>
      <c r="BJ446" s="66">
        <f t="shared" si="405"/>
        <v>-37.66850783716589</v>
      </c>
      <c r="BK446" s="63">
        <f t="shared" si="410"/>
        <v>-13.658151745163002</v>
      </c>
      <c r="BL446" s="51">
        <f t="shared" si="406"/>
        <v>-48.157401308985058</v>
      </c>
      <c r="BM446" s="63">
        <f t="shared" si="407"/>
        <v>-140.22807803737265</v>
      </c>
    </row>
    <row r="447" spans="14:65" x14ac:dyDescent="0.35">
      <c r="N447" s="11">
        <v>29</v>
      </c>
      <c r="O447" s="52">
        <f t="shared" si="408"/>
        <v>194984.45997580473</v>
      </c>
      <c r="P447" s="50" t="str">
        <f t="shared" si="360"/>
        <v>36.531007751938</v>
      </c>
      <c r="Q447" s="18" t="str">
        <f t="shared" si="361"/>
        <v>1+598.316125000342i</v>
      </c>
      <c r="R447" s="18">
        <f t="shared" si="372"/>
        <v>598.31696067838914</v>
      </c>
      <c r="S447" s="18">
        <f t="shared" si="373"/>
        <v>1.5691249710899906</v>
      </c>
      <c r="T447" s="18" t="str">
        <f t="shared" si="362"/>
        <v>1+0.245024698809664i</v>
      </c>
      <c r="U447" s="18">
        <f t="shared" si="374"/>
        <v>1.0295810327636998</v>
      </c>
      <c r="V447" s="18">
        <f t="shared" si="375"/>
        <v>0.24029057286222513</v>
      </c>
      <c r="W447" s="32" t="str">
        <f t="shared" si="363"/>
        <v>1-4.05958080868083i</v>
      </c>
      <c r="X447" s="18">
        <f t="shared" si="376"/>
        <v>4.1809324728115032</v>
      </c>
      <c r="Y447" s="18">
        <f t="shared" si="377"/>
        <v>-1.3292739494459676</v>
      </c>
      <c r="Z447" s="32" t="str">
        <f t="shared" si="364"/>
        <v>0.214484718345952+1.8447124645773i</v>
      </c>
      <c r="AA447" s="18">
        <f t="shared" si="378"/>
        <v>1.8571396747069937</v>
      </c>
      <c r="AB447" s="18">
        <f t="shared" si="379"/>
        <v>1.4550460578081799</v>
      </c>
      <c r="AC447" s="68" t="str">
        <f t="shared" si="380"/>
        <v>-0.079819077563409+0.116863066327857i</v>
      </c>
      <c r="AD447" s="66">
        <f t="shared" si="381"/>
        <v>-16.983610855380171</v>
      </c>
      <c r="AE447" s="63">
        <f t="shared" si="382"/>
        <v>124.33361208024512</v>
      </c>
      <c r="AF447" s="51" t="str">
        <f t="shared" si="383"/>
        <v>42.1703962805665</v>
      </c>
      <c r="AG447" s="51" t="str">
        <f t="shared" si="365"/>
        <v>1+108.099131827793i</v>
      </c>
      <c r="AH447" s="51">
        <f t="shared" si="384"/>
        <v>108.10375711288933</v>
      </c>
      <c r="AI447" s="51">
        <f t="shared" si="385"/>
        <v>1.5615458225680221</v>
      </c>
      <c r="AJ447" s="51" t="str">
        <f t="shared" si="366"/>
        <v>1+0.245024698809664i</v>
      </c>
      <c r="AK447" s="51">
        <f t="shared" si="386"/>
        <v>1.0295810327636998</v>
      </c>
      <c r="AL447" s="51">
        <f t="shared" si="387"/>
        <v>0.24029057286222513</v>
      </c>
      <c r="AM447" s="51" t="str">
        <f t="shared" si="367"/>
        <v>1-0.635367762452204i</v>
      </c>
      <c r="AN447" s="51">
        <f t="shared" si="388"/>
        <v>1.1847751658283188</v>
      </c>
      <c r="AO447" s="51">
        <f t="shared" si="389"/>
        <v>-0.56602006986379405</v>
      </c>
      <c r="AP447" s="60" t="str">
        <f t="shared" si="390"/>
        <v>-0.148092870581634-0.452210939415939i</v>
      </c>
      <c r="AQ447" s="51">
        <f t="shared" si="391"/>
        <v>-6.4507326046851556</v>
      </c>
      <c r="AR447" s="63">
        <f t="shared" si="392"/>
        <v>-108.13291059054124</v>
      </c>
      <c r="AS447" s="32" t="str">
        <f t="shared" si="368"/>
        <v>-0.000133283554228113</v>
      </c>
      <c r="AT447" s="32" t="str">
        <f t="shared" si="369"/>
        <v>0.0748550454863525i</v>
      </c>
      <c r="AU447" s="32">
        <f t="shared" si="393"/>
        <v>7.4855045486352495E-2</v>
      </c>
      <c r="AV447" s="32">
        <f t="shared" si="394"/>
        <v>1.5707963267948966</v>
      </c>
      <c r="AW447" s="32" t="str">
        <f t="shared" si="370"/>
        <v>1+13.0878499188469i</v>
      </c>
      <c r="AX447" s="32">
        <f t="shared" si="395"/>
        <v>13.12599769534723</v>
      </c>
      <c r="AY447" s="32">
        <f t="shared" si="396"/>
        <v>1.4945377512863385</v>
      </c>
      <c r="AZ447" s="32" t="str">
        <f t="shared" si="371"/>
        <v>1+195.040885375986i</v>
      </c>
      <c r="BA447" s="32">
        <f t="shared" si="397"/>
        <v>195.04344892420383</v>
      </c>
      <c r="BB447" s="32">
        <f t="shared" si="398"/>
        <v>1.5656692415905678</v>
      </c>
      <c r="BC447" s="60" t="str">
        <f t="shared" si="399"/>
        <v>-0.00188039957616797+0.0263909428239198i</v>
      </c>
      <c r="BD447" s="51">
        <f t="shared" si="400"/>
        <v>-31.548909379168819</v>
      </c>
      <c r="BE447" s="63">
        <f t="shared" si="401"/>
        <v>94.075534184908079</v>
      </c>
      <c r="BF447" s="60" t="str">
        <f t="shared" si="402"/>
        <v>-0.00293403474206607-0.00232624997262654i</v>
      </c>
      <c r="BG447" s="66">
        <f t="shared" si="403"/>
        <v>-48.53252023454899</v>
      </c>
      <c r="BH447" s="63">
        <f t="shared" si="404"/>
        <v>-141.5908537348468</v>
      </c>
      <c r="BI447" s="60" t="str">
        <f t="shared" si="409"/>
        <v>0.0122127468175523-0.00305797322133381i</v>
      </c>
      <c r="BJ447" s="66">
        <f t="shared" si="405"/>
        <v>-37.999641983853977</v>
      </c>
      <c r="BK447" s="63">
        <f t="shared" si="410"/>
        <v>-14.057376405633196</v>
      </c>
      <c r="BL447" s="51">
        <f t="shared" si="406"/>
        <v>-48.53252023454899</v>
      </c>
      <c r="BM447" s="63">
        <f t="shared" si="407"/>
        <v>-141.5908537348468</v>
      </c>
    </row>
    <row r="448" spans="14:65" x14ac:dyDescent="0.35">
      <c r="N448" s="11">
        <v>30</v>
      </c>
      <c r="O448" s="52">
        <f t="shared" si="408"/>
        <v>199526.23149688813</v>
      </c>
      <c r="P448" s="50" t="str">
        <f t="shared" si="360"/>
        <v>36.531007751938</v>
      </c>
      <c r="Q448" s="18" t="str">
        <f t="shared" si="361"/>
        <v>1+612.252697881426i</v>
      </c>
      <c r="R448" s="18">
        <f t="shared" si="372"/>
        <v>612.25351453714393</v>
      </c>
      <c r="S448" s="18">
        <f t="shared" si="373"/>
        <v>1.5691630157221563</v>
      </c>
      <c r="T448" s="18" t="str">
        <f t="shared" si="362"/>
        <v>1+0.250732057227632i</v>
      </c>
      <c r="U448" s="18">
        <f t="shared" si="374"/>
        <v>1.0309542009815957</v>
      </c>
      <c r="V448" s="18">
        <f t="shared" si="375"/>
        <v>0.24566753939756472</v>
      </c>
      <c r="W448" s="32" t="str">
        <f t="shared" si="363"/>
        <v>1-4.15414059312053i</v>
      </c>
      <c r="X448" s="18">
        <f t="shared" si="376"/>
        <v>4.2728075158391805</v>
      </c>
      <c r="Y448" s="18">
        <f t="shared" si="377"/>
        <v>-1.3345671947324171</v>
      </c>
      <c r="Z448" s="32" t="str">
        <f t="shared" si="364"/>
        <v>0.1774645236498+1.88768133777491i</v>
      </c>
      <c r="AA448" s="18">
        <f t="shared" si="378"/>
        <v>1.8960048760849546</v>
      </c>
      <c r="AB448" s="18">
        <f t="shared" si="379"/>
        <v>1.4770599261520869</v>
      </c>
      <c r="AC448" s="68" t="str">
        <f t="shared" si="380"/>
        <v>-0.0756529178430689+0.116162424331425i</v>
      </c>
      <c r="AD448" s="66">
        <f t="shared" si="381"/>
        <v>-17.16312764512012</v>
      </c>
      <c r="AE448" s="63">
        <f t="shared" si="382"/>
        <v>123.07492741074337</v>
      </c>
      <c r="AF448" s="51" t="str">
        <f t="shared" si="383"/>
        <v>42.1703962805665</v>
      </c>
      <c r="AG448" s="51" t="str">
        <f t="shared" si="365"/>
        <v>1+110.617084071014i</v>
      </c>
      <c r="AH448" s="51">
        <f t="shared" si="384"/>
        <v>110.6216040761197</v>
      </c>
      <c r="AI448" s="51">
        <f t="shared" si="385"/>
        <v>1.5617563781465869</v>
      </c>
      <c r="AJ448" s="51" t="str">
        <f t="shared" si="366"/>
        <v>1+0.250732057227632i</v>
      </c>
      <c r="AK448" s="51">
        <f t="shared" si="386"/>
        <v>1.0309542009815957</v>
      </c>
      <c r="AL448" s="51">
        <f t="shared" si="387"/>
        <v>0.24566753939756472</v>
      </c>
      <c r="AM448" s="51" t="str">
        <f t="shared" si="367"/>
        <v>1-0.650167378838444i</v>
      </c>
      <c r="AN448" s="51">
        <f t="shared" si="388"/>
        <v>1.1927772719605503</v>
      </c>
      <c r="AO448" s="51">
        <f t="shared" si="389"/>
        <v>-0.57649287685628869</v>
      </c>
      <c r="AP448" s="60" t="str">
        <f t="shared" si="390"/>
        <v>-0.148255850580669-0.44471591308196i</v>
      </c>
      <c r="AQ448" s="51">
        <f t="shared" si="391"/>
        <v>-6.5806708345147245</v>
      </c>
      <c r="AR448" s="63">
        <f t="shared" si="392"/>
        <v>-108.436944687813</v>
      </c>
      <c r="AS448" s="32" t="str">
        <f t="shared" si="368"/>
        <v>-0.000133283554228113</v>
      </c>
      <c r="AT448" s="32" t="str">
        <f t="shared" si="369"/>
        <v>0.0765986434830416i</v>
      </c>
      <c r="AU448" s="32">
        <f t="shared" si="393"/>
        <v>7.6598643483041601E-2</v>
      </c>
      <c r="AV448" s="32">
        <f t="shared" si="394"/>
        <v>1.5707963267948966</v>
      </c>
      <c r="AW448" s="32" t="str">
        <f t="shared" si="370"/>
        <v>1+13.3927051059783i</v>
      </c>
      <c r="AX448" s="32">
        <f t="shared" si="395"/>
        <v>13.429986971538625</v>
      </c>
      <c r="AY448" s="32">
        <f t="shared" si="396"/>
        <v>1.496267113201158</v>
      </c>
      <c r="AZ448" s="32" t="str">
        <f t="shared" si="371"/>
        <v>1+199.583971213481i</v>
      </c>
      <c r="BA448" s="32">
        <f t="shared" si="397"/>
        <v>199.58647640895813</v>
      </c>
      <c r="BB448" s="32">
        <f t="shared" si="398"/>
        <v>1.5657859463222807</v>
      </c>
      <c r="BC448" s="60" t="str">
        <f t="shared" si="399"/>
        <v>-0.00179623688102843+0.0257964958428939i</v>
      </c>
      <c r="BD448" s="51">
        <f t="shared" si="400"/>
        <v>-31.747779871128824</v>
      </c>
      <c r="BE448" s="63">
        <f t="shared" si="401"/>
        <v>93.983135734514619</v>
      </c>
      <c r="BF448" s="60" t="str">
        <f t="shared" si="402"/>
        <v>-0.00286069293517895-0.0021602354114153i</v>
      </c>
      <c r="BG448" s="66">
        <f t="shared" si="403"/>
        <v>-48.91090751624894</v>
      </c>
      <c r="BH448" s="63">
        <f t="shared" si="404"/>
        <v>-142.94193685474204</v>
      </c>
      <c r="BI448" s="60" t="str">
        <f t="shared" si="409"/>
        <v>0.0117384148297288-0.00302566630853088i</v>
      </c>
      <c r="BJ448" s="66">
        <f t="shared" si="405"/>
        <v>-38.328450705643533</v>
      </c>
      <c r="BK448" s="63">
        <f t="shared" si="410"/>
        <v>-14.453808953298365</v>
      </c>
      <c r="BL448" s="51">
        <f t="shared" si="406"/>
        <v>-48.91090751624894</v>
      </c>
      <c r="BM448" s="63">
        <f t="shared" si="407"/>
        <v>-142.94193685474204</v>
      </c>
    </row>
    <row r="449" spans="14:65" x14ac:dyDescent="0.35">
      <c r="N449" s="11">
        <v>31</v>
      </c>
      <c r="O449" s="52">
        <f t="shared" si="408"/>
        <v>204173.79446695308</v>
      </c>
      <c r="P449" s="50" t="str">
        <f t="shared" si="360"/>
        <v>36.531007751938</v>
      </c>
      <c r="Q449" s="18" t="str">
        <f t="shared" si="361"/>
        <v>1+626.513895247047i</v>
      </c>
      <c r="R449" s="18">
        <f t="shared" si="372"/>
        <v>626.51469331343526</v>
      </c>
      <c r="S449" s="18">
        <f t="shared" si="373"/>
        <v>1.569200194357335</v>
      </c>
      <c r="T449" s="18" t="str">
        <f t="shared" si="362"/>
        <v>1+0.256572357101172i</v>
      </c>
      <c r="U449" s="18">
        <f t="shared" si="374"/>
        <v>1.0323901270490974</v>
      </c>
      <c r="V449" s="18">
        <f t="shared" si="375"/>
        <v>0.25115478135843539</v>
      </c>
      <c r="W449" s="32" t="str">
        <f t="shared" si="363"/>
        <v>1-4.25090295788924i</v>
      </c>
      <c r="X449" s="18">
        <f t="shared" si="376"/>
        <v>4.3669412587521137</v>
      </c>
      <c r="Y449" s="18">
        <f t="shared" si="377"/>
        <v>-1.3397530183476423</v>
      </c>
      <c r="Z449" s="32" t="str">
        <f t="shared" si="364"/>
        <v>0.138699620929065+1.93165108460422i</v>
      </c>
      <c r="AA449" s="18">
        <f t="shared" si="378"/>
        <v>1.9366242530492399</v>
      </c>
      <c r="AB449" s="18">
        <f t="shared" si="379"/>
        <v>1.4991156857517132</v>
      </c>
      <c r="AC449" s="68" t="str">
        <f t="shared" si="380"/>
        <v>-0.0715817902870804+0.115331075199437i</v>
      </c>
      <c r="AD449" s="66">
        <f t="shared" si="381"/>
        <v>-17.345875628554627</v>
      </c>
      <c r="AE449" s="63">
        <f t="shared" si="382"/>
        <v>121.82636529191916</v>
      </c>
      <c r="AF449" s="51" t="str">
        <f t="shared" si="383"/>
        <v>42.1703962805665</v>
      </c>
      <c r="AG449" s="51" t="str">
        <f t="shared" si="365"/>
        <v>1+113.1936869564i</v>
      </c>
      <c r="AH449" s="51">
        <f t="shared" si="384"/>
        <v>113.19810407768973</v>
      </c>
      <c r="AI449" s="51">
        <f t="shared" si="385"/>
        <v>1.5619621416695884</v>
      </c>
      <c r="AJ449" s="51" t="str">
        <f t="shared" si="366"/>
        <v>1+0.256572357101172i</v>
      </c>
      <c r="AK449" s="51">
        <f t="shared" si="386"/>
        <v>1.0323901270490974</v>
      </c>
      <c r="AL449" s="51">
        <f t="shared" si="387"/>
        <v>0.25115478135843539</v>
      </c>
      <c r="AM449" s="51" t="str">
        <f t="shared" si="367"/>
        <v>1-0.665311722574924i</v>
      </c>
      <c r="AN449" s="51">
        <f t="shared" si="388"/>
        <v>1.201099366495384</v>
      </c>
      <c r="AO449" s="51">
        <f t="shared" si="389"/>
        <v>-0.58706397862831905</v>
      </c>
      <c r="AP449" s="60" t="str">
        <f t="shared" si="390"/>
        <v>-0.148411496443301-0.437456548361566i</v>
      </c>
      <c r="AQ449" s="51">
        <f t="shared" si="391"/>
        <v>-6.7081738066259176</v>
      </c>
      <c r="AR449" s="63">
        <f t="shared" si="392"/>
        <v>-108.74001778007434</v>
      </c>
      <c r="AS449" s="32" t="str">
        <f t="shared" si="368"/>
        <v>-0.000133283554228113</v>
      </c>
      <c r="AT449" s="32" t="str">
        <f t="shared" si="369"/>
        <v>0.0783828550944083i</v>
      </c>
      <c r="AU449" s="32">
        <f t="shared" si="393"/>
        <v>7.8382855094408302E-2</v>
      </c>
      <c r="AV449" s="32">
        <f t="shared" si="394"/>
        <v>1.5707963267948966</v>
      </c>
      <c r="AW449" s="32" t="str">
        <f t="shared" si="370"/>
        <v>1+13.7046612826302i</v>
      </c>
      <c r="AX449" s="32">
        <f t="shared" si="395"/>
        <v>13.741096785614431</v>
      </c>
      <c r="AY449" s="32">
        <f t="shared" si="396"/>
        <v>1.4979575417000399</v>
      </c>
      <c r="AZ449" s="32" t="str">
        <f t="shared" si="371"/>
        <v>1+204.232879114318i</v>
      </c>
      <c r="BA449" s="32">
        <f t="shared" si="397"/>
        <v>204.23532728527559</v>
      </c>
      <c r="BB449" s="32">
        <f t="shared" si="398"/>
        <v>1.5658999946618546</v>
      </c>
      <c r="BC449" s="60" t="str">
        <f t="shared" si="399"/>
        <v>-0.00171582106291808+0.0252151636792048i</v>
      </c>
      <c r="BD449" s="51">
        <f t="shared" si="400"/>
        <v>-31.946700922533214</v>
      </c>
      <c r="BE449" s="63">
        <f t="shared" si="401"/>
        <v>93.892815804478118</v>
      </c>
      <c r="BF449" s="60" t="str">
        <f t="shared" si="402"/>
        <v>-0.00278527039495652-0.00200283404657543i</v>
      </c>
      <c r="BG449" s="66">
        <f t="shared" si="403"/>
        <v>-49.292576551087841</v>
      </c>
      <c r="BH449" s="63">
        <f t="shared" si="404"/>
        <v>-144.28081890360266</v>
      </c>
      <c r="BI449" s="60" t="str">
        <f t="shared" si="409"/>
        <v>0.0112851860410535-0.00299162301490334i</v>
      </c>
      <c r="BJ449" s="66">
        <f t="shared" si="405"/>
        <v>-38.654874729159104</v>
      </c>
      <c r="BK449" s="63">
        <f t="shared" si="410"/>
        <v>-14.847201975596176</v>
      </c>
      <c r="BL449" s="51">
        <f t="shared" si="406"/>
        <v>-49.292576551087841</v>
      </c>
      <c r="BM449" s="63">
        <f t="shared" si="407"/>
        <v>-144.28081890360266</v>
      </c>
    </row>
    <row r="450" spans="14:65" x14ac:dyDescent="0.35">
      <c r="N450" s="11">
        <v>32</v>
      </c>
      <c r="O450" s="52">
        <f t="shared" si="408"/>
        <v>208929.61308540447</v>
      </c>
      <c r="P450" s="50" t="str">
        <f t="shared" si="360"/>
        <v>36.531007751938</v>
      </c>
      <c r="Q450" s="18" t="str">
        <f t="shared" si="361"/>
        <v>1+641.107278572826i</v>
      </c>
      <c r="R450" s="18">
        <f t="shared" si="372"/>
        <v>641.10805847302777</v>
      </c>
      <c r="S450" s="18">
        <f t="shared" si="373"/>
        <v>1.5692365267077195</v>
      </c>
      <c r="T450" s="18" t="str">
        <f t="shared" si="362"/>
        <v>1+0.262548695034586i</v>
      </c>
      <c r="U450" s="18">
        <f t="shared" si="374"/>
        <v>1.0338915887385698</v>
      </c>
      <c r="V450" s="18">
        <f t="shared" si="375"/>
        <v>0.25675388583381753</v>
      </c>
      <c r="W450" s="32" t="str">
        <f t="shared" si="363"/>
        <v>1-4.34991920767362i</v>
      </c>
      <c r="X450" s="18">
        <f t="shared" si="376"/>
        <v>4.4633840427738116</v>
      </c>
      <c r="Y450" s="18">
        <f t="shared" si="377"/>
        <v>-1.3448330537039903</v>
      </c>
      <c r="Z450" s="32" t="str">
        <f t="shared" si="364"/>
        <v>0.098107784627751+1.97664501840703i</v>
      </c>
      <c r="AA450" s="18">
        <f t="shared" si="378"/>
        <v>1.9790782365025124</v>
      </c>
      <c r="AB450" s="18">
        <f t="shared" si="379"/>
        <v>1.5212035368418149</v>
      </c>
      <c r="AC450" s="68" t="str">
        <f t="shared" si="380"/>
        <v>-0.0676101953214486+0.114375060018647i</v>
      </c>
      <c r="AD450" s="66">
        <f t="shared" si="381"/>
        <v>-17.531865746842868</v>
      </c>
      <c r="AE450" s="63">
        <f t="shared" si="382"/>
        <v>120.58848342540226</v>
      </c>
      <c r="AF450" s="51" t="str">
        <f t="shared" si="383"/>
        <v>42.1703962805665</v>
      </c>
      <c r="AG450" s="51" t="str">
        <f t="shared" si="365"/>
        <v>1+115.830306632906i</v>
      </c>
      <c r="AH450" s="51">
        <f t="shared" si="384"/>
        <v>115.83462321203029</v>
      </c>
      <c r="AI450" s="51">
        <f t="shared" si="385"/>
        <v>1.5621632221658361</v>
      </c>
      <c r="AJ450" s="51" t="str">
        <f t="shared" si="366"/>
        <v>1+0.262548695034586i</v>
      </c>
      <c r="AK450" s="51">
        <f t="shared" si="386"/>
        <v>1.0338915887385698</v>
      </c>
      <c r="AL450" s="51">
        <f t="shared" si="387"/>
        <v>0.25675388583381753</v>
      </c>
      <c r="AM450" s="51" t="str">
        <f t="shared" si="367"/>
        <v>1-0.680808823393161i</v>
      </c>
      <c r="AN450" s="51">
        <f t="shared" si="388"/>
        <v>1.20975231101659</v>
      </c>
      <c r="AO450" s="51">
        <f t="shared" si="389"/>
        <v>-0.59772952955841596</v>
      </c>
      <c r="AP450" s="60" t="str">
        <f t="shared" si="390"/>
        <v>-0.148560138156944-0.430429005095948i</v>
      </c>
      <c r="AQ450" s="51">
        <f t="shared" si="391"/>
        <v>-6.833184912545887</v>
      </c>
      <c r="AR450" s="63">
        <f t="shared" si="392"/>
        <v>-109.04182484283584</v>
      </c>
      <c r="AS450" s="32" t="str">
        <f t="shared" si="368"/>
        <v>-0.000133283554228113</v>
      </c>
      <c r="AT450" s="32" t="str">
        <f t="shared" si="369"/>
        <v>0.080208626333066i</v>
      </c>
      <c r="AU450" s="32">
        <f t="shared" si="393"/>
        <v>8.0208626333065997E-2</v>
      </c>
      <c r="AV450" s="32">
        <f t="shared" si="394"/>
        <v>1.5707963267948966</v>
      </c>
      <c r="AW450" s="32" t="str">
        <f t="shared" si="370"/>
        <v>1+14.0238838520969i</v>
      </c>
      <c r="AX450" s="32">
        <f t="shared" si="395"/>
        <v>14.059492106655354</v>
      </c>
      <c r="AY450" s="32">
        <f t="shared" si="396"/>
        <v>1.4996098944050511</v>
      </c>
      <c r="AZ450" s="32" t="str">
        <f t="shared" si="371"/>
        <v>1+208.990073991005i</v>
      </c>
      <c r="BA450" s="32">
        <f t="shared" si="397"/>
        <v>208.99246643543339</v>
      </c>
      <c r="BB450" s="32">
        <f t="shared" si="398"/>
        <v>1.5660114470673547</v>
      </c>
      <c r="BC450" s="60" t="str">
        <f t="shared" si="399"/>
        <v>-0.00163898707007826+0.0246466752753902i</v>
      </c>
      <c r="BD450" s="51">
        <f t="shared" si="400"/>
        <v>-32.145670282060685</v>
      </c>
      <c r="BE450" s="63">
        <f t="shared" si="401"/>
        <v>93.804528720665672</v>
      </c>
      <c r="BF450" s="60" t="str">
        <f t="shared" si="402"/>
        <v>-0.00270815272794554-0.00185382577390344i</v>
      </c>
      <c r="BG450" s="66">
        <f t="shared" si="403"/>
        <v>-49.677536028903546</v>
      </c>
      <c r="BH450" s="63">
        <f t="shared" si="404"/>
        <v>-145.60698785393205</v>
      </c>
      <c r="BI450" s="60" t="str">
        <f t="shared" si="409"/>
        <v>0.0108521320632774-0.0029560459100824i</v>
      </c>
      <c r="BJ450" s="66">
        <f t="shared" si="405"/>
        <v>-38.978855194606552</v>
      </c>
      <c r="BK450" s="63">
        <f t="shared" si="410"/>
        <v>-15.237296122170145</v>
      </c>
      <c r="BL450" s="51">
        <f t="shared" si="406"/>
        <v>-49.677536028903546</v>
      </c>
      <c r="BM450" s="63">
        <f t="shared" si="407"/>
        <v>-145.60698785393205</v>
      </c>
    </row>
    <row r="451" spans="14:65" x14ac:dyDescent="0.35">
      <c r="N451" s="11">
        <v>33</v>
      </c>
      <c r="O451" s="52">
        <f t="shared" si="408"/>
        <v>213796.20895022334</v>
      </c>
      <c r="P451" s="50" t="str">
        <f t="shared" si="360"/>
        <v>36.531007751938</v>
      </c>
      <c r="Q451" s="18" t="str">
        <f t="shared" si="361"/>
        <v>1+656.040585463756i</v>
      </c>
      <c r="R451" s="18">
        <f t="shared" si="372"/>
        <v>656.04134761128262</v>
      </c>
      <c r="S451" s="18">
        <f t="shared" si="373"/>
        <v>1.5692720320368192</v>
      </c>
      <c r="T451" s="18" t="str">
        <f t="shared" si="362"/>
        <v>1+0.268664239761348i</v>
      </c>
      <c r="U451" s="18">
        <f t="shared" si="374"/>
        <v>1.0354614786299599</v>
      </c>
      <c r="V451" s="18">
        <f t="shared" si="375"/>
        <v>0.26246641670245041</v>
      </c>
      <c r="W451" s="32" t="str">
        <f t="shared" si="363"/>
        <v>1-4.45124184219985i</v>
      </c>
      <c r="X451" s="18">
        <f t="shared" si="376"/>
        <v>4.5621874071272774</v>
      </c>
      <c r="Y451" s="18">
        <f t="shared" si="377"/>
        <v>-1.3498089450423532</v>
      </c>
      <c r="Z451" s="32" t="str">
        <f t="shared" si="364"/>
        <v>0.055602914018851+2.02268699556257i</v>
      </c>
      <c r="AA451" s="18">
        <f t="shared" si="378"/>
        <v>2.0234511029588345</v>
      </c>
      <c r="AB451" s="18">
        <f t="shared" si="379"/>
        <v>1.5433136196382757</v>
      </c>
      <c r="AC451" s="68" t="str">
        <f t="shared" si="380"/>
        <v>-0.0637422559194712+0.113300649147195i</v>
      </c>
      <c r="AD451" s="66">
        <f t="shared" si="381"/>
        <v>-17.721104098591077</v>
      </c>
      <c r="AE451" s="63">
        <f t="shared" si="382"/>
        <v>119.36184102707963</v>
      </c>
      <c r="AF451" s="51" t="str">
        <f t="shared" si="383"/>
        <v>42.1703962805665</v>
      </c>
      <c r="AG451" s="51" t="str">
        <f t="shared" si="365"/>
        <v>1+118.528341071183i</v>
      </c>
      <c r="AH451" s="51">
        <f t="shared" si="384"/>
        <v>118.53255939650795</v>
      </c>
      <c r="AI451" s="51">
        <f t="shared" si="385"/>
        <v>1.5623597261857904</v>
      </c>
      <c r="AJ451" s="51" t="str">
        <f t="shared" si="366"/>
        <v>1+0.268664239761348i</v>
      </c>
      <c r="AK451" s="51">
        <f t="shared" si="386"/>
        <v>1.0354614786299599</v>
      </c>
      <c r="AL451" s="51">
        <f t="shared" si="387"/>
        <v>0.26246641670245041</v>
      </c>
      <c r="AM451" s="51" t="str">
        <f t="shared" si="367"/>
        <v>1-0.696666898061125i</v>
      </c>
      <c r="AN451" s="51">
        <f t="shared" si="388"/>
        <v>1.2187472120395231</v>
      </c>
      <c r="AO451" s="51">
        <f t="shared" si="389"/>
        <v>-0.60848547861809565</v>
      </c>
      <c r="AP451" s="60" t="str">
        <f t="shared" si="390"/>
        <v>-0.148702090866201-0.423629565450389i</v>
      </c>
      <c r="AQ451" s="51">
        <f t="shared" si="391"/>
        <v>-6.9556479540637115</v>
      </c>
      <c r="AR451" s="63">
        <f t="shared" si="392"/>
        <v>-109.34205027050309</v>
      </c>
      <c r="AS451" s="32" t="str">
        <f t="shared" si="368"/>
        <v>-0.000133283554228113</v>
      </c>
      <c r="AT451" s="32" t="str">
        <f t="shared" si="369"/>
        <v>0.0820769252470918i</v>
      </c>
      <c r="AU451" s="32">
        <f t="shared" si="393"/>
        <v>8.20769252470918E-2</v>
      </c>
      <c r="AV451" s="32">
        <f t="shared" si="394"/>
        <v>1.5707963267948966</v>
      </c>
      <c r="AW451" s="32" t="str">
        <f t="shared" si="370"/>
        <v>1+14.35054207041i</v>
      </c>
      <c r="AX451" s="32">
        <f t="shared" si="395"/>
        <v>14.385341765651846</v>
      </c>
      <c r="AY451" s="32">
        <f t="shared" si="396"/>
        <v>1.5012250113042804</v>
      </c>
      <c r="AZ451" s="32" t="str">
        <f t="shared" si="371"/>
        <v>1+213.858078171232i</v>
      </c>
      <c r="BA451" s="32">
        <f t="shared" si="397"/>
        <v>213.86041615757875</v>
      </c>
      <c r="BB451" s="32">
        <f t="shared" si="398"/>
        <v>1.5661203626212401</v>
      </c>
      <c r="BC451" s="60" t="str">
        <f t="shared" si="399"/>
        <v>-0.00156557696741768+0.0240907639452819i</v>
      </c>
      <c r="BD451" s="51">
        <f t="shared" si="400"/>
        <v>-32.344685797600285</v>
      </c>
      <c r="BE451" s="63">
        <f t="shared" si="401"/>
        <v>93.718229740480524</v>
      </c>
      <c r="BF451" s="60" t="str">
        <f t="shared" si="402"/>
        <v>-0.00262970578573351-0.00171298052739405i</v>
      </c>
      <c r="BG451" s="66">
        <f t="shared" si="403"/>
        <v>-50.065789896191369</v>
      </c>
      <c r="BH451" s="63">
        <f t="shared" si="404"/>
        <v>-146.91992923243978</v>
      </c>
      <c r="BI451" s="60" t="str">
        <f t="shared" si="409"/>
        <v>0.0104383644299746-0.00291912227884122i</v>
      </c>
      <c r="BJ451" s="66">
        <f t="shared" si="405"/>
        <v>-39.300333751664034</v>
      </c>
      <c r="BK451" s="63">
        <f t="shared" si="410"/>
        <v>-15.623820530022648</v>
      </c>
      <c r="BL451" s="51">
        <f t="shared" si="406"/>
        <v>-50.065789896191369</v>
      </c>
      <c r="BM451" s="63">
        <f t="shared" si="407"/>
        <v>-146.91992923243978</v>
      </c>
    </row>
    <row r="452" spans="14:65" x14ac:dyDescent="0.35">
      <c r="N452" s="11">
        <v>34</v>
      </c>
      <c r="O452" s="52">
        <f t="shared" si="408"/>
        <v>218776.16239495538</v>
      </c>
      <c r="P452" s="50" t="str">
        <f t="shared" si="360"/>
        <v>36.531007751938</v>
      </c>
      <c r="Q452" s="18" t="str">
        <f t="shared" si="361"/>
        <v>1+671.321733756825i</v>
      </c>
      <c r="R452" s="18">
        <f t="shared" si="372"/>
        <v>671.32247855577521</v>
      </c>
      <c r="S452" s="18">
        <f t="shared" si="373"/>
        <v>1.5693067291696714</v>
      </c>
      <c r="T452" s="18" t="str">
        <f t="shared" si="362"/>
        <v>1+0.274922233824224i</v>
      </c>
      <c r="U452" s="18">
        <f t="shared" si="374"/>
        <v>1.0371028081395313</v>
      </c>
      <c r="V452" s="18">
        <f t="shared" si="375"/>
        <v>0.26829391087399312</v>
      </c>
      <c r="W452" s="32" t="str">
        <f t="shared" si="363"/>
        <v>1-4.55492458406999i</v>
      </c>
      <c r="X452" s="18">
        <f t="shared" si="376"/>
        <v>4.6634041178698178</v>
      </c>
      <c r="Y452" s="18">
        <f t="shared" si="377"/>
        <v>-1.3546823445976293</v>
      </c>
      <c r="Z452" s="32" t="str">
        <f t="shared" si="364"/>
        <v>0.01109485057306+2.06980142813659i</v>
      </c>
      <c r="AA452" s="18">
        <f t="shared" si="378"/>
        <v>2.0698311640386295</v>
      </c>
      <c r="AB452" s="18">
        <f t="shared" si="379"/>
        <v>1.5654360327298857</v>
      </c>
      <c r="AC452" s="68" t="str">
        <f t="shared" si="380"/>
        <v>-0.059981701365578+0.11211431113024i</v>
      </c>
      <c r="AD452" s="66">
        <f t="shared" si="381"/>
        <v>-17.913591918193919</v>
      </c>
      <c r="AE452" s="63">
        <f t="shared" si="382"/>
        <v>118.14699771977986</v>
      </c>
      <c r="AF452" s="51" t="str">
        <f t="shared" si="383"/>
        <v>42.1703962805665</v>
      </c>
      <c r="AG452" s="51" t="str">
        <f t="shared" si="365"/>
        <v>1+121.289220804805i</v>
      </c>
      <c r="AH452" s="51">
        <f t="shared" si="384"/>
        <v>121.29334311262403</v>
      </c>
      <c r="AI452" s="51">
        <f t="shared" si="385"/>
        <v>1.5625517578577472</v>
      </c>
      <c r="AJ452" s="51" t="str">
        <f t="shared" si="366"/>
        <v>1+0.274922233824224i</v>
      </c>
      <c r="AK452" s="51">
        <f t="shared" si="386"/>
        <v>1.0371028081395313</v>
      </c>
      <c r="AL452" s="51">
        <f t="shared" si="387"/>
        <v>0.26829391087399312</v>
      </c>
      <c r="AM452" s="51" t="str">
        <f t="shared" si="367"/>
        <v>1-0.71289435473992i</v>
      </c>
      <c r="AN452" s="51">
        <f t="shared" si="388"/>
        <v>1.2280954201608469</v>
      </c>
      <c r="AO452" s="51">
        <f t="shared" si="389"/>
        <v>-0.6193275739109344</v>
      </c>
      <c r="AP452" s="60" t="str">
        <f t="shared" si="390"/>
        <v>-0.1488376555401-0.417054631982413i</v>
      </c>
      <c r="AQ452" s="51">
        <f t="shared" si="391"/>
        <v>-7.0755072439695557</v>
      </c>
      <c r="AR452" s="63">
        <f t="shared" si="392"/>
        <v>-109.64036835503092</v>
      </c>
      <c r="AS452" s="32" t="str">
        <f t="shared" si="368"/>
        <v>-0.000133283554228113</v>
      </c>
      <c r="AT452" s="32" t="str">
        <f t="shared" si="369"/>
        <v>0.0839887424333003i</v>
      </c>
      <c r="AU452" s="32">
        <f t="shared" si="393"/>
        <v>8.3988742433300304E-2</v>
      </c>
      <c r="AV452" s="32">
        <f t="shared" si="394"/>
        <v>1.5707963267948966</v>
      </c>
      <c r="AW452" s="32" t="str">
        <f t="shared" si="370"/>
        <v>1+14.6848091360807i</v>
      </c>
      <c r="AX452" s="32">
        <f t="shared" si="395"/>
        <v>14.718818545084359</v>
      </c>
      <c r="AY452" s="32">
        <f t="shared" si="396"/>
        <v>1.5028037150295774</v>
      </c>
      <c r="AZ452" s="32" t="str">
        <f t="shared" si="371"/>
        <v>1+218.839472735251i</v>
      </c>
      <c r="BA452" s="32">
        <f t="shared" si="397"/>
        <v>218.84175750309325</v>
      </c>
      <c r="BB452" s="32">
        <f t="shared" si="398"/>
        <v>1.5662267990616365</v>
      </c>
      <c r="BC452" s="60" t="str">
        <f t="shared" si="399"/>
        <v>-0.00149543964319169+0.0235471673908046i</v>
      </c>
      <c r="BD452" s="51">
        <f t="shared" si="400"/>
        <v>-32.543745411970797</v>
      </c>
      <c r="BE452" s="63">
        <f t="shared" si="401"/>
        <v>93.633875038740555</v>
      </c>
      <c r="BF452" s="60" t="str">
        <f t="shared" si="402"/>
        <v>-0.00255027543700034-0.00158005934787381i</v>
      </c>
      <c r="BG452" s="66">
        <f t="shared" si="403"/>
        <v>-50.457337330164705</v>
      </c>
      <c r="BH452" s="63">
        <f t="shared" si="404"/>
        <v>-148.21912724147955</v>
      </c>
      <c r="BI452" s="60" t="str">
        <f t="shared" si="409"/>
        <v>0.0100430329608947-0.00288102515901443i</v>
      </c>
      <c r="BJ452" s="66">
        <f t="shared" si="405"/>
        <v>-39.619252655940322</v>
      </c>
      <c r="BK452" s="63">
        <f t="shared" si="410"/>
        <v>-16.006493316290328</v>
      </c>
      <c r="BL452" s="51">
        <f t="shared" si="406"/>
        <v>-50.457337330164705</v>
      </c>
      <c r="BM452" s="63">
        <f t="shared" si="407"/>
        <v>-148.21912724147955</v>
      </c>
    </row>
    <row r="453" spans="14:65" x14ac:dyDescent="0.35">
      <c r="N453" s="11">
        <v>35</v>
      </c>
      <c r="O453" s="52">
        <f t="shared" si="408"/>
        <v>223872.11385683404</v>
      </c>
      <c r="P453" s="50" t="str">
        <f t="shared" si="360"/>
        <v>36.531007751938</v>
      </c>
      <c r="Q453" s="18" t="str">
        <f t="shared" si="361"/>
        <v>1+686.958825719127i</v>
      </c>
      <c r="R453" s="18">
        <f t="shared" si="372"/>
        <v>686.95955356440152</v>
      </c>
      <c r="S453" s="18">
        <f t="shared" si="373"/>
        <v>1.5693406365028209</v>
      </c>
      <c r="T453" s="18" t="str">
        <f t="shared" si="362"/>
        <v>1+0.2813259952945i</v>
      </c>
      <c r="U453" s="18">
        <f t="shared" si="374"/>
        <v>1.0388187116279919</v>
      </c>
      <c r="V453" s="18">
        <f t="shared" si="375"/>
        <v>0.27423787432337976</v>
      </c>
      <c r="W453" s="32" t="str">
        <f t="shared" si="363"/>
        <v>1-4.66102240724616i</v>
      </c>
      <c r="X453" s="18">
        <f t="shared" si="376"/>
        <v>4.7670881973014501</v>
      </c>
      <c r="Y453" s="18">
        <f t="shared" si="377"/>
        <v>-1.3594549099420339</v>
      </c>
      <c r="Z453" s="32" t="str">
        <f t="shared" si="364"/>
        <v>-0.0355108132794999+2.11801329682488i</v>
      </c>
      <c r="AA453" s="18">
        <f t="shared" si="378"/>
        <v>2.1183109647515801</v>
      </c>
      <c r="AB453" s="18">
        <f t="shared" si="379"/>
        <v>1.5875608516009583</v>
      </c>
      <c r="AC453" s="68" t="str">
        <f t="shared" si="380"/>
        <v>-0.0563318540466593+0.110822680428459i</v>
      </c>
      <c r="AD453" s="66">
        <f t="shared" si="381"/>
        <v>-18.109325564330053</v>
      </c>
      <c r="AE453" s="63">
        <f t="shared" si="382"/>
        <v>116.94451239643725</v>
      </c>
      <c r="AF453" s="51" t="str">
        <f t="shared" si="383"/>
        <v>42.1703962805665</v>
      </c>
      <c r="AG453" s="51" t="str">
        <f t="shared" si="365"/>
        <v>1+124.11440968875i</v>
      </c>
      <c r="AH453" s="51">
        <f t="shared" si="384"/>
        <v>124.11843816446805</v>
      </c>
      <c r="AI453" s="51">
        <f t="shared" si="385"/>
        <v>1.5627394189427568</v>
      </c>
      <c r="AJ453" s="51" t="str">
        <f t="shared" si="366"/>
        <v>1+0.2813259952945i</v>
      </c>
      <c r="AK453" s="51">
        <f t="shared" si="386"/>
        <v>1.0388187116279919</v>
      </c>
      <c r="AL453" s="51">
        <f t="shared" si="387"/>
        <v>0.27423787432337976</v>
      </c>
      <c r="AM453" s="51" t="str">
        <f t="shared" si="367"/>
        <v>1-0.729499797441872i</v>
      </c>
      <c r="AN453" s="51">
        <f t="shared" si="388"/>
        <v>1.2378085290010457</v>
      </c>
      <c r="AO453" s="51">
        <f t="shared" si="389"/>
        <v>-0.63025136820024463</v>
      </c>
      <c r="AP453" s="60" t="str">
        <f t="shared" si="390"/>
        <v>-0.148967119609381-0.410700725771188i</v>
      </c>
      <c r="AQ453" s="51">
        <f t="shared" si="391"/>
        <v>-7.1927077065806833</v>
      </c>
      <c r="AR453" s="63">
        <f t="shared" si="392"/>
        <v>-109.93644383299755</v>
      </c>
      <c r="AS453" s="32" t="str">
        <f t="shared" si="368"/>
        <v>-0.000133283554228113</v>
      </c>
      <c r="AT453" s="32" t="str">
        <f t="shared" si="369"/>
        <v>0.0859450915624694i</v>
      </c>
      <c r="AU453" s="32">
        <f t="shared" si="393"/>
        <v>8.5945091562469406E-2</v>
      </c>
      <c r="AV453" s="32">
        <f t="shared" si="394"/>
        <v>1.5707963267948966</v>
      </c>
      <c r="AW453" s="32" t="str">
        <f t="shared" si="370"/>
        <v>1+15.0268622819318i</v>
      </c>
      <c r="AX453" s="32">
        <f t="shared" si="395"/>
        <v>15.060099270593957</v>
      </c>
      <c r="AY453" s="32">
        <f t="shared" si="396"/>
        <v>1.5043468111359677</v>
      </c>
      <c r="AZ453" s="32" t="str">
        <f t="shared" si="371"/>
        <v>1+223.936898884398i</v>
      </c>
      <c r="BA453" s="32">
        <f t="shared" si="397"/>
        <v>223.93913164509928</v>
      </c>
      <c r="BB453" s="32">
        <f t="shared" si="398"/>
        <v>1.5663308128129021</v>
      </c>
      <c r="BC453" s="60" t="str">
        <f t="shared" si="399"/>
        <v>-0.00142843052656801+0.0230156277110348i</v>
      </c>
      <c r="BD453" s="51">
        <f t="shared" si="400"/>
        <v>-32.742847158815607</v>
      </c>
      <c r="BE453" s="63">
        <f t="shared" si="401"/>
        <v>93.551421693420139</v>
      </c>
      <c r="BF453" s="60" t="str">
        <f t="shared" si="402"/>
        <v>-0.00247018741474197-0.00145481548077036i</v>
      </c>
      <c r="BG453" s="66">
        <f t="shared" si="403"/>
        <v>-50.852172723145671</v>
      </c>
      <c r="BH453" s="63">
        <f t="shared" si="404"/>
        <v>-149.50406591014263</v>
      </c>
      <c r="BI453" s="60" t="str">
        <f t="shared" si="409"/>
        <v>0.00966532418610641-0.0028419143121395i</v>
      </c>
      <c r="BJ453" s="66">
        <f t="shared" si="405"/>
        <v>-39.935554865396291</v>
      </c>
      <c r="BK453" s="63">
        <f t="shared" si="410"/>
        <v>-16.385022139577394</v>
      </c>
      <c r="BL453" s="51">
        <f t="shared" si="406"/>
        <v>-50.852172723145671</v>
      </c>
      <c r="BM453" s="63">
        <f t="shared" si="407"/>
        <v>-149.50406591014263</v>
      </c>
    </row>
    <row r="454" spans="14:65" x14ac:dyDescent="0.35">
      <c r="N454" s="11">
        <v>36</v>
      </c>
      <c r="O454" s="52">
        <f t="shared" si="408"/>
        <v>229086.76527677779</v>
      </c>
      <c r="P454" s="50" t="str">
        <f t="shared" si="360"/>
        <v>36.531007751938</v>
      </c>
      <c r="Q454" s="18" t="str">
        <f t="shared" si="361"/>
        <v>1+702.960152343798i</v>
      </c>
      <c r="R454" s="18">
        <f t="shared" si="372"/>
        <v>702.96086362130836</v>
      </c>
      <c r="S454" s="18">
        <f t="shared" si="373"/>
        <v>1.5693737720140719</v>
      </c>
      <c r="T454" s="18" t="str">
        <f t="shared" si="362"/>
        <v>1+0.28787891953127i</v>
      </c>
      <c r="U454" s="18">
        <f t="shared" si="374"/>
        <v>1.0406124505840257</v>
      </c>
      <c r="V454" s="18">
        <f t="shared" si="375"/>
        <v>0.2802997779153415</v>
      </c>
      <c r="W454" s="32" t="str">
        <f t="shared" si="363"/>
        <v>1-4.76959156619856i</v>
      </c>
      <c r="X454" s="18">
        <f t="shared" si="376"/>
        <v>4.8732949539661998</v>
      </c>
      <c r="Y454" s="18">
        <f t="shared" si="377"/>
        <v>-1.3641283015001158</v>
      </c>
      <c r="Z454" s="32" t="str">
        <f t="shared" si="364"/>
        <v>-0.0843129344003699+2.16734816419835i</v>
      </c>
      <c r="AA454" s="18">
        <f t="shared" si="378"/>
        <v>2.1689874909185529</v>
      </c>
      <c r="AB454" s="18">
        <f t="shared" si="379"/>
        <v>1.609678147226445</v>
      </c>
      <c r="AC454" s="68" t="str">
        <f t="shared" si="380"/>
        <v>-0.052795619358279+0.109432524286412i</v>
      </c>
      <c r="AD454" s="66">
        <f t="shared" si="381"/>
        <v>-18.308296518704573</v>
      </c>
      <c r="AE454" s="63">
        <f t="shared" si="382"/>
        <v>115.75494205725144</v>
      </c>
      <c r="AF454" s="51" t="str">
        <f t="shared" si="383"/>
        <v>42.1703962805665</v>
      </c>
      <c r="AG454" s="51" t="str">
        <f t="shared" si="365"/>
        <v>1+127.005405675561i</v>
      </c>
      <c r="AH454" s="51">
        <f t="shared" si="384"/>
        <v>127.00934245485182</v>
      </c>
      <c r="AI454" s="51">
        <f t="shared" si="385"/>
        <v>1.5629228088883098</v>
      </c>
      <c r="AJ454" s="51" t="str">
        <f t="shared" si="366"/>
        <v>1+0.28787891953127i</v>
      </c>
      <c r="AK454" s="51">
        <f t="shared" si="386"/>
        <v>1.0406124505840257</v>
      </c>
      <c r="AL454" s="51">
        <f t="shared" si="387"/>
        <v>0.2802997779153415</v>
      </c>
      <c r="AM454" s="51" t="str">
        <f t="shared" si="367"/>
        <v>1-0.746492030592497i</v>
      </c>
      <c r="AN454" s="51">
        <f t="shared" si="388"/>
        <v>1.2478983739624432</v>
      </c>
      <c r="AO454" s="51">
        <f t="shared" si="389"/>
        <v>-0.64125222543059324</v>
      </c>
      <c r="AP454" s="60" t="str">
        <f t="shared" si="390"/>
        <v>-0.149090757575146-0.404564484607256i</v>
      </c>
      <c r="AQ454" s="51">
        <f t="shared" si="391"/>
        <v>-7.3071949774445946</v>
      </c>
      <c r="AR454" s="63">
        <f t="shared" si="392"/>
        <v>-110.22993250157317</v>
      </c>
      <c r="AS454" s="32" t="str">
        <f t="shared" si="368"/>
        <v>-0.000133283554228113</v>
      </c>
      <c r="AT454" s="32" t="str">
        <f t="shared" si="369"/>
        <v>0.0879470099168029i</v>
      </c>
      <c r="AU454" s="32">
        <f t="shared" si="393"/>
        <v>8.7947009916802904E-2</v>
      </c>
      <c r="AV454" s="32">
        <f t="shared" si="394"/>
        <v>1.5707963267948966</v>
      </c>
      <c r="AW454" s="32" t="str">
        <f t="shared" si="370"/>
        <v>1+15.3768828690688i</v>
      </c>
      <c r="AX454" s="32">
        <f t="shared" si="395"/>
        <v>15.409364904792847</v>
      </c>
      <c r="AY454" s="32">
        <f t="shared" si="396"/>
        <v>1.5058550883822033</v>
      </c>
      <c r="AZ454" s="32" t="str">
        <f t="shared" si="371"/>
        <v>1+229.153059341488i</v>
      </c>
      <c r="BA454" s="32">
        <f t="shared" si="397"/>
        <v>229.15524127884032</v>
      </c>
      <c r="BB454" s="32">
        <f t="shared" si="398"/>
        <v>1.5664324590154965</v>
      </c>
      <c r="BC454" s="60" t="str">
        <f t="shared" si="399"/>
        <v>-0.00136441131578481+0.0224958914041376i</v>
      </c>
      <c r="BD454" s="51">
        <f t="shared" si="400"/>
        <v>-32.941989158669116</v>
      </c>
      <c r="BE454" s="63">
        <f t="shared" si="401"/>
        <v>93.470827671287452</v>
      </c>
      <c r="BF454" s="60" t="str">
        <f t="shared" si="402"/>
        <v>-0.00238974724195147-0.00133699549414931i</v>
      </c>
      <c r="BG454" s="66">
        <f t="shared" si="403"/>
        <v>-51.250285677373675</v>
      </c>
      <c r="BH454" s="63">
        <f t="shared" si="404"/>
        <v>-150.77423027146102</v>
      </c>
      <c r="BI454" s="60" t="str">
        <f t="shared" si="409"/>
        <v>0.00930445982841019-0.0028019371310083i</v>
      </c>
      <c r="BJ454" s="66">
        <f t="shared" si="405"/>
        <v>-40.249184136113705</v>
      </c>
      <c r="BK454" s="63">
        <f t="shared" si="410"/>
        <v>-16.759104830285711</v>
      </c>
      <c r="BL454" s="51">
        <f t="shared" si="406"/>
        <v>-51.250285677373675</v>
      </c>
      <c r="BM454" s="63">
        <f t="shared" si="407"/>
        <v>-150.77423027146102</v>
      </c>
    </row>
    <row r="455" spans="14:65" x14ac:dyDescent="0.35">
      <c r="N455" s="11">
        <v>37</v>
      </c>
      <c r="O455" s="52">
        <f t="shared" si="408"/>
        <v>234422.88153199267</v>
      </c>
      <c r="P455" s="50" t="str">
        <f t="shared" si="360"/>
        <v>36.531007751938</v>
      </c>
      <c r="Q455" s="18" t="str">
        <f t="shared" si="361"/>
        <v>1+719.334197746021i</v>
      </c>
      <c r="R455" s="18">
        <f t="shared" si="372"/>
        <v>719.33489283289441</v>
      </c>
      <c r="S455" s="18">
        <f t="shared" si="373"/>
        <v>1.5694061532720207</v>
      </c>
      <c r="T455" s="18" t="str">
        <f t="shared" si="362"/>
        <v>1+0.294584480981704i</v>
      </c>
      <c r="U455" s="18">
        <f t="shared" si="374"/>
        <v>1.0424874178786332</v>
      </c>
      <c r="V455" s="18">
        <f t="shared" si="375"/>
        <v>0.28648105301686061</v>
      </c>
      <c r="W455" s="32" t="str">
        <f t="shared" si="363"/>
        <v>1-4.88068962573238i</v>
      </c>
      <c r="X455" s="18">
        <f t="shared" si="376"/>
        <v>4.9820810132646063</v>
      </c>
      <c r="Y455" s="18">
        <f t="shared" si="377"/>
        <v>-1.3687041802290882</v>
      </c>
      <c r="Z455" s="32" t="str">
        <f t="shared" si="364"/>
        <v>-0.13541502863147+2.21783218825673i</v>
      </c>
      <c r="AA455" s="18">
        <f t="shared" si="378"/>
        <v>2.2219623861008304</v>
      </c>
      <c r="AB455" s="18">
        <f t="shared" si="379"/>
        <v>1.6317780046812163</v>
      </c>
      <c r="AC455" s="68" t="str">
        <f t="shared" si="380"/>
        <v>-0.049375478774392+0.107950709073199i</v>
      </c>
      <c r="AD455" s="66">
        <f t="shared" si="381"/>
        <v>-18.510491395129186</v>
      </c>
      <c r="AE455" s="63">
        <f t="shared" si="382"/>
        <v>114.57884062442898</v>
      </c>
      <c r="AF455" s="51" t="str">
        <f t="shared" si="383"/>
        <v>42.1703962805665</v>
      </c>
      <c r="AG455" s="51" t="str">
        <f t="shared" si="365"/>
        <v>1+129.963741609576i</v>
      </c>
      <c r="AH455" s="51">
        <f t="shared" si="384"/>
        <v>129.96758877951319</v>
      </c>
      <c r="AI455" s="51">
        <f t="shared" si="385"/>
        <v>1.5631020248808123</v>
      </c>
      <c r="AJ455" s="51" t="str">
        <f t="shared" si="366"/>
        <v>1+0.294584480981704i</v>
      </c>
      <c r="AK455" s="51">
        <f t="shared" si="386"/>
        <v>1.0424874178786332</v>
      </c>
      <c r="AL455" s="51">
        <f t="shared" si="387"/>
        <v>0.28648105301686061</v>
      </c>
      <c r="AM455" s="51" t="str">
        <f t="shared" si="367"/>
        <v>1-0.763880063698733i</v>
      </c>
      <c r="AN455" s="51">
        <f t="shared" si="388"/>
        <v>1.2583770308283524</v>
      </c>
      <c r="AO455" s="51">
        <f t="shared" si="389"/>
        <v>-0.65232532823984313</v>
      </c>
      <c r="AP455" s="60" t="str">
        <f t="shared" si="390"/>
        <v>-0.149208831590193-0.398642661241905i</v>
      </c>
      <c r="AQ455" s="51">
        <f t="shared" si="391"/>
        <v>-7.4189155015957295</v>
      </c>
      <c r="AR455" s="63">
        <f t="shared" si="392"/>
        <v>-110.52048190332293</v>
      </c>
      <c r="AS455" s="32" t="str">
        <f t="shared" si="368"/>
        <v>-0.000133283554228113</v>
      </c>
      <c r="AT455" s="32" t="str">
        <f t="shared" si="369"/>
        <v>0.0899955589399104i</v>
      </c>
      <c r="AU455" s="32">
        <f t="shared" si="393"/>
        <v>8.9995558939910403E-2</v>
      </c>
      <c r="AV455" s="32">
        <f t="shared" si="394"/>
        <v>1.5707963267948966</v>
      </c>
      <c r="AW455" s="32" t="str">
        <f t="shared" si="370"/>
        <v>1+15.7350564830401i</v>
      </c>
      <c r="AX455" s="32">
        <f t="shared" si="395"/>
        <v>15.76680064326502</v>
      </c>
      <c r="AY455" s="32">
        <f t="shared" si="396"/>
        <v>1.5073293190119448</v>
      </c>
      <c r="AZ455" s="32" t="str">
        <f t="shared" si="371"/>
        <v>1+234.490719783841i</v>
      </c>
      <c r="BA455" s="32">
        <f t="shared" si="397"/>
        <v>234.49285205469238</v>
      </c>
      <c r="BB455" s="32">
        <f t="shared" si="398"/>
        <v>1.5665317915551757</v>
      </c>
      <c r="BC455" s="60" t="str">
        <f t="shared" si="399"/>
        <v>-0.00130324971660447+0.0219877093627728i</v>
      </c>
      <c r="BD455" s="51">
        <f t="shared" si="400"/>
        <v>-33.141169615185795</v>
      </c>
      <c r="BE455" s="63">
        <f t="shared" si="401"/>
        <v>93.392051813466267</v>
      </c>
      <c r="BF455" s="60" t="str">
        <f t="shared" si="402"/>
        <v>-0.0023092402378868-0.00122634040794599i</v>
      </c>
      <c r="BG455" s="66">
        <f t="shared" si="403"/>
        <v>-51.651661010314996</v>
      </c>
      <c r="BH455" s="63">
        <f t="shared" si="404"/>
        <v>-152.02910756210463</v>
      </c>
      <c r="BI455" s="60" t="str">
        <f t="shared" si="409"/>
        <v>0.0089596953424741-0.00276122948807411i</v>
      </c>
      <c r="BJ455" s="66">
        <f t="shared" si="405"/>
        <v>-40.560085116781536</v>
      </c>
      <c r="BK455" s="63">
        <f t="shared" si="410"/>
        <v>-17.128430089856664</v>
      </c>
      <c r="BL455" s="51">
        <f t="shared" si="406"/>
        <v>-51.651661010314996</v>
      </c>
      <c r="BM455" s="63">
        <f t="shared" si="407"/>
        <v>-152.02910756210463</v>
      </c>
    </row>
    <row r="456" spans="14:65" x14ac:dyDescent="0.35">
      <c r="N456" s="11">
        <v>38</v>
      </c>
      <c r="O456" s="52">
        <f t="shared" si="408"/>
        <v>239883.29190194907</v>
      </c>
      <c r="P456" s="50" t="str">
        <f t="shared" si="360"/>
        <v>36.531007751938</v>
      </c>
      <c r="Q456" s="18" t="str">
        <f t="shared" si="361"/>
        <v>1+736.089643661399i</v>
      </c>
      <c r="R456" s="18">
        <f t="shared" si="372"/>
        <v>736.09032292617826</v>
      </c>
      <c r="S456" s="18">
        <f t="shared" si="373"/>
        <v>1.5694377974453664</v>
      </c>
      <c r="T456" s="18" t="str">
        <f t="shared" si="362"/>
        <v>1+0.30144623502324i</v>
      </c>
      <c r="U456" s="18">
        <f t="shared" si="374"/>
        <v>1.0444471420850776</v>
      </c>
      <c r="V456" s="18">
        <f t="shared" si="375"/>
        <v>0.29278308689628474</v>
      </c>
      <c r="W456" s="32" t="str">
        <f t="shared" si="363"/>
        <v>1-4.99437549150931i</v>
      </c>
      <c r="X456" s="18">
        <f t="shared" si="376"/>
        <v>5.0935043486963734</v>
      </c>
      <c r="Y456" s="18">
        <f t="shared" si="377"/>
        <v>-1.3731842054580015</v>
      </c>
      <c r="Z456" s="32" t="str">
        <f t="shared" si="364"/>
        <v>-0.18892549036603+2.2694921362978i</v>
      </c>
      <c r="AA456" s="18">
        <f t="shared" si="378"/>
        <v>2.2773421784236985</v>
      </c>
      <c r="AB456" s="18">
        <f t="shared" si="379"/>
        <v>1.6538505417050959</v>
      </c>
      <c r="AC456" s="68" t="str">
        <f t="shared" si="380"/>
        <v>-0.0460734860904128+0.106384166428539i</v>
      </c>
      <c r="AD456" s="66">
        <f t="shared" si="381"/>
        <v>-18.715891959012307</v>
      </c>
      <c r="AE456" s="63">
        <f t="shared" si="382"/>
        <v>113.41675773814617</v>
      </c>
      <c r="AF456" s="51" t="str">
        <f t="shared" si="383"/>
        <v>42.1703962805665</v>
      </c>
      <c r="AG456" s="51" t="str">
        <f t="shared" si="365"/>
        <v>1+132.990986039665i</v>
      </c>
      <c r="AH456" s="51">
        <f t="shared" si="384"/>
        <v>132.99474563982733</v>
      </c>
      <c r="AI456" s="51">
        <f t="shared" si="385"/>
        <v>1.5632771618968802</v>
      </c>
      <c r="AJ456" s="51" t="str">
        <f t="shared" si="366"/>
        <v>1+0.30144623502324i</v>
      </c>
      <c r="AK456" s="51">
        <f t="shared" si="386"/>
        <v>1.0444471420850776</v>
      </c>
      <c r="AL456" s="51">
        <f t="shared" si="387"/>
        <v>0.29278308689628474</v>
      </c>
      <c r="AM456" s="51" t="str">
        <f t="shared" si="367"/>
        <v>1-0.781673116125888i</v>
      </c>
      <c r="AN456" s="51">
        <f t="shared" si="388"/>
        <v>1.2692568142318386</v>
      </c>
      <c r="AO456" s="51">
        <f t="shared" si="389"/>
        <v>-0.66346568644955939</v>
      </c>
      <c r="AP456" s="60" t="str">
        <f t="shared" si="390"/>
        <v>-0.149321592014221-0.392932121695325i</v>
      </c>
      <c r="AQ456" s="51">
        <f t="shared" si="391"/>
        <v>-7.5278166297451019</v>
      </c>
      <c r="AR456" s="63">
        <f t="shared" si="392"/>
        <v>-110.80773207922132</v>
      </c>
      <c r="AS456" s="32" t="str">
        <f t="shared" si="368"/>
        <v>-0.000133283554228113</v>
      </c>
      <c r="AT456" s="32" t="str">
        <f t="shared" si="369"/>
        <v>0.0920918247995997i</v>
      </c>
      <c r="AU456" s="32">
        <f t="shared" si="393"/>
        <v>9.2091824799599695E-2</v>
      </c>
      <c r="AV456" s="32">
        <f t="shared" si="394"/>
        <v>1.5707963267948966</v>
      </c>
      <c r="AW456" s="32" t="str">
        <f t="shared" si="370"/>
        <v>1+16.1015730322367i</v>
      </c>
      <c r="AX456" s="32">
        <f t="shared" si="395"/>
        <v>16.13259601280749</v>
      </c>
      <c r="AY456" s="32">
        <f t="shared" si="396"/>
        <v>1.5087702590351153</v>
      </c>
      <c r="AZ456" s="32" t="str">
        <f t="shared" si="371"/>
        <v>1+239.952710309674i</v>
      </c>
      <c r="BA456" s="32">
        <f t="shared" si="397"/>
        <v>239.9547940445415</v>
      </c>
      <c r="BB456" s="32">
        <f t="shared" si="398"/>
        <v>1.5666288630915215</v>
      </c>
      <c r="BC456" s="60" t="str">
        <f t="shared" si="399"/>
        <v>-0.00124481919076465+0.0214908368635129i</v>
      </c>
      <c r="BD456" s="51">
        <f t="shared" si="400"/>
        <v>-33.340386811527893</v>
      </c>
      <c r="BE456" s="63">
        <f t="shared" si="401"/>
        <v>93.315053820950581</v>
      </c>
      <c r="BF456" s="60" t="str">
        <f t="shared" si="402"/>
        <v>-0.00222893160590576-0.00112258682526614i</v>
      </c>
      <c r="BG456" s="66">
        <f t="shared" si="403"/>
        <v>-52.05627877054021</v>
      </c>
      <c r="BH456" s="63">
        <f t="shared" si="404"/>
        <v>-153.26818844090317</v>
      </c>
      <c r="BI456" s="60" t="str">
        <f t="shared" si="409"/>
        <v>0.00863031850912306-0.00271991652842344i</v>
      </c>
      <c r="BJ456" s="66">
        <f t="shared" si="405"/>
        <v>-40.868203441272996</v>
      </c>
      <c r="BK456" s="63">
        <f t="shared" si="410"/>
        <v>-17.492678258270736</v>
      </c>
      <c r="BL456" s="51">
        <f t="shared" si="406"/>
        <v>-52.05627877054021</v>
      </c>
      <c r="BM456" s="63">
        <f t="shared" si="407"/>
        <v>-153.26818844090317</v>
      </c>
    </row>
    <row r="457" spans="14:65" x14ac:dyDescent="0.35">
      <c r="N457" s="11">
        <v>39</v>
      </c>
      <c r="O457" s="52">
        <f t="shared" si="408"/>
        <v>245470.89156850305</v>
      </c>
      <c r="P457" s="50" t="str">
        <f t="shared" si="360"/>
        <v>36.531007751938</v>
      </c>
      <c r="Q457" s="18" t="str">
        <f t="shared" si="361"/>
        <v>1+753.235374049145i</v>
      </c>
      <c r="R457" s="18">
        <f t="shared" si="372"/>
        <v>753.23603785198395</v>
      </c>
      <c r="S457" s="18">
        <f t="shared" si="373"/>
        <v>1.5694687213120153</v>
      </c>
      <c r="T457" s="18" t="str">
        <f t="shared" si="362"/>
        <v>1+0.308467819848698i</v>
      </c>
      <c r="U457" s="18">
        <f t="shared" si="374"/>
        <v>1.0464952918585964</v>
      </c>
      <c r="V457" s="18">
        <f t="shared" si="375"/>
        <v>0.29920721790894383</v>
      </c>
      <c r="W457" s="32" t="str">
        <f t="shared" si="363"/>
        <v>1-5.11070944128021i</v>
      </c>
      <c r="X457" s="18">
        <f t="shared" si="376"/>
        <v>5.2076243137529303</v>
      </c>
      <c r="Y457" s="18">
        <f t="shared" si="377"/>
        <v>-1.3775700328792315</v>
      </c>
      <c r="Z457" s="32" t="str">
        <f t="shared" si="364"/>
        <v>-0.24495782246768+2.32235539910981i</v>
      </c>
      <c r="AA457" s="18">
        <f t="shared" si="378"/>
        <v>2.3352385177027619</v>
      </c>
      <c r="AB457" s="18">
        <f t="shared" si="379"/>
        <v>1.675885927165351</v>
      </c>
      <c r="AC457" s="68" t="str">
        <f t="shared" si="380"/>
        <v>-0.0428912668112038+0.104739859542953i</v>
      </c>
      <c r="AD457" s="66">
        <f t="shared" si="381"/>
        <v>-18.924475157333664</v>
      </c>
      <c r="AE457" s="63">
        <f t="shared" si="382"/>
        <v>112.26923753743955</v>
      </c>
      <c r="AF457" s="51" t="str">
        <f t="shared" si="383"/>
        <v>42.1703962805665</v>
      </c>
      <c r="AG457" s="51" t="str">
        <f t="shared" si="365"/>
        <v>1+136.088744050897i</v>
      </c>
      <c r="AH457" s="51">
        <f t="shared" si="384"/>
        <v>136.09241807444877</v>
      </c>
      <c r="AI457" s="51">
        <f t="shared" si="385"/>
        <v>1.5634483127534773</v>
      </c>
      <c r="AJ457" s="51" t="str">
        <f t="shared" si="366"/>
        <v>1+0.308467819848698i</v>
      </c>
      <c r="AK457" s="51">
        <f t="shared" si="386"/>
        <v>1.0464952918585964</v>
      </c>
      <c r="AL457" s="51">
        <f t="shared" si="387"/>
        <v>0.29920721790894383</v>
      </c>
      <c r="AM457" s="51" t="str">
        <f t="shared" si="367"/>
        <v>1-0.799880621985879i</v>
      </c>
      <c r="AN457" s="51">
        <f t="shared" si="388"/>
        <v>1.2805502760253173</v>
      </c>
      <c r="AO457" s="51">
        <f t="shared" si="389"/>
        <v>-0.6746681465125306</v>
      </c>
      <c r="AP457" s="60" t="str">
        <f t="shared" si="390"/>
        <v>-0.149429277944105-0.387429843622834i</v>
      </c>
      <c r="AQ457" s="51">
        <f t="shared" si="391"/>
        <v>-7.6338467117866617</v>
      </c>
      <c r="AR457" s="63">
        <f t="shared" si="392"/>
        <v>-111.09131638867201</v>
      </c>
      <c r="AS457" s="32" t="str">
        <f t="shared" si="368"/>
        <v>-0.000133283554228113</v>
      </c>
      <c r="AT457" s="32" t="str">
        <f t="shared" si="369"/>
        <v>0.0942369189637773i</v>
      </c>
      <c r="AU457" s="32">
        <f t="shared" si="393"/>
        <v>9.4236918963777297E-2</v>
      </c>
      <c r="AV457" s="32">
        <f t="shared" si="394"/>
        <v>1.5707963267948966</v>
      </c>
      <c r="AW457" s="32" t="str">
        <f t="shared" si="370"/>
        <v>1+16.4766268485846i</v>
      </c>
      <c r="AX457" s="32">
        <f t="shared" si="395"/>
        <v>16.506944971965556</v>
      </c>
      <c r="AY457" s="32">
        <f t="shared" si="396"/>
        <v>1.510178648509003</v>
      </c>
      <c r="AZ457" s="32" t="str">
        <f t="shared" si="371"/>
        <v>1+245.541926938663i</v>
      </c>
      <c r="BA457" s="32">
        <f t="shared" si="397"/>
        <v>245.54396324233204</v>
      </c>
      <c r="BB457" s="32">
        <f t="shared" si="398"/>
        <v>1.5667237250858257</v>
      </c>
      <c r="BC457" s="60" t="str">
        <f t="shared" si="399"/>
        <v>-0.00118899871412778+0.0210050335507905i</v>
      </c>
      <c r="BD457" s="51">
        <f t="shared" si="400"/>
        <v>-33.539639106903294</v>
      </c>
      <c r="BE457" s="63">
        <f t="shared" si="401"/>
        <v>93.239794240095975</v>
      </c>
      <c r="BF457" s="60" t="str">
        <f t="shared" si="402"/>
        <v>-0.00214906660271898-0.00102546805671974i</v>
      </c>
      <c r="BG457" s="66">
        <f t="shared" si="403"/>
        <v>-52.464114264236954</v>
      </c>
      <c r="BH457" s="63">
        <f t="shared" si="404"/>
        <v>-154.49096822246443</v>
      </c>
      <c r="BI457" s="60" t="str">
        <f t="shared" si="409"/>
        <v>0.00831564808320373-0.00267811341080405i</v>
      </c>
      <c r="BJ457" s="66">
        <f t="shared" si="405"/>
        <v>-41.173485818689954</v>
      </c>
      <c r="BK457" s="63">
        <f t="shared" si="410"/>
        <v>-17.851522148576045</v>
      </c>
      <c r="BL457" s="51">
        <f t="shared" si="406"/>
        <v>-52.464114264236954</v>
      </c>
      <c r="BM457" s="63">
        <f t="shared" si="407"/>
        <v>-154.49096822246443</v>
      </c>
    </row>
    <row r="458" spans="14:65" x14ac:dyDescent="0.35">
      <c r="N458" s="11">
        <v>40</v>
      </c>
      <c r="O458" s="52">
        <f t="shared" si="408"/>
        <v>251188.64315095844</v>
      </c>
      <c r="P458" s="50" t="str">
        <f t="shared" si="360"/>
        <v>36.531007751938</v>
      </c>
      <c r="Q458" s="18" t="str">
        <f t="shared" si="361"/>
        <v>1+770.780479802466i</v>
      </c>
      <c r="R458" s="18">
        <f t="shared" si="372"/>
        <v>770.78112849532044</v>
      </c>
      <c r="S458" s="18">
        <f t="shared" si="373"/>
        <v>1.5694989412679741</v>
      </c>
      <c r="T458" s="18" t="str">
        <f t="shared" si="362"/>
        <v>1+0.315652958395296i</v>
      </c>
      <c r="U458" s="18">
        <f t="shared" si="374"/>
        <v>1.0486356803693562</v>
      </c>
      <c r="V458" s="18">
        <f t="shared" si="375"/>
        <v>0.30575473047029689</v>
      </c>
      <c r="W458" s="32" t="str">
        <f t="shared" si="363"/>
        <v>1-5.22975315684515i</v>
      </c>
      <c r="X458" s="18">
        <f t="shared" si="376"/>
        <v>5.3245016744792011</v>
      </c>
      <c r="Y458" s="18">
        <f t="shared" si="377"/>
        <v>-1.3818633126857196</v>
      </c>
      <c r="Z458" s="32" t="str">
        <f t="shared" si="364"/>
        <v>-0.3036308770252+2.37645000549445i</v>
      </c>
      <c r="AA458" s="18">
        <f t="shared" si="378"/>
        <v>2.3957684233034007</v>
      </c>
      <c r="AB458" s="18">
        <f t="shared" si="379"/>
        <v>1.6978743993580319</v>
      </c>
      <c r="AC458" s="68" t="str">
        <f t="shared" si="380"/>
        <v>-0.0398300206186858+0.103024749891826i</v>
      </c>
      <c r="AD458" s="66">
        <f t="shared" si="381"/>
        <v>-19.136213159160977</v>
      </c>
      <c r="AE458" s="63">
        <f t="shared" si="382"/>
        <v>111.13681742981866</v>
      </c>
      <c r="AF458" s="51" t="str">
        <f t="shared" si="383"/>
        <v>42.1703962805665</v>
      </c>
      <c r="AG458" s="51" t="str">
        <f t="shared" si="365"/>
        <v>1+139.258658115572i</v>
      </c>
      <c r="AH458" s="51">
        <f t="shared" si="384"/>
        <v>139.2622485103187</v>
      </c>
      <c r="AI458" s="51">
        <f t="shared" si="385"/>
        <v>1.5636155681569228</v>
      </c>
      <c r="AJ458" s="51" t="str">
        <f t="shared" si="366"/>
        <v>1+0.315652958395296i</v>
      </c>
      <c r="AK458" s="51">
        <f t="shared" si="386"/>
        <v>1.0486356803693562</v>
      </c>
      <c r="AL458" s="51">
        <f t="shared" si="387"/>
        <v>0.30575473047029689</v>
      </c>
      <c r="AM458" s="51" t="str">
        <f t="shared" si="367"/>
        <v>1-0.818512235139324i</v>
      </c>
      <c r="AN458" s="51">
        <f t="shared" si="388"/>
        <v>1.2922702035846729</v>
      </c>
      <c r="AO458" s="51">
        <f t="shared" si="389"/>
        <v>-0.68592740188682733</v>
      </c>
      <c r="AP458" s="60" t="str">
        <f t="shared" si="390"/>
        <v>-0.149532117720354-0.382132914738454i</v>
      </c>
      <c r="AQ458" s="51">
        <f t="shared" si="391"/>
        <v>-7.7369551870211346</v>
      </c>
      <c r="AR458" s="63">
        <f t="shared" si="392"/>
        <v>-111.37086239472301</v>
      </c>
      <c r="AS458" s="32" t="str">
        <f t="shared" si="368"/>
        <v>-0.000133283554228113</v>
      </c>
      <c r="AT458" s="32" t="str">
        <f t="shared" si="369"/>
        <v>0.0964319787897628i</v>
      </c>
      <c r="AU458" s="32">
        <f t="shared" si="393"/>
        <v>9.6431978789762798E-2</v>
      </c>
      <c r="AV458" s="32">
        <f t="shared" si="394"/>
        <v>1.5707963267948966</v>
      </c>
      <c r="AW458" s="32" t="str">
        <f t="shared" si="370"/>
        <v>1+16.8604167905816i</v>
      </c>
      <c r="AX458" s="32">
        <f t="shared" si="395"/>
        <v>16.890046013913814</v>
      </c>
      <c r="AY458" s="32">
        <f t="shared" si="396"/>
        <v>1.5115552118187205</v>
      </c>
      <c r="AZ458" s="32" t="str">
        <f t="shared" si="371"/>
        <v>1+251.261333147447i</v>
      </c>
      <c r="BA458" s="32">
        <f t="shared" si="397"/>
        <v>251.26332309955697</v>
      </c>
      <c r="BB458" s="32">
        <f t="shared" si="398"/>
        <v>1.5668164278283401</v>
      </c>
      <c r="BC458" s="60" t="str">
        <f t="shared" si="399"/>
        <v>-0.00113567254423094+0.020530063415848i</v>
      </c>
      <c r="BD458" s="51">
        <f t="shared" si="400"/>
        <v>-33.73892493325026</v>
      </c>
      <c r="BE458" s="63">
        <f t="shared" si="401"/>
        <v>93.166234448111936</v>
      </c>
      <c r="BF458" s="60" t="str">
        <f t="shared" si="402"/>
        <v>-0.00206987078782827-0.000934715228984559i</v>
      </c>
      <c r="BG458" s="66">
        <f t="shared" si="403"/>
        <v>-52.875138092411248</v>
      </c>
      <c r="BH458" s="63">
        <f t="shared" si="404"/>
        <v>-155.69694812206936</v>
      </c>
      <c r="BI458" s="60" t="str">
        <f t="shared" si="409"/>
        <v>0.00801503249343901-0.00263592599998951i</v>
      </c>
      <c r="BJ458" s="66">
        <f t="shared" si="405"/>
        <v>-41.475880120271398</v>
      </c>
      <c r="BK458" s="63">
        <f t="shared" si="410"/>
        <v>-18.204627946611069</v>
      </c>
      <c r="BL458" s="51">
        <f t="shared" si="406"/>
        <v>-52.875138092411248</v>
      </c>
      <c r="BM458" s="63">
        <f t="shared" si="407"/>
        <v>-155.69694812206936</v>
      </c>
    </row>
    <row r="459" spans="14:65" x14ac:dyDescent="0.35">
      <c r="N459" s="11">
        <v>41</v>
      </c>
      <c r="O459" s="52">
        <f t="shared" si="408"/>
        <v>257039.57827688678</v>
      </c>
      <c r="P459" s="50" t="str">
        <f t="shared" si="360"/>
        <v>36.531007751938</v>
      </c>
      <c r="Q459" s="18" t="str">
        <f t="shared" si="361"/>
        <v>1+788.734263568659i</v>
      </c>
      <c r="R459" s="18">
        <f t="shared" si="372"/>
        <v>788.73489749547343</v>
      </c>
      <c r="S459" s="18">
        <f t="shared" si="373"/>
        <v>1.5695284733360422</v>
      </c>
      <c r="T459" s="18" t="str">
        <f t="shared" si="362"/>
        <v>1+0.323005460318594i</v>
      </c>
      <c r="U459" s="18">
        <f t="shared" si="374"/>
        <v>1.0508722697814548</v>
      </c>
      <c r="V459" s="18">
        <f t="shared" si="375"/>
        <v>0.3124268498190122</v>
      </c>
      <c r="W459" s="32" t="str">
        <f t="shared" si="363"/>
        <v>1-5.35156975675778i</v>
      </c>
      <c r="X459" s="18">
        <f t="shared" si="376"/>
        <v>5.4441986427246123</v>
      </c>
      <c r="Y459" s="18">
        <f t="shared" si="377"/>
        <v>-1.3860656878474287</v>
      </c>
      <c r="Z459" s="32" t="str">
        <f t="shared" si="364"/>
        <v>-0.36506910745371+2.43180463712803i</v>
      </c>
      <c r="AA459" s="18">
        <f t="shared" si="378"/>
        <v>2.4590545431881816</v>
      </c>
      <c r="AB459" s="18">
        <f t="shared" si="379"/>
        <v>1.719806284089515</v>
      </c>
      <c r="AC459" s="68" t="str">
        <f t="shared" si="380"/>
        <v>-0.0368905268186601+0.10124576472969i</v>
      </c>
      <c r="AD459" s="66">
        <f t="shared" si="381"/>
        <v>-19.351073406757905</v>
      </c>
      <c r="AE459" s="63">
        <f t="shared" si="382"/>
        <v>110.02002685346908</v>
      </c>
      <c r="AF459" s="51" t="str">
        <f t="shared" si="383"/>
        <v>42.1703962805665</v>
      </c>
      <c r="AG459" s="51" t="str">
        <f t="shared" si="365"/>
        <v>1+142.502408964086i</v>
      </c>
      <c r="AH459" s="51">
        <f t="shared" si="384"/>
        <v>142.50591763350607</v>
      </c>
      <c r="AI459" s="51">
        <f t="shared" si="385"/>
        <v>1.5637790167507926</v>
      </c>
      <c r="AJ459" s="51" t="str">
        <f t="shared" si="366"/>
        <v>1+0.323005460318594i</v>
      </c>
      <c r="AK459" s="51">
        <f t="shared" si="386"/>
        <v>1.0508722697814548</v>
      </c>
      <c r="AL459" s="51">
        <f t="shared" si="387"/>
        <v>0.3124268498190122</v>
      </c>
      <c r="AM459" s="51" t="str">
        <f t="shared" si="367"/>
        <v>1-0.837577834314125i</v>
      </c>
      <c r="AN459" s="51">
        <f t="shared" si="388"/>
        <v>1.3044296180838351</v>
      </c>
      <c r="AO459" s="51">
        <f t="shared" si="389"/>
        <v>-0.69723800429652116</v>
      </c>
      <c r="AP459" s="60" t="str">
        <f t="shared" si="390"/>
        <v>-0.149630329410797-0.37703853129507i</v>
      </c>
      <c r="AQ459" s="51">
        <f t="shared" si="391"/>
        <v>-7.8370926705246733</v>
      </c>
      <c r="AR459" s="63">
        <f t="shared" si="392"/>
        <v>-111.64599281205604</v>
      </c>
      <c r="AS459" s="32" t="str">
        <f t="shared" si="368"/>
        <v>-0.000133283554228113</v>
      </c>
      <c r="AT459" s="32" t="str">
        <f t="shared" si="369"/>
        <v>0.0986781681273306i</v>
      </c>
      <c r="AU459" s="32">
        <f t="shared" si="393"/>
        <v>9.8678168127330601E-2</v>
      </c>
      <c r="AV459" s="32">
        <f t="shared" si="394"/>
        <v>1.5707963267948966</v>
      </c>
      <c r="AW459" s="32" t="str">
        <f t="shared" si="370"/>
        <v>1+17.2531463487349i</v>
      </c>
      <c r="AX459" s="32">
        <f t="shared" si="395"/>
        <v>17.282102271739522</v>
      </c>
      <c r="AY459" s="32">
        <f t="shared" si="396"/>
        <v>1.5129006579566742</v>
      </c>
      <c r="AZ459" s="32" t="str">
        <f t="shared" si="371"/>
        <v>1+257.113961440902i</v>
      </c>
      <c r="BA459" s="32">
        <f t="shared" si="397"/>
        <v>257.11590609651836</v>
      </c>
      <c r="BB459" s="32">
        <f t="shared" si="398"/>
        <v>1.5669070204649089</v>
      </c>
      <c r="BC459" s="60" t="str">
        <f t="shared" si="399"/>
        <v>-0.00108472999693999+0.0200656947711421i</v>
      </c>
      <c r="BD459" s="51">
        <f t="shared" si="400"/>
        <v>-33.938242792061018</v>
      </c>
      <c r="BE459" s="63">
        <f t="shared" si="401"/>
        <v>93.094336638575413</v>
      </c>
      <c r="BF459" s="60" t="str">
        <f t="shared" si="402"/>
        <v>-0.0019915503508937-0.000850058369155289i</v>
      </c>
      <c r="BG459" s="66">
        <f t="shared" si="403"/>
        <v>-53.289316198818931</v>
      </c>
      <c r="BH459" s="63">
        <f t="shared" si="404"/>
        <v>-156.88563650795547</v>
      </c>
      <c r="BI459" s="60" t="str">
        <f t="shared" si="409"/>
        <v>0.00772784859269049-0.00259345151356454i</v>
      </c>
      <c r="BJ459" s="66">
        <f t="shared" si="405"/>
        <v>-41.775335462585687</v>
      </c>
      <c r="BK459" s="63">
        <f t="shared" si="410"/>
        <v>-18.551656173480605</v>
      </c>
      <c r="BL459" s="51">
        <f t="shared" si="406"/>
        <v>-53.289316198818931</v>
      </c>
      <c r="BM459" s="63">
        <f t="shared" si="407"/>
        <v>-156.88563650795547</v>
      </c>
    </row>
    <row r="460" spans="14:65" x14ac:dyDescent="0.35">
      <c r="N460" s="11">
        <v>42</v>
      </c>
      <c r="O460" s="52">
        <f t="shared" si="408"/>
        <v>263026.79918953858</v>
      </c>
      <c r="P460" s="50" t="str">
        <f t="shared" si="360"/>
        <v>36.531007751938</v>
      </c>
      <c r="Q460" s="18" t="str">
        <f t="shared" si="361"/>
        <v>1+807.106244681529i</v>
      </c>
      <c r="R460" s="18">
        <f t="shared" si="372"/>
        <v>807.1068641784185</v>
      </c>
      <c r="S460" s="18">
        <f t="shared" si="373"/>
        <v>1.5695573331743073</v>
      </c>
      <c r="T460" s="18" t="str">
        <f t="shared" si="362"/>
        <v>1+0.330529224012436i</v>
      </c>
      <c r="U460" s="18">
        <f t="shared" si="374"/>
        <v>1.0532091757700666</v>
      </c>
      <c r="V460" s="18">
        <f t="shared" si="375"/>
        <v>0.31922473657390671</v>
      </c>
      <c r="W460" s="32" t="str">
        <f t="shared" si="363"/>
        <v>1-5.47622382979184i</v>
      </c>
      <c r="X460" s="18">
        <f t="shared" si="376"/>
        <v>5.5667789101041194</v>
      </c>
      <c r="Y460" s="18">
        <f t="shared" si="377"/>
        <v>-1.3901787925205593</v>
      </c>
      <c r="Z460" s="32" t="str">
        <f t="shared" si="364"/>
        <v>-0.42940283247714+2.48844864376895i</v>
      </c>
      <c r="AA460" s="18">
        <f t="shared" si="378"/>
        <v>2.5252254246333967</v>
      </c>
      <c r="AB460" s="18">
        <f t="shared" si="379"/>
        <v>1.7416720124793976</v>
      </c>
      <c r="AC460" s="68" t="str">
        <f t="shared" si="380"/>
        <v>-0.0340731526337995+0.0994097656336089i</v>
      </c>
      <c r="AD460" s="66">
        <f t="shared" si="381"/>
        <v>-19.569018677318766</v>
      </c>
      <c r="AE460" s="63">
        <f t="shared" si="382"/>
        <v>108.91938603601672</v>
      </c>
      <c r="AF460" s="51" t="str">
        <f t="shared" si="383"/>
        <v>42.1703962805665</v>
      </c>
      <c r="AG460" s="51" t="str">
        <f t="shared" si="365"/>
        <v>1+145.821716476075i</v>
      </c>
      <c r="AH460" s="51">
        <f t="shared" si="384"/>
        <v>145.82514528032812</v>
      </c>
      <c r="AI460" s="51">
        <f t="shared" si="385"/>
        <v>1.563938745162742</v>
      </c>
      <c r="AJ460" s="51" t="str">
        <f t="shared" si="366"/>
        <v>1+0.330529224012436i</v>
      </c>
      <c r="AK460" s="51">
        <f t="shared" si="386"/>
        <v>1.0532091757700666</v>
      </c>
      <c r="AL460" s="51">
        <f t="shared" si="387"/>
        <v>0.31922473657390671</v>
      </c>
      <c r="AM460" s="51" t="str">
        <f t="shared" si="367"/>
        <v>1-0.857087528343334i</v>
      </c>
      <c r="AN460" s="51">
        <f t="shared" si="388"/>
        <v>1.3170417727777983</v>
      </c>
      <c r="AO460" s="51">
        <f t="shared" si="389"/>
        <v>-0.70859437583006279</v>
      </c>
      <c r="AP460" s="60" t="str">
        <f t="shared" si="390"/>
        <v>-0.149724121272559-0.372143996620538i</v>
      </c>
      <c r="AQ460" s="51">
        <f t="shared" si="391"/>
        <v>-7.9342110351213737</v>
      </c>
      <c r="AR460" s="63">
        <f t="shared" si="392"/>
        <v>-111.91632651472023</v>
      </c>
      <c r="AS460" s="32" t="str">
        <f t="shared" si="368"/>
        <v>-0.000133283554228113</v>
      </c>
      <c r="AT460" s="32" t="str">
        <f t="shared" si="369"/>
        <v>0.100976677935799i</v>
      </c>
      <c r="AU460" s="32">
        <f t="shared" si="393"/>
        <v>0.10097667793579899</v>
      </c>
      <c r="AV460" s="32">
        <f t="shared" si="394"/>
        <v>1.5707963267948966</v>
      </c>
      <c r="AW460" s="32" t="str">
        <f t="shared" si="370"/>
        <v>1+17.6550237534546i</v>
      </c>
      <c r="AX460" s="32">
        <f t="shared" si="395"/>
        <v>17.683321626183417</v>
      </c>
      <c r="AY460" s="32">
        <f t="shared" si="396"/>
        <v>1.5142156808007123</v>
      </c>
      <c r="AZ460" s="32" t="str">
        <f t="shared" si="371"/>
        <v>1+263.102914960019i</v>
      </c>
      <c r="BA460" s="32">
        <f t="shared" si="397"/>
        <v>263.10481535019267</v>
      </c>
      <c r="BB460" s="32">
        <f t="shared" si="398"/>
        <v>1.5669955510229958</v>
      </c>
      <c r="BC460" s="60" t="str">
        <f t="shared" si="399"/>
        <v>-0.00103606523191404+0.0196117002206149i</v>
      </c>
      <c r="BD460" s="51">
        <f t="shared" si="400"/>
        <v>-34.137591251340936</v>
      </c>
      <c r="BE460" s="63">
        <f t="shared" si="401"/>
        <v>93.024063806985026</v>
      </c>
      <c r="BF460" s="60" t="str">
        <f t="shared" si="402"/>
        <v>-0.00191429251382234-0.000771227456911036i</v>
      </c>
      <c r="BG460" s="66">
        <f t="shared" si="403"/>
        <v>-53.706609928659724</v>
      </c>
      <c r="BH460" s="63">
        <f t="shared" si="404"/>
        <v>-158.05655015699818</v>
      </c>
      <c r="BI460" s="60" t="str">
        <f t="shared" si="409"/>
        <v>0.00745350045705289-0.00255077912602834i</v>
      </c>
      <c r="BJ460" s="66">
        <f t="shared" si="405"/>
        <v>-42.071802286462315</v>
      </c>
      <c r="BK460" s="63">
        <f t="shared" si="410"/>
        <v>-18.892262707735181</v>
      </c>
      <c r="BL460" s="51">
        <f t="shared" si="406"/>
        <v>-53.706609928659724</v>
      </c>
      <c r="BM460" s="63">
        <f t="shared" si="407"/>
        <v>-158.05655015699818</v>
      </c>
    </row>
    <row r="461" spans="14:65" x14ac:dyDescent="0.35">
      <c r="N461" s="11">
        <v>43</v>
      </c>
      <c r="O461" s="52">
        <f t="shared" si="408"/>
        <v>269153.48039269145</v>
      </c>
      <c r="P461" s="50" t="str">
        <f t="shared" si="360"/>
        <v>36.531007751938</v>
      </c>
      <c r="Q461" s="18" t="str">
        <f t="shared" si="361"/>
        <v>1+825.906164208646i</v>
      </c>
      <c r="R461" s="18">
        <f t="shared" si="372"/>
        <v>825.90676960407518</v>
      </c>
      <c r="S461" s="18">
        <f t="shared" si="373"/>
        <v>1.5695855360844451</v>
      </c>
      <c r="T461" s="18" t="str">
        <f t="shared" si="362"/>
        <v>1+0.338228238675922i</v>
      </c>
      <c r="U461" s="18">
        <f t="shared" si="374"/>
        <v>1.0556506720680929</v>
      </c>
      <c r="V461" s="18">
        <f t="shared" si="375"/>
        <v>0.32614948109026098</v>
      </c>
      <c r="W461" s="32" t="str">
        <f t="shared" si="363"/>
        <v>1-5.60378146918688i</v>
      </c>
      <c r="X461" s="18">
        <f t="shared" si="376"/>
        <v>5.6923076826891803</v>
      </c>
      <c r="Y461" s="18">
        <f t="shared" si="377"/>
        <v>-1.3942042505831063</v>
      </c>
      <c r="Z461" s="32" t="str">
        <f t="shared" si="364"/>
        <v>-0.49676851255163+2.54641205881932i</v>
      </c>
      <c r="AA461" s="18">
        <f t="shared" si="378"/>
        <v>2.5944157971233537</v>
      </c>
      <c r="AB461" s="18">
        <f t="shared" si="379"/>
        <v>1.7634621384256193</v>
      </c>
      <c r="AC461" s="68" t="str">
        <f t="shared" si="380"/>
        <v>-0.0313778641800142+0.0975235183634813i</v>
      </c>
      <c r="AD461" s="66">
        <f t="shared" si="381"/>
        <v>-19.790007155346803</v>
      </c>
      <c r="AE461" s="63">
        <f t="shared" si="382"/>
        <v>107.83540475392152</v>
      </c>
      <c r="AF461" s="51" t="str">
        <f t="shared" si="383"/>
        <v>42.1703962805665</v>
      </c>
      <c r="AG461" s="51" t="str">
        <f t="shared" si="365"/>
        <v>1+149.218340592319i</v>
      </c>
      <c r="AH461" s="51">
        <f t="shared" si="384"/>
        <v>149.22169134923152</v>
      </c>
      <c r="AI461" s="51">
        <f t="shared" si="385"/>
        <v>1.5640948380502693</v>
      </c>
      <c r="AJ461" s="51" t="str">
        <f t="shared" si="366"/>
        <v>1+0.338228238675922i</v>
      </c>
      <c r="AK461" s="51">
        <f t="shared" si="386"/>
        <v>1.0556506720680929</v>
      </c>
      <c r="AL461" s="51">
        <f t="shared" si="387"/>
        <v>0.32614948109026098</v>
      </c>
      <c r="AM461" s="51" t="str">
        <f t="shared" si="367"/>
        <v>1-0.877051661524967i</v>
      </c>
      <c r="AN461" s="51">
        <f t="shared" si="388"/>
        <v>1.330120151333595</v>
      </c>
      <c r="AO461" s="51">
        <f t="shared" si="389"/>
        <v>-0.71999082181827723</v>
      </c>
      <c r="AP461" s="60" t="str">
        <f t="shared" si="390"/>
        <v>-0.149813692193258-0.367446719709046i</v>
      </c>
      <c r="AQ461" s="51">
        <f t="shared" si="391"/>
        <v>-8.0282634884641695</v>
      </c>
      <c r="AR461" s="63">
        <f t="shared" si="392"/>
        <v>-112.18147959996757</v>
      </c>
      <c r="AS461" s="32" t="str">
        <f t="shared" si="368"/>
        <v>-0.000133283554228113</v>
      </c>
      <c r="AT461" s="32" t="str">
        <f t="shared" si="369"/>
        <v>0.103328726915494i</v>
      </c>
      <c r="AU461" s="32">
        <f t="shared" si="393"/>
        <v>0.103328726915494</v>
      </c>
      <c r="AV461" s="32">
        <f t="shared" si="394"/>
        <v>1.5707963267948966</v>
      </c>
      <c r="AW461" s="32" t="str">
        <f t="shared" si="370"/>
        <v>1+18.0662620854604i</v>
      </c>
      <c r="AX461" s="32">
        <f t="shared" si="395"/>
        <v>18.093916815895447</v>
      </c>
      <c r="AY461" s="32">
        <f t="shared" si="396"/>
        <v>1.5155009593906652</v>
      </c>
      <c r="AZ461" s="32" t="str">
        <f t="shared" si="371"/>
        <v>1+269.231369127227i</v>
      </c>
      <c r="BA461" s="32">
        <f t="shared" si="397"/>
        <v>269.23322625954091</v>
      </c>
      <c r="BB461" s="32">
        <f t="shared" si="398"/>
        <v>1.5670820664371203</v>
      </c>
      <c r="BC461" s="60" t="str">
        <f t="shared" si="399"/>
        <v>-0.000989577046590607+0.019167856626225i</v>
      </c>
      <c r="BD461" s="51">
        <f t="shared" si="400"/>
        <v>-34.336968942696267</v>
      </c>
      <c r="BE461" s="63">
        <f t="shared" si="401"/>
        <v>92.955379736374397</v>
      </c>
      <c r="BF461" s="60" t="str">
        <f t="shared" si="402"/>
        <v>-0.00183826600351265-0.000697953437114932i</v>
      </c>
      <c r="BG461" s="66">
        <f t="shared" si="403"/>
        <v>-54.126976098043073</v>
      </c>
      <c r="BH461" s="63">
        <f t="shared" si="404"/>
        <v>-159.20921550970405</v>
      </c>
      <c r="BI461" s="60" t="str">
        <f t="shared" si="409"/>
        <v>0.00719141823221912-0.00250799053293669i</v>
      </c>
      <c r="BJ461" s="66">
        <f t="shared" si="405"/>
        <v>-42.365232431160429</v>
      </c>
      <c r="BK461" s="63">
        <f t="shared" si="410"/>
        <v>-19.226099863593173</v>
      </c>
      <c r="BL461" s="51">
        <f t="shared" si="406"/>
        <v>-54.126976098043073</v>
      </c>
      <c r="BM461" s="63">
        <f t="shared" si="407"/>
        <v>-159.20921550970405</v>
      </c>
    </row>
    <row r="462" spans="14:65" x14ac:dyDescent="0.35">
      <c r="N462" s="11">
        <v>44</v>
      </c>
      <c r="O462" s="52">
        <f t="shared" si="408"/>
        <v>275422.87033381703</v>
      </c>
      <c r="P462" s="50" t="str">
        <f t="shared" si="360"/>
        <v>36.531007751938</v>
      </c>
      <c r="Q462" s="18" t="str">
        <f t="shared" si="361"/>
        <v>1+845.143990116187i</v>
      </c>
      <c r="R462" s="18">
        <f t="shared" si="372"/>
        <v>845.1445817311436</v>
      </c>
      <c r="S462" s="18">
        <f t="shared" si="373"/>
        <v>1.5696130970198321</v>
      </c>
      <c r="T462" s="18" t="str">
        <f t="shared" si="362"/>
        <v>1+0.346106586428534i</v>
      </c>
      <c r="U462" s="18">
        <f t="shared" si="374"/>
        <v>1.0582011950329731</v>
      </c>
      <c r="V462" s="18">
        <f t="shared" si="375"/>
        <v>0.33320209762288672</v>
      </c>
      <c r="W462" s="32" t="str">
        <f t="shared" si="363"/>
        <v>1-5.73431030769169i</v>
      </c>
      <c r="X462" s="18">
        <f t="shared" si="376"/>
        <v>5.8208517164500213</v>
      </c>
      <c r="Y462" s="18">
        <f t="shared" si="377"/>
        <v>-1.3981436742904882</v>
      </c>
      <c r="Z462" s="32" t="str">
        <f t="shared" si="364"/>
        <v>-0.56730903931651+2.60572561524902i</v>
      </c>
      <c r="AA462" s="18">
        <f t="shared" si="378"/>
        <v>2.6667668679611092</v>
      </c>
      <c r="AB462" s="18">
        <f t="shared" si="379"/>
        <v>1.7851673556729011</v>
      </c>
      <c r="AC462" s="68" t="str">
        <f t="shared" si="380"/>
        <v>-0.0288042399369145+0.0955936642828176i</v>
      </c>
      <c r="AD462" s="66">
        <f t="shared" si="381"/>
        <v>-20.013992515674744</v>
      </c>
      <c r="AE462" s="63">
        <f t="shared" si="382"/>
        <v>106.76858109665747</v>
      </c>
      <c r="AF462" s="51" t="str">
        <f t="shared" si="383"/>
        <v>42.1703962805665</v>
      </c>
      <c r="AG462" s="51" t="str">
        <f t="shared" si="365"/>
        <v>1+152.694082247883i</v>
      </c>
      <c r="AH462" s="51">
        <f t="shared" si="384"/>
        <v>152.69735673391094</v>
      </c>
      <c r="AI462" s="51">
        <f t="shared" si="385"/>
        <v>1.5642473781454465</v>
      </c>
      <c r="AJ462" s="51" t="str">
        <f t="shared" si="366"/>
        <v>1+0.346106586428534i</v>
      </c>
      <c r="AK462" s="51">
        <f t="shared" si="386"/>
        <v>1.0582011950329731</v>
      </c>
      <c r="AL462" s="51">
        <f t="shared" si="387"/>
        <v>0.33320209762288672</v>
      </c>
      <c r="AM462" s="51" t="str">
        <f t="shared" si="367"/>
        <v>1-0.897480819106693i</v>
      </c>
      <c r="AN462" s="51">
        <f t="shared" si="388"/>
        <v>1.3436784662501742</v>
      </c>
      <c r="AO462" s="51">
        <f t="shared" si="389"/>
        <v>-0.73142154442555352</v>
      </c>
      <c r="AP462" s="60" t="str">
        <f t="shared" si="390"/>
        <v>-0.149899232112392-0.362944213867095i</v>
      </c>
      <c r="AQ462" s="51">
        <f t="shared" si="391"/>
        <v>-8.1192046447790371</v>
      </c>
      <c r="AR462" s="63">
        <f t="shared" si="392"/>
        <v>-112.44106650396579</v>
      </c>
      <c r="AS462" s="32" t="str">
        <f t="shared" si="368"/>
        <v>-0.000133283554228113</v>
      </c>
      <c r="AT462" s="32" t="str">
        <f t="shared" si="369"/>
        <v>0.105735562153917i</v>
      </c>
      <c r="AU462" s="32">
        <f t="shared" si="393"/>
        <v>0.105735562153917</v>
      </c>
      <c r="AV462" s="32">
        <f t="shared" si="394"/>
        <v>1.5707963267948966</v>
      </c>
      <c r="AW462" s="32" t="str">
        <f t="shared" si="370"/>
        <v>1+18.4870793887592i</v>
      </c>
      <c r="AX462" s="32">
        <f t="shared" si="395"/>
        <v>18.51410555026316</v>
      </c>
      <c r="AY462" s="32">
        <f t="shared" si="396"/>
        <v>1.5167571582029993</v>
      </c>
      <c r="AZ462" s="32" t="str">
        <f t="shared" si="371"/>
        <v>1+275.502573330045i</v>
      </c>
      <c r="BA462" s="32">
        <f t="shared" si="397"/>
        <v>275.50438818914807</v>
      </c>
      <c r="BB462" s="32">
        <f t="shared" si="398"/>
        <v>1.5671666125737167</v>
      </c>
      <c r="BC462" s="60" t="str">
        <f t="shared" si="399"/>
        <v>-0.000945168678404893+0.0187339450711009i</v>
      </c>
      <c r="BD462" s="51">
        <f t="shared" si="400"/>
        <v>-34.536374558545234</v>
      </c>
      <c r="BE462" s="63">
        <f t="shared" si="401"/>
        <v>92.8882489829994</v>
      </c>
      <c r="BF462" s="60" t="str">
        <f t="shared" si="402"/>
        <v>-0.00176362159042593-0.000629969186127039i</v>
      </c>
      <c r="BG462" s="66">
        <f t="shared" si="403"/>
        <v>-54.550367074219999</v>
      </c>
      <c r="BH462" s="63">
        <f t="shared" si="404"/>
        <v>-160.34316992034309</v>
      </c>
      <c r="BI462" s="60" t="str">
        <f t="shared" si="409"/>
        <v>0.00694105702556963-0.00246516047763829i</v>
      </c>
      <c r="BJ462" s="66">
        <f t="shared" si="405"/>
        <v>-42.655579203324272</v>
      </c>
      <c r="BK462" s="63">
        <f t="shared" si="410"/>
        <v>-19.552817520966382</v>
      </c>
      <c r="BL462" s="51">
        <f t="shared" si="406"/>
        <v>-54.550367074219999</v>
      </c>
      <c r="BM462" s="63">
        <f t="shared" si="407"/>
        <v>-160.34316992034309</v>
      </c>
    </row>
    <row r="463" spans="14:65" x14ac:dyDescent="0.35">
      <c r="N463" s="11">
        <v>45</v>
      </c>
      <c r="O463" s="52">
        <f t="shared" si="408"/>
        <v>281838.29312644573</v>
      </c>
      <c r="P463" s="50" t="str">
        <f t="shared" si="360"/>
        <v>36.531007751938</v>
      </c>
      <c r="Q463" s="18" t="str">
        <f t="shared" si="361"/>
        <v>1+864.829922554089i</v>
      </c>
      <c r="R463" s="18">
        <f t="shared" si="372"/>
        <v>864.83050070225408</v>
      </c>
      <c r="S463" s="18">
        <f t="shared" si="373"/>
        <v>1.5696400305934735</v>
      </c>
      <c r="T463" s="18" t="str">
        <f t="shared" si="362"/>
        <v>1+0.354168444474532i</v>
      </c>
      <c r="U463" s="18">
        <f t="shared" si="374"/>
        <v>1.0608653482235668</v>
      </c>
      <c r="V463" s="18">
        <f t="shared" si="375"/>
        <v>0.34038351830524288</v>
      </c>
      <c r="W463" s="32" t="str">
        <f t="shared" si="363"/>
        <v>1-5.8678795534242i</v>
      </c>
      <c r="X463" s="18">
        <f t="shared" si="376"/>
        <v>5.9524793534706006</v>
      </c>
      <c r="Y463" s="18">
        <f t="shared" si="377"/>
        <v>-1.4019986630451038</v>
      </c>
      <c r="Z463" s="32" t="str">
        <f t="shared" si="364"/>
        <v>-0.64117403868654+2.66642076189078i</v>
      </c>
      <c r="AA463" s="18">
        <f t="shared" si="378"/>
        <v>2.7424266311658765</v>
      </c>
      <c r="AB463" s="18">
        <f t="shared" si="379"/>
        <v>1.8067785144254997</v>
      </c>
      <c r="AC463" s="68" t="str">
        <f t="shared" si="380"/>
        <v>-0.0263514865002928+0.0936266935566685i</v>
      </c>
      <c r="AD463" s="66">
        <f t="shared" si="381"/>
        <v>-20.240924017102479</v>
      </c>
      <c r="AE463" s="63">
        <f t="shared" si="382"/>
        <v>105.71940023994662</v>
      </c>
      <c r="AF463" s="51" t="str">
        <f t="shared" si="383"/>
        <v>42.1703962805665</v>
      </c>
      <c r="AG463" s="51" t="str">
        <f t="shared" si="365"/>
        <v>1+156.250784327i</v>
      </c>
      <c r="AH463" s="51">
        <f t="shared" si="384"/>
        <v>156.25398427817024</v>
      </c>
      <c r="AI463" s="51">
        <f t="shared" si="385"/>
        <v>1.5643964462986393</v>
      </c>
      <c r="AJ463" s="51" t="str">
        <f t="shared" si="366"/>
        <v>1+0.354168444474532i</v>
      </c>
      <c r="AK463" s="51">
        <f t="shared" si="386"/>
        <v>1.0608653482235668</v>
      </c>
      <c r="AL463" s="51">
        <f t="shared" si="387"/>
        <v>0.34038351830524288</v>
      </c>
      <c r="AM463" s="51" t="str">
        <f t="shared" si="367"/>
        <v>1-0.91838583289827i</v>
      </c>
      <c r="AN463" s="51">
        <f t="shared" si="388"/>
        <v>1.3577306574089902</v>
      </c>
      <c r="AO463" s="51">
        <f t="shared" si="389"/>
        <v>-0.74288065687978433</v>
      </c>
      <c r="AP463" s="60" t="str">
        <f t="shared" si="390"/>
        <v>-0.149980922423775-0.358634095413452i</v>
      </c>
      <c r="AQ463" s="51">
        <f t="shared" si="391"/>
        <v>-8.2069905908884309</v>
      </c>
      <c r="AR463" s="63">
        <f t="shared" si="392"/>
        <v>-112.69470116458976</v>
      </c>
      <c r="AS463" s="32" t="str">
        <f t="shared" si="368"/>
        <v>-0.000133283554228113</v>
      </c>
      <c r="AT463" s="32" t="str">
        <f t="shared" si="369"/>
        <v>0.108198459786969i</v>
      </c>
      <c r="AU463" s="32">
        <f t="shared" si="393"/>
        <v>0.108198459786969</v>
      </c>
      <c r="AV463" s="32">
        <f t="shared" si="394"/>
        <v>1.5707963267948966</v>
      </c>
      <c r="AW463" s="32" t="str">
        <f t="shared" si="370"/>
        <v>1+18.9176987862552i</v>
      </c>
      <c r="AX463" s="32">
        <f t="shared" si="395"/>
        <v>18.944110624874465</v>
      </c>
      <c r="AY463" s="32">
        <f t="shared" si="396"/>
        <v>1.517984927423357</v>
      </c>
      <c r="AZ463" s="32" t="str">
        <f t="shared" si="371"/>
        <v>1+281.91985264395i</v>
      </c>
      <c r="BA463" s="32">
        <f t="shared" si="397"/>
        <v>281.92162619207932</v>
      </c>
      <c r="BB463" s="32">
        <f t="shared" si="398"/>
        <v>1.5672492342554285</v>
      </c>
      <c r="BC463" s="60" t="str">
        <f t="shared" si="399"/>
        <v>-0.000902747614961944+0.0183097508196507i</v>
      </c>
      <c r="BD463" s="51">
        <f t="shared" si="400"/>
        <v>-34.735806849449347</v>
      </c>
      <c r="BE463" s="63">
        <f t="shared" si="401"/>
        <v>92.822636862115175</v>
      </c>
      <c r="BF463" s="60" t="str">
        <f t="shared" si="402"/>
        <v>-0.00169049268750155-0.000567010425852806i</v>
      </c>
      <c r="BG463" s="66">
        <f t="shared" si="403"/>
        <v>-54.97673086655184</v>
      </c>
      <c r="BH463" s="63">
        <f t="shared" si="404"/>
        <v>-161.45796289793813</v>
      </c>
      <c r="BI463" s="60" t="str">
        <f t="shared" si="409"/>
        <v>0.006701895842459-0.00242235724300215i</v>
      </c>
      <c r="BJ463" s="66">
        <f t="shared" si="405"/>
        <v>-42.94279744033777</v>
      </c>
      <c r="BK463" s="63">
        <f t="shared" si="410"/>
        <v>-19.872064302474531</v>
      </c>
      <c r="BL463" s="51">
        <f t="shared" si="406"/>
        <v>-54.97673086655184</v>
      </c>
      <c r="BM463" s="63">
        <f t="shared" si="407"/>
        <v>-161.45796289793813</v>
      </c>
    </row>
    <row r="464" spans="14:65" x14ac:dyDescent="0.35">
      <c r="N464" s="11">
        <v>46</v>
      </c>
      <c r="O464" s="52">
        <f t="shared" si="408"/>
        <v>288403.1503126609</v>
      </c>
      <c r="P464" s="50" t="str">
        <f t="shared" si="360"/>
        <v>36.531007751938</v>
      </c>
      <c r="Q464" s="18" t="str">
        <f t="shared" si="361"/>
        <v>1+884.974399264306i</v>
      </c>
      <c r="R464" s="18">
        <f t="shared" si="372"/>
        <v>884.97496425222073</v>
      </c>
      <c r="S464" s="18">
        <f t="shared" si="373"/>
        <v>1.5696663510857505</v>
      </c>
      <c r="T464" s="18" t="str">
        <f t="shared" si="362"/>
        <v>1+0.362418087317764i</v>
      </c>
      <c r="U464" s="18">
        <f t="shared" si="374"/>
        <v>1.0636479069763012</v>
      </c>
      <c r="V464" s="18">
        <f t="shared" si="375"/>
        <v>0.34769458695599675</v>
      </c>
      <c r="W464" s="32" t="str">
        <f t="shared" si="363"/>
        <v>1-6.00456002656651i</v>
      </c>
      <c r="X464" s="18">
        <f t="shared" si="376"/>
        <v>6.087260558957567</v>
      </c>
      <c r="Y464" s="18">
        <f t="shared" si="377"/>
        <v>-1.4057708022738011</v>
      </c>
      <c r="Z464" s="32" t="str">
        <f t="shared" si="364"/>
        <v>-0.71852018822867+2.72852968011474i</v>
      </c>
      <c r="AA464" s="18">
        <f t="shared" si="378"/>
        <v>2.8215501902605258</v>
      </c>
      <c r="AB464" s="18">
        <f t="shared" si="379"/>
        <v>1.828286637445933</v>
      </c>
      <c r="AC464" s="68" t="str">
        <f t="shared" si="380"/>
        <v>-0.0240184563855612+0.0916289203144316i</v>
      </c>
      <c r="AD464" s="66">
        <f t="shared" si="381"/>
        <v>-20.47074660659927</v>
      </c>
      <c r="AE464" s="63">
        <f t="shared" si="382"/>
        <v>104.68833323238407</v>
      </c>
      <c r="AF464" s="51" t="str">
        <f t="shared" si="383"/>
        <v>42.1703962805665</v>
      </c>
      <c r="AG464" s="51" t="str">
        <f t="shared" si="365"/>
        <v>1+159.89033264019i</v>
      </c>
      <c r="AH464" s="51">
        <f t="shared" si="384"/>
        <v>159.89345975301995</v>
      </c>
      <c r="AI464" s="51">
        <f t="shared" si="385"/>
        <v>1.5645421215212412</v>
      </c>
      <c r="AJ464" s="51" t="str">
        <f t="shared" si="366"/>
        <v>1+0.362418087317764i</v>
      </c>
      <c r="AK464" s="51">
        <f t="shared" si="386"/>
        <v>1.0636479069763012</v>
      </c>
      <c r="AL464" s="51">
        <f t="shared" si="387"/>
        <v>0.34769458695599675</v>
      </c>
      <c r="AM464" s="51" t="str">
        <f t="shared" si="367"/>
        <v>1-0.939777787014723i</v>
      </c>
      <c r="AN464" s="51">
        <f t="shared" si="388"/>
        <v>1.3722908907976801</v>
      </c>
      <c r="AO464" s="51">
        <f t="shared" si="389"/>
        <v>-0.75436219825939133</v>
      </c>
      <c r="AP464" s="60" t="str">
        <f t="shared" si="390"/>
        <v>-0.150058936359897-0.354514082432513i</v>
      </c>
      <c r="AQ464" s="51">
        <f t="shared" si="391"/>
        <v>-8.2915789461952549</v>
      </c>
      <c r="AR464" s="63">
        <f t="shared" si="392"/>
        <v>-112.94199822596214</v>
      </c>
      <c r="AS464" s="32" t="str">
        <f t="shared" si="368"/>
        <v>-0.000133283554228113</v>
      </c>
      <c r="AT464" s="32" t="str">
        <f t="shared" si="369"/>
        <v>0.110718725675577i</v>
      </c>
      <c r="AU464" s="32">
        <f t="shared" si="393"/>
        <v>0.110718725675577</v>
      </c>
      <c r="AV464" s="32">
        <f t="shared" si="394"/>
        <v>1.5707963267948966</v>
      </c>
      <c r="AW464" s="32" t="str">
        <f t="shared" si="370"/>
        <v>1+19.3583485980531i</v>
      </c>
      <c r="AX464" s="32">
        <f t="shared" si="395"/>
        <v>19.384160039675294</v>
      </c>
      <c r="AY464" s="32">
        <f t="shared" si="396"/>
        <v>1.5191849032167521</v>
      </c>
      <c r="AZ464" s="32" t="str">
        <f t="shared" si="371"/>
        <v>1+288.486609595377i</v>
      </c>
      <c r="BA464" s="32">
        <f t="shared" si="397"/>
        <v>288.4883427728675</v>
      </c>
      <c r="BB464" s="32">
        <f t="shared" si="398"/>
        <v>1.56732997528485</v>
      </c>
      <c r="BC464" s="60" t="str">
        <f t="shared" si="399"/>
        <v>-0.000862225411885084+0.0178950632749456i</v>
      </c>
      <c r="BD464" s="51">
        <f t="shared" si="400"/>
        <v>-34.935264621558574</v>
      </c>
      <c r="BE464" s="63">
        <f t="shared" si="401"/>
        <v>92.758509433855195</v>
      </c>
      <c r="BF464" s="60" t="str">
        <f t="shared" si="402"/>
        <v>-0.00161899600339182-0.000508816580344835i</v>
      </c>
      <c r="BG464" s="66">
        <f t="shared" si="403"/>
        <v>-55.40601122815783</v>
      </c>
      <c r="BH464" s="63">
        <f t="shared" si="404"/>
        <v>-162.55315733376077</v>
      </c>
      <c r="BI464" s="60" t="str">
        <f t="shared" si="409"/>
        <v>0.00647343656519905-0.00237964311038696i</v>
      </c>
      <c r="BJ464" s="66">
        <f t="shared" si="405"/>
        <v>-43.226843567753825</v>
      </c>
      <c r="BK464" s="63">
        <f t="shared" si="410"/>
        <v>-20.183488792106978</v>
      </c>
      <c r="BL464" s="51">
        <f t="shared" si="406"/>
        <v>-55.40601122815783</v>
      </c>
      <c r="BM464" s="63">
        <f t="shared" si="407"/>
        <v>-162.55315733376077</v>
      </c>
    </row>
    <row r="465" spans="14:65" x14ac:dyDescent="0.35">
      <c r="N465" s="11">
        <v>47</v>
      </c>
      <c r="O465" s="52">
        <f t="shared" si="408"/>
        <v>295120.92266663886</v>
      </c>
      <c r="P465" s="50" t="str">
        <f t="shared" si="360"/>
        <v>36.531007751938</v>
      </c>
      <c r="Q465" s="18" t="str">
        <f t="shared" si="361"/>
        <v>1+905.588101115034i</v>
      </c>
      <c r="R465" s="18">
        <f t="shared" si="372"/>
        <v>905.58865324226156</v>
      </c>
      <c r="S465" s="18">
        <f t="shared" si="373"/>
        <v>1.5696920724519901</v>
      </c>
      <c r="T465" s="18" t="str">
        <f t="shared" si="362"/>
        <v>1+0.370859889028062i</v>
      </c>
      <c r="U465" s="18">
        <f t="shared" si="374"/>
        <v>1.066553822969055</v>
      </c>
      <c r="V465" s="18">
        <f t="shared" si="375"/>
        <v>0.3551360527266737</v>
      </c>
      <c r="W465" s="32" t="str">
        <f t="shared" si="363"/>
        <v>1-6.14442419691464i</v>
      </c>
      <c r="X465" s="18">
        <f t="shared" si="376"/>
        <v>6.2252669590652996</v>
      </c>
      <c r="Y465" s="18">
        <f t="shared" si="377"/>
        <v>-1.4094616624074288</v>
      </c>
      <c r="Z465" s="32" t="str">
        <f t="shared" si="364"/>
        <v>-0.79951154949604+2.79208530089146i</v>
      </c>
      <c r="AA465" s="18">
        <f t="shared" si="378"/>
        <v>2.9043000955878702</v>
      </c>
      <c r="AB465" s="18">
        <f t="shared" si="379"/>
        <v>1.8496829355817268</v>
      </c>
      <c r="AC465" s="68" t="str">
        <f t="shared" si="380"/>
        <v>-0.0218036676361996+0.0896064599347666i</v>
      </c>
      <c r="AD465" s="66">
        <f t="shared" si="381"/>
        <v>-20.703401033988232</v>
      </c>
      <c r="AE465" s="63">
        <f t="shared" si="382"/>
        <v>103.67583579989139</v>
      </c>
      <c r="AF465" s="51" t="str">
        <f t="shared" si="383"/>
        <v>42.1703962805665</v>
      </c>
      <c r="AG465" s="51" t="str">
        <f t="shared" si="365"/>
        <v>1+163.614656924145i</v>
      </c>
      <c r="AH465" s="51">
        <f t="shared" si="384"/>
        <v>163.61771285654152</v>
      </c>
      <c r="AI465" s="51">
        <f t="shared" si="385"/>
        <v>1.5646844810274376</v>
      </c>
      <c r="AJ465" s="51" t="str">
        <f t="shared" si="366"/>
        <v>1+0.370859889028062i</v>
      </c>
      <c r="AK465" s="51">
        <f t="shared" si="386"/>
        <v>1.066553822969055</v>
      </c>
      <c r="AL465" s="51">
        <f t="shared" si="387"/>
        <v>0.3551360527266737</v>
      </c>
      <c r="AM465" s="51" t="str">
        <f t="shared" si="367"/>
        <v>1-0.961668023753281i</v>
      </c>
      <c r="AN465" s="51">
        <f t="shared" si="388"/>
        <v>1.3873735574493054</v>
      </c>
      <c r="AO465" s="51">
        <f t="shared" si="389"/>
        <v>-0.76586014874933006</v>
      </c>
      <c r="AP465" s="60" t="str">
        <f t="shared" si="390"/>
        <v>-0.150133439358998-0.35058199358045i</v>
      </c>
      <c r="AQ465" s="51">
        <f t="shared" si="391"/>
        <v>-8.3729289163841418</v>
      </c>
      <c r="AR465" s="63">
        <f t="shared" si="392"/>
        <v>-113.18257427891395</v>
      </c>
      <c r="AS465" s="32" t="str">
        <f t="shared" si="368"/>
        <v>-0.000133283554228113</v>
      </c>
      <c r="AT465" s="32" t="str">
        <f t="shared" si="369"/>
        <v>0.113297696098073i</v>
      </c>
      <c r="AU465" s="32">
        <f t="shared" si="393"/>
        <v>0.113297696098073</v>
      </c>
      <c r="AV465" s="32">
        <f t="shared" si="394"/>
        <v>1.5707963267948966</v>
      </c>
      <c r="AW465" s="32" t="str">
        <f t="shared" si="370"/>
        <v>1+19.8092624625157i</v>
      </c>
      <c r="AX465" s="32">
        <f t="shared" si="395"/>
        <v>19.834487119883732</v>
      </c>
      <c r="AY465" s="32">
        <f t="shared" si="396"/>
        <v>1.5203577079952286</v>
      </c>
      <c r="AZ465" s="32" t="str">
        <f t="shared" si="371"/>
        <v>1+295.206325965782i</v>
      </c>
      <c r="BA465" s="32">
        <f t="shared" si="397"/>
        <v>295.2080196915652</v>
      </c>
      <c r="BB465" s="32">
        <f t="shared" si="398"/>
        <v>1.5674088784677305</v>
      </c>
      <c r="BC465" s="60" t="str">
        <f t="shared" si="399"/>
        <v>-0.000823517518070164+0.0174896759336709i</v>
      </c>
      <c r="BD465" s="51">
        <f t="shared" si="400"/>
        <v>-35.134746734165077</v>
      </c>
      <c r="BE465" s="63">
        <f t="shared" si="401"/>
        <v>92.695833489224896</v>
      </c>
      <c r="BF465" s="60" t="str">
        <f t="shared" si="402"/>
        <v>-0.00154923224356594-0.000455131570611132i</v>
      </c>
      <c r="BG465" s="66">
        <f t="shared" si="403"/>
        <v>-55.83814776815332</v>
      </c>
      <c r="BH465" s="63">
        <f t="shared" si="404"/>
        <v>-163.62833071088366</v>
      </c>
      <c r="BI465" s="60" t="str">
        <f t="shared" si="409"/>
        <v>0.00625520297326262-0.00233707478796284i</v>
      </c>
      <c r="BJ465" s="66">
        <f t="shared" si="405"/>
        <v>-43.507675650549224</v>
      </c>
      <c r="BK465" s="63">
        <f t="shared" si="410"/>
        <v>-20.486740789689016</v>
      </c>
      <c r="BL465" s="51">
        <f t="shared" si="406"/>
        <v>-55.83814776815332</v>
      </c>
      <c r="BM465" s="63">
        <f t="shared" si="407"/>
        <v>-163.62833071088366</v>
      </c>
    </row>
    <row r="466" spans="14:65" x14ac:dyDescent="0.35">
      <c r="N466" s="11">
        <v>48</v>
      </c>
      <c r="O466" s="52">
        <f t="shared" si="408"/>
        <v>301995.17204020242</v>
      </c>
      <c r="P466" s="50" t="str">
        <f t="shared" si="360"/>
        <v>36.531007751938</v>
      </c>
      <c r="Q466" s="18" t="str">
        <f t="shared" si="361"/>
        <v>1+926.681957763849i</v>
      </c>
      <c r="R466" s="18">
        <f t="shared" si="372"/>
        <v>926.68249732313393</v>
      </c>
      <c r="S466" s="18">
        <f t="shared" si="373"/>
        <v>1.5697172083298652</v>
      </c>
      <c r="T466" s="18" t="str">
        <f t="shared" si="362"/>
        <v>1+0.379498325560434i</v>
      </c>
      <c r="U466" s="18">
        <f t="shared" si="374"/>
        <v>1.0695882287605698</v>
      </c>
      <c r="V466" s="18">
        <f t="shared" si="375"/>
        <v>0.36270856360643339</v>
      </c>
      <c r="W466" s="32" t="str">
        <f t="shared" si="363"/>
        <v>1-6.28754622230305i</v>
      </c>
      <c r="X466" s="18">
        <f t="shared" si="376"/>
        <v>6.3665718795594657</v>
      </c>
      <c r="Y466" s="18">
        <f t="shared" si="377"/>
        <v>-1.4130727979568058</v>
      </c>
      <c r="Z466" s="32" t="str">
        <f t="shared" si="364"/>
        <v>-0.88431991602461+2.85712132225234i</v>
      </c>
      <c r="AA466" s="18">
        <f t="shared" si="378"/>
        <v>2.9908466968313063</v>
      </c>
      <c r="AB466" s="18">
        <f t="shared" si="379"/>
        <v>1.8709588226636831</v>
      </c>
      <c r="AC466" s="68" t="str">
        <f t="shared" si="380"/>
        <v>-0.0197053249804331+0.0875652085784363i</v>
      </c>
      <c r="AD466" s="66">
        <f t="shared" si="381"/>
        <v>-20.938823976996535</v>
      </c>
      <c r="AE466" s="63">
        <f t="shared" si="382"/>
        <v>102.68234717248006</v>
      </c>
      <c r="AF466" s="51" t="str">
        <f t="shared" si="383"/>
        <v>42.1703962805665</v>
      </c>
      <c r="AG466" s="51" t="str">
        <f t="shared" si="365"/>
        <v>1+167.425731864898i</v>
      </c>
      <c r="AH466" s="51">
        <f t="shared" si="384"/>
        <v>167.42871823703581</v>
      </c>
      <c r="AI466" s="51">
        <f t="shared" si="385"/>
        <v>1.5648236002750291</v>
      </c>
      <c r="AJ466" s="51" t="str">
        <f t="shared" si="366"/>
        <v>1+0.379498325560434i</v>
      </c>
      <c r="AK466" s="51">
        <f t="shared" si="386"/>
        <v>1.0695882287605698</v>
      </c>
      <c r="AL466" s="51">
        <f t="shared" si="387"/>
        <v>0.36270856360643339</v>
      </c>
      <c r="AM466" s="51" t="str">
        <f t="shared" si="367"/>
        <v>1-0.984068149607214i</v>
      </c>
      <c r="AN466" s="51">
        <f t="shared" si="388"/>
        <v>1.402993272639383</v>
      </c>
      <c r="AO466" s="51">
        <f t="shared" si="389"/>
        <v>-0.77736844527251503</v>
      </c>
      <c r="AP466" s="60" t="str">
        <f t="shared" si="390"/>
        <v>-0.150204589415648-0.346835746943643i</v>
      </c>
      <c r="AQ466" s="51">
        <f t="shared" si="391"/>
        <v>-8.4510013406728106</v>
      </c>
      <c r="AR466" s="63">
        <f t="shared" si="392"/>
        <v>-113.41604913108631</v>
      </c>
      <c r="AS466" s="32" t="str">
        <f t="shared" si="368"/>
        <v>-0.000133283554228113</v>
      </c>
      <c r="AT466" s="32" t="str">
        <f t="shared" si="369"/>
        <v>0.115936738458713i</v>
      </c>
      <c r="AU466" s="32">
        <f t="shared" si="393"/>
        <v>0.115936738458713</v>
      </c>
      <c r="AV466" s="32">
        <f t="shared" si="394"/>
        <v>1.5707963267948966</v>
      </c>
      <c r="AW466" s="32" t="str">
        <f t="shared" si="370"/>
        <v>1+20.2706794601425i</v>
      </c>
      <c r="AX466" s="32">
        <f t="shared" si="395"/>
        <v>20.295330639727034</v>
      </c>
      <c r="AY466" s="32">
        <f t="shared" si="396"/>
        <v>1.5215039506828063</v>
      </c>
      <c r="AZ466" s="32" t="str">
        <f t="shared" si="371"/>
        <v>1+302.082564637733i</v>
      </c>
      <c r="BA466" s="32">
        <f t="shared" si="397"/>
        <v>302.08421980982416</v>
      </c>
      <c r="BB466" s="32">
        <f t="shared" si="398"/>
        <v>1.5674859856356498</v>
      </c>
      <c r="BC466" s="60" t="str">
        <f t="shared" si="399"/>
        <v>-0.000786543108080167+0.0170933863389098i</v>
      </c>
      <c r="BD466" s="51">
        <f t="shared" si="400"/>
        <v>-35.334252097364043</v>
      </c>
      <c r="BE466" s="63">
        <f t="shared" si="401"/>
        <v>92.634576536220948</v>
      </c>
      <c r="BF466" s="60" t="str">
        <f t="shared" si="402"/>
        <v>-0.00148128685252259-0.000405704544139285i</v>
      </c>
      <c r="BG466" s="66">
        <f t="shared" si="403"/>
        <v>-56.273076074360581</v>
      </c>
      <c r="BH466" s="63">
        <f t="shared" si="404"/>
        <v>-164.68307629129896</v>
      </c>
      <c r="BI466" s="60" t="str">
        <f t="shared" si="409"/>
        <v>0.00604673980325893-0.00229470381036463i</v>
      </c>
      <c r="BJ466" s="66">
        <f t="shared" si="405"/>
        <v>-43.785253438036861</v>
      </c>
      <c r="BK466" s="63">
        <f t="shared" si="410"/>
        <v>-20.781472594865349</v>
      </c>
      <c r="BL466" s="51">
        <f t="shared" si="406"/>
        <v>-56.273076074360581</v>
      </c>
      <c r="BM466" s="63">
        <f t="shared" si="407"/>
        <v>-164.68307629129896</v>
      </c>
    </row>
    <row r="467" spans="14:65" x14ac:dyDescent="0.35">
      <c r="N467" s="11">
        <v>49</v>
      </c>
      <c r="O467" s="52">
        <f t="shared" si="408"/>
        <v>309029.54325135931</v>
      </c>
      <c r="P467" s="50" t="str">
        <f t="shared" ref="P467:P530" si="411">COMPLEX(Adc,0)</f>
        <v>36.531007751938</v>
      </c>
      <c r="Q467" s="18" t="str">
        <f t="shared" ref="Q467:Q530" si="412">IMSUM(COMPLEX(1,0),IMDIV(COMPLEX(0,2*PI()*O467),COMPLEX(wp_lf,0)))</f>
        <v>1+948.267153452756i</v>
      </c>
      <c r="R467" s="18">
        <f t="shared" si="372"/>
        <v>948.26768073017899</v>
      </c>
      <c r="S467" s="18">
        <f t="shared" si="373"/>
        <v>1.5697417720466238</v>
      </c>
      <c r="T467" s="18" t="str">
        <f t="shared" ref="T467:T530" si="413">IMSUM(COMPLEX(1,0),IMDIV(COMPLEX(0,2*PI()*O467),COMPLEX(wz_esr,0)))</f>
        <v>1+0.388337977128272i</v>
      </c>
      <c r="U467" s="18">
        <f t="shared" si="374"/>
        <v>1.0727564422925076</v>
      </c>
      <c r="V467" s="18">
        <f t="shared" si="375"/>
        <v>0.37041265980251276</v>
      </c>
      <c r="W467" s="32" t="str">
        <f t="shared" ref="W467:W530" si="414">IMSUB(COMPLEX(1,0),IMDIV(COMPLEX(0,2*PI()*O467),COMPLEX(wz_rhp,0)))</f>
        <v>1-6.43400198792404i</v>
      </c>
      <c r="X467" s="18">
        <f t="shared" si="376"/>
        <v>6.5112503853415502</v>
      </c>
      <c r="Y467" s="18">
        <f t="shared" si="377"/>
        <v>-1.41660574667963</v>
      </c>
      <c r="Z467" s="32" t="str">
        <f t="shared" ref="Z467:Z530" si="415">IMSUM(COMPLEX(1,0),IMDIV(COMPLEX(0,2*PI()*O467),COMPLEX(Q*(wsl/2),0)),IMDIV(IMPOWER(COMPLEX(0,2*PI()*O467),2),IMPOWER(COMPLEX(wsl/2,0),2)))</f>
        <v>-0.97312517773025+2.92367222715673i</v>
      </c>
      <c r="AA467" s="18">
        <f t="shared" si="378"/>
        <v>3.0813685114539817</v>
      </c>
      <c r="AB467" s="18">
        <f t="shared" si="379"/>
        <v>1.8921059297204306</v>
      </c>
      <c r="AC467" s="68" t="str">
        <f t="shared" si="380"/>
        <v>-0.0177213422726865+0.0855108250630909i</v>
      </c>
      <c r="AD467" s="66">
        <f t="shared" si="381"/>
        <v>-21.176948176517485</v>
      </c>
      <c r="AE467" s="63">
        <f t="shared" si="382"/>
        <v>101.70828893786179</v>
      </c>
      <c r="AF467" s="51" t="str">
        <f t="shared" si="383"/>
        <v>42.1703962805665</v>
      </c>
      <c r="AG467" s="51" t="str">
        <f t="shared" ref="AG467:AG530" si="416">IMSUM(COMPLEX(1,0),IMDIV(COMPLEX(0,2*PI()*O467),COMPLEX(wp_lf_DCM,0)))</f>
        <v>1+171.325578144826i</v>
      </c>
      <c r="AH467" s="51">
        <f t="shared" si="384"/>
        <v>171.32849654000609</v>
      </c>
      <c r="AI467" s="51">
        <f t="shared" si="385"/>
        <v>1.5649595530053297</v>
      </c>
      <c r="AJ467" s="51" t="str">
        <f t="shared" ref="AJ467:AJ530" si="417">IMSUM(COMPLEX(1,0),IMDIV(COMPLEX(0,2*PI()*O467),COMPLEX(wz1_dcm,0)))</f>
        <v>1+0.388337977128272i</v>
      </c>
      <c r="AK467" s="51">
        <f t="shared" si="386"/>
        <v>1.0727564422925076</v>
      </c>
      <c r="AL467" s="51">
        <f t="shared" si="387"/>
        <v>0.37041265980251276</v>
      </c>
      <c r="AM467" s="51" t="str">
        <f t="shared" ref="AM467:AM530" si="418">IMSUB(COMPLEX(1,0),IMDIV(COMPLEX(0,2*PI()*O467),COMPLEX(wz2_dcm,0)))</f>
        <v>1-1.00699004141975i</v>
      </c>
      <c r="AN467" s="51">
        <f t="shared" si="388"/>
        <v>1.4191648753821908</v>
      </c>
      <c r="AO467" s="51">
        <f t="shared" si="389"/>
        <v>-0.78888099739866024</v>
      </c>
      <c r="AP467" s="60" t="str">
        <f t="shared" si="390"/>
        <v>-0.150272537415574-0.343273358948803i</v>
      </c>
      <c r="AQ467" s="51">
        <f t="shared" si="391"/>
        <v>-8.5257587325311501</v>
      </c>
      <c r="AR467" s="63">
        <f t="shared" si="392"/>
        <v>-113.64204710000011</v>
      </c>
      <c r="AS467" s="32" t="str">
        <f t="shared" ref="AS467:AS530" si="419">COMPLEX(Adc_ea,0)</f>
        <v>-0.000133283554228113</v>
      </c>
      <c r="AT467" s="32" t="str">
        <f t="shared" ref="AT467:AT530" si="420">COMPLEX(0,2*PI()*O467*wp0_ea)</f>
        <v>0.118637252012687i</v>
      </c>
      <c r="AU467" s="32">
        <f t="shared" si="393"/>
        <v>0.118637252012687</v>
      </c>
      <c r="AV467" s="32">
        <f t="shared" si="394"/>
        <v>1.5707963267948966</v>
      </c>
      <c r="AW467" s="32" t="str">
        <f t="shared" ref="AW467:AW530" si="421">IMSUM(COMPLEX(1,0),IMDIV(COMPLEX(0,2*PI()*O467),COMPLEX(wp1_ea,0)))</f>
        <v>1+20.7428442403332i</v>
      </c>
      <c r="AX467" s="32">
        <f t="shared" si="395"/>
        <v>20.766934949065647</v>
      </c>
      <c r="AY467" s="32">
        <f t="shared" si="396"/>
        <v>1.5226242269775561</v>
      </c>
      <c r="AZ467" s="32" t="str">
        <f t="shared" ref="AZ467:AZ530" si="422">IMSUM(COMPLEX(1,0),IMDIV(COMPLEX(0,2*PI()*O467),COMPLEX(wz_ea,0)))</f>
        <v>1+309.11897148399i</v>
      </c>
      <c r="BA467" s="32">
        <f t="shared" si="397"/>
        <v>309.12058897996394</v>
      </c>
      <c r="BB467" s="32">
        <f t="shared" si="398"/>
        <v>1.5675613376681796</v>
      </c>
      <c r="BC467" s="60" t="str">
        <f t="shared" si="399"/>
        <v>-0.000751224921421517+0.0167059960310203i</v>
      </c>
      <c r="BD467" s="51">
        <f t="shared" si="400"/>
        <v>-35.533779669813313</v>
      </c>
      <c r="BE467" s="63">
        <f t="shared" si="401"/>
        <v>92.57470678608496</v>
      </c>
      <c r="BF467" s="60" t="str">
        <f t="shared" si="402"/>
        <v>-0.00141523079015699-0.000360290536510563i</v>
      </c>
      <c r="BG467" s="66">
        <f t="shared" si="403"/>
        <v>-56.710727846330769</v>
      </c>
      <c r="BH467" s="63">
        <f t="shared" si="404"/>
        <v>-165.71700427605327</v>
      </c>
      <c r="BI467" s="60" t="str">
        <f t="shared" si="409"/>
        <v>0.00584761184726554-0.00225257691153351i</v>
      </c>
      <c r="BJ467" s="66">
        <f t="shared" si="405"/>
        <v>-44.059538402344465</v>
      </c>
      <c r="BK467" s="63">
        <f t="shared" si="410"/>
        <v>-21.067340313915114</v>
      </c>
      <c r="BL467" s="51">
        <f t="shared" si="406"/>
        <v>-56.710727846330769</v>
      </c>
      <c r="BM467" s="63">
        <f t="shared" si="407"/>
        <v>-165.71700427605327</v>
      </c>
    </row>
    <row r="468" spans="14:65" x14ac:dyDescent="0.35">
      <c r="N468" s="11">
        <v>50</v>
      </c>
      <c r="O468" s="52">
        <f t="shared" si="408"/>
        <v>316227.7660168382</v>
      </c>
      <c r="P468" s="50" t="str">
        <f t="shared" si="411"/>
        <v>36.531007751938</v>
      </c>
      <c r="Q468" s="18" t="str">
        <f t="shared" si="412"/>
        <v>1+970.355132938223i</v>
      </c>
      <c r="R468" s="18">
        <f t="shared" ref="R468:R531" si="423">IMABS(Q468)</f>
        <v>970.35564821335299</v>
      </c>
      <c r="S468" s="18">
        <f t="shared" ref="S468:S531" si="424">IMARGUMENT(Q468)</f>
        <v>1.569765776626155</v>
      </c>
      <c r="T468" s="18" t="str">
        <f t="shared" si="413"/>
        <v>1+0.397383530631844i</v>
      </c>
      <c r="U468" s="18">
        <f t="shared" ref="U468:U531" si="425">IMABS(T468)</f>
        <v>1.0760639713406586</v>
      </c>
      <c r="V468" s="18">
        <f t="shared" ref="V468:V531" si="426">IMARGUMENT(T468)</f>
        <v>0.37824876701753052</v>
      </c>
      <c r="W468" s="32" t="str">
        <f t="shared" si="414"/>
        <v>1-6.5838691465631i</v>
      </c>
      <c r="X468" s="18">
        <f t="shared" ref="X468:X531" si="427">IMABS(W468)</f>
        <v>6.6593793208575773</v>
      </c>
      <c r="Y468" s="18">
        <f t="shared" ref="Y468:Y531" si="428">IMARGUMENT(W468)</f>
        <v>-1.420062028833039</v>
      </c>
      <c r="Z468" s="32" t="str">
        <f t="shared" si="415"/>
        <v>-1.06611570247934+2.99177330177535i</v>
      </c>
      <c r="AA468" s="18">
        <f t="shared" ref="AA468:AA531" si="429">IMABS(Z468)</f>
        <v>3.1760526098112409</v>
      </c>
      <c r="AB468" s="18">
        <f t="shared" ref="AB468:AB531" si="430">IMARGUMENT(Z468)</f>
        <v>1.9131161184561822</v>
      </c>
      <c r="AC468" s="68" t="str">
        <f t="shared" ref="AC468:AC531" si="431">(IMDIV(IMPRODUCT(P468,T468,W468),IMPRODUCT(Q468,Z468)))</f>
        <v>-0.0158493659536968+0.0834487151423591i</v>
      </c>
      <c r="AD468" s="66">
        <f t="shared" ref="AD468:AD531" si="432">20*LOG(IMABS(AC468))</f>
        <v>-21.417702581892293</v>
      </c>
      <c r="AE468" s="63">
        <f t="shared" ref="AE468:AE531" si="433">(180/PI())*IMARGUMENT(AC468)</f>
        <v>100.75406392646953</v>
      </c>
      <c r="AF468" s="51" t="str">
        <f t="shared" ref="AF468:AF531" si="434">COMPLEX($B$68,0)</f>
        <v>42.1703962805665</v>
      </c>
      <c r="AG468" s="51" t="str">
        <f t="shared" si="416"/>
        <v>1+175.316263514049i</v>
      </c>
      <c r="AH468" s="51">
        <f t="shared" ref="AH468:AH531" si="435">IMABS(AG468)</f>
        <v>175.31911547953769</v>
      </c>
      <c r="AI468" s="51">
        <f t="shared" ref="AI468:AI531" si="436">IMARGUMENT(AG468)</f>
        <v>1.5650924112821623</v>
      </c>
      <c r="AJ468" s="51" t="str">
        <f t="shared" si="417"/>
        <v>1+0.397383530631844i</v>
      </c>
      <c r="AK468" s="51">
        <f t="shared" ref="AK468:AK531" si="437">IMABS(AJ468)</f>
        <v>1.0760639713406586</v>
      </c>
      <c r="AL468" s="51">
        <f t="shared" ref="AL468:AL531" si="438">IMARGUMENT(AJ468)</f>
        <v>0.37824876701753052</v>
      </c>
      <c r="AM468" s="51" t="str">
        <f t="shared" si="418"/>
        <v>1-1.03044585268133i</v>
      </c>
      <c r="AN468" s="51">
        <f t="shared" ref="AN468:AN531" si="439">IMABS(AM468)</f>
        <v>1.4359034282667316</v>
      </c>
      <c r="AO468" s="51">
        <f t="shared" ref="AO468:AO531" si="440">IMARGUMENT(AM468)</f>
        <v>-0.80039170342923582</v>
      </c>
      <c r="AP468" s="60" t="str">
        <f t="shared" ref="AP468:AP531" si="441">(IMDIV(IMPRODUCT(AF468,AJ468,AM468),IMPRODUCT(AG468)))</f>
        <v>-0.150337427455417-0.339892943324308i</v>
      </c>
      <c r="AQ468" s="51">
        <f t="shared" ref="AQ468:AQ531" si="442">20*LOG(IMABS(AP468))</f>
        <v>-8.5971653138689579</v>
      </c>
      <c r="AR468" s="63">
        <f t="shared" ref="AR468:AR531" si="443">(180/PI())*IMARGUMENT(AP468)</f>
        <v>-113.8601983220713</v>
      </c>
      <c r="AS468" s="32" t="str">
        <f t="shared" si="419"/>
        <v>-0.000133283554228113</v>
      </c>
      <c r="AT468" s="32" t="str">
        <f t="shared" si="420"/>
        <v>0.121400668608028i</v>
      </c>
      <c r="AU468" s="32">
        <f t="shared" ref="AU468:AU531" si="444">IMABS(AT468)</f>
        <v>0.12140066860802801</v>
      </c>
      <c r="AV468" s="32">
        <f t="shared" ref="AV468:AV531" si="445">IMARGUMENT(AT468)</f>
        <v>1.5707963267948966</v>
      </c>
      <c r="AW468" s="32" t="str">
        <f t="shared" si="421"/>
        <v>1+21.2260071511042i</v>
      </c>
      <c r="AX468" s="32">
        <f t="shared" ref="AX468:AX531" si="446">IMABS(AW468)</f>
        <v>21.249550102972215</v>
      </c>
      <c r="AY468" s="32">
        <f t="shared" ref="AY468:AY531" si="447">IMARGUMENT(AW468)</f>
        <v>1.5237191196106628</v>
      </c>
      <c r="AZ468" s="32" t="str">
        <f t="shared" si="422"/>
        <v>1+316.319277300601i</v>
      </c>
      <c r="BA468" s="32">
        <f t="shared" ref="BA468:BA531" si="448">IMABS(AZ468)</f>
        <v>316.32085797805763</v>
      </c>
      <c r="BB468" s="32">
        <f t="shared" ref="BB468:BB531" si="449">IMARGUMENT(AZ468)</f>
        <v>1.5676349745145399</v>
      </c>
      <c r="BC468" s="60" t="str">
        <f t="shared" ref="BC468:BC531" si="450">IMPRODUCT(AS468,IMDIV(AZ468,IMPRODUCT(AT468,AW468)))</f>
        <v>-0.000717489108449338+0.016327310496832i</v>
      </c>
      <c r="BD468" s="51">
        <f t="shared" ref="BD468:BD531" si="451">20*LOG(IMABS(BC468))</f>
        <v>-35.733328456591266</v>
      </c>
      <c r="BE468" s="63">
        <f t="shared" ref="BE468:BE531" si="452">(180/PI())*IMARGUMENT(BC468)</f>
        <v>92.516193139701045</v>
      </c>
      <c r="BF468" s="60" t="str">
        <f t="shared" ref="BF468:BF531" si="453">IMPRODUCT(AC468,BC468)</f>
        <v>-0.00135112133524338-0.00031865106333266i</v>
      </c>
      <c r="BG468" s="66">
        <f t="shared" ref="BG468:BG531" si="454">20*LOG(IMABS(BF468))</f>
        <v>-57.151031038483538</v>
      </c>
      <c r="BH468" s="63">
        <f t="shared" ref="BH468:BH531" si="455">(180/PI())*IMARGUMENT(BF468)</f>
        <v>-166.72974293382941</v>
      </c>
      <c r="BI468" s="60" t="str">
        <f t="shared" si="409"/>
        <v>0.00565740308812965-0.00221073637248557i</v>
      </c>
      <c r="BJ468" s="66">
        <f t="shared" ref="BJ468:BJ531" si="456">20*LOG(IMABS(BI468))</f>
        <v>-44.330493770460222</v>
      </c>
      <c r="BK468" s="63">
        <f t="shared" si="410"/>
        <v>-21.344005182370246</v>
      </c>
      <c r="BL468" s="51">
        <f t="shared" ref="BL468:BL531" si="457">IF($B$31=0,BJ468,BG468)</f>
        <v>-57.151031038483538</v>
      </c>
      <c r="BM468" s="63">
        <f t="shared" ref="BM468:BM531" si="458">IF($B$31=0,BK468,BH468)</f>
        <v>-166.72974293382941</v>
      </c>
    </row>
    <row r="469" spans="14:65" x14ac:dyDescent="0.35">
      <c r="N469" s="11">
        <v>51</v>
      </c>
      <c r="O469" s="52">
        <f t="shared" si="408"/>
        <v>323593.65692962846</v>
      </c>
      <c r="P469" s="50" t="str">
        <f t="shared" si="411"/>
        <v>36.531007751938</v>
      </c>
      <c r="Q469" s="18" t="str">
        <f t="shared" si="412"/>
        <v>1+992.957607559342i</v>
      </c>
      <c r="R469" s="18">
        <f t="shared" si="423"/>
        <v>992.95811110538398</v>
      </c>
      <c r="S469" s="18">
        <f t="shared" si="424"/>
        <v>1.5697892347958939</v>
      </c>
      <c r="T469" s="18" t="str">
        <f t="shared" si="413"/>
        <v>1+0.40663978214335i</v>
      </c>
      <c r="U469" s="18">
        <f t="shared" si="425"/>
        <v>1.0795165179012274</v>
      </c>
      <c r="V469" s="18">
        <f t="shared" si="426"/>
        <v>0.38621718964757407</v>
      </c>
      <c r="W469" s="32" t="str">
        <f t="shared" si="414"/>
        <v>1-6.73722715977148i</v>
      </c>
      <c r="X469" s="18">
        <f t="shared" si="427"/>
        <v>6.8110373514144289</v>
      </c>
      <c r="Y469" s="18">
        <f t="shared" si="428"/>
        <v>-1.4234431465067343</v>
      </c>
      <c r="Z469" s="32" t="str">
        <f t="shared" si="415"/>
        <v>-1.16348873564235+3.06146065419936i</v>
      </c>
      <c r="AA469" s="18">
        <f t="shared" si="429"/>
        <v>3.2750950177326779</v>
      </c>
      <c r="AB469" s="18">
        <f t="shared" si="430"/>
        <v>1.9339814939412292</v>
      </c>
      <c r="AC469" s="68" t="str">
        <f t="shared" si="431"/>
        <v>-0.0140867992643624+0.0813840182206976i</v>
      </c>
      <c r="AD469" s="66">
        <f t="shared" si="432"/>
        <v>-21.66101250597416</v>
      </c>
      <c r="AE469" s="63">
        <f t="shared" si="433"/>
        <v>99.820055132437858</v>
      </c>
      <c r="AF469" s="51" t="str">
        <f t="shared" si="434"/>
        <v>42.1703962805665</v>
      </c>
      <c r="AG469" s="51" t="str">
        <f t="shared" si="416"/>
        <v>1+179.399903886773i</v>
      </c>
      <c r="AH469" s="51">
        <f t="shared" si="435"/>
        <v>179.40269093462166</v>
      </c>
      <c r="AI469" s="51">
        <f t="shared" si="436"/>
        <v>1.5652222455299718</v>
      </c>
      <c r="AJ469" s="51" t="str">
        <f t="shared" si="417"/>
        <v>1+0.40663978214335i</v>
      </c>
      <c r="AK469" s="51">
        <f t="shared" si="437"/>
        <v>1.0795165179012274</v>
      </c>
      <c r="AL469" s="51">
        <f t="shared" si="438"/>
        <v>0.38621718964757407</v>
      </c>
      <c r="AM469" s="51" t="str">
        <f t="shared" si="418"/>
        <v>1-1.05444801997358i</v>
      </c>
      <c r="AN469" s="51">
        <f t="shared" si="439"/>
        <v>1.4532242176712455</v>
      </c>
      <c r="AO469" s="51">
        <f t="shared" si="440"/>
        <v>-0.81189446655515407</v>
      </c>
      <c r="AP469" s="60" t="str">
        <f t="shared" si="441"/>
        <v>-0.150399397148135-0.336692710112274i</v>
      </c>
      <c r="AQ469" s="51">
        <f t="shared" si="442"/>
        <v>-8.6651870427786442</v>
      </c>
      <c r="AR469" s="63">
        <f t="shared" si="443"/>
        <v>-114.07014007028289</v>
      </c>
      <c r="AS469" s="32" t="str">
        <f t="shared" si="419"/>
        <v>-0.000133283554228113</v>
      </c>
      <c r="AT469" s="32" t="str">
        <f t="shared" si="420"/>
        <v>0.124228453444794i</v>
      </c>
      <c r="AU469" s="32">
        <f t="shared" si="444"/>
        <v>0.124228453444794</v>
      </c>
      <c r="AV469" s="32">
        <f t="shared" si="445"/>
        <v>1.5707963267948966</v>
      </c>
      <c r="AW469" s="32" t="str">
        <f t="shared" si="421"/>
        <v>1+21.720424371826i</v>
      </c>
      <c r="AX469" s="32">
        <f t="shared" si="446"/>
        <v>21.743431994333662</v>
      </c>
      <c r="AY469" s="32">
        <f t="shared" si="447"/>
        <v>1.5247891986023534</v>
      </c>
      <c r="AZ469" s="32" t="str">
        <f t="shared" si="422"/>
        <v>1+323.687299785017i</v>
      </c>
      <c r="BA469" s="32">
        <f t="shared" si="448"/>
        <v>323.68884448203562</v>
      </c>
      <c r="BB469" s="32">
        <f t="shared" si="449"/>
        <v>1.5677069352147655</v>
      </c>
      <c r="BC469" s="60" t="str">
        <f t="shared" si="450"/>
        <v>-0.000685265082655757+0.0159571391173839i</v>
      </c>
      <c r="BD469" s="51">
        <f t="shared" si="451"/>
        <v>-35.93289750714667</v>
      </c>
      <c r="BE469" s="63">
        <f t="shared" si="452"/>
        <v>92.459005174145318</v>
      </c>
      <c r="BF469" s="60" t="str">
        <f t="shared" si="453"/>
        <v>-0.00128900290901713-0.000280554641552956i</v>
      </c>
      <c r="BG469" s="66">
        <f t="shared" si="454"/>
        <v>-57.593910013120819</v>
      </c>
      <c r="BH469" s="63">
        <f t="shared" si="455"/>
        <v>-167.72093969341682</v>
      </c>
      <c r="BI469" s="60" t="str">
        <f t="shared" si="409"/>
        <v>0.00547571587038866-0.00216922034563878i</v>
      </c>
      <c r="BJ469" s="66">
        <f t="shared" si="456"/>
        <v>-44.598084549925304</v>
      </c>
      <c r="BK469" s="63">
        <f t="shared" si="410"/>
        <v>-21.611134896137536</v>
      </c>
      <c r="BL469" s="51">
        <f t="shared" si="457"/>
        <v>-57.593910013120819</v>
      </c>
      <c r="BM469" s="63">
        <f t="shared" si="458"/>
        <v>-167.72093969341682</v>
      </c>
    </row>
    <row r="470" spans="14:65" x14ac:dyDescent="0.35">
      <c r="N470" s="11">
        <v>52</v>
      </c>
      <c r="O470" s="52">
        <f t="shared" si="408"/>
        <v>331131.12148259126</v>
      </c>
      <c r="P470" s="50" t="str">
        <f t="shared" si="411"/>
        <v>36.531007751938</v>
      </c>
      <c r="Q470" s="18" t="str">
        <f t="shared" si="412"/>
        <v>1+1016.08656144734i</v>
      </c>
      <c r="R470" s="18">
        <f t="shared" si="423"/>
        <v>1016.0870535312805</v>
      </c>
      <c r="S470" s="18">
        <f t="shared" si="424"/>
        <v>1.5698121589935692</v>
      </c>
      <c r="T470" s="18" t="str">
        <f t="shared" si="413"/>
        <v>1+0.416111639449864i</v>
      </c>
      <c r="U470" s="18">
        <f t="shared" si="425"/>
        <v>1.0831199824976241</v>
      </c>
      <c r="V470" s="18">
        <f t="shared" si="426"/>
        <v>0.39431810392783018</v>
      </c>
      <c r="W470" s="32" t="str">
        <f t="shared" si="414"/>
        <v>1-6.89415733999775i</v>
      </c>
      <c r="X470" s="18">
        <f t="shared" si="427"/>
        <v>6.9663050054275431</v>
      </c>
      <c r="Y470" s="18">
        <f t="shared" si="428"/>
        <v>-1.4267505830317764</v>
      </c>
      <c r="Z470" s="32" t="str">
        <f t="shared" si="415"/>
        <v>-1.26545081847767+3.13277123358547i</v>
      </c>
      <c r="AA470" s="18">
        <f t="shared" si="429"/>
        <v>3.3787011374145588</v>
      </c>
      <c r="AB470" s="18">
        <f t="shared" si="430"/>
        <v>1.9546944164676252</v>
      </c>
      <c r="AC470" s="68" t="str">
        <f t="shared" si="431"/>
        <v>-0.0124308269532862+0.0793215965056057i</v>
      </c>
      <c r="AD470" s="66">
        <f t="shared" si="432"/>
        <v>-21.90679978969786</v>
      </c>
      <c r="AE470" s="63">
        <f t="shared" si="433"/>
        <v>98.906624675081943</v>
      </c>
      <c r="AF470" s="51" t="str">
        <f t="shared" si="434"/>
        <v>42.1703962805665</v>
      </c>
      <c r="AG470" s="51" t="str">
        <f t="shared" si="416"/>
        <v>1+183.578664463176i</v>
      </c>
      <c r="AH470" s="51">
        <f t="shared" si="435"/>
        <v>183.5813880710225</v>
      </c>
      <c r="AI470" s="51">
        <f t="shared" si="436"/>
        <v>1.5653491245710764</v>
      </c>
      <c r="AJ470" s="51" t="str">
        <f t="shared" si="417"/>
        <v>1+0.416111639449864i</v>
      </c>
      <c r="AK470" s="51">
        <f t="shared" si="437"/>
        <v>1.0831199824976241</v>
      </c>
      <c r="AL470" s="51">
        <f t="shared" si="438"/>
        <v>0.39431810392783018</v>
      </c>
      <c r="AM470" s="51" t="str">
        <f t="shared" si="418"/>
        <v>1-1.07900926956328i</v>
      </c>
      <c r="AN470" s="51">
        <f t="shared" si="439"/>
        <v>1.4711427543931566</v>
      </c>
      <c r="AO470" s="51">
        <f t="shared" si="440"/>
        <v>-0.82338321098284428</v>
      </c>
      <c r="AP470" s="60" t="str">
        <f t="shared" si="441"/>
        <v>-0.15045857791465-0.333670964730863i</v>
      </c>
      <c r="AQ470" s="51">
        <f t="shared" si="442"/>
        <v>-8.7297916350062348</v>
      </c>
      <c r="AR470" s="63">
        <f t="shared" si="443"/>
        <v>-114.2715180730019</v>
      </c>
      <c r="AS470" s="32" t="str">
        <f t="shared" si="419"/>
        <v>-0.000133283554228113</v>
      </c>
      <c r="AT470" s="32" t="str">
        <f t="shared" si="420"/>
        <v>0.127122105851933i</v>
      </c>
      <c r="AU470" s="32">
        <f t="shared" si="444"/>
        <v>0.12712210585193301</v>
      </c>
      <c r="AV470" s="32">
        <f t="shared" si="445"/>
        <v>1.5707963267948966</v>
      </c>
      <c r="AW470" s="32" t="str">
        <f t="shared" si="421"/>
        <v>1+22.2263580490538i</v>
      </c>
      <c r="AX470" s="32">
        <f t="shared" si="446"/>
        <v>22.248842489548501</v>
      </c>
      <c r="AY470" s="32">
        <f t="shared" si="447"/>
        <v>1.5258350215145844</v>
      </c>
      <c r="AZ470" s="32" t="str">
        <f t="shared" si="422"/>
        <v>1+331.226945560289i</v>
      </c>
      <c r="BA470" s="32">
        <f t="shared" si="448"/>
        <v>331.22845509587285</v>
      </c>
      <c r="BB470" s="32">
        <f t="shared" si="449"/>
        <v>1.5677772579203892</v>
      </c>
      <c r="BC470" s="60" t="str">
        <f t="shared" si="450"/>
        <v>-0.000654485379101443+0.015595295114404i</v>
      </c>
      <c r="BD470" s="51">
        <f t="shared" si="451"/>
        <v>-36.132485913336822</v>
      </c>
      <c r="BE470" s="63">
        <f t="shared" si="452"/>
        <v>92.403113129392551</v>
      </c>
      <c r="BF470" s="60" t="str">
        <f t="shared" si="453"/>
        <v>-0.00122890791195953-0.000245777240012489i</v>
      </c>
      <c r="BG470" s="66">
        <f t="shared" si="454"/>
        <v>-58.039285703034693</v>
      </c>
      <c r="BH470" s="63">
        <f t="shared" si="455"/>
        <v>-168.69026219552546</v>
      </c>
      <c r="BI470" s="60" t="str">
        <f t="shared" si="409"/>
        <v>0.00530217010549123-0.00212806315722549i</v>
      </c>
      <c r="BJ470" s="66">
        <f t="shared" si="456"/>
        <v>-44.862277548343059</v>
      </c>
      <c r="BK470" s="63">
        <f t="shared" si="410"/>
        <v>-21.868404943609328</v>
      </c>
      <c r="BL470" s="51">
        <f t="shared" si="457"/>
        <v>-58.039285703034693</v>
      </c>
      <c r="BM470" s="63">
        <f t="shared" si="458"/>
        <v>-168.69026219552546</v>
      </c>
    </row>
    <row r="471" spans="14:65" x14ac:dyDescent="0.35">
      <c r="N471" s="11">
        <v>53</v>
      </c>
      <c r="O471" s="52">
        <f t="shared" si="408"/>
        <v>338844.15613920329</v>
      </c>
      <c r="P471" s="50" t="str">
        <f t="shared" si="411"/>
        <v>36.531007751938</v>
      </c>
      <c r="Q471" s="18" t="str">
        <f t="shared" si="412"/>
        <v>1+1039.75425787971i</v>
      </c>
      <c r="R471" s="18">
        <f t="shared" si="423"/>
        <v>1039.7547387624575</v>
      </c>
      <c r="S471" s="18">
        <f t="shared" si="424"/>
        <v>1.5698345613737976</v>
      </c>
      <c r="T471" s="18" t="str">
        <f t="shared" si="413"/>
        <v>1+0.425804124655502i</v>
      </c>
      <c r="U471" s="18">
        <f t="shared" si="425"/>
        <v>1.0868804683927475</v>
      </c>
      <c r="V471" s="18">
        <f t="shared" si="426"/>
        <v>0.40255155105539897</v>
      </c>
      <c r="W471" s="32" t="str">
        <f t="shared" si="414"/>
        <v>1-7.05474289370063i</v>
      </c>
      <c r="X471" s="18">
        <f t="shared" si="427"/>
        <v>7.1252647176241481</v>
      </c>
      <c r="Y471" s="18">
        <f t="shared" si="428"/>
        <v>-1.4299858024603538</v>
      </c>
      <c r="Z471" s="32" t="str">
        <f t="shared" si="415"/>
        <v>-1.37221822623325+3.20574284974675i</v>
      </c>
      <c r="AA471" s="18">
        <f t="shared" si="429"/>
        <v>3.4870861875080088</v>
      </c>
      <c r="AB471" s="18">
        <f t="shared" si="430"/>
        <v>1.975247512526386</v>
      </c>
      <c r="AC471" s="68" t="str">
        <f t="shared" si="431"/>
        <v>-0.0108784402262023+0.0772660265706661i</v>
      </c>
      <c r="AD471" s="66">
        <f t="shared" si="432"/>
        <v>-22.15498297582764</v>
      </c>
      <c r="AE471" s="63">
        <f t="shared" si="433"/>
        <v>98.014112805347409</v>
      </c>
      <c r="AF471" s="51" t="str">
        <f t="shared" si="434"/>
        <v>42.1703962805665</v>
      </c>
      <c r="AG471" s="51" t="str">
        <f t="shared" si="416"/>
        <v>1+187.854760877428i</v>
      </c>
      <c r="AH471" s="51">
        <f t="shared" si="435"/>
        <v>187.85742248927949</v>
      </c>
      <c r="AI471" s="51">
        <f t="shared" si="436"/>
        <v>1.5654731156620734</v>
      </c>
      <c r="AJ471" s="51" t="str">
        <f t="shared" si="417"/>
        <v>1+0.425804124655502i</v>
      </c>
      <c r="AK471" s="51">
        <f t="shared" si="437"/>
        <v>1.0868804683927475</v>
      </c>
      <c r="AL471" s="51">
        <f t="shared" si="438"/>
        <v>0.40255155105539897</v>
      </c>
      <c r="AM471" s="51" t="str">
        <f t="shared" si="418"/>
        <v>1-1.10414262415008i</v>
      </c>
      <c r="AN471" s="51">
        <f t="shared" si="439"/>
        <v>1.4896747747293786</v>
      </c>
      <c r="AO471" s="51">
        <f t="shared" si="440"/>
        <v>-0.83485189792494019</v>
      </c>
      <c r="AP471" s="60" t="str">
        <f t="shared" si="441"/>
        <v>-0.150515095262418-0.330826107086408i</v>
      </c>
      <c r="AQ471" s="51">
        <f t="shared" si="442"/>
        <v>-8.7909485794044251</v>
      </c>
      <c r="AR471" s="63">
        <f t="shared" si="443"/>
        <v>-114.46398782629846</v>
      </c>
      <c r="AS471" s="32" t="str">
        <f t="shared" si="419"/>
        <v>-0.000133283554228113</v>
      </c>
      <c r="AT471" s="32" t="str">
        <f t="shared" si="420"/>
        <v>0.130083160082256i</v>
      </c>
      <c r="AU471" s="32">
        <f t="shared" si="444"/>
        <v>0.13008316008225601</v>
      </c>
      <c r="AV471" s="32">
        <f t="shared" si="445"/>
        <v>1.5707963267948966</v>
      </c>
      <c r="AW471" s="32" t="str">
        <f t="shared" si="421"/>
        <v>1+22.7440764355197i</v>
      </c>
      <c r="AX471" s="32">
        <f t="shared" si="446"/>
        <v>22.766049567387888</v>
      </c>
      <c r="AY471" s="32">
        <f t="shared" si="447"/>
        <v>1.5268571337003856</v>
      </c>
      <c r="AZ471" s="32" t="str">
        <f t="shared" si="422"/>
        <v>1+338.942212246403i</v>
      </c>
      <c r="BA471" s="32">
        <f t="shared" si="448"/>
        <v>338.94368742091319</v>
      </c>
      <c r="BB471" s="32">
        <f t="shared" si="449"/>
        <v>1.5678459799146569</v>
      </c>
      <c r="BC471" s="60" t="str">
        <f t="shared" si="450"/>
        <v>-0.000625085518757843+0.0152415954957118i</v>
      </c>
      <c r="BD471" s="51">
        <f t="shared" si="451"/>
        <v>-36.332092807552655</v>
      </c>
      <c r="BE471" s="63">
        <f t="shared" si="452"/>
        <v>92.348487895188512</v>
      </c>
      <c r="BF471" s="60" t="str">
        <f t="shared" si="453"/>
        <v>-0.00117085756709894-0.000214102659853337i</v>
      </c>
      <c r="BG471" s="66">
        <f t="shared" si="454"/>
        <v>-58.487075783380298</v>
      </c>
      <c r="BH471" s="63">
        <f t="shared" si="455"/>
        <v>-169.63739929946405</v>
      </c>
      <c r="BI471" s="60" t="str">
        <f t="shared" si="409"/>
        <v>0.00513640251003506-0.00208729558922156i</v>
      </c>
      <c r="BJ471" s="66">
        <f t="shared" si="456"/>
        <v>-45.123041386957077</v>
      </c>
      <c r="BK471" s="63">
        <f t="shared" si="410"/>
        <v>-22.115499931109973</v>
      </c>
      <c r="BL471" s="51">
        <f t="shared" si="457"/>
        <v>-58.487075783380298</v>
      </c>
      <c r="BM471" s="63">
        <f t="shared" si="458"/>
        <v>-169.63739929946405</v>
      </c>
    </row>
    <row r="472" spans="14:65" x14ac:dyDescent="0.35">
      <c r="N472" s="11">
        <v>54</v>
      </c>
      <c r="O472" s="52">
        <f t="shared" si="408"/>
        <v>346736.85045253241</v>
      </c>
      <c r="P472" s="50" t="str">
        <f t="shared" si="411"/>
        <v>36.531007751938</v>
      </c>
      <c r="Q472" s="18" t="str">
        <f t="shared" si="412"/>
        <v>1+1063.97324578239i</v>
      </c>
      <c r="R472" s="18">
        <f t="shared" si="423"/>
        <v>1063.9737157189147</v>
      </c>
      <c r="S472" s="18">
        <f t="shared" si="424"/>
        <v>1.5698564538145277</v>
      </c>
      <c r="T472" s="18" t="str">
        <f t="shared" si="413"/>
        <v>1+0.435722376844216i</v>
      </c>
      <c r="U472" s="18">
        <f t="shared" si="425"/>
        <v>1.0908042856914217</v>
      </c>
      <c r="V472" s="18">
        <f t="shared" si="426"/>
        <v>0.4109174303218841</v>
      </c>
      <c r="W472" s="32" t="str">
        <f t="shared" si="414"/>
        <v>1-7.21906896546631i</v>
      </c>
      <c r="X472" s="18">
        <f t="shared" si="427"/>
        <v>7.2880008732270891</v>
      </c>
      <c r="Y472" s="18">
        <f t="shared" si="428"/>
        <v>-1.4331502491120514</v>
      </c>
      <c r="Z472" s="32" t="str">
        <f t="shared" si="415"/>
        <v>-1.4840174268955+3.28041419319999i</v>
      </c>
      <c r="AA472" s="18">
        <f t="shared" si="429"/>
        <v>3.600475663336371</v>
      </c>
      <c r="AB472" s="18">
        <f t="shared" si="430"/>
        <v>1.995633684866662</v>
      </c>
      <c r="AC472" s="68" t="str">
        <f t="shared" si="431"/>
        <v>-0.00942646169675008+0.075221593276586i</v>
      </c>
      <c r="AD472" s="66">
        <f t="shared" si="432"/>
        <v>-22.405477491515413</v>
      </c>
      <c r="AE472" s="63">
        <f t="shared" si="433"/>
        <v>97.142836961615075</v>
      </c>
      <c r="AF472" s="51" t="str">
        <f t="shared" si="434"/>
        <v>42.1703962805665</v>
      </c>
      <c r="AG472" s="51" t="str">
        <f t="shared" si="416"/>
        <v>1+192.230460372449i</v>
      </c>
      <c r="AH472" s="51">
        <f t="shared" si="435"/>
        <v>192.23306139944728</v>
      </c>
      <c r="AI472" s="51">
        <f t="shared" si="436"/>
        <v>1.565594284529422</v>
      </c>
      <c r="AJ472" s="51" t="str">
        <f t="shared" si="417"/>
        <v>1+0.435722376844216i</v>
      </c>
      <c r="AK472" s="51">
        <f t="shared" si="437"/>
        <v>1.0908042856914217</v>
      </c>
      <c r="AL472" s="51">
        <f t="shared" si="438"/>
        <v>0.4109174303218841</v>
      </c>
      <c r="AM472" s="51" t="str">
        <f t="shared" si="418"/>
        <v>1-1.12986140977126i</v>
      </c>
      <c r="AN472" s="51">
        <f t="shared" si="439"/>
        <v>1.5088362420389758</v>
      </c>
      <c r="AO472" s="51">
        <f t="shared" si="440"/>
        <v>-0.84629454135316995</v>
      </c>
      <c r="AP472" s="60" t="str">
        <f t="shared" si="441"/>
        <v>-0.150569069051431-0.328156630734929i</v>
      </c>
      <c r="AQ472" s="51">
        <f t="shared" si="442"/>
        <v>-8.8486291477023418</v>
      </c>
      <c r="AR472" s="63">
        <f t="shared" si="443"/>
        <v>-114.64721589203089</v>
      </c>
      <c r="AS472" s="32" t="str">
        <f t="shared" si="419"/>
        <v>-0.000133283554228113</v>
      </c>
      <c r="AT472" s="32" t="str">
        <f t="shared" si="420"/>
        <v>0.133113186125908i</v>
      </c>
      <c r="AU472" s="32">
        <f t="shared" si="444"/>
        <v>0.133113186125908</v>
      </c>
      <c r="AV472" s="32">
        <f t="shared" si="445"/>
        <v>1.5707963267948966</v>
      </c>
      <c r="AW472" s="32" t="str">
        <f t="shared" si="421"/>
        <v>1+23.2738540323651i</v>
      </c>
      <c r="AX472" s="32">
        <f t="shared" si="446"/>
        <v>23.295327461099092</v>
      </c>
      <c r="AY472" s="32">
        <f t="shared" si="447"/>
        <v>1.5278560685497908</v>
      </c>
      <c r="AZ472" s="32" t="str">
        <f t="shared" si="422"/>
        <v>1+346.83719057988i</v>
      </c>
      <c r="BA472" s="32">
        <f t="shared" si="448"/>
        <v>346.83863217545991</v>
      </c>
      <c r="BB472" s="32">
        <f t="shared" si="449"/>
        <v>1.5679131376322812</v>
      </c>
      <c r="BC472" s="60" t="str">
        <f t="shared" si="450"/>
        <v>-0.000597003878533821+0.0148958609997236i</v>
      </c>
      <c r="BD472" s="51">
        <f t="shared" si="451"/>
        <v>-36.531717360922876</v>
      </c>
      <c r="BE472" s="63">
        <f t="shared" si="452"/>
        <v>92.295100998090675</v>
      </c>
      <c r="BF472" s="60" t="str">
        <f t="shared" si="453"/>
        <v>-0.00111486276343196-0.000185322846089623i</v>
      </c>
      <c r="BG472" s="66">
        <f t="shared" si="454"/>
        <v>-58.937194852438274</v>
      </c>
      <c r="BH472" s="63">
        <f t="shared" si="455"/>
        <v>-170.56206204029428</v>
      </c>
      <c r="BI472" s="60" t="str">
        <f t="shared" si="409"/>
        <v>0.00497806587577606-0.00204694514213256i</v>
      </c>
      <c r="BJ472" s="66">
        <f t="shared" si="456"/>
        <v>-45.380346508625216</v>
      </c>
      <c r="BK472" s="63">
        <f t="shared" si="410"/>
        <v>-22.352114893940236</v>
      </c>
      <c r="BL472" s="51">
        <f t="shared" si="457"/>
        <v>-58.937194852438274</v>
      </c>
      <c r="BM472" s="63">
        <f t="shared" si="458"/>
        <v>-170.56206204029428</v>
      </c>
    </row>
    <row r="473" spans="14:65" x14ac:dyDescent="0.35">
      <c r="N473" s="11">
        <v>55</v>
      </c>
      <c r="O473" s="52">
        <f t="shared" si="408"/>
        <v>354813.38923357555</v>
      </c>
      <c r="P473" s="50" t="str">
        <f t="shared" si="411"/>
        <v>36.531007751938</v>
      </c>
      <c r="Q473" s="18" t="str">
        <f t="shared" si="412"/>
        <v>1+1088.75636638332i</v>
      </c>
      <c r="R473" s="18">
        <f t="shared" si="423"/>
        <v>1088.756825622788</v>
      </c>
      <c r="S473" s="18">
        <f t="shared" si="424"/>
        <v>1.5698778479233373</v>
      </c>
      <c r="T473" s="18" t="str">
        <f t="shared" si="413"/>
        <v>1+0.445871654804598i</v>
      </c>
      <c r="U473" s="18">
        <f t="shared" si="425"/>
        <v>1.0948979553173852</v>
      </c>
      <c r="V473" s="18">
        <f t="shared" si="426"/>
        <v>0.41941549229124259</v>
      </c>
      <c r="W473" s="32" t="str">
        <f t="shared" si="414"/>
        <v>1-7.38722268315311i</v>
      </c>
      <c r="X473" s="18">
        <f t="shared" si="427"/>
        <v>7.4545998531438178</v>
      </c>
      <c r="Y473" s="18">
        <f t="shared" si="428"/>
        <v>-1.4362453471823067</v>
      </c>
      <c r="Z473" s="32" t="str">
        <f t="shared" si="415"/>
        <v>-1.60108556155819+3.35682485567985i</v>
      </c>
      <c r="AA473" s="18">
        <f t="shared" si="429"/>
        <v>3.7191058182229972</v>
      </c>
      <c r="AB473" s="18">
        <f t="shared" si="430"/>
        <v>2.0158461216020234</v>
      </c>
      <c r="AC473" s="68" t="str">
        <f t="shared" si="431"/>
        <v>-0.00807157011205558+0.0731922859734981i</v>
      </c>
      <c r="AD473" s="66">
        <f t="shared" si="432"/>
        <v>-22.658195839250364</v>
      </c>
      <c r="AE473" s="63">
        <f t="shared" si="433"/>
        <v>96.29309087914271</v>
      </c>
      <c r="AF473" s="51" t="str">
        <f t="shared" si="434"/>
        <v>42.1703962805665</v>
      </c>
      <c r="AG473" s="51" t="str">
        <f t="shared" si="416"/>
        <v>1+196.708083002029i</v>
      </c>
      <c r="AH473" s="51">
        <f t="shared" si="435"/>
        <v>196.71062482319846</v>
      </c>
      <c r="AI473" s="51">
        <f t="shared" si="436"/>
        <v>1.5657126954042191</v>
      </c>
      <c r="AJ473" s="51" t="str">
        <f t="shared" si="417"/>
        <v>1+0.445871654804598i</v>
      </c>
      <c r="AK473" s="51">
        <f t="shared" si="437"/>
        <v>1.0948979553173852</v>
      </c>
      <c r="AL473" s="51">
        <f t="shared" si="438"/>
        <v>0.41941549229124259</v>
      </c>
      <c r="AM473" s="51" t="str">
        <f t="shared" si="418"/>
        <v>1-1.15617926286738i</v>
      </c>
      <c r="AN473" s="51">
        <f t="shared" si="439"/>
        <v>1.5286433488176887</v>
      </c>
      <c r="AO473" s="51">
        <f t="shared" si="440"/>
        <v>-0.85770522341409561</v>
      </c>
      <c r="AP473" s="60" t="str">
        <f t="shared" si="441"/>
        <v>-0.150620613748295-0.325661122092641i</v>
      </c>
      <c r="AQ473" s="51">
        <f t="shared" si="442"/>
        <v>-8.9028063989983952</v>
      </c>
      <c r="AR473" s="63">
        <f t="shared" si="443"/>
        <v>-114.82088117397706</v>
      </c>
      <c r="AS473" s="32" t="str">
        <f t="shared" si="419"/>
        <v>-0.000133283554228113</v>
      </c>
      <c r="AT473" s="32" t="str">
        <f t="shared" si="420"/>
        <v>0.136213790542805i</v>
      </c>
      <c r="AU473" s="32">
        <f t="shared" si="444"/>
        <v>0.136213790542805</v>
      </c>
      <c r="AV473" s="32">
        <f t="shared" si="445"/>
        <v>1.5707963267948966</v>
      </c>
      <c r="AW473" s="32" t="str">
        <f t="shared" si="421"/>
        <v>1+23.8159717346843i</v>
      </c>
      <c r="AX473" s="32">
        <f t="shared" si="446"/>
        <v>23.836956803822119</v>
      </c>
      <c r="AY473" s="32">
        <f t="shared" si="447"/>
        <v>1.5288323477322743</v>
      </c>
      <c r="AZ473" s="32" t="str">
        <f t="shared" si="422"/>
        <v>1+354.916066582734i</v>
      </c>
      <c r="BA473" s="32">
        <f t="shared" si="448"/>
        <v>354.91747536372407</v>
      </c>
      <c r="BB473" s="32">
        <f t="shared" si="449"/>
        <v>1.5679787666787488</v>
      </c>
      <c r="BC473" s="60" t="str">
        <f t="shared" si="450"/>
        <v>-0.000570181566767424+0.01455791603921i</v>
      </c>
      <c r="BD473" s="51">
        <f t="shared" si="451"/>
        <v>-36.731358781598914</v>
      </c>
      <c r="BE473" s="63">
        <f t="shared" si="452"/>
        <v>92.242924588683948</v>
      </c>
      <c r="BF473" s="60" t="str">
        <f t="shared" si="453"/>
        <v>-0.00106092489342727-0.00015923813228756i</v>
      </c>
      <c r="BG473" s="66">
        <f t="shared" si="454"/>
        <v>-59.38955462084926</v>
      </c>
      <c r="BH473" s="63">
        <f t="shared" si="455"/>
        <v>-171.46398453217338</v>
      </c>
      <c r="BI473" s="60" t="str">
        <f t="shared" si="409"/>
        <v>0.00482682837019406-0.00200703627989194i</v>
      </c>
      <c r="BJ473" s="66">
        <f t="shared" si="456"/>
        <v>-45.634165180597307</v>
      </c>
      <c r="BK473" s="63">
        <f t="shared" si="410"/>
        <v>-22.577956585293119</v>
      </c>
      <c r="BL473" s="51">
        <f t="shared" si="457"/>
        <v>-59.38955462084926</v>
      </c>
      <c r="BM473" s="63">
        <f t="shared" si="458"/>
        <v>-171.46398453217338</v>
      </c>
    </row>
    <row r="474" spans="14:65" x14ac:dyDescent="0.35">
      <c r="N474" s="11">
        <v>56</v>
      </c>
      <c r="O474" s="52">
        <f t="shared" si="408"/>
        <v>363078.05477010203</v>
      </c>
      <c r="P474" s="50" t="str">
        <f t="shared" si="411"/>
        <v>36.531007751938</v>
      </c>
      <c r="Q474" s="18" t="str">
        <f t="shared" si="412"/>
        <v>1+1114.11676002111i</v>
      </c>
      <c r="R474" s="18">
        <f t="shared" si="423"/>
        <v>1114.1172088070159</v>
      </c>
      <c r="S474" s="18">
        <f t="shared" si="424"/>
        <v>1.5698987550435874</v>
      </c>
      <c r="T474" s="18" t="str">
        <f t="shared" si="413"/>
        <v>1+0.45625733981817i</v>
      </c>
      <c r="U474" s="18">
        <f t="shared" si="425"/>
        <v>1.0991682128491311</v>
      </c>
      <c r="V474" s="18">
        <f t="shared" si="426"/>
        <v>0.42804533206132855</v>
      </c>
      <c r="W474" s="32" t="str">
        <f t="shared" si="414"/>
        <v>1-7.55929320408803i</v>
      </c>
      <c r="X474" s="18">
        <f t="shared" si="427"/>
        <v>7.6251500801867156</v>
      </c>
      <c r="Y474" s="18">
        <f t="shared" si="428"/>
        <v>-1.4392725004089817</v>
      </c>
      <c r="Z474" s="32" t="str">
        <f t="shared" si="415"/>
        <v>-1.7236709474306+3.43501535113106i</v>
      </c>
      <c r="AA474" s="18">
        <f t="shared" si="429"/>
        <v>3.843224166962206</v>
      </c>
      <c r="AB474" s="18">
        <f t="shared" si="430"/>
        <v>2.0358783043343154</v>
      </c>
      <c r="AC474" s="68" t="str">
        <f t="shared" si="431"/>
        <v>-0.00681032464281341+0.0711817968863105i</v>
      </c>
      <c r="AD474" s="66">
        <f t="shared" si="432"/>
        <v>-22.913047795741335</v>
      </c>
      <c r="AE474" s="63">
        <f t="shared" si="433"/>
        <v>95.465143757267541</v>
      </c>
      <c r="AF474" s="51" t="str">
        <f t="shared" si="434"/>
        <v>42.1703962805665</v>
      </c>
      <c r="AG474" s="51" t="str">
        <f t="shared" si="416"/>
        <v>1+201.290002860958i</v>
      </c>
      <c r="AH474" s="51">
        <f t="shared" si="435"/>
        <v>201.29248682393606</v>
      </c>
      <c r="AI474" s="51">
        <f t="shared" si="436"/>
        <v>1.5658284110561886</v>
      </c>
      <c r="AJ474" s="51" t="str">
        <f t="shared" si="417"/>
        <v>1+0.45625733981817i</v>
      </c>
      <c r="AK474" s="51">
        <f t="shared" si="437"/>
        <v>1.0991682128491311</v>
      </c>
      <c r="AL474" s="51">
        <f t="shared" si="438"/>
        <v>0.42804533206132855</v>
      </c>
      <c r="AM474" s="51" t="str">
        <f t="shared" si="418"/>
        <v>1-1.18311013751252i</v>
      </c>
      <c r="AN474" s="51">
        <f t="shared" si="439"/>
        <v>1.5491125193106192</v>
      </c>
      <c r="AO474" s="51">
        <f t="shared" si="440"/>
        <v>-0.86907810941222829</v>
      </c>
      <c r="AP474" s="60" t="str">
        <f t="shared" si="441"/>
        <v>-0.150669838668856-0.323338259695078i</v>
      </c>
      <c r="AQ474" s="51">
        <f t="shared" si="442"/>
        <v>-8.9534551794503336</v>
      </c>
      <c r="AR474" s="63">
        <f t="shared" si="443"/>
        <v>-114.98467616433493</v>
      </c>
      <c r="AS474" s="32" t="str">
        <f t="shared" si="419"/>
        <v>-0.000133283554228113</v>
      </c>
      <c r="AT474" s="32" t="str">
        <f t="shared" si="420"/>
        <v>0.139386617314451i</v>
      </c>
      <c r="AU474" s="32">
        <f t="shared" si="444"/>
        <v>0.13938661731445101</v>
      </c>
      <c r="AV474" s="32">
        <f t="shared" si="445"/>
        <v>1.5707963267948966</v>
      </c>
      <c r="AW474" s="32" t="str">
        <f t="shared" si="421"/>
        <v>1+24.370716980459i</v>
      </c>
      <c r="AX474" s="32">
        <f t="shared" si="446"/>
        <v>24.391224777399607</v>
      </c>
      <c r="AY474" s="32">
        <f t="shared" si="447"/>
        <v>1.5297864814356423</v>
      </c>
      <c r="AZ474" s="32" t="str">
        <f t="shared" si="422"/>
        <v>1+363.183123781962i</v>
      </c>
      <c r="BA474" s="32">
        <f t="shared" si="448"/>
        <v>363.18450049530469</v>
      </c>
      <c r="BB474" s="32">
        <f t="shared" si="449"/>
        <v>1.5680429018491859</v>
      </c>
      <c r="BC474" s="60" t="str">
        <f t="shared" si="450"/>
        <v>-0.000544562303970213+0.0142275886444601i</v>
      </c>
      <c r="BD474" s="51">
        <f t="shared" si="451"/>
        <v>-36.931016313112686</v>
      </c>
      <c r="BE474" s="63">
        <f t="shared" si="452"/>
        <v>92.191931428974172</v>
      </c>
      <c r="BF474" s="60" t="str">
        <f t="shared" si="453"/>
        <v>-0.00100903667899366-0.000135657420866328i</v>
      </c>
      <c r="BG474" s="66">
        <f t="shared" si="454"/>
        <v>-59.844064108854027</v>
      </c>
      <c r="BH474" s="63">
        <f t="shared" si="455"/>
        <v>-172.34292481375826</v>
      </c>
      <c r="BI474" s="60" t="str">
        <f t="shared" si="409"/>
        <v>0.00468237286644151-0.00196759065804638i</v>
      </c>
      <c r="BJ474" s="66">
        <f t="shared" si="456"/>
        <v>-45.88447149256303</v>
      </c>
      <c r="BK474" s="63">
        <f t="shared" si="410"/>
        <v>-22.792744735360763</v>
      </c>
      <c r="BL474" s="51">
        <f t="shared" si="457"/>
        <v>-59.844064108854027</v>
      </c>
      <c r="BM474" s="63">
        <f t="shared" si="458"/>
        <v>-172.34292481375826</v>
      </c>
    </row>
    <row r="475" spans="14:65" x14ac:dyDescent="0.35">
      <c r="N475" s="11">
        <v>57</v>
      </c>
      <c r="O475" s="52">
        <f t="shared" si="408"/>
        <v>371535.2290971732</v>
      </c>
      <c r="P475" s="50" t="str">
        <f t="shared" si="411"/>
        <v>36.531007751938</v>
      </c>
      <c r="Q475" s="18" t="str">
        <f t="shared" si="412"/>
        <v>1+1140.06787311214i</v>
      </c>
      <c r="R475" s="18">
        <f t="shared" si="423"/>
        <v>1140.0683116824355</v>
      </c>
      <c r="S475" s="18">
        <f t="shared" si="424"/>
        <v>1.5699191862604374</v>
      </c>
      <c r="T475" s="18" t="str">
        <f t="shared" si="413"/>
        <v>1+0.466884938512592i</v>
      </c>
      <c r="U475" s="18">
        <f t="shared" si="425"/>
        <v>1.1036220121988809</v>
      </c>
      <c r="V475" s="18">
        <f t="shared" si="426"/>
        <v>0.43680638265033306</v>
      </c>
      <c r="W475" s="32" t="str">
        <f t="shared" si="414"/>
        <v>1-7.73537176233881i</v>
      </c>
      <c r="X475" s="18">
        <f t="shared" si="427"/>
        <v>7.7997420663499266</v>
      </c>
      <c r="Y475" s="18">
        <f t="shared" si="428"/>
        <v>-1.4422330917931261</v>
      </c>
      <c r="Z475" s="32" t="str">
        <f t="shared" si="415"/>
        <v>-1.85203360455142+3.51502713718923i</v>
      </c>
      <c r="AA475" s="18">
        <f t="shared" si="429"/>
        <v>3.973090012517265</v>
      </c>
      <c r="AB475" s="18">
        <f t="shared" si="430"/>
        <v>2.0557240152710978</v>
      </c>
      <c r="AC475" s="68" t="str">
        <f t="shared" si="431"/>
        <v>-0.00563918854572444+0.069193521566252i</v>
      </c>
      <c r="AD475" s="66">
        <f t="shared" si="432"/>
        <v>-23.169940618222121</v>
      </c>
      <c r="AE475" s="63">
        <f t="shared" si="433"/>
        <v>94.659239488333725</v>
      </c>
      <c r="AF475" s="51" t="str">
        <f t="shared" si="434"/>
        <v>42.1703962805665</v>
      </c>
      <c r="AG475" s="51" t="str">
        <f t="shared" si="416"/>
        <v>1+205.978649343791i</v>
      </c>
      <c r="AH475" s="51">
        <f t="shared" si="435"/>
        <v>205.98107676554272</v>
      </c>
      <c r="AI475" s="51">
        <f t="shared" si="436"/>
        <v>1.565941492826898</v>
      </c>
      <c r="AJ475" s="51" t="str">
        <f t="shared" si="417"/>
        <v>1+0.466884938512592i</v>
      </c>
      <c r="AK475" s="51">
        <f t="shared" si="437"/>
        <v>1.1036220121988809</v>
      </c>
      <c r="AL475" s="51">
        <f t="shared" si="438"/>
        <v>0.43680638265033306</v>
      </c>
      <c r="AM475" s="51" t="str">
        <f t="shared" si="418"/>
        <v>1-1.21066831281288i</v>
      </c>
      <c r="AN475" s="51">
        <f t="shared" si="439"/>
        <v>1.5702604126861206</v>
      </c>
      <c r="AO475" s="51">
        <f t="shared" si="440"/>
        <v>-0.8804074622701159</v>
      </c>
      <c r="AP475" s="60" t="str">
        <f t="shared" si="441"/>
        <v>-0.150716848209935-0.321186813504497i</v>
      </c>
      <c r="AQ475" s="51">
        <f t="shared" si="442"/>
        <v>-9.0005521176931307</v>
      </c>
      <c r="AR475" s="63">
        <f t="shared" si="443"/>
        <v>-115.13830815305731</v>
      </c>
      <c r="AS475" s="32" t="str">
        <f t="shared" si="419"/>
        <v>-0.000133283554228113</v>
      </c>
      <c r="AT475" s="32" t="str">
        <f t="shared" si="420"/>
        <v>0.142633348715597i</v>
      </c>
      <c r="AU475" s="32">
        <f t="shared" si="444"/>
        <v>0.14263334871559699</v>
      </c>
      <c r="AV475" s="32">
        <f t="shared" si="445"/>
        <v>1.5707963267948966</v>
      </c>
      <c r="AW475" s="32" t="str">
        <f t="shared" si="421"/>
        <v>1+24.9383839029613i</v>
      </c>
      <c r="AX475" s="32">
        <f t="shared" si="446"/>
        <v>24.958425264657212</v>
      </c>
      <c r="AY475" s="32">
        <f t="shared" si="447"/>
        <v>1.5307189686013274</v>
      </c>
      <c r="AZ475" s="32" t="str">
        <f t="shared" si="422"/>
        <v>1+371.642745480716i</v>
      </c>
      <c r="BA475" s="32">
        <f t="shared" si="448"/>
        <v>371.64409085635174</v>
      </c>
      <c r="BB475" s="32">
        <f t="shared" si="449"/>
        <v>1.5681055771467971</v>
      </c>
      <c r="BC475" s="60" t="str">
        <f t="shared" si="450"/>
        <v>-0.00052009230861814+0.0139047104059821i</v>
      </c>
      <c r="BD475" s="51">
        <f t="shared" si="451"/>
        <v>-37.130689232806986</v>
      </c>
      <c r="BE475" s="63">
        <f t="shared" si="452"/>
        <v>92.142094879963153</v>
      </c>
      <c r="BF475" s="60" t="str">
        <f t="shared" si="453"/>
        <v>-0.000959182980759332-0.000114398302025841i</v>
      </c>
      <c r="BG475" s="66">
        <f t="shared" si="454"/>
        <v>-60.3006298510291</v>
      </c>
      <c r="BH475" s="63">
        <f t="shared" si="455"/>
        <v>-173.19866563170311</v>
      </c>
      <c r="BI475" s="60" t="str">
        <f t="shared" si="409"/>
        <v>0.00454439630153337-0.00192862733632825i</v>
      </c>
      <c r="BJ475" s="66">
        <f t="shared" si="456"/>
        <v>-46.131241350500112</v>
      </c>
      <c r="BK475" s="63">
        <f t="shared" si="410"/>
        <v>-22.996213273094142</v>
      </c>
      <c r="BL475" s="51">
        <f t="shared" si="457"/>
        <v>-60.3006298510291</v>
      </c>
      <c r="BM475" s="63">
        <f t="shared" si="458"/>
        <v>-173.19866563170311</v>
      </c>
    </row>
    <row r="476" spans="14:65" x14ac:dyDescent="0.35">
      <c r="N476" s="11">
        <v>58</v>
      </c>
      <c r="O476" s="52">
        <f t="shared" si="408"/>
        <v>380189.39632056188</v>
      </c>
      <c r="P476" s="50" t="str">
        <f t="shared" si="411"/>
        <v>36.531007751938</v>
      </c>
      <c r="Q476" s="18" t="str">
        <f t="shared" si="412"/>
        <v>1+1166.62346528008i</v>
      </c>
      <c r="R476" s="18">
        <f t="shared" si="423"/>
        <v>1166.6238938673002</v>
      </c>
      <c r="S476" s="18">
        <f t="shared" si="424"/>
        <v>1.5699391524067199</v>
      </c>
      <c r="T476" s="18" t="str">
        <f t="shared" si="413"/>
        <v>1+0.477760085781366i</v>
      </c>
      <c r="U476" s="18">
        <f t="shared" si="425"/>
        <v>1.1082665291191547</v>
      </c>
      <c r="V476" s="18">
        <f t="shared" si="426"/>
        <v>0.44569790855213098</v>
      </c>
      <c r="W476" s="32" t="str">
        <f t="shared" si="414"/>
        <v>1-7.91555171708773i</v>
      </c>
      <c r="X476" s="18">
        <f t="shared" si="427"/>
        <v>7.9784684611703849</v>
      </c>
      <c r="Y476" s="18">
        <f t="shared" si="428"/>
        <v>-1.4451284833702525</v>
      </c>
      <c r="Z476" s="32" t="str">
        <f t="shared" si="415"/>
        <v>-1.98644580732631+3.59690263716241i</v>
      </c>
      <c r="AA476" s="18">
        <f t="shared" si="429"/>
        <v>4.1089749970850615</v>
      </c>
      <c r="AB476" s="18">
        <f t="shared" si="430"/>
        <v>2.0753773433187974</v>
      </c>
      <c r="AC476" s="68" t="str">
        <f t="shared" si="431"/>
        <v>-0.00455455202571207+0.067230561275849i</v>
      </c>
      <c r="AD476" s="66">
        <f t="shared" si="432"/>
        <v>-23.4287792576343</v>
      </c>
      <c r="AE476" s="63">
        <f t="shared" si="433"/>
        <v>93.875595952096631</v>
      </c>
      <c r="AF476" s="51" t="str">
        <f t="shared" si="434"/>
        <v>42.1703962805665</v>
      </c>
      <c r="AG476" s="51" t="str">
        <f t="shared" si="416"/>
        <v>1+210.776508432956i</v>
      </c>
      <c r="AH476" s="51">
        <f t="shared" si="435"/>
        <v>210.77888060047189</v>
      </c>
      <c r="AI476" s="51">
        <f t="shared" si="436"/>
        <v>1.5660520006622243</v>
      </c>
      <c r="AJ476" s="51" t="str">
        <f t="shared" si="417"/>
        <v>1+0.477760085781366i</v>
      </c>
      <c r="AK476" s="51">
        <f t="shared" si="437"/>
        <v>1.1082665291191547</v>
      </c>
      <c r="AL476" s="51">
        <f t="shared" si="438"/>
        <v>0.44569790855213098</v>
      </c>
      <c r="AM476" s="51" t="str">
        <f t="shared" si="418"/>
        <v>1-1.23886840047779i</v>
      </c>
      <c r="AN476" s="51">
        <f t="shared" si="439"/>
        <v>1.5921039267907098</v>
      </c>
      <c r="AO476" s="51">
        <f t="shared" si="440"/>
        <v>-0.89168765638114345</v>
      </c>
      <c r="AP476" s="60" t="str">
        <f t="shared" si="441"/>
        <v>-0.150761742070629-0.319205644265201i</v>
      </c>
      <c r="AQ476" s="51">
        <f t="shared" si="442"/>
        <v>-9.044075616565463</v>
      </c>
      <c r="AR476" s="63">
        <f t="shared" si="443"/>
        <v>-115.28150039267052</v>
      </c>
      <c r="AS476" s="32" t="str">
        <f t="shared" si="419"/>
        <v>-0.000133283554228113</v>
      </c>
      <c r="AT476" s="32" t="str">
        <f t="shared" si="420"/>
        <v>0.145955706206207i</v>
      </c>
      <c r="AU476" s="32">
        <f t="shared" si="444"/>
        <v>0.14595570620620699</v>
      </c>
      <c r="AV476" s="32">
        <f t="shared" si="445"/>
        <v>1.5707963267948966</v>
      </c>
      <c r="AW476" s="32" t="str">
        <f t="shared" si="421"/>
        <v>1+25.5192734867074i</v>
      </c>
      <c r="AX476" s="32">
        <f t="shared" si="446"/>
        <v>25.538859005236848</v>
      </c>
      <c r="AY476" s="32">
        <f t="shared" si="447"/>
        <v>1.5316302971560471</v>
      </c>
      <c r="AZ476" s="32" t="str">
        <f t="shared" si="422"/>
        <v>1+380.299417082396i</v>
      </c>
      <c r="BA476" s="32">
        <f t="shared" si="448"/>
        <v>380.30073183365056</v>
      </c>
      <c r="BB476" s="32">
        <f t="shared" si="449"/>
        <v>1.5681668258008843</v>
      </c>
      <c r="BC476" s="60" t="str">
        <f t="shared" si="450"/>
        <v>-0.000496720187789742+0.0135891164168662i</v>
      </c>
      <c r="BD476" s="51">
        <f t="shared" si="451"/>
        <v>-37.330376850334531</v>
      </c>
      <c r="BE476" s="63">
        <f t="shared" si="452"/>
        <v>92.093388889408004</v>
      </c>
      <c r="BF476" s="60" t="str">
        <f t="shared" si="453"/>
        <v>-0.000911341586011259-0.0000952871147262246i</v>
      </c>
      <c r="BG476" s="66">
        <f t="shared" si="454"/>
        <v>-60.759156107968835</v>
      </c>
      <c r="BH476" s="63">
        <f t="shared" si="455"/>
        <v>-174.03101515849536</v>
      </c>
      <c r="BI476" s="60" t="str">
        <f t="shared" si="409"/>
        <v>0.00441260906167343-0.00189016297664438i</v>
      </c>
      <c r="BJ476" s="66">
        <f t="shared" si="456"/>
        <v>-46.374452466899989</v>
      </c>
      <c r="BK476" s="63">
        <f t="shared" si="410"/>
        <v>-23.188111503262544</v>
      </c>
      <c r="BL476" s="51">
        <f t="shared" si="457"/>
        <v>-60.759156107968835</v>
      </c>
      <c r="BM476" s="63">
        <f t="shared" si="458"/>
        <v>-174.03101515849536</v>
      </c>
    </row>
    <row r="477" spans="14:65" x14ac:dyDescent="0.35">
      <c r="N477" s="11">
        <v>59</v>
      </c>
      <c r="O477" s="52">
        <f t="shared" si="408"/>
        <v>389045.14499428123</v>
      </c>
      <c r="P477" s="50" t="str">
        <f t="shared" si="411"/>
        <v>36.531007751938</v>
      </c>
      <c r="Q477" s="18" t="str">
        <f t="shared" si="412"/>
        <v>1+1193.79761665139i</v>
      </c>
      <c r="R477" s="18">
        <f t="shared" si="423"/>
        <v>1193.7980354827775</v>
      </c>
      <c r="S477" s="18">
        <f t="shared" si="424"/>
        <v>1.5699586640686867</v>
      </c>
      <c r="T477" s="18" t="str">
        <f t="shared" si="413"/>
        <v>1+0.488888547771524i</v>
      </c>
      <c r="U477" s="18">
        <f t="shared" si="425"/>
        <v>1.1131091645216789</v>
      </c>
      <c r="V477" s="18">
        <f t="shared" si="426"/>
        <v>0.45471899950699696</v>
      </c>
      <c r="W477" s="32" t="str">
        <f t="shared" si="414"/>
        <v>1-8.09992860213177i</v>
      </c>
      <c r="X477" s="18">
        <f t="shared" si="427"/>
        <v>8.1614241011990263</v>
      </c>
      <c r="Y477" s="18">
        <f t="shared" si="428"/>
        <v>-1.4479600160285746</v>
      </c>
      <c r="Z477" s="32" t="str">
        <f t="shared" si="415"/>
        <v>-2.12719266205829+3.68068526252446i</v>
      </c>
      <c r="AA477" s="18">
        <f t="shared" si="429"/>
        <v>4.2511636787213201</v>
      </c>
      <c r="AB477" s="18">
        <f t="shared" si="430"/>
        <v>2.0948326891398015</v>
      </c>
      <c r="AC477" s="68" t="str">
        <f t="shared" si="431"/>
        <v>-0.00355275414599064+0.0652957271616833i</v>
      </c>
      <c r="AD477" s="66">
        <f t="shared" si="432"/>
        <v>-23.689466578095391</v>
      </c>
      <c r="AE477" s="63">
        <f t="shared" si="433"/>
        <v>93.114404379145668</v>
      </c>
      <c r="AF477" s="51" t="str">
        <f t="shared" si="434"/>
        <v>42.1703962805665</v>
      </c>
      <c r="AG477" s="51" t="str">
        <f t="shared" si="416"/>
        <v>1+215.686124016849i</v>
      </c>
      <c r="AH477" s="51">
        <f t="shared" si="435"/>
        <v>215.68844218782692</v>
      </c>
      <c r="AI477" s="51">
        <f t="shared" si="436"/>
        <v>1.5661599931440817</v>
      </c>
      <c r="AJ477" s="51" t="str">
        <f t="shared" si="417"/>
        <v>1+0.488888547771524i</v>
      </c>
      <c r="AK477" s="51">
        <f t="shared" si="437"/>
        <v>1.1131091645216789</v>
      </c>
      <c r="AL477" s="51">
        <f t="shared" si="438"/>
        <v>0.45471899950699696</v>
      </c>
      <c r="AM477" s="51" t="str">
        <f t="shared" si="418"/>
        <v>1-1.26772535256698i</v>
      </c>
      <c r="AN477" s="51">
        <f t="shared" si="439"/>
        <v>1.614660202501156</v>
      </c>
      <c r="AO477" s="51">
        <f t="shared" si="440"/>
        <v>-0.90291319077760024</v>
      </c>
      <c r="AP477" s="60" t="str">
        <f t="shared" si="441"/>
        <v>-0.15080461546366-0.317393702906506i</v>
      </c>
      <c r="AQ477" s="51">
        <f t="shared" si="442"/>
        <v>-9.0840058417614049</v>
      </c>
      <c r="AR477" s="63">
        <f t="shared" si="443"/>
        <v>-115.41399321147868</v>
      </c>
      <c r="AS477" s="32" t="str">
        <f t="shared" si="419"/>
        <v>-0.000133283554228113</v>
      </c>
      <c r="AT477" s="32" t="str">
        <f t="shared" si="420"/>
        <v>0.149355451344201i</v>
      </c>
      <c r="AU477" s="32">
        <f t="shared" si="444"/>
        <v>0.149355451344201</v>
      </c>
      <c r="AV477" s="32">
        <f t="shared" si="445"/>
        <v>1.5707963267948966</v>
      </c>
      <c r="AW477" s="32" t="str">
        <f t="shared" si="421"/>
        <v>1+26.1136937270438i</v>
      </c>
      <c r="AX477" s="32">
        <f t="shared" si="446"/>
        <v>26.132833755064656</v>
      </c>
      <c r="AY477" s="32">
        <f t="shared" si="447"/>
        <v>1.5325209442398002</v>
      </c>
      <c r="AZ477" s="32" t="str">
        <f t="shared" si="422"/>
        <v>1+389.157728468872i</v>
      </c>
      <c r="BA477" s="32">
        <f t="shared" si="448"/>
        <v>389.15901329283417</v>
      </c>
      <c r="BB477" s="32">
        <f t="shared" si="449"/>
        <v>1.5682266802844553</v>
      </c>
      <c r="BC477" s="60" t="str">
        <f t="shared" si="450"/>
        <v>-0.000474396832458914+0.0132806452149235i</v>
      </c>
      <c r="BD477" s="51">
        <f t="shared" si="451"/>
        <v>-37.530078506222885</v>
      </c>
      <c r="BE477" s="63">
        <f t="shared" si="452"/>
        <v>92.045787979766857</v>
      </c>
      <c r="BF477" s="60" t="str">
        <f t="shared" si="453"/>
        <v>-0.000865483971171397-0.0000781589534873542i</v>
      </c>
      <c r="BG477" s="66">
        <f t="shared" si="454"/>
        <v>-61.21954508431827</v>
      </c>
      <c r="BH477" s="63">
        <f t="shared" si="455"/>
        <v>-174.83980764108745</v>
      </c>
      <c r="BI477" s="60" t="str">
        <f t="shared" si="409"/>
        <v>0.00428673439364828-0.00185221202744458i</v>
      </c>
      <c r="BJ477" s="66">
        <f t="shared" si="456"/>
        <v>-46.614084347984303</v>
      </c>
      <c r="BK477" s="63">
        <f t="shared" si="410"/>
        <v>-23.368205231711787</v>
      </c>
      <c r="BL477" s="51">
        <f t="shared" si="457"/>
        <v>-61.21954508431827</v>
      </c>
      <c r="BM477" s="63">
        <f t="shared" si="458"/>
        <v>-174.83980764108745</v>
      </c>
    </row>
    <row r="478" spans="14:65" x14ac:dyDescent="0.35">
      <c r="N478" s="11">
        <v>60</v>
      </c>
      <c r="O478" s="52">
        <f t="shared" si="408"/>
        <v>398107.17055349716</v>
      </c>
      <c r="P478" s="50" t="str">
        <f t="shared" si="411"/>
        <v>36.531007751938</v>
      </c>
      <c r="Q478" s="18" t="str">
        <f t="shared" si="412"/>
        <v>1+1221.60473532084i</v>
      </c>
      <c r="R478" s="18">
        <f t="shared" si="423"/>
        <v>1221.6051446184645</v>
      </c>
      <c r="S478" s="18">
        <f t="shared" si="424"/>
        <v>1.5699777315916197</v>
      </c>
      <c r="T478" s="18" t="str">
        <f t="shared" si="413"/>
        <v>1+0.500276224940914i</v>
      </c>
      <c r="U478" s="18">
        <f t="shared" si="425"/>
        <v>1.1181575475938674</v>
      </c>
      <c r="V478" s="18">
        <f t="shared" si="426"/>
        <v>0.46386856453656916</v>
      </c>
      <c r="W478" s="32" t="str">
        <f t="shared" si="414"/>
        <v>1-8.28860017653586i</v>
      </c>
      <c r="X478" s="18">
        <f t="shared" si="427"/>
        <v>8.3487060606102492</v>
      </c>
      <c r="Y478" s="18">
        <f t="shared" si="428"/>
        <v>-1.450729009370882</v>
      </c>
      <c r="Z478" s="32" t="str">
        <f t="shared" si="415"/>
        <v>-2.27457271169651+3.76641943593232i</v>
      </c>
      <c r="AA478" s="18">
        <f t="shared" si="429"/>
        <v>4.3999541347794917</v>
      </c>
      <c r="AB478" s="18">
        <f t="shared" si="430"/>
        <v>2.1140847691684077</v>
      </c>
      <c r="AC478" s="68" t="str">
        <f t="shared" si="431"/>
        <v>-0.00263010365529446+0.0633915460592249i</v>
      </c>
      <c r="AD478" s="66">
        <f t="shared" si="432"/>
        <v>-23.951903582025768</v>
      </c>
      <c r="AE478" s="63">
        <f t="shared" si="433"/>
        <v>92.375828786629697</v>
      </c>
      <c r="AF478" s="51" t="str">
        <f t="shared" si="434"/>
        <v>42.1703962805665</v>
      </c>
      <c r="AG478" s="51" t="str">
        <f t="shared" si="416"/>
        <v>1+220.710099238639i</v>
      </c>
      <c r="AH478" s="51">
        <f t="shared" si="435"/>
        <v>220.7123646421511</v>
      </c>
      <c r="AI478" s="51">
        <f t="shared" si="436"/>
        <v>1.5662655275214326</v>
      </c>
      <c r="AJ478" s="51" t="str">
        <f t="shared" si="417"/>
        <v>1+0.500276224940914i</v>
      </c>
      <c r="AK478" s="51">
        <f t="shared" si="437"/>
        <v>1.1181575475938674</v>
      </c>
      <c r="AL478" s="51">
        <f t="shared" si="438"/>
        <v>0.46386856453656916</v>
      </c>
      <c r="AM478" s="51" t="str">
        <f t="shared" si="418"/>
        <v>1-1.29725446941844i</v>
      </c>
      <c r="AN478" s="51">
        <f t="shared" si="439"/>
        <v>1.6379466286866975</v>
      </c>
      <c r="AO478" s="51">
        <f t="shared" si="440"/>
        <v>-0.9140787015444134</v>
      </c>
      <c r="AP478" s="60" t="str">
        <f t="shared" si="441"/>
        <v>-0.150845559317233-0.315750029993062i</v>
      </c>
      <c r="AQ478" s="51">
        <f t="shared" si="442"/>
        <v>-9.1203247080508021</v>
      </c>
      <c r="AR478" s="63">
        <f t="shared" si="443"/>
        <v>-115.53554506836565</v>
      </c>
      <c r="AS478" s="32" t="str">
        <f t="shared" si="419"/>
        <v>-0.000133283554228113</v>
      </c>
      <c r="AT478" s="32" t="str">
        <f t="shared" si="420"/>
        <v>0.152834386719449i</v>
      </c>
      <c r="AU478" s="32">
        <f t="shared" si="444"/>
        <v>0.15283438671944899</v>
      </c>
      <c r="AV478" s="32">
        <f t="shared" si="445"/>
        <v>1.5707963267948966</v>
      </c>
      <c r="AW478" s="32" t="str">
        <f t="shared" si="421"/>
        <v>1+26.7219597934497i</v>
      </c>
      <c r="AX478" s="32">
        <f t="shared" si="446"/>
        <v>26.740664449537192</v>
      </c>
      <c r="AY478" s="32">
        <f t="shared" si="447"/>
        <v>1.5333913764301721</v>
      </c>
      <c r="AZ478" s="32" t="str">
        <f t="shared" si="422"/>
        <v>1+398.222376434092i</v>
      </c>
      <c r="BA478" s="32">
        <f t="shared" si="448"/>
        <v>398.22363201198351</v>
      </c>
      <c r="BB478" s="32">
        <f t="shared" si="449"/>
        <v>1.5682851723314331</v>
      </c>
      <c r="BC478" s="60" t="str">
        <f t="shared" si="450"/>
        <v>-0.000453075317256123+0.0129791387247077i</v>
      </c>
      <c r="BD478" s="51">
        <f t="shared" si="451"/>
        <v>-37.72979357050118</v>
      </c>
      <c r="BE478" s="63">
        <f t="shared" si="452"/>
        <v>91.999267236333125</v>
      </c>
      <c r="BF478" s="60" t="str">
        <f t="shared" si="453"/>
        <v>-0.000821576035228339-0.0000628576250445671i</v>
      </c>
      <c r="BG478" s="66">
        <f t="shared" si="454"/>
        <v>-61.681697152526951</v>
      </c>
      <c r="BH478" s="63">
        <f t="shared" si="455"/>
        <v>-175.62490397703715</v>
      </c>
      <c r="BI478" s="60" t="str">
        <f t="shared" si="409"/>
        <v>0.0041665078412549-0.00181478689537175i</v>
      </c>
      <c r="BJ478" s="66">
        <f t="shared" si="456"/>
        <v>-46.850118278551989</v>
      </c>
      <c r="BK478" s="63">
        <f t="shared" si="410"/>
        <v>-23.536277832032471</v>
      </c>
      <c r="BL478" s="51">
        <f t="shared" si="457"/>
        <v>-61.681697152526951</v>
      </c>
      <c r="BM478" s="63">
        <f t="shared" si="458"/>
        <v>-175.62490397703715</v>
      </c>
    </row>
    <row r="479" spans="14:65" x14ac:dyDescent="0.35">
      <c r="N479" s="11">
        <v>61</v>
      </c>
      <c r="O479" s="52">
        <f t="shared" si="408"/>
        <v>407380.27780411334</v>
      </c>
      <c r="P479" s="50" t="str">
        <f t="shared" si="411"/>
        <v>36.531007751938</v>
      </c>
      <c r="Q479" s="18" t="str">
        <f t="shared" si="412"/>
        <v>1+1250.0595649908i</v>
      </c>
      <c r="R479" s="18">
        <f t="shared" si="423"/>
        <v>1250.059964971676</v>
      </c>
      <c r="S479" s="18">
        <f t="shared" si="424"/>
        <v>1.5699963650853164</v>
      </c>
      <c r="T479" s="18" t="str">
        <f t="shared" si="413"/>
        <v>1+0.511929155186708i</v>
      </c>
      <c r="U479" s="18">
        <f t="shared" si="425"/>
        <v>1.1234195386987786</v>
      </c>
      <c r="V479" s="18">
        <f t="shared" si="426"/>
        <v>0.47314532629399397</v>
      </c>
      <c r="W479" s="32" t="str">
        <f t="shared" si="414"/>
        <v>1-8.48166647646618i</v>
      </c>
      <c r="X479" s="18">
        <f t="shared" si="427"/>
        <v>8.5404137029777587</v>
      </c>
      <c r="Y479" s="18">
        <f t="shared" si="428"/>
        <v>-1.453436761616882</v>
      </c>
      <c r="Z479" s="32" t="str">
        <f t="shared" si="415"/>
        <v>-2.42889856908587+3.85415061477958i</v>
      </c>
      <c r="AA479" s="18">
        <f t="shared" si="429"/>
        <v>4.5556585934761618</v>
      </c>
      <c r="AB479" s="18">
        <f t="shared" si="430"/>
        <v>2.1331286185868894</v>
      </c>
      <c r="AC479" s="68" t="str">
        <f t="shared" si="431"/>
        <v>-0.00178289862306965+0.0615202677669094i</v>
      </c>
      <c r="AD479" s="66">
        <f t="shared" si="432"/>
        <v>-24.215989640268035</v>
      </c>
      <c r="AE479" s="63">
        <f t="shared" si="433"/>
        <v>91.660005489307508</v>
      </c>
      <c r="AF479" s="51" t="str">
        <f t="shared" si="434"/>
        <v>42.1703962805665</v>
      </c>
      <c r="AG479" s="51" t="str">
        <f t="shared" si="416"/>
        <v>1+225.851097876489i</v>
      </c>
      <c r="AH479" s="51">
        <f t="shared" si="435"/>
        <v>225.85331171363291</v>
      </c>
      <c r="AI479" s="51">
        <f t="shared" si="436"/>
        <v>1.5663686597405919</v>
      </c>
      <c r="AJ479" s="51" t="str">
        <f t="shared" si="417"/>
        <v>1+0.511929155186708i</v>
      </c>
      <c r="AK479" s="51">
        <f t="shared" si="437"/>
        <v>1.1234195386987786</v>
      </c>
      <c r="AL479" s="51">
        <f t="shared" si="438"/>
        <v>0.47314532629399397</v>
      </c>
      <c r="AM479" s="51" t="str">
        <f t="shared" si="418"/>
        <v>1-1.32747140776078i</v>
      </c>
      <c r="AN479" s="51">
        <f t="shared" si="439"/>
        <v>1.6619808477904876</v>
      </c>
      <c r="AO479" s="51">
        <f t="shared" si="440"/>
        <v>-0.9251789734170448</v>
      </c>
      <c r="AP479" s="60" t="str">
        <f t="shared" si="441"/>
        <v>-0.150884660467793-0.314273755222247i</v>
      </c>
      <c r="AQ479" s="51">
        <f t="shared" si="442"/>
        <v>-9.1530158637267132</v>
      </c>
      <c r="AR479" s="63">
        <f t="shared" si="443"/>
        <v>-115.64593354275607</v>
      </c>
      <c r="AS479" s="32" t="str">
        <f t="shared" si="419"/>
        <v>-0.000133283554228113</v>
      </c>
      <c r="AT479" s="32" t="str">
        <f t="shared" si="420"/>
        <v>0.156394356909539i</v>
      </c>
      <c r="AU479" s="32">
        <f t="shared" si="444"/>
        <v>0.15639435690953901</v>
      </c>
      <c r="AV479" s="32">
        <f t="shared" si="445"/>
        <v>1.5707963267948966</v>
      </c>
      <c r="AW479" s="32" t="str">
        <f t="shared" si="421"/>
        <v>1+27.3443941966452i</v>
      </c>
      <c r="AX479" s="32">
        <f t="shared" si="446"/>
        <v>27.362673370515601</v>
      </c>
      <c r="AY479" s="32">
        <f t="shared" si="447"/>
        <v>1.5342420499629426</v>
      </c>
      <c r="AZ479" s="32" t="str">
        <f t="shared" si="422"/>
        <v>1+407.498167174395i</v>
      </c>
      <c r="BA479" s="32">
        <f t="shared" si="448"/>
        <v>407.4993941719315</v>
      </c>
      <c r="BB479" s="32">
        <f t="shared" si="449"/>
        <v>1.5683423329534734</v>
      </c>
      <c r="BC479" s="60" t="str">
        <f t="shared" si="450"/>
        <v>-0.000432710804517975+0.0126844421995107i</v>
      </c>
      <c r="BD479" s="51">
        <f t="shared" si="451"/>
        <v>-37.929521441389163</v>
      </c>
      <c r="BE479" s="63">
        <f t="shared" si="452"/>
        <v>91.953802295559157</v>
      </c>
      <c r="BF479" s="60" t="str">
        <f t="shared" si="453"/>
        <v>-0.000779578801090221-0.0000492355590914948i</v>
      </c>
      <c r="BG479" s="66">
        <f t="shared" si="454"/>
        <v>-62.145511081657204</v>
      </c>
      <c r="BH479" s="63">
        <f t="shared" si="455"/>
        <v>-176.38619221513329</v>
      </c>
      <c r="BI479" s="60" t="str">
        <f t="shared" si="409"/>
        <v>0.00405167670576021-0.00177789810503541i</v>
      </c>
      <c r="BJ479" s="66">
        <f t="shared" si="456"/>
        <v>-47.082537305115871</v>
      </c>
      <c r="BK479" s="63">
        <f t="shared" si="410"/>
        <v>-23.692131247196851</v>
      </c>
      <c r="BL479" s="51">
        <f t="shared" si="457"/>
        <v>-62.145511081657204</v>
      </c>
      <c r="BM479" s="63">
        <f t="shared" si="458"/>
        <v>-176.38619221513329</v>
      </c>
    </row>
    <row r="480" spans="14:65" x14ac:dyDescent="0.35">
      <c r="N480" s="11">
        <v>62</v>
      </c>
      <c r="O480" s="52">
        <f t="shared" si="408"/>
        <v>416869.38347033598</v>
      </c>
      <c r="P480" s="50" t="str">
        <f t="shared" si="411"/>
        <v>36.531007751938</v>
      </c>
      <c r="Q480" s="18" t="str">
        <f t="shared" si="412"/>
        <v>1+1279.17719278861i</v>
      </c>
      <c r="R480" s="18">
        <f t="shared" si="423"/>
        <v>1279.1775836648128</v>
      </c>
      <c r="S480" s="18">
        <f t="shared" si="424"/>
        <v>1.57001457442945</v>
      </c>
      <c r="T480" s="18" t="str">
        <f t="shared" si="413"/>
        <v>1+0.523853517046766i</v>
      </c>
      <c r="U480" s="18">
        <f t="shared" si="425"/>
        <v>1.1289032320452743</v>
      </c>
      <c r="V480" s="18">
        <f t="shared" si="426"/>
        <v>0.48254781578190931</v>
      </c>
      <c r="W480" s="32" t="str">
        <f t="shared" si="414"/>
        <v>1-8.67922986823045i</v>
      </c>
      <c r="X480" s="18">
        <f t="shared" si="427"/>
        <v>8.7366487342449322</v>
      </c>
      <c r="Y480" s="18">
        <f t="shared" si="428"/>
        <v>-1.4560845495430079</v>
      </c>
      <c r="Z480" s="32" t="str">
        <f t="shared" si="415"/>
        <v>-2.59049758006071+3.94392531529851i</v>
      </c>
      <c r="AA480" s="18">
        <f t="shared" si="429"/>
        <v>4.7186040949578345</v>
      </c>
      <c r="AB480" s="18">
        <f t="shared" si="430"/>
        <v>2.1519595932696673</v>
      </c>
      <c r="AC480" s="68" t="str">
        <f t="shared" si="431"/>
        <v>-0.00100744479477834+0.0596838736221978i</v>
      </c>
      <c r="AD480" s="66">
        <f t="shared" si="432"/>
        <v>-24.481622726504227</v>
      </c>
      <c r="AE480" s="63">
        <f t="shared" si="433"/>
        <v>90.967042688660968</v>
      </c>
      <c r="AF480" s="51" t="str">
        <f t="shared" si="434"/>
        <v>42.1703962805665</v>
      </c>
      <c r="AG480" s="51" t="str">
        <f t="shared" si="416"/>
        <v>1+231.111845755927i</v>
      </c>
      <c r="AH480" s="51">
        <f t="shared" si="435"/>
        <v>231.11400920046231</v>
      </c>
      <c r="AI480" s="51">
        <f t="shared" si="436"/>
        <v>1.566469444474847</v>
      </c>
      <c r="AJ480" s="51" t="str">
        <f t="shared" si="417"/>
        <v>1+0.523853517046766i</v>
      </c>
      <c r="AK480" s="51">
        <f t="shared" si="437"/>
        <v>1.1289032320452743</v>
      </c>
      <c r="AL480" s="51">
        <f t="shared" si="438"/>
        <v>0.48254781578190931</v>
      </c>
      <c r="AM480" s="51" t="str">
        <f t="shared" si="418"/>
        <v>1-1.35839218901468i</v>
      </c>
      <c r="AN480" s="51">
        <f t="shared" si="439"/>
        <v>1.6867807620363988</v>
      </c>
      <c r="AO480" s="51">
        <f t="shared" si="440"/>
        <v>-0.93620895051104958</v>
      </c>
      <c r="AP480" s="60" t="str">
        <f t="shared" si="441"/>
        <v>-0.150922001844129-0.312964096968428i</v>
      </c>
      <c r="AQ480" s="51">
        <f t="shared" si="442"/>
        <v>-9.1820646739376865</v>
      </c>
      <c r="AR480" s="63">
        <f t="shared" si="443"/>
        <v>-115.74495625370682</v>
      </c>
      <c r="AS480" s="32" t="str">
        <f t="shared" si="419"/>
        <v>-0.000133283554228113</v>
      </c>
      <c r="AT480" s="32" t="str">
        <f t="shared" si="420"/>
        <v>0.160037249457787i</v>
      </c>
      <c r="AU480" s="32">
        <f t="shared" si="444"/>
        <v>0.160037249457787</v>
      </c>
      <c r="AV480" s="32">
        <f t="shared" si="445"/>
        <v>1.5707963267948966</v>
      </c>
      <c r="AW480" s="32" t="str">
        <f t="shared" si="421"/>
        <v>1+27.9813269595896i</v>
      </c>
      <c r="AX480" s="32">
        <f t="shared" si="446"/>
        <v>27.999190317211959</v>
      </c>
      <c r="AY480" s="32">
        <f t="shared" si="447"/>
        <v>1.5350734109489783</v>
      </c>
      <c r="AZ480" s="32" t="str">
        <f t="shared" si="422"/>
        <v>1+416.990018836811i</v>
      </c>
      <c r="BA480" s="32">
        <f t="shared" si="448"/>
        <v>416.9912179045549</v>
      </c>
      <c r="BB480" s="32">
        <f t="shared" si="449"/>
        <v>1.5683981924563994</v>
      </c>
      <c r="BC480" s="60" t="str">
        <f t="shared" si="450"/>
        <v>-0.000413260452451825+0.0123964041634263i</v>
      </c>
      <c r="BD480" s="51">
        <f t="shared" si="451"/>
        <v>-38.129261544041789</v>
      </c>
      <c r="BE480" s="63">
        <f t="shared" si="452"/>
        <v>91.909369333570851</v>
      </c>
      <c r="BF480" s="60" t="str">
        <f t="shared" si="453"/>
        <v>-0.000739449082367912-0.0000371536774655994i</v>
      </c>
      <c r="BG480" s="66">
        <f t="shared" si="454"/>
        <v>-62.610884270546016</v>
      </c>
      <c r="BH480" s="63">
        <f t="shared" si="455"/>
        <v>-177.12358797776818</v>
      </c>
      <c r="BI480" s="60" t="str">
        <f t="shared" si="409"/>
        <v>0.00394199952942941-0.00174155444769884i</v>
      </c>
      <c r="BJ480" s="66">
        <f t="shared" si="456"/>
        <v>-47.311326217979484</v>
      </c>
      <c r="BK480" s="63">
        <f t="shared" si="410"/>
        <v>-23.83558692013597</v>
      </c>
      <c r="BL480" s="51">
        <f t="shared" si="457"/>
        <v>-62.610884270546016</v>
      </c>
      <c r="BM480" s="63">
        <f t="shared" si="458"/>
        <v>-177.12358797776818</v>
      </c>
    </row>
    <row r="481" spans="14:65" x14ac:dyDescent="0.35">
      <c r="N481" s="11">
        <v>63</v>
      </c>
      <c r="O481" s="52">
        <f t="shared" si="408"/>
        <v>426579.51880159322</v>
      </c>
      <c r="P481" s="50" t="str">
        <f t="shared" si="411"/>
        <v>36.531007751938</v>
      </c>
      <c r="Q481" s="18" t="str">
        <f t="shared" si="412"/>
        <v>1+1308.97305726595i</v>
      </c>
      <c r="R481" s="18">
        <f t="shared" si="423"/>
        <v>1308.9734392447267</v>
      </c>
      <c r="S481" s="18">
        <f t="shared" si="424"/>
        <v>1.5700323692788076</v>
      </c>
      <c r="T481" s="18" t="str">
        <f t="shared" si="413"/>
        <v>1+0.536055632975582i</v>
      </c>
      <c r="U481" s="18">
        <f t="shared" si="425"/>
        <v>1.1346169581161969</v>
      </c>
      <c r="V481" s="18">
        <f t="shared" si="426"/>
        <v>0.49207436749234323</v>
      </c>
      <c r="W481" s="32" t="str">
        <f t="shared" si="414"/>
        <v>1-8.88139510255403i</v>
      </c>
      <c r="X481" s="18">
        <f t="shared" si="427"/>
        <v>8.9375152569196068</v>
      </c>
      <c r="Y481" s="18">
        <f t="shared" si="428"/>
        <v>-1.4586736284568718</v>
      </c>
      <c r="Z481" s="32" t="str">
        <f t="shared" si="415"/>
        <v>-2.75971251778924+4.03579113722363i</v>
      </c>
      <c r="AA481" s="18">
        <f t="shared" si="429"/>
        <v>4.8891331833092284</v>
      </c>
      <c r="AB481" s="18">
        <f t="shared" si="430"/>
        <v>2.1705733707099721</v>
      </c>
      <c r="AC481" s="68" t="str">
        <f t="shared" si="431"/>
        <v>-0.000300072600339694+0.0578840862106211i</v>
      </c>
      <c r="AD481" s="66">
        <f t="shared" si="432"/>
        <v>-24.748699655240543</v>
      </c>
      <c r="AE481" s="63">
        <f t="shared" si="433"/>
        <v>90.29702014250087</v>
      </c>
      <c r="AF481" s="51" t="str">
        <f t="shared" si="434"/>
        <v>42.1703962805665</v>
      </c>
      <c r="AG481" s="51" t="str">
        <f t="shared" si="416"/>
        <v>1+236.49513219511i</v>
      </c>
      <c r="AH481" s="51">
        <f t="shared" si="435"/>
        <v>236.4972463940808</v>
      </c>
      <c r="AI481" s="51">
        <f t="shared" si="436"/>
        <v>1.5665679351534036</v>
      </c>
      <c r="AJ481" s="51" t="str">
        <f t="shared" si="417"/>
        <v>1+0.536055632975582i</v>
      </c>
      <c r="AK481" s="51">
        <f t="shared" si="437"/>
        <v>1.1346169581161969</v>
      </c>
      <c r="AL481" s="51">
        <f t="shared" si="438"/>
        <v>0.49207436749234323</v>
      </c>
      <c r="AM481" s="51" t="str">
        <f t="shared" si="418"/>
        <v>1-1.39003320778763i</v>
      </c>
      <c r="AN481" s="51">
        <f t="shared" si="439"/>
        <v>1.712364540263658</v>
      </c>
      <c r="AO481" s="51">
        <f t="shared" si="440"/>
        <v>-0.94716374613970289</v>
      </c>
      <c r="AP481" s="60" t="str">
        <f t="shared" si="441"/>
        <v>-0.150957662643196-0.311820361873853i</v>
      </c>
      <c r="AQ481" s="51">
        <f t="shared" si="442"/>
        <v>-9.2074582035534274</v>
      </c>
      <c r="AR481" s="63">
        <f t="shared" si="443"/>
        <v>-115.83243170253883</v>
      </c>
      <c r="AS481" s="32" t="str">
        <f t="shared" si="419"/>
        <v>-0.000133283554228113</v>
      </c>
      <c r="AT481" s="32" t="str">
        <f t="shared" si="420"/>
        <v>0.16376499587404i</v>
      </c>
      <c r="AU481" s="32">
        <f t="shared" si="444"/>
        <v>0.16376499587404</v>
      </c>
      <c r="AV481" s="32">
        <f t="shared" si="445"/>
        <v>1.5707963267948966</v>
      </c>
      <c r="AW481" s="32" t="str">
        <f t="shared" si="421"/>
        <v>1+28.6330957924646i</v>
      </c>
      <c r="AX481" s="32">
        <f t="shared" si="446"/>
        <v>28.650552781062604</v>
      </c>
      <c r="AY481" s="32">
        <f t="shared" si="447"/>
        <v>1.5358858955874186</v>
      </c>
      <c r="AZ481" s="32" t="str">
        <f t="shared" si="422"/>
        <v>1+426.702964126728i</v>
      </c>
      <c r="BA481" s="32">
        <f t="shared" si="448"/>
        <v>426.70413590043353</v>
      </c>
      <c r="BB481" s="32">
        <f t="shared" si="449"/>
        <v>1.568452780456264</v>
      </c>
      <c r="BC481" s="60" t="str">
        <f t="shared" si="450"/>
        <v>-0.000394683327247685+0.0121148763535567i</v>
      </c>
      <c r="BD481" s="51">
        <f t="shared" si="451"/>
        <v>-38.329013329350644</v>
      </c>
      <c r="BE481" s="63">
        <f t="shared" si="452"/>
        <v>91.865945054873308</v>
      </c>
      <c r="BF481" s="60" t="str">
        <f t="shared" si="453"/>
        <v>-0.000701140113627973-0.0000264812261905054i</v>
      </c>
      <c r="BG481" s="66">
        <f t="shared" si="454"/>
        <v>-63.077712984591187</v>
      </c>
      <c r="BH481" s="63">
        <f t="shared" si="455"/>
        <v>-177.83703480262579</v>
      </c>
      <c r="BI481" s="60" t="str">
        <f t="shared" si="409"/>
        <v>0.00383724560118858-0.0017057631196163i</v>
      </c>
      <c r="BJ481" s="66">
        <f t="shared" si="456"/>
        <v>-47.536471532904081</v>
      </c>
      <c r="BK481" s="63">
        <f t="shared" si="410"/>
        <v>-23.966486647665619</v>
      </c>
      <c r="BL481" s="51">
        <f t="shared" si="457"/>
        <v>-63.077712984591187</v>
      </c>
      <c r="BM481" s="63">
        <f t="shared" si="458"/>
        <v>-177.83703480262579</v>
      </c>
    </row>
    <row r="482" spans="14:65" x14ac:dyDescent="0.35">
      <c r="N482" s="11">
        <v>64</v>
      </c>
      <c r="O482" s="52">
        <f t="shared" si="408"/>
        <v>436515.83224016649</v>
      </c>
      <c r="P482" s="50" t="str">
        <f t="shared" si="411"/>
        <v>36.531007751938</v>
      </c>
      <c r="Q482" s="18" t="str">
        <f t="shared" si="412"/>
        <v>1+1339.46295658456i</v>
      </c>
      <c r="R482" s="18">
        <f t="shared" si="423"/>
        <v>1339.4633298684407</v>
      </c>
      <c r="S482" s="18">
        <f t="shared" si="424"/>
        <v>1.5700497590684086</v>
      </c>
      <c r="T482" s="18" t="str">
        <f t="shared" si="413"/>
        <v>1+0.548541972696536i</v>
      </c>
      <c r="U482" s="18">
        <f t="shared" si="425"/>
        <v>1.1405692858436121</v>
      </c>
      <c r="V482" s="18">
        <f t="shared" si="426"/>
        <v>0.50172311502349554</v>
      </c>
      <c r="W482" s="32" t="str">
        <f t="shared" si="414"/>
        <v>1-9.08826937012013i</v>
      </c>
      <c r="X482" s="18">
        <f t="shared" si="427"/>
        <v>9.1431198255225645</v>
      </c>
      <c r="Y482" s="18">
        <f t="shared" si="428"/>
        <v>-1.4612052322036808</v>
      </c>
      <c r="Z482" s="32" t="str">
        <f t="shared" si="415"/>
        <v>-2.93690230984142+4.12979678902971i</v>
      </c>
      <c r="AA482" s="18">
        <f t="shared" si="429"/>
        <v>5.0676046310098002</v>
      </c>
      <c r="AB482" s="18">
        <f t="shared" si="430"/>
        <v>2.1889659499496861</v>
      </c>
      <c r="AC482" s="68" t="str">
        <f t="shared" si="431"/>
        <v>0.000342847231153885+0.0561223800394314i</v>
      </c>
      <c r="AD482" s="66">
        <f t="shared" si="432"/>
        <v>-25.017116322606377</v>
      </c>
      <c r="AE482" s="63">
        <f t="shared" si="433"/>
        <v>89.649988917185112</v>
      </c>
      <c r="AF482" s="51" t="str">
        <f t="shared" si="434"/>
        <v>42.1703962805665</v>
      </c>
      <c r="AG482" s="51" t="str">
        <f t="shared" si="416"/>
        <v>1+242.003811483767i</v>
      </c>
      <c r="AH482" s="51">
        <f t="shared" si="435"/>
        <v>242.00587755810943</v>
      </c>
      <c r="AI482" s="51">
        <f t="shared" si="436"/>
        <v>1.5666641839896753</v>
      </c>
      <c r="AJ482" s="51" t="str">
        <f t="shared" si="417"/>
        <v>1+0.548541972696536i</v>
      </c>
      <c r="AK482" s="51">
        <f t="shared" si="437"/>
        <v>1.1405692858436121</v>
      </c>
      <c r="AL482" s="51">
        <f t="shared" si="438"/>
        <v>0.50172311502349554</v>
      </c>
      <c r="AM482" s="51" t="str">
        <f t="shared" si="418"/>
        <v>1-1.42241124056662i</v>
      </c>
      <c r="AN482" s="51">
        <f t="shared" si="439"/>
        <v>1.7387506253888945</v>
      </c>
      <c r="AO482" s="51">
        <f t="shared" si="440"/>
        <v>-0.95803865168550828</v>
      </c>
      <c r="AP482" s="60" t="str">
        <f t="shared" si="441"/>
        <v>-0.150991718498017-0.310841944485985i</v>
      </c>
      <c r="AQ482" s="51">
        <f t="shared" si="442"/>
        <v>-9.229185200187942</v>
      </c>
      <c r="AR482" s="63">
        <f t="shared" si="443"/>
        <v>-115.90820003389604</v>
      </c>
      <c r="AS482" s="32" t="str">
        <f t="shared" si="419"/>
        <v>-0.000133283554228113</v>
      </c>
      <c r="AT482" s="32" t="str">
        <f t="shared" si="420"/>
        <v>0.167579572658792i</v>
      </c>
      <c r="AU482" s="32">
        <f t="shared" si="444"/>
        <v>0.167579572658792</v>
      </c>
      <c r="AV482" s="32">
        <f t="shared" si="445"/>
        <v>1.5707963267948966</v>
      </c>
      <c r="AW482" s="32" t="str">
        <f t="shared" si="421"/>
        <v>1+29.3000462717325i</v>
      </c>
      <c r="AX482" s="32">
        <f t="shared" si="446"/>
        <v>29.31710612467857</v>
      </c>
      <c r="AY482" s="32">
        <f t="shared" si="447"/>
        <v>1.5366799303751502</v>
      </c>
      <c r="AZ482" s="32" t="str">
        <f t="shared" si="422"/>
        <v>1+436.642152976306i</v>
      </c>
      <c r="BA482" s="32">
        <f t="shared" si="448"/>
        <v>436.64329807725653</v>
      </c>
      <c r="BB482" s="32">
        <f t="shared" si="449"/>
        <v>1.5685061258950452</v>
      </c>
      <c r="BC482" s="60" t="str">
        <f t="shared" si="450"/>
        <v>-0.000376940318976126+0.0118397136624389i</v>
      </c>
      <c r="BD482" s="51">
        <f t="shared" si="451"/>
        <v>-38.528776272797188</v>
      </c>
      <c r="BE482" s="63">
        <f t="shared" si="452"/>
        <v>91.823506681248162</v>
      </c>
      <c r="BF482" s="60" t="str">
        <f t="shared" si="453"/>
        <v>-0.000664602142666115-0.0000170955747869406i</v>
      </c>
      <c r="BG482" s="66">
        <f t="shared" si="454"/>
        <v>-63.545892595403572</v>
      </c>
      <c r="BH482" s="63">
        <f t="shared" si="455"/>
        <v>-178.52650440156671</v>
      </c>
      <c r="BI482" s="60" t="str">
        <f t="shared" si="409"/>
        <v>0.00373719448352319-0.00167052985071039i</v>
      </c>
      <c r="BJ482" s="66">
        <f t="shared" si="456"/>
        <v>-47.757961472985137</v>
      </c>
      <c r="BK482" s="63">
        <f t="shared" si="410"/>
        <v>-24.084693352647815</v>
      </c>
      <c r="BL482" s="51">
        <f t="shared" si="457"/>
        <v>-63.545892595403572</v>
      </c>
      <c r="BM482" s="63">
        <f t="shared" si="458"/>
        <v>-178.52650440156671</v>
      </c>
    </row>
    <row r="483" spans="14:65" x14ac:dyDescent="0.35">
      <c r="N483" s="11">
        <v>65</v>
      </c>
      <c r="O483" s="52">
        <f t="shared" si="408"/>
        <v>446683.59215096442</v>
      </c>
      <c r="P483" s="50" t="str">
        <f t="shared" si="411"/>
        <v>36.531007751938</v>
      </c>
      <c r="Q483" s="18" t="str">
        <f t="shared" si="412"/>
        <v>1+1370.66305689265i</v>
      </c>
      <c r="R483" s="18">
        <f t="shared" si="423"/>
        <v>1370.6634216795544</v>
      </c>
      <c r="S483" s="18">
        <f t="shared" si="424"/>
        <v>1.5700667530185077</v>
      </c>
      <c r="T483" s="18" t="str">
        <f t="shared" si="413"/>
        <v>1+0.561319156632228i</v>
      </c>
      <c r="U483" s="18">
        <f t="shared" si="425"/>
        <v>1.1467690245216409</v>
      </c>
      <c r="V483" s="18">
        <f t="shared" si="426"/>
        <v>0.51149198722881761</v>
      </c>
      <c r="W483" s="32" t="str">
        <f t="shared" si="414"/>
        <v>1-9.29996235840379i</v>
      </c>
      <c r="X483" s="18">
        <f t="shared" si="427"/>
        <v>9.3535715033203957</v>
      </c>
      <c r="Y483" s="18">
        <f t="shared" si="428"/>
        <v>-1.4636805732021023</v>
      </c>
      <c r="Z483" s="32" t="str">
        <f t="shared" si="415"/>
        <v>-3.12244279952251+4.22599211375768i</v>
      </c>
      <c r="AA483" s="18">
        <f t="shared" si="429"/>
        <v>5.2543941974153476</v>
      </c>
      <c r="AB483" s="18">
        <f t="shared" si="430"/>
        <v>2.2071336505390584</v>
      </c>
      <c r="AC483" s="68" t="str">
        <f t="shared" si="431"/>
        <v>0.000924889478226236+0.0543999930103678i</v>
      </c>
      <c r="AD483" s="66">
        <f t="shared" si="432"/>
        <v>-25.286767949188167</v>
      </c>
      <c r="AE483" s="63">
        <f t="shared" si="433"/>
        <v>89.025971224241232</v>
      </c>
      <c r="AF483" s="51" t="str">
        <f t="shared" si="434"/>
        <v>42.1703962805665</v>
      </c>
      <c r="AG483" s="51" t="str">
        <f t="shared" si="416"/>
        <v>1+247.640804396572i</v>
      </c>
      <c r="AH483" s="51">
        <f t="shared" si="435"/>
        <v>247.64282344170854</v>
      </c>
      <c r="AI483" s="51">
        <f t="shared" si="436"/>
        <v>1.5667582420089319</v>
      </c>
      <c r="AJ483" s="51" t="str">
        <f t="shared" si="417"/>
        <v>1+0.561319156632228i</v>
      </c>
      <c r="AK483" s="51">
        <f t="shared" si="437"/>
        <v>1.1467690245216409</v>
      </c>
      <c r="AL483" s="51">
        <f t="shared" si="438"/>
        <v>0.51149198722881761</v>
      </c>
      <c r="AM483" s="51" t="str">
        <f t="shared" si="418"/>
        <v>1-1.4555434546132i</v>
      </c>
      <c r="AN483" s="51">
        <f t="shared" si="439"/>
        <v>1.7659577424919681</v>
      </c>
      <c r="AO483" s="51">
        <f t="shared" si="440"/>
        <v>-0.96882914450059288</v>
      </c>
      <c r="AP483" s="60" t="str">
        <f t="shared" si="441"/>
        <v>-0.151024241638046-0.310028326941124i</v>
      </c>
      <c r="AQ483" s="51">
        <f t="shared" si="442"/>
        <v>-9.2472360779680702</v>
      </c>
      <c r="AR483" s="63">
        <f t="shared" si="443"/>
        <v>-115.97212371063182</v>
      </c>
      <c r="AS483" s="32" t="str">
        <f t="shared" si="419"/>
        <v>-0.000133283554228113</v>
      </c>
      <c r="AT483" s="32" t="str">
        <f t="shared" si="420"/>
        <v>0.171483002351146i</v>
      </c>
      <c r="AU483" s="32">
        <f t="shared" si="444"/>
        <v>0.171483002351146</v>
      </c>
      <c r="AV483" s="32">
        <f t="shared" si="445"/>
        <v>1.5707963267948966</v>
      </c>
      <c r="AW483" s="32" t="str">
        <f t="shared" si="421"/>
        <v>1+29.9825320233658i</v>
      </c>
      <c r="AX483" s="32">
        <f t="shared" si="446"/>
        <v>29.999203764969423</v>
      </c>
      <c r="AY483" s="32">
        <f t="shared" si="447"/>
        <v>1.537455932312584</v>
      </c>
      <c r="AZ483" s="32" t="str">
        <f t="shared" si="422"/>
        <v>1+446.812855275036i</v>
      </c>
      <c r="BA483" s="32">
        <f t="shared" si="448"/>
        <v>446.81397431037254</v>
      </c>
      <c r="BB483" s="32">
        <f t="shared" si="449"/>
        <v>1.5685582570559857</v>
      </c>
      <c r="BC483" s="60" t="str">
        <f t="shared" si="450"/>
        <v>-0.00035999406111649+0.0115707740807555i</v>
      </c>
      <c r="BD483" s="51">
        <f t="shared" si="451"/>
        <v>-38.728549873357032</v>
      </c>
      <c r="BE483" s="63">
        <f t="shared" si="452"/>
        <v>91.782031940842231</v>
      </c>
      <c r="BF483" s="60" t="str">
        <f t="shared" si="453"/>
        <v>-0.000629782983836995-8.88198720628736E-06i</v>
      </c>
      <c r="BG483" s="66">
        <f t="shared" si="454"/>
        <v>-64.0153178225452</v>
      </c>
      <c r="BH483" s="63">
        <f t="shared" si="455"/>
        <v>-179.19199683491655</v>
      </c>
      <c r="BI483" s="60" t="str">
        <f t="shared" si="409"/>
        <v>0.00364163555974467-0.00163585902423457i</v>
      </c>
      <c r="BJ483" s="66">
        <f t="shared" si="456"/>
        <v>-47.975785951325101</v>
      </c>
      <c r="BK483" s="63">
        <f t="shared" si="410"/>
        <v>-24.190091769789568</v>
      </c>
      <c r="BL483" s="51">
        <f t="shared" si="457"/>
        <v>-64.0153178225452</v>
      </c>
      <c r="BM483" s="63">
        <f t="shared" si="458"/>
        <v>-179.19199683491655</v>
      </c>
    </row>
    <row r="484" spans="14:65" x14ac:dyDescent="0.35">
      <c r="N484" s="11">
        <v>66</v>
      </c>
      <c r="O484" s="52">
        <f t="shared" ref="O484:O518" si="459">10^(5+(N484/100))</f>
        <v>457088.18961487547</v>
      </c>
      <c r="P484" s="50" t="str">
        <f t="shared" si="411"/>
        <v>36.531007751938</v>
      </c>
      <c r="Q484" s="18" t="str">
        <f t="shared" si="412"/>
        <v>1+1402.58990089636i</v>
      </c>
      <c r="R484" s="18">
        <f t="shared" si="423"/>
        <v>1402.5902573797027</v>
      </c>
      <c r="S484" s="18">
        <f t="shared" si="424"/>
        <v>1.5700833601394826</v>
      </c>
      <c r="T484" s="18" t="str">
        <f t="shared" si="413"/>
        <v>1+0.5743939594147i</v>
      </c>
      <c r="U484" s="18">
        <f t="shared" si="425"/>
        <v>1.1532252254490865</v>
      </c>
      <c r="V484" s="18">
        <f t="shared" si="426"/>
        <v>0.52137870495367633</v>
      </c>
      <c r="W484" s="32" t="str">
        <f t="shared" si="414"/>
        <v>1-9.51658630982936i</v>
      </c>
      <c r="X484" s="18">
        <f t="shared" si="427"/>
        <v>9.5689819203733268</v>
      </c>
      <c r="Y484" s="18">
        <f t="shared" si="428"/>
        <v>-1.4661008425071951</v>
      </c>
      <c r="Z484" s="32" t="str">
        <f t="shared" si="415"/>
        <v>-3.31672754308686+4.32442811544195i</v>
      </c>
      <c r="AA484" s="18">
        <f t="shared" si="429"/>
        <v>5.4498954229137118</v>
      </c>
      <c r="AB484" s="18">
        <f t="shared" si="430"/>
        <v>2.2250731105586099</v>
      </c>
      <c r="AC484" s="68" t="str">
        <f t="shared" si="431"/>
        <v>0.00144956166526784+0.0527179385308951i</v>
      </c>
      <c r="AD484" s="66">
        <f t="shared" si="432"/>
        <v>-25.557549324097021</v>
      </c>
      <c r="AE484" s="63">
        <f t="shared" si="433"/>
        <v>88.424960342840123</v>
      </c>
      <c r="AF484" s="51" t="str">
        <f t="shared" si="434"/>
        <v>42.1703962805665</v>
      </c>
      <c r="AG484" s="51" t="str">
        <f t="shared" si="416"/>
        <v>1+253.40909974178i</v>
      </c>
      <c r="AH484" s="51">
        <f t="shared" si="435"/>
        <v>253.41107282820025</v>
      </c>
      <c r="AI484" s="51">
        <f t="shared" si="436"/>
        <v>1.5668501590753197</v>
      </c>
      <c r="AJ484" s="51" t="str">
        <f t="shared" si="417"/>
        <v>1+0.5743939594147i</v>
      </c>
      <c r="AK484" s="51">
        <f t="shared" si="437"/>
        <v>1.1532252254490865</v>
      </c>
      <c r="AL484" s="51">
        <f t="shared" si="438"/>
        <v>0.52137870495367633</v>
      </c>
      <c r="AM484" s="51" t="str">
        <f t="shared" si="418"/>
        <v>1-1.4894474170658i</v>
      </c>
      <c r="AN484" s="51">
        <f t="shared" si="439"/>
        <v>1.7940049075194817</v>
      </c>
      <c r="AO484" s="51">
        <f t="shared" si="440"/>
        <v>-0.97953089482032463</v>
      </c>
      <c r="AP484" s="60" t="str">
        <f t="shared" si="441"/>
        <v>-0.15105530104231-0.309379078694149i</v>
      </c>
      <c r="AQ484" s="51">
        <f t="shared" si="442"/>
        <v>-9.261602902589301</v>
      </c>
      <c r="AR484" s="63">
        <f t="shared" si="443"/>
        <v>-116.02408809845281</v>
      </c>
      <c r="AS484" s="32" t="str">
        <f t="shared" si="419"/>
        <v>-0.000133283554228113</v>
      </c>
      <c r="AT484" s="32" t="str">
        <f t="shared" si="420"/>
        <v>0.175477354601191i</v>
      </c>
      <c r="AU484" s="32">
        <f t="shared" si="444"/>
        <v>0.17547735460119099</v>
      </c>
      <c r="AV484" s="32">
        <f t="shared" si="445"/>
        <v>1.5707963267948966</v>
      </c>
      <c r="AW484" s="32" t="str">
        <f t="shared" si="421"/>
        <v>1+30.6809149103434i</v>
      </c>
      <c r="AX484" s="32">
        <f t="shared" si="446"/>
        <v>30.697207360535781</v>
      </c>
      <c r="AY484" s="32">
        <f t="shared" si="447"/>
        <v>1.5382143091057454</v>
      </c>
      <c r="AZ484" s="32" t="str">
        <f t="shared" si="422"/>
        <v>1+457.220463663898i</v>
      </c>
      <c r="BA484" s="32">
        <f t="shared" si="448"/>
        <v>457.22155722694214</v>
      </c>
      <c r="BB484" s="32">
        <f t="shared" si="449"/>
        <v>1.5686092015785831</v>
      </c>
      <c r="BC484" s="60" t="str">
        <f t="shared" si="450"/>
        <v>-0.000343808853565586+0.0113079186403914i</v>
      </c>
      <c r="BD484" s="51">
        <f t="shared" si="451"/>
        <v>-38.928333652452309</v>
      </c>
      <c r="BE484" s="63">
        <f t="shared" si="452"/>
        <v>91.741499057447541</v>
      </c>
      <c r="BF484" s="60" t="str">
        <f t="shared" si="453"/>
        <v>-0.000596628531930825-1.73336863356907E-06i</v>
      </c>
      <c r="BG484" s="66">
        <f t="shared" si="454"/>
        <v>-64.485882976549334</v>
      </c>
      <c r="BH484" s="63">
        <f t="shared" si="455"/>
        <v>-179.83354059971234</v>
      </c>
      <c r="BI484" s="60" t="str">
        <f t="shared" si="409"/>
        <v>0.00355036760078905-0.00160175378802326i</v>
      </c>
      <c r="BJ484" s="66">
        <f t="shared" si="456"/>
        <v>-48.189936555041598</v>
      </c>
      <c r="BK484" s="63">
        <f t="shared" si="410"/>
        <v>-24.282589041005252</v>
      </c>
      <c r="BL484" s="51">
        <f t="shared" si="457"/>
        <v>-64.485882976549334</v>
      </c>
      <c r="BM484" s="63">
        <f t="shared" si="458"/>
        <v>-179.83354059971234</v>
      </c>
    </row>
    <row r="485" spans="14:65" x14ac:dyDescent="0.35">
      <c r="N485" s="11">
        <v>67</v>
      </c>
      <c r="O485" s="52">
        <f t="shared" si="459"/>
        <v>467735.14128719864</v>
      </c>
      <c r="P485" s="50" t="str">
        <f t="shared" si="411"/>
        <v>36.531007751938</v>
      </c>
      <c r="Q485" s="18" t="str">
        <f t="shared" si="412"/>
        <v>1+1435.260416631i</v>
      </c>
      <c r="R485" s="18">
        <f t="shared" si="423"/>
        <v>1435.2607649997933</v>
      </c>
      <c r="S485" s="18">
        <f t="shared" si="424"/>
        <v>1.5700995892366123</v>
      </c>
      <c r="T485" s="18" t="str">
        <f t="shared" si="413"/>
        <v>1+0.587773313477458i</v>
      </c>
      <c r="U485" s="18">
        <f t="shared" si="425"/>
        <v>1.1599471832959767</v>
      </c>
      <c r="V485" s="18">
        <f t="shared" si="426"/>
        <v>0.53138077841421438</v>
      </c>
      <c r="W485" s="32" t="str">
        <f t="shared" si="414"/>
        <v>1-9.73825608128334i</v>
      </c>
      <c r="X485" s="18">
        <f t="shared" si="427"/>
        <v>9.7894653329306998</v>
      </c>
      <c r="Y485" s="18">
        <f t="shared" si="428"/>
        <v>-1.4684672098981884</v>
      </c>
      <c r="Z485" s="32" t="str">
        <f t="shared" si="415"/>
        <v>-3.52016864452386+4.42515698615361i</v>
      </c>
      <c r="AA485" s="18">
        <f t="shared" si="429"/>
        <v>5.6545204604805388</v>
      </c>
      <c r="AB485" s="18">
        <f t="shared" si="430"/>
        <v>2.2427812837409107</v>
      </c>
      <c r="AC485" s="68" t="str">
        <f t="shared" si="431"/>
        <v>0.00192029272578553+0.0510770181098284i</v>
      </c>
      <c r="AD485" s="66">
        <f t="shared" si="432"/>
        <v>-25.829355049453756</v>
      </c>
      <c r="AE485" s="63">
        <f t="shared" si="433"/>
        <v>87.846920629224073</v>
      </c>
      <c r="AF485" s="51" t="str">
        <f t="shared" si="434"/>
        <v>42.1703962805665</v>
      </c>
      <c r="AG485" s="51" t="str">
        <f t="shared" si="416"/>
        <v>1+259.311755945938i</v>
      </c>
      <c r="AH485" s="51">
        <f t="shared" si="435"/>
        <v>259.31368411976587</v>
      </c>
      <c r="AI485" s="51">
        <f t="shared" si="436"/>
        <v>1.5669399839182676</v>
      </c>
      <c r="AJ485" s="51" t="str">
        <f t="shared" si="417"/>
        <v>1+0.587773313477458i</v>
      </c>
      <c r="AK485" s="51">
        <f t="shared" si="437"/>
        <v>1.1599471832959767</v>
      </c>
      <c r="AL485" s="51">
        <f t="shared" si="438"/>
        <v>0.53138077841421438</v>
      </c>
      <c r="AM485" s="51" t="str">
        <f t="shared" si="418"/>
        <v>1-1.5241411042541i</v>
      </c>
      <c r="AN485" s="51">
        <f t="shared" si="439"/>
        <v>1.822911436597211</v>
      </c>
      <c r="AO485" s="51">
        <f t="shared" si="440"/>
        <v>-0.99013977168338674</v>
      </c>
      <c r="AP485" s="60" t="str">
        <f t="shared" si="441"/>
        <v>-0.151084962585666-0.308893856294272i</v>
      </c>
      <c r="AQ485" s="51">
        <f t="shared" si="442"/>
        <v>-9.2722793781420716</v>
      </c>
      <c r="AR485" s="63">
        <f t="shared" si="443"/>
        <v>-116.064001956808</v>
      </c>
      <c r="AS485" s="32" t="str">
        <f t="shared" si="419"/>
        <v>-0.000133283554228113</v>
      </c>
      <c r="AT485" s="32" t="str">
        <f t="shared" si="420"/>
        <v>0.179564747267364i</v>
      </c>
      <c r="AU485" s="32">
        <f t="shared" si="444"/>
        <v>0.17956474726736399</v>
      </c>
      <c r="AV485" s="32">
        <f t="shared" si="445"/>
        <v>1.5707963267948966</v>
      </c>
      <c r="AW485" s="32" t="str">
        <f t="shared" si="421"/>
        <v>1+31.3955652245165i</v>
      </c>
      <c r="AX485" s="32">
        <f t="shared" si="446"/>
        <v>31.411487003433468</v>
      </c>
      <c r="AY485" s="32">
        <f t="shared" si="447"/>
        <v>1.5389554593646997</v>
      </c>
      <c r="AZ485" s="32" t="str">
        <f t="shared" si="422"/>
        <v>1+467.870496394624i</v>
      </c>
      <c r="BA485" s="32">
        <f t="shared" si="448"/>
        <v>467.87156506519165</v>
      </c>
      <c r="BB485" s="32">
        <f t="shared" si="449"/>
        <v>1.5686589864732388</v>
      </c>
      <c r="BC485" s="60" t="str">
        <f t="shared" si="450"/>
        <v>-0.000328350588982441+0.0110510113578903i</v>
      </c>
      <c r="BD485" s="51">
        <f t="shared" si="451"/>
        <v>-39.128127152950832</v>
      </c>
      <c r="BE485" s="63">
        <f t="shared" si="452"/>
        <v>91.701886739971712</v>
      </c>
      <c r="BF485" s="60" t="str">
        <f t="shared" si="453"/>
        <v>-0.000565083236506413+4.45000774330106E-06i</v>
      </c>
      <c r="BG485" s="66">
        <f t="shared" si="454"/>
        <v>-64.957482202404591</v>
      </c>
      <c r="BH485" s="63">
        <f t="shared" si="455"/>
        <v>179.54880736919577</v>
      </c>
      <c r="BI485" s="60" t="str">
        <f t="shared" si="409"/>
        <v>0.00346319835074193-0.00156821615789334i</v>
      </c>
      <c r="BJ485" s="66">
        <f t="shared" si="456"/>
        <v>-48.400406531092905</v>
      </c>
      <c r="BK485" s="63">
        <f t="shared" si="410"/>
        <v>-24.362115216836212</v>
      </c>
      <c r="BL485" s="51">
        <f t="shared" si="457"/>
        <v>-64.957482202404591</v>
      </c>
      <c r="BM485" s="63">
        <f t="shared" si="458"/>
        <v>179.54880736919577</v>
      </c>
    </row>
    <row r="486" spans="14:65" x14ac:dyDescent="0.35">
      <c r="N486" s="11">
        <v>68</v>
      </c>
      <c r="O486" s="52">
        <f t="shared" si="459"/>
        <v>478630.09232263872</v>
      </c>
      <c r="P486" s="50" t="str">
        <f t="shared" si="411"/>
        <v>36.531007751938</v>
      </c>
      <c r="Q486" s="18" t="str">
        <f t="shared" si="412"/>
        <v>1+1468.69192643646i</v>
      </c>
      <c r="R486" s="18">
        <f t="shared" si="423"/>
        <v>1468.6922668754132</v>
      </c>
      <c r="S486" s="18">
        <f t="shared" si="424"/>
        <v>1.5701154489147446</v>
      </c>
      <c r="T486" s="18" t="str">
        <f t="shared" si="413"/>
        <v>1+0.601464312731122i</v>
      </c>
      <c r="U486" s="18">
        <f t="shared" si="425"/>
        <v>1.1669444371901865</v>
      </c>
      <c r="V486" s="18">
        <f t="shared" si="426"/>
        <v>0.54149550527154611</v>
      </c>
      <c r="W486" s="32" t="str">
        <f t="shared" si="414"/>
        <v>1-9.96508920501268i</v>
      </c>
      <c r="X486" s="18">
        <f t="shared" si="427"/>
        <v>10.015138684205038</v>
      </c>
      <c r="Y486" s="18">
        <f t="shared" si="428"/>
        <v>-1.4707808239889857</v>
      </c>
      <c r="Z486" s="32" t="str">
        <f t="shared" si="415"/>
        <v>-3.73319762968548+4.52823213367321i</v>
      </c>
      <c r="AA486" s="18">
        <f t="shared" si="429"/>
        <v>5.8687009464377988</v>
      </c>
      <c r="AB486" s="18">
        <f t="shared" si="430"/>
        <v>2.2602554357344218</v>
      </c>
      <c r="AC486" s="68" t="str">
        <f t="shared" si="431"/>
        <v>0.00234042306933577+0.0494778342913214i</v>
      </c>
      <c r="AD486" s="66">
        <f t="shared" si="432"/>
        <v>-26.102079784455356</v>
      </c>
      <c r="AE486" s="63">
        <f t="shared" si="433"/>
        <v>87.291787613832412</v>
      </c>
      <c r="AF486" s="51" t="str">
        <f t="shared" si="434"/>
        <v>42.1703962805665</v>
      </c>
      <c r="AG486" s="51" t="str">
        <f t="shared" si="416"/>
        <v>1+265.351902675496i</v>
      </c>
      <c r="AH486" s="51">
        <f t="shared" si="435"/>
        <v>265.35378695904433</v>
      </c>
      <c r="AI486" s="51">
        <f t="shared" si="436"/>
        <v>1.5670277641582948</v>
      </c>
      <c r="AJ486" s="51" t="str">
        <f t="shared" si="417"/>
        <v>1+0.601464312731122i</v>
      </c>
      <c r="AK486" s="51">
        <f t="shared" si="437"/>
        <v>1.1669444371901865</v>
      </c>
      <c r="AL486" s="51">
        <f t="shared" si="438"/>
        <v>0.54149550527154611</v>
      </c>
      <c r="AM486" s="51" t="str">
        <f t="shared" si="418"/>
        <v>1-1.55964291123027i</v>
      </c>
      <c r="AN486" s="51">
        <f t="shared" si="439"/>
        <v>1.8526969559404021</v>
      </c>
      <c r="AO486" s="51">
        <f t="shared" si="440"/>
        <v>-1.0006518478601529</v>
      </c>
      <c r="AP486" s="60" t="str">
        <f t="shared" si="441"/>
        <v>-0.151113289178473-0.308572403206708i</v>
      </c>
      <c r="AQ486" s="51">
        <f t="shared" si="442"/>
        <v>-9.2792608361249194</v>
      </c>
      <c r="AR486" s="63">
        <f t="shared" si="443"/>
        <v>-116.09179783308214</v>
      </c>
      <c r="AS486" s="32" t="str">
        <f t="shared" si="419"/>
        <v>-0.000133283554228113</v>
      </c>
      <c r="AT486" s="32" t="str">
        <f t="shared" si="420"/>
        <v>0.183747347539358i</v>
      </c>
      <c r="AU486" s="32">
        <f t="shared" si="444"/>
        <v>0.18374734753935801</v>
      </c>
      <c r="AV486" s="32">
        <f t="shared" si="445"/>
        <v>1.5707963267948966</v>
      </c>
      <c r="AW486" s="32" t="str">
        <f t="shared" si="421"/>
        <v>1+32.1268618829411i</v>
      </c>
      <c r="AX486" s="32">
        <f t="shared" si="446"/>
        <v>32.142421415406361</v>
      </c>
      <c r="AY486" s="32">
        <f t="shared" si="447"/>
        <v>1.5396797727983293</v>
      </c>
      <c r="AZ486" s="32" t="str">
        <f t="shared" si="422"/>
        <v>1+478.768600255536i</v>
      </c>
      <c r="BA486" s="32">
        <f t="shared" si="448"/>
        <v>478.76964460024533</v>
      </c>
      <c r="BB486" s="32">
        <f t="shared" si="449"/>
        <v>1.5687076381355756</v>
      </c>
      <c r="BC486" s="60" t="str">
        <f t="shared" si="450"/>
        <v>-0.000313586682330379+0.0107999191783622i</v>
      </c>
      <c r="BD486" s="51">
        <f t="shared" si="451"/>
        <v>-39.327929938208733</v>
      </c>
      <c r="BE486" s="63">
        <f t="shared" si="452"/>
        <v>91.663174172098294</v>
      </c>
      <c r="BF486" s="60" t="str">
        <f t="shared" si="453"/>
        <v>-0.000535090536972231+9.76079008769297E-06i</v>
      </c>
      <c r="BG486" s="66">
        <f t="shared" si="454"/>
        <v>-65.430009722664096</v>
      </c>
      <c r="BH486" s="63">
        <f t="shared" si="455"/>
        <v>178.95496178593072</v>
      </c>
      <c r="BI486" s="60" t="str">
        <f t="shared" si="409"/>
        <v>0.00337994413031495-0.00153524711372368i</v>
      </c>
      <c r="BJ486" s="66">
        <f t="shared" si="456"/>
        <v>-48.607190774333645</v>
      </c>
      <c r="BK486" s="63">
        <f t="shared" si="410"/>
        <v>-24.428623660983845</v>
      </c>
      <c r="BL486" s="51">
        <f t="shared" si="457"/>
        <v>-65.430009722664096</v>
      </c>
      <c r="BM486" s="63">
        <f t="shared" si="458"/>
        <v>178.95496178593072</v>
      </c>
    </row>
    <row r="487" spans="14:65" x14ac:dyDescent="0.35">
      <c r="N487" s="11">
        <v>69</v>
      </c>
      <c r="O487" s="52">
        <f t="shared" si="459"/>
        <v>489778.81936844654</v>
      </c>
      <c r="P487" s="50" t="str">
        <f t="shared" si="411"/>
        <v>36.531007751938</v>
      </c>
      <c r="Q487" s="18" t="str">
        <f t="shared" si="412"/>
        <v>1+1502.90215614175i</v>
      </c>
      <c r="R487" s="18">
        <f t="shared" si="423"/>
        <v>1502.9024888313684</v>
      </c>
      <c r="S487" s="18">
        <f t="shared" si="424"/>
        <v>1.5701309475828589</v>
      </c>
      <c r="T487" s="18" t="str">
        <f t="shared" si="413"/>
        <v>1+0.615474216324718i</v>
      </c>
      <c r="U487" s="18">
        <f t="shared" si="425"/>
        <v>1.1742267715226584</v>
      </c>
      <c r="V487" s="18">
        <f t="shared" si="426"/>
        <v>0.55171996945247614</v>
      </c>
      <c r="W487" s="32" t="str">
        <f t="shared" si="414"/>
        <v>1-10.1972059509421i</v>
      </c>
      <c r="X487" s="18">
        <f t="shared" si="427"/>
        <v>10.24612166655896</v>
      </c>
      <c r="Y487" s="18">
        <f t="shared" si="428"/>
        <v>-1.4730428123594423</v>
      </c>
      <c r="Z487" s="32" t="str">
        <f t="shared" si="415"/>
        <v>-3.95626636161053+4.63370820980833i</v>
      </c>
      <c r="AA487" s="18">
        <f t="shared" si="429"/>
        <v>6.0928889123022865</v>
      </c>
      <c r="AB487" s="18">
        <f t="shared" si="430"/>
        <v>2.2774931395560389</v>
      </c>
      <c r="AC487" s="68" t="str">
        <f t="shared" si="431"/>
        <v>0.00271319601761286+0.0479208037903998i</v>
      </c>
      <c r="AD487" s="66">
        <f t="shared" si="432"/>
        <v>-26.375618488179025</v>
      </c>
      <c r="AE487" s="63">
        <f t="shared" si="433"/>
        <v>86.759468186501408</v>
      </c>
      <c r="AF487" s="51" t="str">
        <f t="shared" si="434"/>
        <v>42.1703962805665</v>
      </c>
      <c r="AG487" s="51" t="str">
        <f t="shared" si="416"/>
        <v>1+271.5327424962i</v>
      </c>
      <c r="AH487" s="51">
        <f t="shared" si="435"/>
        <v>271.53458388851254</v>
      </c>
      <c r="AI487" s="51">
        <f t="shared" si="436"/>
        <v>1.5671135463322325</v>
      </c>
      <c r="AJ487" s="51" t="str">
        <f t="shared" si="417"/>
        <v>1+0.615474216324718i</v>
      </c>
      <c r="AK487" s="51">
        <f t="shared" si="437"/>
        <v>1.1742267715226584</v>
      </c>
      <c r="AL487" s="51">
        <f t="shared" si="438"/>
        <v>0.55171996945247614</v>
      </c>
      <c r="AM487" s="51" t="str">
        <f t="shared" si="418"/>
        <v>1-1.5959716615223i</v>
      </c>
      <c r="AN487" s="51">
        <f t="shared" si="439"/>
        <v>1.8833814123491428</v>
      </c>
      <c r="AO487" s="51">
        <f t="shared" si="440"/>
        <v>-1.0110634037994648</v>
      </c>
      <c r="AP487" s="60" t="str">
        <f t="shared" si="441"/>
        <v>-0.15114034089999-0.30841454968017i</v>
      </c>
      <c r="AQ487" s="51">
        <f t="shared" si="442"/>
        <v>-9.2825442269857987</v>
      </c>
      <c r="AR487" s="63">
        <f t="shared" si="443"/>
        <v>-116.10743235774315</v>
      </c>
      <c r="AS487" s="32" t="str">
        <f t="shared" si="419"/>
        <v>-0.000133283554228113</v>
      </c>
      <c r="AT487" s="32" t="str">
        <f t="shared" si="420"/>
        <v>0.188027373087201i</v>
      </c>
      <c r="AU487" s="32">
        <f t="shared" si="444"/>
        <v>0.18802737308720099</v>
      </c>
      <c r="AV487" s="32">
        <f t="shared" si="445"/>
        <v>1.5707963267948966</v>
      </c>
      <c r="AW487" s="32" t="str">
        <f t="shared" si="421"/>
        <v>1+32.8751926287853i</v>
      </c>
      <c r="AX487" s="32">
        <f t="shared" si="446"/>
        <v>32.890398148695908</v>
      </c>
      <c r="AY487" s="32">
        <f t="shared" si="447"/>
        <v>1.540387630405494</v>
      </c>
      <c r="AZ487" s="32" t="str">
        <f t="shared" si="422"/>
        <v>1+489.920553565557i</v>
      </c>
      <c r="BA487" s="32">
        <f t="shared" si="448"/>
        <v>489.92157413812856</v>
      </c>
      <c r="BB487" s="32">
        <f t="shared" si="449"/>
        <v>1.5687551823604267</v>
      </c>
      <c r="BC487" s="60" t="str">
        <f t="shared" si="450"/>
        <v>-0.000299486003482667+0.0105545119198847i</v>
      </c>
      <c r="BD487" s="51">
        <f t="shared" si="451"/>
        <v>-39.527741591155923</v>
      </c>
      <c r="BE487" s="63">
        <f t="shared" si="452"/>
        <v>91.625341002135727</v>
      </c>
      <c r="BF487" s="60" t="str">
        <f t="shared" si="453"/>
        <v>-0.000506593259048211+0.0000142848496980148i</v>
      </c>
      <c r="BG487" s="66">
        <f t="shared" si="454"/>
        <v>-65.903360079334945</v>
      </c>
      <c r="BH487" s="63">
        <f t="shared" si="455"/>
        <v>178.38480918863712</v>
      </c>
      <c r="BI487" s="60" t="str">
        <f t="shared" si="409"/>
        <v>0.00330042945752637-0.00150284668870476i</v>
      </c>
      <c r="BJ487" s="66">
        <f t="shared" si="456"/>
        <v>-48.810285818141736</v>
      </c>
      <c r="BK487" s="63">
        <f t="shared" si="410"/>
        <v>-24.48209135560742</v>
      </c>
      <c r="BL487" s="51">
        <f t="shared" si="457"/>
        <v>-65.903360079334945</v>
      </c>
      <c r="BM487" s="63">
        <f t="shared" si="458"/>
        <v>178.38480918863712</v>
      </c>
    </row>
    <row r="488" spans="14:65" x14ac:dyDescent="0.35">
      <c r="N488" s="11">
        <v>70</v>
      </c>
      <c r="O488" s="52">
        <f t="shared" si="459"/>
        <v>501187.23362727347</v>
      </c>
      <c r="P488" s="50" t="str">
        <f t="shared" si="411"/>
        <v>36.531007751938</v>
      </c>
      <c r="Q488" s="18" t="str">
        <f t="shared" si="412"/>
        <v>1+1537.90924446349i</v>
      </c>
      <c r="R488" s="18">
        <f t="shared" si="423"/>
        <v>1537.9095695801695</v>
      </c>
      <c r="S488" s="18">
        <f t="shared" si="424"/>
        <v>1.5701460934585241</v>
      </c>
      <c r="T488" s="18" t="str">
        <f t="shared" si="413"/>
        <v>1+0.629810452494574i</v>
      </c>
      <c r="U488" s="18">
        <f t="shared" si="425"/>
        <v>1.1818042164721787</v>
      </c>
      <c r="V488" s="18">
        <f t="shared" si="426"/>
        <v>0.56205104076505696</v>
      </c>
      <c r="W488" s="32" t="str">
        <f t="shared" si="414"/>
        <v>1-10.4347293904427i</v>
      </c>
      <c r="X488" s="18">
        <f t="shared" si="427"/>
        <v>10.482536785137874</v>
      </c>
      <c r="Y488" s="18">
        <f t="shared" si="428"/>
        <v>-1.4752542817055487</v>
      </c>
      <c r="Z488" s="32" t="str">
        <f t="shared" si="415"/>
        <v>-4.18984799898677+4.74164113937067i</v>
      </c>
      <c r="AA488" s="18">
        <f t="shared" si="429"/>
        <v>6.3275577396959264</v>
      </c>
      <c r="AB488" s="18">
        <f t="shared" si="430"/>
        <v>2.2944922702824511</v>
      </c>
      <c r="AC488" s="68" t="str">
        <f t="shared" si="431"/>
        <v>0.00304175056364533+0.0464061707033998i</v>
      </c>
      <c r="AD488" s="66">
        <f t="shared" si="432"/>
        <v>-26.649866660269467</v>
      </c>
      <c r="AE488" s="63">
        <f t="shared" si="433"/>
        <v>86.249840869739273</v>
      </c>
      <c r="AF488" s="51" t="str">
        <f t="shared" si="434"/>
        <v>42.1703962805665</v>
      </c>
      <c r="AG488" s="51" t="str">
        <f t="shared" si="416"/>
        <v>1+277.857552571136i</v>
      </c>
      <c r="AH488" s="51">
        <f t="shared" si="435"/>
        <v>277.85935204851688</v>
      </c>
      <c r="AI488" s="51">
        <f t="shared" si="436"/>
        <v>1.5671973759178721</v>
      </c>
      <c r="AJ488" s="51" t="str">
        <f t="shared" si="417"/>
        <v>1+0.629810452494574i</v>
      </c>
      <c r="AK488" s="51">
        <f t="shared" si="437"/>
        <v>1.1818042164721787</v>
      </c>
      <c r="AL488" s="51">
        <f t="shared" si="438"/>
        <v>0.56205104076505696</v>
      </c>
      <c r="AM488" s="51" t="str">
        <f t="shared" si="418"/>
        <v>1-1.63314661711444i</v>
      </c>
      <c r="AN488" s="51">
        <f t="shared" si="439"/>
        <v>1.914985084274115</v>
      </c>
      <c r="AO488" s="51">
        <f t="shared" si="440"/>
        <v>-1.0213709306114527</v>
      </c>
      <c r="AP488" s="60" t="str">
        <f t="shared" si="441"/>
        <v>-0.151166175125759-0.308420212660142i</v>
      </c>
      <c r="AQ488" s="51">
        <f t="shared" si="442"/>
        <v>-9.2821281144508454</v>
      </c>
      <c r="AR488" s="63">
        <f t="shared" si="443"/>
        <v>-116.11088643868382</v>
      </c>
      <c r="AS488" s="32" t="str">
        <f t="shared" si="419"/>
        <v>-0.000133283554228113</v>
      </c>
      <c r="AT488" s="32" t="str">
        <f t="shared" si="420"/>
        <v>0.192407093237092i</v>
      </c>
      <c r="AU488" s="32">
        <f t="shared" si="444"/>
        <v>0.19240709323709199</v>
      </c>
      <c r="AV488" s="32">
        <f t="shared" si="445"/>
        <v>1.5707963267948966</v>
      </c>
      <c r="AW488" s="32" t="str">
        <f t="shared" si="421"/>
        <v>1+33.640954236916i</v>
      </c>
      <c r="AX488" s="32">
        <f t="shared" si="446"/>
        <v>33.655813791532019</v>
      </c>
      <c r="AY488" s="32">
        <f t="shared" si="447"/>
        <v>1.5410794046625966</v>
      </c>
      <c r="AZ488" s="32" t="str">
        <f t="shared" si="422"/>
        <v>1+501.332269237943i</v>
      </c>
      <c r="BA488" s="32">
        <f t="shared" si="448"/>
        <v>501.33326657949345</v>
      </c>
      <c r="BB488" s="32">
        <f t="shared" si="449"/>
        <v>1.5688016443555095</v>
      </c>
      <c r="BC488" s="60" t="str">
        <f t="shared" si="450"/>
        <v>-0.000286018812763298+0.0103146622184386i</v>
      </c>
      <c r="BD488" s="51">
        <f t="shared" si="451"/>
        <v>-39.727561713422482</v>
      </c>
      <c r="BE488" s="63">
        <f t="shared" si="452"/>
        <v>91.588367333053952</v>
      </c>
      <c r="BF488" s="60" t="str">
        <f t="shared" si="453"/>
        <v>-0.000479533973541706+0.0000181015917672694i</v>
      </c>
      <c r="BG488" s="66">
        <f t="shared" si="454"/>
        <v>-66.377428373691956</v>
      </c>
      <c r="BH488" s="63">
        <f t="shared" si="455"/>
        <v>177.83820820279323</v>
      </c>
      <c r="BI488" s="60" t="str">
        <f t="shared" si="409"/>
        <v>0.0032244866848678-0.00147101405221828i</v>
      </c>
      <c r="BJ488" s="66">
        <f t="shared" si="456"/>
        <v>-49.009689827873338</v>
      </c>
      <c r="BK488" s="63">
        <f t="shared" si="410"/>
        <v>-24.522519105629886</v>
      </c>
      <c r="BL488" s="51">
        <f t="shared" si="457"/>
        <v>-66.377428373691956</v>
      </c>
      <c r="BM488" s="63">
        <f t="shared" si="458"/>
        <v>177.83820820279323</v>
      </c>
    </row>
    <row r="489" spans="14:65" x14ac:dyDescent="0.35">
      <c r="N489" s="11">
        <v>71</v>
      </c>
      <c r="O489" s="52">
        <f t="shared" si="459"/>
        <v>512861.38399136515</v>
      </c>
      <c r="P489" s="50" t="str">
        <f t="shared" si="411"/>
        <v>36.531007751938</v>
      </c>
      <c r="Q489" s="18" t="str">
        <f t="shared" si="412"/>
        <v>1+1573.73175262328i</v>
      </c>
      <c r="R489" s="18">
        <f t="shared" si="423"/>
        <v>1573.7320703394021</v>
      </c>
      <c r="S489" s="18">
        <f t="shared" si="424"/>
        <v>1.5701608945722565</v>
      </c>
      <c r="T489" s="18" t="str">
        <f t="shared" si="413"/>
        <v>1+0.644480622502866i</v>
      </c>
      <c r="U489" s="18">
        <f t="shared" si="425"/>
        <v>1.1896870482533133</v>
      </c>
      <c r="V489" s="18">
        <f t="shared" si="426"/>
        <v>0.57248537535380384</v>
      </c>
      <c r="W489" s="32" t="str">
        <f t="shared" si="414"/>
        <v>1-10.677785461586i</v>
      </c>
      <c r="X489" s="18">
        <f t="shared" si="427"/>
        <v>10.724509422983289</v>
      </c>
      <c r="Y489" s="18">
        <f t="shared" si="428"/>
        <v>-1.477416318006797</v>
      </c>
      <c r="Z489" s="32" t="str">
        <f t="shared" si="415"/>
        <v>-4.43443799978382+4.85208814982812i</v>
      </c>
      <c r="AA489" s="18">
        <f t="shared" si="429"/>
        <v>6.5732031603799674</v>
      </c>
      <c r="AB489" s="18">
        <f t="shared" si="430"/>
        <v>2.3112509990335073</v>
      </c>
      <c r="AC489" s="68" t="str">
        <f t="shared" si="431"/>
        <v>0.00332911539824326+0.0449340196775272i</v>
      </c>
      <c r="AD489" s="66">
        <f t="shared" si="432"/>
        <v>-26.924720578648078</v>
      </c>
      <c r="AE489" s="63">
        <f t="shared" si="433"/>
        <v>85.762756179697021</v>
      </c>
      <c r="AF489" s="51" t="str">
        <f t="shared" si="434"/>
        <v>42.1703962805665</v>
      </c>
      <c r="AG489" s="51" t="str">
        <f t="shared" si="416"/>
        <v>1+284.329686398324i</v>
      </c>
      <c r="AH489" s="51">
        <f t="shared" si="435"/>
        <v>284.33144491485513</v>
      </c>
      <c r="AI489" s="51">
        <f t="shared" si="436"/>
        <v>1.5672792973580536</v>
      </c>
      <c r="AJ489" s="51" t="str">
        <f t="shared" si="417"/>
        <v>1+0.644480622502866i</v>
      </c>
      <c r="AK489" s="51">
        <f t="shared" si="437"/>
        <v>1.1896870482533133</v>
      </c>
      <c r="AL489" s="51">
        <f t="shared" si="438"/>
        <v>0.57248537535380384</v>
      </c>
      <c r="AM489" s="51" t="str">
        <f t="shared" si="418"/>
        <v>1-1.67118748866022i</v>
      </c>
      <c r="AN489" s="51">
        <f t="shared" si="439"/>
        <v>1.9475285934369366</v>
      </c>
      <c r="AO489" s="51">
        <f t="shared" si="440"/>
        <v>-1.03157113211115</v>
      </c>
      <c r="AP489" s="60" t="str">
        <f t="shared" si="441"/>
        <v>-0.151190846649278-0.30858939574791i</v>
      </c>
      <c r="AQ489" s="51">
        <f t="shared" si="442"/>
        <v>-9.2780126728120944</v>
      </c>
      <c r="AR489" s="63">
        <f t="shared" si="443"/>
        <v>-116.10216535361111</v>
      </c>
      <c r="AS489" s="32" t="str">
        <f t="shared" si="419"/>
        <v>-0.000133283554228113</v>
      </c>
      <c r="AT489" s="32" t="str">
        <f t="shared" si="420"/>
        <v>0.196888830174626i</v>
      </c>
      <c r="AU489" s="32">
        <f t="shared" si="444"/>
        <v>0.196888830174626</v>
      </c>
      <c r="AV489" s="32">
        <f t="shared" si="445"/>
        <v>1.5707963267948966</v>
      </c>
      <c r="AW489" s="32" t="str">
        <f t="shared" si="421"/>
        <v>1+34.4245527242736i</v>
      </c>
      <c r="AX489" s="32">
        <f t="shared" si="446"/>
        <v>34.439074178413868</v>
      </c>
      <c r="AY489" s="32">
        <f t="shared" si="447"/>
        <v>1.5417554597075922</v>
      </c>
      <c r="AZ489" s="32" t="str">
        <f t="shared" si="422"/>
        <v>1+513.009797915394i</v>
      </c>
      <c r="BA489" s="32">
        <f t="shared" si="448"/>
        <v>513.01077255472262</v>
      </c>
      <c r="BB489" s="32">
        <f t="shared" si="449"/>
        <v>1.5688470487547861</v>
      </c>
      <c r="BC489" s="60" t="str">
        <f t="shared" si="450"/>
        <v>-0.000273156699299388+0.0100802454734152i</v>
      </c>
      <c r="BD489" s="51">
        <f t="shared" si="451"/>
        <v>-39.92738992450257</v>
      </c>
      <c r="BE489" s="63">
        <f t="shared" si="452"/>
        <v>91.55223371270705</v>
      </c>
      <c r="BF489" s="60" t="str">
        <f t="shared" si="453"/>
        <v>-0.000453855318630514+0.0000212842719222514i</v>
      </c>
      <c r="BG489" s="66">
        <f t="shared" si="454"/>
        <v>-66.852110503150641</v>
      </c>
      <c r="BH489" s="63">
        <f t="shared" si="455"/>
        <v>177.31498989240404</v>
      </c>
      <c r="BI489" s="60" t="str">
        <f t="shared" si="409"/>
        <v>0.0031519556522668-0.0014397475867769i</v>
      </c>
      <c r="BJ489" s="66">
        <f t="shared" si="456"/>
        <v>-49.205402597314666</v>
      </c>
      <c r="BK489" s="63">
        <f t="shared" si="410"/>
        <v>-24.549931640903999</v>
      </c>
      <c r="BL489" s="51">
        <f t="shared" si="457"/>
        <v>-66.852110503150641</v>
      </c>
      <c r="BM489" s="63">
        <f t="shared" si="458"/>
        <v>177.31498989240404</v>
      </c>
    </row>
    <row r="490" spans="14:65" x14ac:dyDescent="0.35">
      <c r="N490" s="11">
        <v>72</v>
      </c>
      <c r="O490" s="52">
        <f t="shared" si="459"/>
        <v>524807.46024977288</v>
      </c>
      <c r="P490" s="50" t="str">
        <f t="shared" si="411"/>
        <v>36.531007751938</v>
      </c>
      <c r="Q490" s="18" t="str">
        <f t="shared" si="412"/>
        <v>1+1610.38867418911i</v>
      </c>
      <c r="R490" s="18">
        <f t="shared" si="423"/>
        <v>1610.3889846731315</v>
      </c>
      <c r="S490" s="18">
        <f t="shared" si="424"/>
        <v>1.5701753587717766</v>
      </c>
      <c r="T490" s="18" t="str">
        <f t="shared" si="413"/>
        <v>1+0.659492504667922i</v>
      </c>
      <c r="U490" s="18">
        <f t="shared" si="425"/>
        <v>1.1978857890939223</v>
      </c>
      <c r="V490" s="18">
        <f t="shared" si="426"/>
        <v>0.5830194170350963</v>
      </c>
      <c r="W490" s="32" t="str">
        <f t="shared" si="414"/>
        <v>1-10.9265030359182i</v>
      </c>
      <c r="X490" s="18">
        <f t="shared" si="427"/>
        <v>10.97216790766208</v>
      </c>
      <c r="Y490" s="18">
        <f t="shared" si="428"/>
        <v>-1.4795299867090987</v>
      </c>
      <c r="Z490" s="32" t="str">
        <f t="shared" si="415"/>
        <v>-4.69055517218629+4.96510780164762i</v>
      </c>
      <c r="AA490" s="18">
        <f t="shared" si="429"/>
        <v>6.8303443035695954</v>
      </c>
      <c r="AB490" s="18">
        <f t="shared" si="430"/>
        <v>2.3277677863032475</v>
      </c>
      <c r="AC490" s="68" t="str">
        <f t="shared" si="431"/>
        <v>0.00357820413972024+0.0435042889350313i</v>
      </c>
      <c r="AD490" s="66">
        <f t="shared" si="432"/>
        <v>-27.200077533382462</v>
      </c>
      <c r="AE490" s="63">
        <f t="shared" si="433"/>
        <v>85.298037074061256</v>
      </c>
      <c r="AF490" s="51" t="str">
        <f t="shared" si="434"/>
        <v>42.1703962805665</v>
      </c>
      <c r="AG490" s="51" t="str">
        <f t="shared" si="416"/>
        <v>1+290.95257558879i</v>
      </c>
      <c r="AH490" s="51">
        <f t="shared" si="435"/>
        <v>290.95429407683702</v>
      </c>
      <c r="AI490" s="51">
        <f t="shared" si="436"/>
        <v>1.5673593540842086</v>
      </c>
      <c r="AJ490" s="51" t="str">
        <f t="shared" si="417"/>
        <v>1+0.659492504667922i</v>
      </c>
      <c r="AK490" s="51">
        <f t="shared" si="437"/>
        <v>1.1978857890939223</v>
      </c>
      <c r="AL490" s="51">
        <f t="shared" si="438"/>
        <v>0.5830194170350963</v>
      </c>
      <c r="AM490" s="51" t="str">
        <f t="shared" si="418"/>
        <v>1-1.71011444593328i</v>
      </c>
      <c r="AN490" s="51">
        <f t="shared" si="439"/>
        <v>1.9810329169879255</v>
      </c>
      <c r="AO490" s="51">
        <f t="shared" si="440"/>
        <v>-1.0416609259538874</v>
      </c>
      <c r="AP490" s="60" t="str">
        <f t="shared" si="441"/>
        <v>-0.151214407798176-0.308922189205328i</v>
      </c>
      <c r="AQ490" s="51">
        <f t="shared" si="442"/>
        <v>-9.2701996872566657</v>
      </c>
      <c r="AR490" s="63">
        <f t="shared" si="443"/>
        <v>-116.08129873993441</v>
      </c>
      <c r="AS490" s="32" t="str">
        <f t="shared" si="419"/>
        <v>-0.000133283554228113</v>
      </c>
      <c r="AT490" s="32" t="str">
        <f t="shared" si="420"/>
        <v>0.20147496017605i</v>
      </c>
      <c r="AU490" s="32">
        <f t="shared" si="444"/>
        <v>0.20147496017604999</v>
      </c>
      <c r="AV490" s="32">
        <f t="shared" si="445"/>
        <v>1.5707963267948966</v>
      </c>
      <c r="AW490" s="32" t="str">
        <f t="shared" si="421"/>
        <v>1+35.2264035651486i</v>
      </c>
      <c r="AX490" s="32">
        <f t="shared" si="446"/>
        <v>35.240594605294532</v>
      </c>
      <c r="AY490" s="32">
        <f t="shared" si="447"/>
        <v>1.5424161515204704</v>
      </c>
      <c r="AZ490" s="32" t="str">
        <f t="shared" si="422"/>
        <v>1+524.959331178189i</v>
      </c>
      <c r="BA490" s="32">
        <f t="shared" si="448"/>
        <v>524.96028363205869</v>
      </c>
      <c r="BB490" s="32">
        <f t="shared" si="449"/>
        <v>1.5688914196315202</v>
      </c>
      <c r="BC490" s="60" t="str">
        <f t="shared" si="450"/>
        <v>-0.000260872522066413+0.00985113979372453i</v>
      </c>
      <c r="BD490" s="51">
        <f t="shared" si="451"/>
        <v>-40.127225860956628</v>
      </c>
      <c r="BE490" s="63">
        <f t="shared" si="452"/>
        <v>91.516921124240454</v>
      </c>
      <c r="BF490" s="60" t="str">
        <f t="shared" si="453"/>
        <v>-0.000429500287063974+0.0000239003156156804i</v>
      </c>
      <c r="BG490" s="66">
        <f t="shared" si="454"/>
        <v>-67.327303394339083</v>
      </c>
      <c r="BH490" s="63">
        <f t="shared" si="455"/>
        <v>176.81495819830172</v>
      </c>
      <c r="BI490" s="60" t="str">
        <f t="shared" si="409"/>
        <v>0.00308268335518019-0.00140904495942483i</v>
      </c>
      <c r="BJ490" s="66">
        <f t="shared" si="456"/>
        <v>-49.397425548213299</v>
      </c>
      <c r="BK490" s="63">
        <f t="shared" si="410"/>
        <v>-24.564377615694006</v>
      </c>
      <c r="BL490" s="51">
        <f t="shared" si="457"/>
        <v>-67.327303394339083</v>
      </c>
      <c r="BM490" s="63">
        <f t="shared" si="458"/>
        <v>176.81495819830172</v>
      </c>
    </row>
    <row r="491" spans="14:65" x14ac:dyDescent="0.35">
      <c r="N491" s="11">
        <v>73</v>
      </c>
      <c r="O491" s="52">
        <f t="shared" si="459"/>
        <v>537031.7963702539</v>
      </c>
      <c r="P491" s="50" t="str">
        <f t="shared" si="411"/>
        <v>36.531007751938</v>
      </c>
      <c r="Q491" s="18" t="str">
        <f t="shared" si="412"/>
        <v>1+1647.89944514601i</v>
      </c>
      <c r="R491" s="18">
        <f t="shared" si="423"/>
        <v>1647.8997485625537</v>
      </c>
      <c r="S491" s="18">
        <f t="shared" si="424"/>
        <v>1.5701894937261698</v>
      </c>
      <c r="T491" s="18" t="str">
        <f t="shared" si="413"/>
        <v>1+0.674854058488368i</v>
      </c>
      <c r="U491" s="18">
        <f t="shared" si="425"/>
        <v>1.2064112069515194</v>
      </c>
      <c r="V491" s="18">
        <f t="shared" si="426"/>
        <v>0.59364939954820295</v>
      </c>
      <c r="W491" s="32" t="str">
        <f t="shared" si="414"/>
        <v>1-11.1810139867895i</v>
      </c>
      <c r="X491" s="18">
        <f t="shared" si="427"/>
        <v>11.225643579447123</v>
      </c>
      <c r="Y491" s="18">
        <f t="shared" si="428"/>
        <v>-1.4815963329217348</v>
      </c>
      <c r="Z491" s="32" t="str">
        <f t="shared" si="415"/>
        <v>-4.95874277505498+5.08076001934451i</v>
      </c>
      <c r="AA491" s="18">
        <f t="shared" si="429"/>
        <v>7.0995247927822316</v>
      </c>
      <c r="AB491" s="18">
        <f t="shared" si="430"/>
        <v>2.344041374695895</v>
      </c>
      <c r="AC491" s="68" t="str">
        <f t="shared" si="431"/>
        <v>0.00379181169643211+0.0421167830590125i</v>
      </c>
      <c r="AD491" s="66">
        <f t="shared" si="432"/>
        <v>-27.47583605585428</v>
      </c>
      <c r="AE491" s="63">
        <f t="shared" si="433"/>
        <v>84.855479485701125</v>
      </c>
      <c r="AF491" s="51" t="str">
        <f t="shared" si="434"/>
        <v>42.1703962805665</v>
      </c>
      <c r="AG491" s="51" t="str">
        <f t="shared" si="416"/>
        <v>1+297.729731686046i</v>
      </c>
      <c r="AH491" s="51">
        <f t="shared" si="435"/>
        <v>297.73141105675251</v>
      </c>
      <c r="AI491" s="51">
        <f t="shared" si="436"/>
        <v>1.5674375885393654</v>
      </c>
      <c r="AJ491" s="51" t="str">
        <f t="shared" si="417"/>
        <v>1+0.674854058488368i</v>
      </c>
      <c r="AK491" s="51">
        <f t="shared" si="437"/>
        <v>1.2064112069515194</v>
      </c>
      <c r="AL491" s="51">
        <f t="shared" si="438"/>
        <v>0.59364939954820295</v>
      </c>
      <c r="AM491" s="51" t="str">
        <f t="shared" si="418"/>
        <v>1-1.74994812852161i</v>
      </c>
      <c r="AN491" s="51">
        <f t="shared" si="439"/>
        <v>2.0155194001835572</v>
      </c>
      <c r="AO491" s="51">
        <f t="shared" si="440"/>
        <v>-1.0516374438991523</v>
      </c>
      <c r="AP491" s="60" t="str">
        <f t="shared" si="441"/>
        <v>-0.15123690854518-0.309418770005339i</v>
      </c>
      <c r="AQ491" s="51">
        <f t="shared" si="442"/>
        <v>-9.2586925572265688</v>
      </c>
      <c r="AR491" s="63">
        <f t="shared" si="443"/>
        <v>-116.04834048222864</v>
      </c>
      <c r="AS491" s="32" t="str">
        <f t="shared" si="419"/>
        <v>-0.000133283554228113</v>
      </c>
      <c r="AT491" s="32" t="str">
        <f t="shared" si="420"/>
        <v>0.206167914868196i</v>
      </c>
      <c r="AU491" s="32">
        <f t="shared" si="444"/>
        <v>0.20616791486819599</v>
      </c>
      <c r="AV491" s="32">
        <f t="shared" si="445"/>
        <v>1.5707963267948966</v>
      </c>
      <c r="AW491" s="32" t="str">
        <f t="shared" si="421"/>
        <v>1+36.0469319114703i</v>
      </c>
      <c r="AX491" s="32">
        <f t="shared" si="446"/>
        <v>36.060800049779481</v>
      </c>
      <c r="AY491" s="32">
        <f t="shared" si="447"/>
        <v>1.5430618281002466</v>
      </c>
      <c r="AZ491" s="32" t="str">
        <f t="shared" si="422"/>
        <v>1+537.187204827033i</v>
      </c>
      <c r="BA491" s="32">
        <f t="shared" si="448"/>
        <v>537.18813560044373</v>
      </c>
      <c r="BB491" s="32">
        <f t="shared" si="449"/>
        <v>1.5689347805110392</v>
      </c>
      <c r="BC491" s="60" t="str">
        <f t="shared" si="450"/>
        <v>-0.000249140353512307+0.00962722594453487i</v>
      </c>
      <c r="BD491" s="51">
        <f t="shared" si="451"/>
        <v>-40.327069175648319</v>
      </c>
      <c r="BE491" s="63">
        <f t="shared" si="452"/>
        <v>91.482410976681237</v>
      </c>
      <c r="BF491" s="60" t="str">
        <f t="shared" si="453"/>
        <v>-0.000406412479872573+0.0000260116377205585i</v>
      </c>
      <c r="BG491" s="66">
        <f t="shared" si="454"/>
        <v>-67.802905231502592</v>
      </c>
      <c r="BH491" s="63">
        <f t="shared" si="455"/>
        <v>176.33789046238238</v>
      </c>
      <c r="BI491" s="60" t="str">
        <f t="shared" si="409"/>
        <v>0.00301652362718052-0.00137890318797493i</v>
      </c>
      <c r="BJ491" s="66">
        <f t="shared" si="456"/>
        <v>-49.585761732874893</v>
      </c>
      <c r="BK491" s="63">
        <f t="shared" si="410"/>
        <v>-24.565929505547398</v>
      </c>
      <c r="BL491" s="51">
        <f t="shared" si="457"/>
        <v>-67.802905231502592</v>
      </c>
      <c r="BM491" s="63">
        <f t="shared" si="458"/>
        <v>176.33789046238238</v>
      </c>
    </row>
    <row r="492" spans="14:65" x14ac:dyDescent="0.35">
      <c r="N492" s="11">
        <v>74</v>
      </c>
      <c r="O492" s="52">
        <f t="shared" si="459"/>
        <v>549540.87385762564</v>
      </c>
      <c r="P492" s="50" t="str">
        <f t="shared" si="411"/>
        <v>36.531007751938</v>
      </c>
      <c r="Q492" s="18" t="str">
        <f t="shared" si="412"/>
        <v>1+1686.28395420126i</v>
      </c>
      <c r="R492" s="18">
        <f t="shared" si="423"/>
        <v>1686.2842507112009</v>
      </c>
      <c r="S492" s="18">
        <f t="shared" si="424"/>
        <v>1.5702033069299537</v>
      </c>
      <c r="T492" s="18" t="str">
        <f t="shared" si="413"/>
        <v>1+0.690573428863372i</v>
      </c>
      <c r="U492" s="18">
        <f t="shared" si="425"/>
        <v>1.2152743149808256</v>
      </c>
      <c r="V492" s="18">
        <f t="shared" si="426"/>
        <v>0.60437134975166118</v>
      </c>
      <c r="W492" s="32" t="str">
        <f t="shared" si="414"/>
        <v>1-11.4414532592748i</v>
      </c>
      <c r="X492" s="18">
        <f t="shared" si="427"/>
        <v>11.485070861086141</v>
      </c>
      <c r="Y492" s="18">
        <f t="shared" si="428"/>
        <v>-1.4836163816269159</v>
      </c>
      <c r="Z492" s="32" t="str">
        <f t="shared" si="415"/>
        <v>-5.23956967025213+5.19910612325546i</v>
      </c>
      <c r="AA492" s="18">
        <f t="shared" si="429"/>
        <v>7.3813138945785548</v>
      </c>
      <c r="AB492" s="18">
        <f t="shared" si="430"/>
        <v>2.3600707811255477</v>
      </c>
      <c r="AC492" s="68" t="str">
        <f t="shared" si="431"/>
        <v>0.0039726116867634+0.0407711854594074i</v>
      </c>
      <c r="AD492" s="66">
        <f t="shared" si="432"/>
        <v>-27.751896142369294</v>
      </c>
      <c r="AE492" s="63">
        <f t="shared" si="433"/>
        <v>84.434852940493627</v>
      </c>
      <c r="AF492" s="51" t="str">
        <f t="shared" si="434"/>
        <v>42.1703962805665</v>
      </c>
      <c r="AG492" s="51" t="str">
        <f t="shared" si="416"/>
        <v>1+304.664748027959i</v>
      </c>
      <c r="AH492" s="51">
        <f t="shared" si="435"/>
        <v>304.66638917172952</v>
      </c>
      <c r="AI492" s="51">
        <f t="shared" si="436"/>
        <v>1.5675140422006353</v>
      </c>
      <c r="AJ492" s="51" t="str">
        <f t="shared" si="417"/>
        <v>1+0.690573428863372i</v>
      </c>
      <c r="AK492" s="51">
        <f t="shared" si="437"/>
        <v>1.2152743149808256</v>
      </c>
      <c r="AL492" s="51">
        <f t="shared" si="438"/>
        <v>0.60437134975166118</v>
      </c>
      <c r="AM492" s="51" t="str">
        <f t="shared" si="418"/>
        <v>1-1.79070965677098i</v>
      </c>
      <c r="AN492" s="51">
        <f t="shared" si="439"/>
        <v>2.0510097695654306</v>
      </c>
      <c r="AO492" s="51">
        <f t="shared" si="440"/>
        <v>-1.0614980312444833</v>
      </c>
      <c r="AP492" s="60" t="str">
        <f t="shared" si="441"/>
        <v>-0.151258396614085-0.310079401928302i</v>
      </c>
      <c r="AQ492" s="51">
        <f t="shared" si="442"/>
        <v>-9.2434963027069585</v>
      </c>
      <c r="AR492" s="63">
        <f t="shared" si="443"/>
        <v>-116.00336849794782</v>
      </c>
      <c r="AS492" s="32" t="str">
        <f t="shared" si="419"/>
        <v>-0.000133283554228113</v>
      </c>
      <c r="AT492" s="32" t="str">
        <f t="shared" si="420"/>
        <v>0.21097018251776i</v>
      </c>
      <c r="AU492" s="32">
        <f t="shared" si="444"/>
        <v>0.21097018251776001</v>
      </c>
      <c r="AV492" s="32">
        <f t="shared" si="445"/>
        <v>1.5707963267948966</v>
      </c>
      <c r="AW492" s="32" t="str">
        <f t="shared" si="421"/>
        <v>1+36.886572818229i</v>
      </c>
      <c r="AX492" s="32">
        <f t="shared" si="446"/>
        <v>36.900125396460517</v>
      </c>
      <c r="AY492" s="32">
        <f t="shared" si="447"/>
        <v>1.543692829638506</v>
      </c>
      <c r="AZ492" s="32" t="str">
        <f t="shared" si="422"/>
        <v>1+549.699902242388i</v>
      </c>
      <c r="BA492" s="32">
        <f t="shared" si="448"/>
        <v>549.70081182884473</v>
      </c>
      <c r="BB492" s="32">
        <f t="shared" si="449"/>
        <v>1.5689771543832025</v>
      </c>
      <c r="BC492" s="60" t="str">
        <f t="shared" si="450"/>
        <v>-0.000237935425650808+0.00940838729466742i</v>
      </c>
      <c r="BD492" s="51">
        <f t="shared" si="451"/>
        <v>-40.526919537015559</v>
      </c>
      <c r="BE492" s="63">
        <f t="shared" si="452"/>
        <v>91.448685095709308</v>
      </c>
      <c r="BF492" s="60" t="str">
        <f t="shared" si="453"/>
        <v>-0.000384536328317453+0.0000276749599538199i</v>
      </c>
      <c r="BG492" s="66">
        <f t="shared" si="454"/>
        <v>-68.278815679384863</v>
      </c>
      <c r="BH492" s="63">
        <f t="shared" si="455"/>
        <v>175.88353803620294</v>
      </c>
      <c r="BI492" s="60" t="str">
        <f t="shared" si="409"/>
        <v>0.00295333683642194-0.00134931870243236i</v>
      </c>
      <c r="BJ492" s="66">
        <f t="shared" si="456"/>
        <v>-49.770415839722524</v>
      </c>
      <c r="BK492" s="63">
        <f t="shared" si="410"/>
        <v>-24.554683402238435</v>
      </c>
      <c r="BL492" s="51">
        <f t="shared" si="457"/>
        <v>-68.278815679384863</v>
      </c>
      <c r="BM492" s="63">
        <f t="shared" si="458"/>
        <v>175.88353803620294</v>
      </c>
    </row>
    <row r="493" spans="14:65" x14ac:dyDescent="0.35">
      <c r="N493" s="11">
        <v>75</v>
      </c>
      <c r="O493" s="52">
        <f t="shared" si="459"/>
        <v>562341.32519035018</v>
      </c>
      <c r="P493" s="50" t="str">
        <f t="shared" si="411"/>
        <v>36.531007751938</v>
      </c>
      <c r="Q493" s="18" t="str">
        <f t="shared" si="412"/>
        <v>1+1725.56255332963i</v>
      </c>
      <c r="R493" s="18">
        <f t="shared" si="423"/>
        <v>1725.562843090182</v>
      </c>
      <c r="S493" s="18">
        <f t="shared" si="424"/>
        <v>1.5702168057070507</v>
      </c>
      <c r="T493" s="18" t="str">
        <f t="shared" si="413"/>
        <v>1+0.706658950411182i</v>
      </c>
      <c r="U493" s="18">
        <f t="shared" si="425"/>
        <v>1.2244863707678553</v>
      </c>
      <c r="V493" s="18">
        <f t="shared" si="426"/>
        <v>0.61518109178817149</v>
      </c>
      <c r="W493" s="32" t="str">
        <f t="shared" si="414"/>
        <v>1-11.7079589417237i</v>
      </c>
      <c r="X493" s="18">
        <f t="shared" si="427"/>
        <v>11.750587329197121</v>
      </c>
      <c r="Y493" s="18">
        <f t="shared" si="428"/>
        <v>-1.4855911379006317</v>
      </c>
      <c r="Z493" s="32" t="str">
        <f t="shared" si="415"/>
        <v>-5.53363152927353+5.32020886205128i</v>
      </c>
      <c r="AA493" s="18">
        <f t="shared" si="429"/>
        <v>7.6763077216601401</v>
      </c>
      <c r="AB493" s="18">
        <f t="shared" si="430"/>
        <v>2.3758552885386592</v>
      </c>
      <c r="AC493" s="68" t="str">
        <f t="shared" si="431"/>
        <v>0.0041231548377557+0.0394670704490771i</v>
      </c>
      <c r="AD493" s="66">
        <f t="shared" si="432"/>
        <v>-28.028159471360826</v>
      </c>
      <c r="AE493" s="63">
        <f t="shared" si="433"/>
        <v>84.035901257339489</v>
      </c>
      <c r="AF493" s="51" t="str">
        <f t="shared" si="434"/>
        <v>42.1703962805665</v>
      </c>
      <c r="AG493" s="51" t="str">
        <f t="shared" si="416"/>
        <v>1+311.761301651993i</v>
      </c>
      <c r="AH493" s="51">
        <f t="shared" si="435"/>
        <v>311.76290543896488</v>
      </c>
      <c r="AI493" s="51">
        <f t="shared" si="436"/>
        <v>1.5675887556011838</v>
      </c>
      <c r="AJ493" s="51" t="str">
        <f t="shared" si="417"/>
        <v>1+0.706658950411182i</v>
      </c>
      <c r="AK493" s="51">
        <f t="shared" si="437"/>
        <v>1.2244863707678553</v>
      </c>
      <c r="AL493" s="51">
        <f t="shared" si="438"/>
        <v>0.61518109178817149</v>
      </c>
      <c r="AM493" s="51" t="str">
        <f t="shared" si="418"/>
        <v>1-1.83242064298323i</v>
      </c>
      <c r="AN493" s="51">
        <f t="shared" si="439"/>
        <v>2.0875261466221384</v>
      </c>
      <c r="AO493" s="51">
        <f t="shared" si="440"/>
        <v>-1.0712402454750329</v>
      </c>
      <c r="AP493" s="60" t="str">
        <f t="shared" si="441"/>
        <v>-0.151278917580946-0.310904435704171i</v>
      </c>
      <c r="AQ493" s="51">
        <f t="shared" si="442"/>
        <v>-9.224617573251269</v>
      </c>
      <c r="AR493" s="63">
        <f t="shared" si="443"/>
        <v>-115.94648442267781</v>
      </c>
      <c r="AS493" s="32" t="str">
        <f t="shared" si="419"/>
        <v>-0.000133283554228113</v>
      </c>
      <c r="AT493" s="32" t="str">
        <f t="shared" si="420"/>
        <v>0.215884309350616i</v>
      </c>
      <c r="AU493" s="32">
        <f t="shared" si="444"/>
        <v>0.215884309350616</v>
      </c>
      <c r="AV493" s="32">
        <f t="shared" si="445"/>
        <v>1.5707963267948966</v>
      </c>
      <c r="AW493" s="32" t="str">
        <f t="shared" si="421"/>
        <v>1+37.7457714741476i</v>
      </c>
      <c r="AX493" s="32">
        <f t="shared" si="446"/>
        <v>37.759015667500854</v>
      </c>
      <c r="AY493" s="32">
        <f t="shared" si="447"/>
        <v>1.5443094886895343</v>
      </c>
      <c r="AZ493" s="32" t="str">
        <f t="shared" si="422"/>
        <v>1+562.504057822053i</v>
      </c>
      <c r="BA493" s="32">
        <f t="shared" si="448"/>
        <v>562.50494670382739</v>
      </c>
      <c r="BB493" s="32">
        <f t="shared" si="449"/>
        <v>1.569018563714589</v>
      </c>
      <c r="BC493" s="60" t="str">
        <f t="shared" si="450"/>
        <v>-0.000227234078518895+0.00919450976466814i</v>
      </c>
      <c r="BD493" s="51">
        <f t="shared" si="451"/>
        <v>-40.726776628373983</v>
      </c>
      <c r="BE493" s="63">
        <f t="shared" si="452"/>
        <v>91.415725714607746</v>
      </c>
      <c r="BF493" s="60" t="str">
        <f t="shared" si="453"/>
        <v>-0.000363817285917033+0.0000289421240316471i</v>
      </c>
      <c r="BG493" s="66">
        <f t="shared" si="454"/>
        <v>-68.754936099734806</v>
      </c>
      <c r="BH493" s="63">
        <f t="shared" si="455"/>
        <v>175.45162697194723</v>
      </c>
      <c r="BI493" s="60" t="str">
        <f t="shared" si="409"/>
        <v>0.00289298959539648-0.00132028740193176i</v>
      </c>
      <c r="BJ493" s="66">
        <f t="shared" si="456"/>
        <v>-49.951394201625241</v>
      </c>
      <c r="BK493" s="63">
        <f t="shared" si="410"/>
        <v>-24.53075870807006</v>
      </c>
      <c r="BL493" s="51">
        <f t="shared" si="457"/>
        <v>-68.754936099734806</v>
      </c>
      <c r="BM493" s="63">
        <f t="shared" si="458"/>
        <v>175.45162697194723</v>
      </c>
    </row>
    <row r="494" spans="14:65" x14ac:dyDescent="0.35">
      <c r="N494" s="11">
        <v>76</v>
      </c>
      <c r="O494" s="52">
        <f t="shared" si="459"/>
        <v>575439.93733715697</v>
      </c>
      <c r="P494" s="50" t="str">
        <f t="shared" si="411"/>
        <v>36.531007751938</v>
      </c>
      <c r="Q494" s="18" t="str">
        <f t="shared" si="412"/>
        <v>1+1765.75606856429i</v>
      </c>
      <c r="R494" s="18">
        <f t="shared" si="423"/>
        <v>1765.7563517290878</v>
      </c>
      <c r="S494" s="18">
        <f t="shared" si="424"/>
        <v>1.5702299972146714</v>
      </c>
      <c r="T494" s="18" t="str">
        <f t="shared" si="413"/>
        <v>1+0.723119151888234i</v>
      </c>
      <c r="U494" s="18">
        <f t="shared" si="425"/>
        <v>1.2340588753489676</v>
      </c>
      <c r="V494" s="18">
        <f t="shared" si="426"/>
        <v>0.62607425223402813</v>
      </c>
      <c r="W494" s="32" t="str">
        <f t="shared" si="414"/>
        <v>1-11.9806723389767i</v>
      </c>
      <c r="X494" s="18">
        <f t="shared" si="427"/>
        <v>12.022333787327709</v>
      </c>
      <c r="Y494" s="18">
        <f t="shared" si="428"/>
        <v>-1.4875215871435459</v>
      </c>
      <c r="Z494" s="32" t="str">
        <f t="shared" si="415"/>
        <v>-5.84155209674778+5.44413244600703i</v>
      </c>
      <c r="AA494" s="18">
        <f t="shared" si="429"/>
        <v>7.985130492902722</v>
      </c>
      <c r="AB494" s="18">
        <f t="shared" si="430"/>
        <v>2.3913944372186196</v>
      </c>
      <c r="AC494" s="68" t="str">
        <f t="shared" si="431"/>
        <v>0.00424586828149775+0.0382039148709673i</v>
      </c>
      <c r="AD494" s="66">
        <f t="shared" si="432"/>
        <v>-28.30452961335336</v>
      </c>
      <c r="AE494" s="63">
        <f t="shared" si="433"/>
        <v>83.658343327962712</v>
      </c>
      <c r="AF494" s="51" t="str">
        <f t="shared" si="434"/>
        <v>42.1703962805665</v>
      </c>
      <c r="AG494" s="51" t="str">
        <f t="shared" si="416"/>
        <v>1+319.02315524481i</v>
      </c>
      <c r="AH494" s="51">
        <f t="shared" si="435"/>
        <v>319.02472252531487</v>
      </c>
      <c r="AI494" s="51">
        <f t="shared" si="436"/>
        <v>1.5676617683517069</v>
      </c>
      <c r="AJ494" s="51" t="str">
        <f t="shared" si="417"/>
        <v>1+0.723119151888234i</v>
      </c>
      <c r="AK494" s="51">
        <f t="shared" si="437"/>
        <v>1.2340588753489676</v>
      </c>
      <c r="AL494" s="51">
        <f t="shared" si="438"/>
        <v>0.62607425223402813</v>
      </c>
      <c r="AM494" s="51" t="str">
        <f t="shared" si="418"/>
        <v>1-1.87510320287532i</v>
      </c>
      <c r="AN494" s="51">
        <f t="shared" si="439"/>
        <v>2.1250910619155321</v>
      </c>
      <c r="AO494" s="51">
        <f t="shared" si="440"/>
        <v>-1.0808618541778188</v>
      </c>
      <c r="AP494" s="60" t="str">
        <f t="shared" si="441"/>
        <v>-0.151298514970732-0.311894309200625i</v>
      </c>
      <c r="AQ494" s="51">
        <f t="shared" si="442"/>
        <v>-9.2020646594646642</v>
      </c>
      <c r="AR494" s="63">
        <f t="shared" si="443"/>
        <v>-115.87781319682296</v>
      </c>
      <c r="AS494" s="32" t="str">
        <f t="shared" si="419"/>
        <v>-0.000133283554228113</v>
      </c>
      <c r="AT494" s="32" t="str">
        <f t="shared" si="420"/>
        <v>0.220912900901855i</v>
      </c>
      <c r="AU494" s="32">
        <f t="shared" si="444"/>
        <v>0.220912900901855</v>
      </c>
      <c r="AV494" s="32">
        <f t="shared" si="445"/>
        <v>1.5707963267948966</v>
      </c>
      <c r="AW494" s="32" t="str">
        <f t="shared" si="421"/>
        <v>1+38.6249834377259i</v>
      </c>
      <c r="AX494" s="32">
        <f t="shared" si="446"/>
        <v>38.637926258594682</v>
      </c>
      <c r="AY494" s="32">
        <f t="shared" si="447"/>
        <v>1.5449121303370812</v>
      </c>
      <c r="AZ494" s="32" t="str">
        <f t="shared" si="422"/>
        <v>1+575.606460498793i</v>
      </c>
      <c r="BA494" s="32">
        <f t="shared" si="448"/>
        <v>575.60732914717869</v>
      </c>
      <c r="BB494" s="32">
        <f t="shared" si="449"/>
        <v>1.5690590304604062</v>
      </c>
      <c r="BC494" s="60" t="str">
        <f t="shared" si="450"/>
        <v>-0.000217013710897384+0.00898548177557583i</v>
      </c>
      <c r="BD494" s="51">
        <f t="shared" si="451"/>
        <v>-40.926640147251007</v>
      </c>
      <c r="BE494" s="63">
        <f t="shared" si="452"/>
        <v>91.383515465390445</v>
      </c>
      <c r="BF494" s="60" t="str">
        <f t="shared" si="453"/>
        <v>-0.000344201992460476+0.0000298603987279371i</v>
      </c>
      <c r="BG494" s="66">
        <f t="shared" si="454"/>
        <v>-69.231169760604374</v>
      </c>
      <c r="BH494" s="63">
        <f t="shared" si="455"/>
        <v>175.04185879335316</v>
      </c>
      <c r="BI494" s="60" t="str">
        <f t="shared" si="409"/>
        <v>0.00283535448341509-0.0012918047074938i</v>
      </c>
      <c r="BJ494" s="66">
        <f t="shared" si="456"/>
        <v>-50.12870480671566</v>
      </c>
      <c r="BK494" s="63">
        <f t="shared" si="410"/>
        <v>-24.494297731432599</v>
      </c>
      <c r="BL494" s="51">
        <f t="shared" si="457"/>
        <v>-69.231169760604374</v>
      </c>
      <c r="BM494" s="63">
        <f t="shared" si="458"/>
        <v>175.04185879335316</v>
      </c>
    </row>
    <row r="495" spans="14:65" x14ac:dyDescent="0.35">
      <c r="N495" s="11">
        <v>77</v>
      </c>
      <c r="O495" s="52">
        <f t="shared" si="459"/>
        <v>588843.65535558888</v>
      </c>
      <c r="P495" s="50" t="str">
        <f t="shared" si="411"/>
        <v>36.531007751938</v>
      </c>
      <c r="Q495" s="18" t="str">
        <f t="shared" si="412"/>
        <v>1+1806.88581103905i</v>
      </c>
      <c r="R495" s="18">
        <f t="shared" si="423"/>
        <v>1806.8860877582308</v>
      </c>
      <c r="S495" s="18">
        <f t="shared" si="424"/>
        <v>1.5702428884471091</v>
      </c>
      <c r="T495" s="18" t="str">
        <f t="shared" si="413"/>
        <v>1+0.739962760711232i</v>
      </c>
      <c r="U495" s="18">
        <f t="shared" si="425"/>
        <v>1.2440035720364262</v>
      </c>
      <c r="V495" s="18">
        <f t="shared" si="426"/>
        <v>0.63704626624139327</v>
      </c>
      <c r="W495" s="32" t="str">
        <f t="shared" si="414"/>
        <v>1-12.2597380472867i</v>
      </c>
      <c r="X495" s="18">
        <f t="shared" si="427"/>
        <v>12.300454340718034</v>
      </c>
      <c r="Y495" s="18">
        <f t="shared" si="428"/>
        <v>-1.4894086953207808</v>
      </c>
      <c r="Z495" s="32" t="str">
        <f t="shared" si="415"/>
        <v>-6.16398451348207+5.57094258104728i</v>
      </c>
      <c r="AA495" s="18">
        <f t="shared" si="429"/>
        <v>8.3084358530214644</v>
      </c>
      <c r="AB495" s="18">
        <f t="shared" si="430"/>
        <v>2.4066880157310955</v>
      </c>
      <c r="AC495" s="68" t="str">
        <f t="shared" si="431"/>
        <v>0.00434305566755927+0.0369811092279244i</v>
      </c>
      <c r="AD495" s="66">
        <f t="shared" si="432"/>
        <v>-28.580912232869228</v>
      </c>
      <c r="AE495" s="63">
        <f t="shared" si="433"/>
        <v>83.301873973674873</v>
      </c>
      <c r="AF495" s="51" t="str">
        <f t="shared" si="434"/>
        <v>42.1703962805665</v>
      </c>
      <c r="AG495" s="51" t="str">
        <f t="shared" si="416"/>
        <v>1+326.454159137309i</v>
      </c>
      <c r="AH495" s="51">
        <f t="shared" si="435"/>
        <v>326.45569074232338</v>
      </c>
      <c r="AI495" s="51">
        <f t="shared" si="436"/>
        <v>1.5677331191614157</v>
      </c>
      <c r="AJ495" s="51" t="str">
        <f t="shared" si="417"/>
        <v>1+0.739962760711232i</v>
      </c>
      <c r="AK495" s="51">
        <f t="shared" si="437"/>
        <v>1.2440035720364262</v>
      </c>
      <c r="AL495" s="51">
        <f t="shared" si="438"/>
        <v>0.63704626624139327</v>
      </c>
      <c r="AM495" s="51" t="str">
        <f t="shared" si="418"/>
        <v>1-1.91877996730552i</v>
      </c>
      <c r="AN495" s="51">
        <f t="shared" si="439"/>
        <v>2.1637274696534616</v>
      </c>
      <c r="AO495" s="51">
        <f t="shared" si="440"/>
        <v>-1.0903608322723986</v>
      </c>
      <c r="AP495" s="60" t="str">
        <f t="shared" si="441"/>
        <v>-0.151317230349628-0.31304954765726i</v>
      </c>
      <c r="AQ495" s="51">
        <f t="shared" si="442"/>
        <v>-9.1758475065873686</v>
      </c>
      <c r="AR495" s="63">
        <f t="shared" si="443"/>
        <v>-115.79750255621039</v>
      </c>
      <c r="AS495" s="32" t="str">
        <f t="shared" si="419"/>
        <v>-0.000133283554228113</v>
      </c>
      <c r="AT495" s="32" t="str">
        <f t="shared" si="420"/>
        <v>0.226058623397281i</v>
      </c>
      <c r="AU495" s="32">
        <f t="shared" si="444"/>
        <v>0.226058623397281</v>
      </c>
      <c r="AV495" s="32">
        <f t="shared" si="445"/>
        <v>1.5707963267948966</v>
      </c>
      <c r="AW495" s="32" t="str">
        <f t="shared" si="421"/>
        <v>1+39.5246748787851i</v>
      </c>
      <c r="AX495" s="32">
        <f t="shared" si="446"/>
        <v>39.537323180428714</v>
      </c>
      <c r="AY495" s="32">
        <f t="shared" si="447"/>
        <v>1.5455010723577978</v>
      </c>
      <c r="AZ495" s="32" t="str">
        <f t="shared" si="422"/>
        <v>1+589.014057339944i</v>
      </c>
      <c r="BA495" s="32">
        <f t="shared" si="448"/>
        <v>589.01490621550738</v>
      </c>
      <c r="BB495" s="32">
        <f t="shared" si="449"/>
        <v>1.5690985760761276</v>
      </c>
      <c r="BC495" s="60" t="str">
        <f t="shared" si="450"/>
        <v>-0.000207252733197691+0.00878119419840177i</v>
      </c>
      <c r="BD495" s="51">
        <f t="shared" si="451"/>
        <v>-41.12650980475027</v>
      </c>
      <c r="BE495" s="63">
        <f t="shared" si="452"/>
        <v>91.352037370104568</v>
      </c>
      <c r="BF495" s="60" t="str">
        <f t="shared" si="453"/>
        <v>-0.000325638411960243+0.0000304727792671377i</v>
      </c>
      <c r="BG495" s="66">
        <f t="shared" si="454"/>
        <v>-69.707422037619509</v>
      </c>
      <c r="BH495" s="63">
        <f t="shared" si="455"/>
        <v>174.65391134377944</v>
      </c>
      <c r="BI495" s="60" t="str">
        <f t="shared" si="409"/>
        <v>0.00278030978127009-0.00126386561088611i</v>
      </c>
      <c r="BJ495" s="66">
        <f t="shared" si="456"/>
        <v>-50.302357311337651</v>
      </c>
      <c r="BK495" s="63">
        <f t="shared" si="410"/>
        <v>-24.445465186105867</v>
      </c>
      <c r="BL495" s="51">
        <f t="shared" si="457"/>
        <v>-69.707422037619509</v>
      </c>
      <c r="BM495" s="63">
        <f t="shared" si="458"/>
        <v>174.65391134377944</v>
      </c>
    </row>
    <row r="496" spans="14:65" x14ac:dyDescent="0.35">
      <c r="N496" s="11">
        <v>78</v>
      </c>
      <c r="O496" s="52">
        <f t="shared" si="459"/>
        <v>602559.58607435878</v>
      </c>
      <c r="P496" s="50" t="str">
        <f t="shared" si="411"/>
        <v>36.531007751938</v>
      </c>
      <c r="Q496" s="18" t="str">
        <f t="shared" si="412"/>
        <v>1+1848.97358828779i</v>
      </c>
      <c r="R496" s="18">
        <f t="shared" si="423"/>
        <v>1848.9738587080742</v>
      </c>
      <c r="S496" s="18">
        <f t="shared" si="424"/>
        <v>1.5702554862394491</v>
      </c>
      <c r="T496" s="18" t="str">
        <f t="shared" si="413"/>
        <v>1+0.757198707584524i</v>
      </c>
      <c r="U496" s="18">
        <f t="shared" si="425"/>
        <v>1.2543324450749385</v>
      </c>
      <c r="V496" s="18">
        <f t="shared" si="426"/>
        <v>0.6480923846733514</v>
      </c>
      <c r="W496" s="32" t="str">
        <f t="shared" si="414"/>
        <v>1-12.5453040309862i</v>
      </c>
      <c r="X496" s="18">
        <f t="shared" si="427"/>
        <v>12.585096472807772</v>
      </c>
      <c r="Y496" s="18">
        <f t="shared" si="428"/>
        <v>-1.4912534092095291</v>
      </c>
      <c r="Z496" s="32" t="str">
        <f t="shared" si="415"/>
        <v>-6.50161270186159+5.70070650358413i</v>
      </c>
      <c r="AA496" s="18">
        <f t="shared" si="429"/>
        <v>8.6469082546893237</v>
      </c>
      <c r="AB496" s="18">
        <f t="shared" si="430"/>
        <v>2.4217360515680051</v>
      </c>
      <c r="AC496" s="68" t="str">
        <f t="shared" si="431"/>
        <v>0.00441689801004367+0.0357979682767966i</v>
      </c>
      <c r="AD496" s="66">
        <f t="shared" si="432"/>
        <v>-28.857215281484507</v>
      </c>
      <c r="AE496" s="63">
        <f t="shared" si="433"/>
        <v>82.966164875844427</v>
      </c>
      <c r="AF496" s="51" t="str">
        <f t="shared" si="434"/>
        <v>42.1703962805665</v>
      </c>
      <c r="AG496" s="51" t="str">
        <f t="shared" si="416"/>
        <v>1+334.058253346114i</v>
      </c>
      <c r="AH496" s="51">
        <f t="shared" si="435"/>
        <v>334.05975008769985</v>
      </c>
      <c r="AI496" s="51">
        <f t="shared" si="436"/>
        <v>1.567802845858546</v>
      </c>
      <c r="AJ496" s="51" t="str">
        <f t="shared" si="417"/>
        <v>1+0.757198707584524i</v>
      </c>
      <c r="AK496" s="51">
        <f t="shared" si="437"/>
        <v>1.2543324450749385</v>
      </c>
      <c r="AL496" s="51">
        <f t="shared" si="438"/>
        <v>0.6480923846733514</v>
      </c>
      <c r="AM496" s="51" t="str">
        <f t="shared" si="418"/>
        <v>1-1.96347409427243i</v>
      </c>
      <c r="AN496" s="51">
        <f t="shared" si="439"/>
        <v>2.2034587626908153</v>
      </c>
      <c r="AO496" s="51">
        <f t="shared" si="440"/>
        <v>-1.0997353586114056</v>
      </c>
      <c r="AP496" s="60" t="str">
        <f t="shared" si="441"/>
        <v>-0.151335103413169-0.314370763965957i</v>
      </c>
      <c r="AQ496" s="51">
        <f t="shared" si="442"/>
        <v>-9.14597772974615</v>
      </c>
      <c r="AR496" s="63">
        <f t="shared" si="443"/>
        <v>-115.70572242968186</v>
      </c>
      <c r="AS496" s="32" t="str">
        <f t="shared" si="419"/>
        <v>-0.000133283554228113</v>
      </c>
      <c r="AT496" s="32" t="str">
        <f t="shared" si="420"/>
        <v>0.231324205167072i</v>
      </c>
      <c r="AU496" s="32">
        <f t="shared" si="444"/>
        <v>0.231324205167072</v>
      </c>
      <c r="AV496" s="32">
        <f t="shared" si="445"/>
        <v>1.5707963267948966</v>
      </c>
      <c r="AW496" s="32" t="str">
        <f t="shared" si="421"/>
        <v>1+40.445322825636i</v>
      </c>
      <c r="AX496" s="32">
        <f t="shared" si="446"/>
        <v>40.457683305769152</v>
      </c>
      <c r="AY496" s="32">
        <f t="shared" si="447"/>
        <v>1.546076625381394</v>
      </c>
      <c r="AZ496" s="32" t="str">
        <f t="shared" si="422"/>
        <v>1+602.733957230819i</v>
      </c>
      <c r="BA496" s="32">
        <f t="shared" si="448"/>
        <v>602.73478678364222</v>
      </c>
      <c r="BB496" s="32">
        <f t="shared" si="449"/>
        <v>1.5691372215288673</v>
      </c>
      <c r="BC496" s="60" t="str">
        <f t="shared" si="450"/>
        <v>-0.000197930522421909+0.00858154030433608i</v>
      </c>
      <c r="BD496" s="51">
        <f t="shared" si="451"/>
        <v>-41.326385324943509</v>
      </c>
      <c r="BE496" s="63">
        <f t="shared" si="452"/>
        <v>91.321274832305861</v>
      </c>
      <c r="BF496" s="60" t="str">
        <f t="shared" si="453"/>
        <v>-0.000308075946511287+0.0000308182777306623i</v>
      </c>
      <c r="BG496" s="66">
        <f t="shared" si="454"/>
        <v>-70.183600606428001</v>
      </c>
      <c r="BH496" s="63">
        <f t="shared" si="455"/>
        <v>174.28743970815029</v>
      </c>
      <c r="BI496" s="60" t="str">
        <f t="shared" si="409"/>
        <v>0.00272773921755813-0.00123646471985502i</v>
      </c>
      <c r="BJ496" s="66">
        <f t="shared" si="456"/>
        <v>-50.472363054689652</v>
      </c>
      <c r="BK496" s="63">
        <f t="shared" si="410"/>
        <v>-24.384447597375953</v>
      </c>
      <c r="BL496" s="51">
        <f t="shared" si="457"/>
        <v>-70.183600606428001</v>
      </c>
      <c r="BM496" s="63">
        <f t="shared" si="458"/>
        <v>174.28743970815029</v>
      </c>
    </row>
    <row r="497" spans="14:65" x14ac:dyDescent="0.35">
      <c r="N497" s="11">
        <v>79</v>
      </c>
      <c r="O497" s="52">
        <f t="shared" si="459"/>
        <v>616595.00186148309</v>
      </c>
      <c r="P497" s="50" t="str">
        <f t="shared" si="411"/>
        <v>36.531007751938</v>
      </c>
      <c r="Q497" s="18" t="str">
        <f t="shared" si="412"/>
        <v>1+1892.0417158071i</v>
      </c>
      <c r="R497" s="18">
        <f t="shared" si="423"/>
        <v>1892.0419800718682</v>
      </c>
      <c r="S497" s="18">
        <f t="shared" si="424"/>
        <v>1.5702677972711916</v>
      </c>
      <c r="T497" s="18" t="str">
        <f t="shared" si="413"/>
        <v>1+0.774836131235288i</v>
      </c>
      <c r="U497" s="18">
        <f t="shared" si="425"/>
        <v>1.2650577181566336</v>
      </c>
      <c r="V497" s="18">
        <f t="shared" si="426"/>
        <v>0.6592076822230567</v>
      </c>
      <c r="W497" s="32" t="str">
        <f t="shared" si="414"/>
        <v>1-12.8375217009397i</v>
      </c>
      <c r="X497" s="18">
        <f t="shared" si="427"/>
        <v>12.876411123527305</v>
      </c>
      <c r="Y497" s="18">
        <f t="shared" si="428"/>
        <v>-1.493056656653478</v>
      </c>
      <c r="Z497" s="32" t="str">
        <f t="shared" si="415"/>
        <v>-6.85515281654054+5.83349301616697i</v>
      </c>
      <c r="AA497" s="18">
        <f t="shared" si="429"/>
        <v>9.001264406059434</v>
      </c>
      <c r="AB497" s="18">
        <f t="shared" si="430"/>
        <v>2.4365388015463609</v>
      </c>
      <c r="AC497" s="68" t="str">
        <f t="shared" si="431"/>
        <v>0.00446945518907807+0.0346537410578468i</v>
      </c>
      <c r="AD497" s="66">
        <f t="shared" si="432"/>
        <v>-29.133349181270294</v>
      </c>
      <c r="AE497" s="63">
        <f t="shared" si="433"/>
        <v>82.650865576410823</v>
      </c>
      <c r="AF497" s="51" t="str">
        <f t="shared" si="434"/>
        <v>42.1703962805665</v>
      </c>
      <c r="AG497" s="51" t="str">
        <f t="shared" si="416"/>
        <v>1+341.839469662628i</v>
      </c>
      <c r="AH497" s="51">
        <f t="shared" si="435"/>
        <v>341.84093233436334</v>
      </c>
      <c r="AI497" s="51">
        <f t="shared" si="436"/>
        <v>1.5678709854104025</v>
      </c>
      <c r="AJ497" s="51" t="str">
        <f t="shared" si="417"/>
        <v>1+0.774836131235288i</v>
      </c>
      <c r="AK497" s="51">
        <f t="shared" si="437"/>
        <v>1.2650577181566336</v>
      </c>
      <c r="AL497" s="51">
        <f t="shared" si="438"/>
        <v>0.6592076822230567</v>
      </c>
      <c r="AM497" s="51" t="str">
        <f t="shared" si="418"/>
        <v>1-2.00920928119378i</v>
      </c>
      <c r="AN497" s="51">
        <f t="shared" si="439"/>
        <v>2.2443087879423427</v>
      </c>
      <c r="AO497" s="51">
        <f t="shared" si="440"/>
        <v>-1.1089838120058737</v>
      </c>
      <c r="AP497" s="60" t="str">
        <f t="shared" si="441"/>
        <v>-0.151352172070431-0.315858658997615i</v>
      </c>
      <c r="AQ497" s="51">
        <f t="shared" si="442"/>
        <v>-9.1124686303755258</v>
      </c>
      <c r="AR497" s="63">
        <f t="shared" si="443"/>
        <v>-115.60266424731712</v>
      </c>
      <c r="AS497" s="32" t="str">
        <f t="shared" si="419"/>
        <v>-0.000133283554228113</v>
      </c>
      <c r="AT497" s="32" t="str">
        <f t="shared" si="420"/>
        <v>0.23671243809238i</v>
      </c>
      <c r="AU497" s="32">
        <f t="shared" si="444"/>
        <v>0.23671243809237999</v>
      </c>
      <c r="AV497" s="32">
        <f t="shared" si="445"/>
        <v>1.5707963267948966</v>
      </c>
      <c r="AW497" s="32" t="str">
        <f t="shared" si="421"/>
        <v>1+41.3874154180062i</v>
      </c>
      <c r="AX497" s="32">
        <f t="shared" si="446"/>
        <v>41.399494622309305</v>
      </c>
      <c r="AY497" s="32">
        <f t="shared" si="447"/>
        <v>1.5466390930475602</v>
      </c>
      <c r="AZ497" s="32" t="str">
        <f t="shared" si="422"/>
        <v>1+616.773434643945i</v>
      </c>
      <c r="BA497" s="32">
        <f t="shared" si="448"/>
        <v>616.77424531386589</v>
      </c>
      <c r="BB497" s="32">
        <f t="shared" si="449"/>
        <v>1.5691749873084937</v>
      </c>
      <c r="BC497" s="60" t="str">
        <f t="shared" si="450"/>
        <v>-0.000189027379106925+0.00838641571569089i</v>
      </c>
      <c r="BD497" s="51">
        <f t="shared" si="451"/>
        <v>-41.526266444290044</v>
      </c>
      <c r="BE497" s="63">
        <f t="shared" si="452"/>
        <v>91.291211628704573</v>
      </c>
      <c r="BF497" s="60" t="str">
        <f t="shared" si="453"/>
        <v>-0.000291465528015436+0.0000309322033898457i</v>
      </c>
      <c r="BG497" s="66">
        <f t="shared" si="454"/>
        <v>-70.659615625560349</v>
      </c>
      <c r="BH497" s="63">
        <f t="shared" si="455"/>
        <v>173.9420772051154</v>
      </c>
      <c r="BI497" s="60" t="str">
        <f t="shared" si="409"/>
        <v>0.00267753172616326-0.00120959629997687i</v>
      </c>
      <c r="BJ497" s="66">
        <f t="shared" si="456"/>
        <v>-50.638735074665576</v>
      </c>
      <c r="BK497" s="63">
        <f t="shared" si="410"/>
        <v>-24.31145261861262</v>
      </c>
      <c r="BL497" s="51">
        <f t="shared" si="457"/>
        <v>-70.659615625560349</v>
      </c>
      <c r="BM497" s="63">
        <f t="shared" si="458"/>
        <v>173.9420772051154</v>
      </c>
    </row>
    <row r="498" spans="14:65" x14ac:dyDescent="0.35">
      <c r="N498" s="11">
        <v>80</v>
      </c>
      <c r="O498" s="52">
        <f t="shared" si="459"/>
        <v>630957.34448019415</v>
      </c>
      <c r="P498" s="50" t="str">
        <f t="shared" si="411"/>
        <v>36.531007751938</v>
      </c>
      <c r="Q498" s="18" t="str">
        <f t="shared" si="412"/>
        <v>1+1936.11302888825i</v>
      </c>
      <c r="R498" s="18">
        <f t="shared" si="423"/>
        <v>1936.1132871376183</v>
      </c>
      <c r="S498" s="18">
        <f t="shared" si="424"/>
        <v>1.5702798280697934</v>
      </c>
      <c r="T498" s="18" t="str">
        <f t="shared" si="413"/>
        <v>1+0.792884383259i</v>
      </c>
      <c r="U498" s="18">
        <f t="shared" si="425"/>
        <v>1.2761918528246468</v>
      </c>
      <c r="V498" s="18">
        <f t="shared" si="426"/>
        <v>0.67038706649917934</v>
      </c>
      <c r="W498" s="32" t="str">
        <f t="shared" si="414"/>
        <v>1-13.1365459948237i</v>
      </c>
      <c r="X498" s="18">
        <f t="shared" si="427"/>
        <v>13.174552769415689</v>
      </c>
      <c r="Y498" s="18">
        <f t="shared" si="428"/>
        <v>-1.4948193468231274</v>
      </c>
      <c r="Z498" s="32" t="str">
        <f t="shared" si="415"/>
        <v>-7.225354763502+5.96937252396237i</v>
      </c>
      <c r="AA498" s="18">
        <f t="shared" si="429"/>
        <v>9.3722547867787878</v>
      </c>
      <c r="AB498" s="18">
        <f t="shared" si="430"/>
        <v>2.4510967420165586</v>
      </c>
      <c r="AC498" s="68" t="str">
        <f t="shared" si="431"/>
        <v>0.00450266802867392+0.0335476203392056i</v>
      </c>
      <c r="AD498" s="66">
        <f t="shared" si="432"/>
        <v>-29.409226997888233</v>
      </c>
      <c r="AE498" s="63">
        <f t="shared" si="433"/>
        <v>82.355604544348608</v>
      </c>
      <c r="AF498" s="51" t="str">
        <f t="shared" si="434"/>
        <v>42.1703962805665</v>
      </c>
      <c r="AG498" s="51" t="str">
        <f t="shared" si="416"/>
        <v>1+349.801933790736i</v>
      </c>
      <c r="AH498" s="51">
        <f t="shared" si="435"/>
        <v>349.80336316813543</v>
      </c>
      <c r="AI498" s="51">
        <f t="shared" si="436"/>
        <v>1.5679375739429446</v>
      </c>
      <c r="AJ498" s="51" t="str">
        <f t="shared" si="417"/>
        <v>1+0.792884383259i</v>
      </c>
      <c r="AK498" s="51">
        <f t="shared" si="437"/>
        <v>1.2761918528246468</v>
      </c>
      <c r="AL498" s="51">
        <f t="shared" si="438"/>
        <v>0.67038706649917934</v>
      </c>
      <c r="AM498" s="51" t="str">
        <f t="shared" si="418"/>
        <v>1-2.05600977747104i</v>
      </c>
      <c r="AN498" s="51">
        <f t="shared" si="439"/>
        <v>2.2863018621906681</v>
      </c>
      <c r="AO498" s="51">
        <f t="shared" si="440"/>
        <v>-1.118104766730613</v>
      </c>
      <c r="AP498" s="60" t="str">
        <f t="shared" si="441"/>
        <v>-0.151368472524423-0.317514021975398i</v>
      </c>
      <c r="AQ498" s="51">
        <f t="shared" si="442"/>
        <v>-9.0753352132569738</v>
      </c>
      <c r="AR498" s="63">
        <f t="shared" si="443"/>
        <v>-115.48854016347664</v>
      </c>
      <c r="AS498" s="32" t="str">
        <f t="shared" si="419"/>
        <v>-0.000133283554228113</v>
      </c>
      <c r="AT498" s="32" t="str">
        <f t="shared" si="420"/>
        <v>0.242226179085625i</v>
      </c>
      <c r="AU498" s="32">
        <f t="shared" si="444"/>
        <v>0.24222617908562499</v>
      </c>
      <c r="AV498" s="32">
        <f t="shared" si="445"/>
        <v>1.5707963267948966</v>
      </c>
      <c r="AW498" s="32" t="str">
        <f t="shared" si="421"/>
        <v>1+42.3514521658581i</v>
      </c>
      <c r="AX498" s="32">
        <f t="shared" si="446"/>
        <v>42.363256491409707</v>
      </c>
      <c r="AY498" s="32">
        <f t="shared" si="447"/>
        <v>1.5471887721596997</v>
      </c>
      <c r="AZ498" s="32" t="str">
        <f t="shared" si="422"/>
        <v>1+631.13993349608i</v>
      </c>
      <c r="BA498" s="32">
        <f t="shared" si="448"/>
        <v>631.14072571292388</v>
      </c>
      <c r="BB498" s="32">
        <f t="shared" si="449"/>
        <v>1.569211893438492</v>
      </c>
      <c r="BC498" s="60" t="str">
        <f t="shared" si="450"/>
        <v>-0.000180524486167098+0.00819571835759038i</v>
      </c>
      <c r="BD498" s="51">
        <f t="shared" si="451"/>
        <v>-41.726152911082011</v>
      </c>
      <c r="BE498" s="63">
        <f t="shared" si="452"/>
        <v>91.261831900979558</v>
      </c>
      <c r="BF498" s="60" t="str">
        <f t="shared" si="453"/>
        <v>-0.000275759689699757+0.0000308464320968742i</v>
      </c>
      <c r="BG498" s="66">
        <f t="shared" si="454"/>
        <v>-71.135379908970265</v>
      </c>
      <c r="BH498" s="63">
        <f t="shared" si="455"/>
        <v>173.61743644532814</v>
      </c>
      <c r="BI498" s="60" t="str">
        <f t="shared" ref="BI498:BI560" si="460">IMPRODUCT(AP498,BC498)</f>
        <v>0.0026295812144205-0.00118325431336087i</v>
      </c>
      <c r="BJ498" s="66">
        <f t="shared" si="456"/>
        <v>-50.801488124338974</v>
      </c>
      <c r="BK498" s="63">
        <f t="shared" ref="BK498:BK560" si="461">(180/PI())*IMARGUMENT(BI498)</f>
        <v>-24.22670826249702</v>
      </c>
      <c r="BL498" s="51">
        <f t="shared" si="457"/>
        <v>-71.135379908970265</v>
      </c>
      <c r="BM498" s="63">
        <f t="shared" si="458"/>
        <v>173.61743644532814</v>
      </c>
    </row>
    <row r="499" spans="14:65" x14ac:dyDescent="0.35">
      <c r="N499" s="11">
        <v>81</v>
      </c>
      <c r="O499" s="52">
        <f t="shared" si="459"/>
        <v>645654.22903465747</v>
      </c>
      <c r="P499" s="50" t="str">
        <f t="shared" si="411"/>
        <v>36.531007751938</v>
      </c>
      <c r="Q499" s="18" t="str">
        <f t="shared" si="412"/>
        <v>1+1981.21089472482i</v>
      </c>
      <c r="R499" s="18">
        <f t="shared" si="423"/>
        <v>1981.2111470957159</v>
      </c>
      <c r="S499" s="18">
        <f t="shared" si="424"/>
        <v>1.5702915850141295</v>
      </c>
      <c r="T499" s="18" t="str">
        <f t="shared" si="413"/>
        <v>1+0.811353033077784i</v>
      </c>
      <c r="U499" s="18">
        <f t="shared" si="425"/>
        <v>1.2877475467980979</v>
      </c>
      <c r="V499" s="18">
        <f t="shared" si="426"/>
        <v>0.68162528805066391</v>
      </c>
      <c r="W499" s="32" t="str">
        <f t="shared" si="414"/>
        <v>1-13.4425354592769i</v>
      </c>
      <c r="X499" s="18">
        <f t="shared" si="427"/>
        <v>13.479679505608315</v>
      </c>
      <c r="Y499" s="18">
        <f t="shared" si="428"/>
        <v>-1.4965423704811398</v>
      </c>
      <c r="Z499" s="32" t="str">
        <f t="shared" si="415"/>
        <v>-7.61300379070945+6.10841707208398i</v>
      </c>
      <c r="AA499" s="18">
        <f t="shared" si="429"/>
        <v>9.7606652357246357</v>
      </c>
      <c r="AB499" s="18">
        <f t="shared" si="430"/>
        <v>2.4654105589324735</v>
      </c>
      <c r="AC499" s="68" t="str">
        <f t="shared" si="431"/>
        <v>0.00451836087570265+0.0324787514640327i</v>
      </c>
      <c r="AD499" s="66">
        <f t="shared" si="432"/>
        <v>-29.68476460265034</v>
      </c>
      <c r="AE499" s="63">
        <f t="shared" si="433"/>
        <v>82.079990303581056</v>
      </c>
      <c r="AF499" s="51" t="str">
        <f t="shared" si="434"/>
        <v>42.1703962805665</v>
      </c>
      <c r="AG499" s="51" t="str">
        <f t="shared" si="416"/>
        <v>1+357.949867534318i</v>
      </c>
      <c r="AH499" s="51">
        <f t="shared" si="435"/>
        <v>357.95126437524397</v>
      </c>
      <c r="AI499" s="51">
        <f t="shared" si="436"/>
        <v>1.5680026467599308</v>
      </c>
      <c r="AJ499" s="51" t="str">
        <f t="shared" si="417"/>
        <v>1+0.811353033077784i</v>
      </c>
      <c r="AK499" s="51">
        <f t="shared" si="437"/>
        <v>1.2877475467980979</v>
      </c>
      <c r="AL499" s="51">
        <f t="shared" si="438"/>
        <v>0.68162528805066391</v>
      </c>
      <c r="AM499" s="51" t="str">
        <f t="shared" si="418"/>
        <v>1-2.10390039734683i</v>
      </c>
      <c r="AN499" s="51">
        <f t="shared" si="439"/>
        <v>2.3294627882746162</v>
      </c>
      <c r="AO499" s="51">
        <f t="shared" si="440"/>
        <v>-1.127096987565074</v>
      </c>
      <c r="AP499" s="60" t="str">
        <f t="shared" si="441"/>
        <v>-0.151384039348855-0.31933773089474i</v>
      </c>
      <c r="AQ499" s="51">
        <f t="shared" si="442"/>
        <v>-9.0345942035777789</v>
      </c>
      <c r="AR499" s="63">
        <f t="shared" si="443"/>
        <v>-115.36358219938209</v>
      </c>
      <c r="AS499" s="32" t="str">
        <f t="shared" si="419"/>
        <v>-0.000133283554228113</v>
      </c>
      <c r="AT499" s="32" t="str">
        <f t="shared" si="420"/>
        <v>0.247868351605263i</v>
      </c>
      <c r="AU499" s="32">
        <f t="shared" si="444"/>
        <v>0.24786835160526299</v>
      </c>
      <c r="AV499" s="32">
        <f t="shared" si="445"/>
        <v>1.5707963267948966</v>
      </c>
      <c r="AW499" s="32" t="str">
        <f t="shared" si="421"/>
        <v>1+43.3379442142362i</v>
      </c>
      <c r="AX499" s="32">
        <f t="shared" si="446"/>
        <v>43.349479912869192</v>
      </c>
      <c r="AY499" s="32">
        <f t="shared" si="447"/>
        <v>1.5477259528355209</v>
      </c>
      <c r="AZ499" s="32" t="str">
        <f t="shared" si="422"/>
        <v>1+645.841071095081i</v>
      </c>
      <c r="BA499" s="32">
        <f t="shared" si="448"/>
        <v>645.84184527888988</v>
      </c>
      <c r="BB499" s="32">
        <f t="shared" si="449"/>
        <v>1.5692479594865785</v>
      </c>
      <c r="BC499" s="60" t="str">
        <f t="shared" si="450"/>
        <v>-0.000172403869553467+0.008009348410415i</v>
      </c>
      <c r="BD499" s="51">
        <f t="shared" si="451"/>
        <v>-41.926044484914357</v>
      </c>
      <c r="BE499" s="63">
        <f t="shared" si="452"/>
        <v>91.233120147758086</v>
      </c>
      <c r="BF499" s="60" t="str">
        <f t="shared" si="453"/>
        <v>-0.000260912619309724+0.0000305896640668258i</v>
      </c>
      <c r="BG499" s="66">
        <f t="shared" si="454"/>
        <v>-71.610809087564704</v>
      </c>
      <c r="BH499" s="63">
        <f t="shared" si="455"/>
        <v>173.31311045133913</v>
      </c>
      <c r="BI499" s="60" t="str">
        <f t="shared" si="460"/>
        <v>0.0025837863414997-0.00115743245442028i</v>
      </c>
      <c r="BJ499" s="66">
        <f t="shared" si="456"/>
        <v>-50.960638688492125</v>
      </c>
      <c r="BK499" s="63">
        <f t="shared" si="461"/>
        <v>-24.13046205162405</v>
      </c>
      <c r="BL499" s="51">
        <f t="shared" si="457"/>
        <v>-71.610809087564704</v>
      </c>
      <c r="BM499" s="63">
        <f t="shared" si="458"/>
        <v>173.31311045133913</v>
      </c>
    </row>
    <row r="500" spans="14:65" x14ac:dyDescent="0.35">
      <c r="N500" s="11">
        <v>82</v>
      </c>
      <c r="O500" s="52">
        <f t="shared" si="459"/>
        <v>660693.44800759677</v>
      </c>
      <c r="P500" s="50" t="str">
        <f t="shared" si="411"/>
        <v>36.531007751938</v>
      </c>
      <c r="Q500" s="18" t="str">
        <f t="shared" si="412"/>
        <v>1+2027.35922480219i</v>
      </c>
      <c r="R500" s="18">
        <f t="shared" si="423"/>
        <v>2027.3594714284236</v>
      </c>
      <c r="S500" s="18">
        <f t="shared" si="424"/>
        <v>1.5703030743378743</v>
      </c>
      <c r="T500" s="18" t="str">
        <f t="shared" si="413"/>
        <v>1+0.83025187301423i</v>
      </c>
      <c r="U500" s="18">
        <f t="shared" si="425"/>
        <v>1.2997377322535639</v>
      </c>
      <c r="V500" s="18">
        <f t="shared" si="426"/>
        <v>0.69291695129445097</v>
      </c>
      <c r="W500" s="32" t="str">
        <f t="shared" si="414"/>
        <v>1-13.7556523339636i</v>
      </c>
      <c r="X500" s="18">
        <f t="shared" si="427"/>
        <v>13.79195312973758</v>
      </c>
      <c r="Y500" s="18">
        <f t="shared" si="428"/>
        <v>-1.4982266002519169</v>
      </c>
      <c r="Z500" s="32" t="str">
        <f t="shared" si="415"/>
        <v>-8.01892215372244+6.25070038379165i</v>
      </c>
      <c r="AA500" s="18">
        <f t="shared" si="429"/>
        <v>10.167318613842768</v>
      </c>
      <c r="AB500" s="18">
        <f t="shared" si="430"/>
        <v>2.4794811378331918</v>
      </c>
      <c r="AC500" s="68" t="str">
        <f t="shared" si="431"/>
        <v>0.00451824460811978+0.0314462405952315i</v>
      </c>
      <c r="AD500" s="66">
        <f t="shared" si="432"/>
        <v>-29.95988082289805</v>
      </c>
      <c r="AE500" s="63">
        <f t="shared" si="433"/>
        <v>81.823612617460142</v>
      </c>
      <c r="AF500" s="51" t="str">
        <f t="shared" si="434"/>
        <v>42.1703962805665</v>
      </c>
      <c r="AG500" s="51" t="str">
        <f t="shared" si="416"/>
        <v>1+366.287591035691i</v>
      </c>
      <c r="AH500" s="51">
        <f t="shared" si="435"/>
        <v>366.28895608075544</v>
      </c>
      <c r="AI500" s="51">
        <f t="shared" si="436"/>
        <v>1.568066238361624</v>
      </c>
      <c r="AJ500" s="51" t="str">
        <f t="shared" si="417"/>
        <v>1+0.83025187301423i</v>
      </c>
      <c r="AK500" s="51">
        <f t="shared" si="437"/>
        <v>1.2997377322535639</v>
      </c>
      <c r="AL500" s="51">
        <f t="shared" si="438"/>
        <v>0.69291695129445097</v>
      </c>
      <c r="AM500" s="51" t="str">
        <f t="shared" si="418"/>
        <v>1-2.15290653306171i</v>
      </c>
      <c r="AN500" s="51">
        <f t="shared" si="439"/>
        <v>2.373816871643597</v>
      </c>
      <c r="AO500" s="51">
        <f t="shared" si="440"/>
        <v>-1.1359594244244646</v>
      </c>
      <c r="AP500" s="60" t="str">
        <f t="shared" si="441"/>
        <v>-0.151398905561467-0.321330752990289i</v>
      </c>
      <c r="AQ500" s="51">
        <f t="shared" si="442"/>
        <v>-8.9902640633798132</v>
      </c>
      <c r="AR500" s="63">
        <f t="shared" si="443"/>
        <v>-115.22804131046378</v>
      </c>
      <c r="AS500" s="32" t="str">
        <f t="shared" si="419"/>
        <v>-0.000133283554228113</v>
      </c>
      <c r="AT500" s="32" t="str">
        <f t="shared" si="420"/>
        <v>0.253641947205847i</v>
      </c>
      <c r="AU500" s="32">
        <f t="shared" si="444"/>
        <v>0.25364194720584698</v>
      </c>
      <c r="AV500" s="32">
        <f t="shared" si="445"/>
        <v>1.5707963267948966</v>
      </c>
      <c r="AW500" s="32" t="str">
        <f t="shared" si="421"/>
        <v>1+44.3474146142821i</v>
      </c>
      <c r="AX500" s="32">
        <f t="shared" si="446"/>
        <v>44.358687795865222</v>
      </c>
      <c r="AY500" s="32">
        <f t="shared" si="447"/>
        <v>1.5482509186545337</v>
      </c>
      <c r="AZ500" s="32" t="str">
        <f t="shared" si="422"/>
        <v>1+660.884642178692i</v>
      </c>
      <c r="BA500" s="32">
        <f t="shared" si="448"/>
        <v>660.88539873994637</v>
      </c>
      <c r="BB500" s="32">
        <f t="shared" si="449"/>
        <v>1.5692832045750738</v>
      </c>
      <c r="BC500" s="60" t="str">
        <f t="shared" si="450"/>
        <v>-0.000164648360650905+0.00782720826300578i</v>
      </c>
      <c r="BD500" s="51">
        <f t="shared" si="451"/>
        <v>-42.12594093617809</v>
      </c>
      <c r="BE500" s="63">
        <f t="shared" si="452"/>
        <v>91.205061216759375</v>
      </c>
      <c r="BF500" s="60" t="str">
        <f t="shared" si="453"/>
        <v>-0.000246880195795211+0.0000301876695683176i</v>
      </c>
      <c r="BG500" s="66">
        <f t="shared" si="454"/>
        <v>-72.085821759076111</v>
      </c>
      <c r="BH500" s="63">
        <f t="shared" si="455"/>
        <v>173.02867383421955</v>
      </c>
      <c r="BI500" s="60" t="str">
        <f t="shared" si="460"/>
        <v>0.0025400503065685-0.00113212418291417i</v>
      </c>
      <c r="BJ500" s="66">
        <f t="shared" si="456"/>
        <v>-51.116204999557901</v>
      </c>
      <c r="BK500" s="63">
        <f t="shared" si="461"/>
        <v>-24.022980093704316</v>
      </c>
      <c r="BL500" s="51">
        <f t="shared" si="457"/>
        <v>-72.085821759076111</v>
      </c>
      <c r="BM500" s="63">
        <f t="shared" si="458"/>
        <v>173.02867383421955</v>
      </c>
    </row>
    <row r="501" spans="14:65" x14ac:dyDescent="0.35">
      <c r="N501" s="11">
        <v>83</v>
      </c>
      <c r="O501" s="52">
        <f t="shared" si="459"/>
        <v>676082.97539198259</v>
      </c>
      <c r="P501" s="50" t="str">
        <f t="shared" si="411"/>
        <v>36.531007751938</v>
      </c>
      <c r="Q501" s="18" t="str">
        <f t="shared" si="412"/>
        <v>1+2074.58248757582i</v>
      </c>
      <c r="R501" s="18">
        <f t="shared" si="423"/>
        <v>2074.5827285881555</v>
      </c>
      <c r="S501" s="18">
        <f t="shared" si="424"/>
        <v>1.570314302132807</v>
      </c>
      <c r="T501" s="18" t="str">
        <f t="shared" si="413"/>
        <v>1+0.849590923483432i</v>
      </c>
      <c r="U501" s="18">
        <f t="shared" si="425"/>
        <v>1.3121755741002921</v>
      </c>
      <c r="V501" s="18">
        <f t="shared" si="426"/>
        <v>0.70425652630062774</v>
      </c>
      <c r="W501" s="32" t="str">
        <f t="shared" si="414"/>
        <v>1-14.0760626375953i</v>
      </c>
      <c r="X501" s="18">
        <f t="shared" si="427"/>
        <v>14.111539227791784</v>
      </c>
      <c r="Y501" s="18">
        <f t="shared" si="428"/>
        <v>-1.499872890894669</v>
      </c>
      <c r="Z501" s="32" t="str">
        <f t="shared" si="415"/>
        <v>-8.44397085981149+6.39629789958062i</v>
      </c>
      <c r="AA501" s="18">
        <f t="shared" si="429"/>
        <v>10.593076545627575</v>
      </c>
      <c r="AB501" s="18">
        <f t="shared" si="430"/>
        <v>2.4933095537836678</v>
      </c>
      <c r="AC501" s="68" t="str">
        <f t="shared" si="431"/>
        <v>0.00450392000444134+0.0304491623589284i</v>
      </c>
      <c r="AD501" s="66">
        <f t="shared" si="432"/>
        <v>-30.234497580112439</v>
      </c>
      <c r="AE501" s="63">
        <f t="shared" si="433"/>
        <v>81.586043724528011</v>
      </c>
      <c r="AF501" s="51" t="str">
        <f t="shared" si="434"/>
        <v>42.1703962805665</v>
      </c>
      <c r="AG501" s="51" t="str">
        <f t="shared" si="416"/>
        <v>1+374.819525066221i</v>
      </c>
      <c r="AH501" s="51">
        <f t="shared" si="435"/>
        <v>374.82085903917817</v>
      </c>
      <c r="AI501" s="51">
        <f t="shared" si="436"/>
        <v>1.5681283824630747</v>
      </c>
      <c r="AJ501" s="51" t="str">
        <f t="shared" si="417"/>
        <v>1+0.849590923483432i</v>
      </c>
      <c r="AK501" s="51">
        <f t="shared" si="437"/>
        <v>1.3121755741002921</v>
      </c>
      <c r="AL501" s="51">
        <f t="shared" si="438"/>
        <v>0.70425652630062774</v>
      </c>
      <c r="AM501" s="51" t="str">
        <f t="shared" si="418"/>
        <v>1-2.2030541683175i</v>
      </c>
      <c r="AN501" s="51">
        <f t="shared" si="439"/>
        <v>2.4193899372654073</v>
      </c>
      <c r="AO501" s="51">
        <f t="shared" si="440"/>
        <v>-1.1446912066349342</v>
      </c>
      <c r="AP501" s="60" t="str">
        <f t="shared" si="441"/>
        <v>-0.151413102694042-0.323494145250085i</v>
      </c>
      <c r="AQ501" s="51">
        <f t="shared" si="442"/>
        <v>-8.9423650067462681</v>
      </c>
      <c r="AR501" s="63">
        <f t="shared" si="443"/>
        <v>-115.08218638416002</v>
      </c>
      <c r="AS501" s="32" t="str">
        <f t="shared" si="419"/>
        <v>-0.000133283554228113</v>
      </c>
      <c r="AT501" s="32" t="str">
        <f t="shared" si="420"/>
        <v>0.259550027124189i</v>
      </c>
      <c r="AU501" s="32">
        <f t="shared" si="444"/>
        <v>0.25955002712418901</v>
      </c>
      <c r="AV501" s="32">
        <f t="shared" si="445"/>
        <v>1.5707963267948966</v>
      </c>
      <c r="AW501" s="32" t="str">
        <f t="shared" si="421"/>
        <v>1+45.380398600564i</v>
      </c>
      <c r="AX501" s="32">
        <f t="shared" si="446"/>
        <v>45.391415236210371</v>
      </c>
      <c r="AY501" s="32">
        <f t="shared" si="447"/>
        <v>1.5487639468025016</v>
      </c>
      <c r="AZ501" s="32" t="str">
        <f t="shared" si="422"/>
        <v>1+676.278623047429i</v>
      </c>
      <c r="BA501" s="32">
        <f t="shared" si="448"/>
        <v>676.27936238726568</v>
      </c>
      <c r="BB501" s="32">
        <f t="shared" si="449"/>
        <v>1.5693176473910397</v>
      </c>
      <c r="BC501" s="60" t="str">
        <f t="shared" si="450"/>
        <v>-0.000157241560337797+0.00764920246663166i</v>
      </c>
      <c r="BD501" s="51">
        <f t="shared" si="451"/>
        <v>-42.325842045577183</v>
      </c>
      <c r="BE501" s="63">
        <f t="shared" si="452"/>
        <v>91.17764029709879</v>
      </c>
      <c r="BF501" s="60" t="str">
        <f t="shared" si="453"/>
        <v>-0.000233620011231918+0.0000296635222071876i</v>
      </c>
      <c r="BG501" s="66">
        <f t="shared" si="454"/>
        <v>-72.560339625689622</v>
      </c>
      <c r="BH501" s="63">
        <f t="shared" si="455"/>
        <v>172.76368402162677</v>
      </c>
      <c r="BI501" s="60" t="str">
        <f t="shared" si="460"/>
        <v>0.00249828064631105-0.00110732275444835i</v>
      </c>
      <c r="BJ501" s="66">
        <f t="shared" si="456"/>
        <v>-51.268207052323461</v>
      </c>
      <c r="BK501" s="63">
        <f t="shared" si="461"/>
        <v>-23.904546087061174</v>
      </c>
      <c r="BL501" s="51">
        <f t="shared" si="457"/>
        <v>-72.560339625689622</v>
      </c>
      <c r="BM501" s="63">
        <f t="shared" si="458"/>
        <v>172.76368402162677</v>
      </c>
    </row>
    <row r="502" spans="14:65" x14ac:dyDescent="0.35">
      <c r="N502" s="11">
        <v>84</v>
      </c>
      <c r="O502" s="52">
        <f t="shared" si="459"/>
        <v>691830.97091893724</v>
      </c>
      <c r="P502" s="50" t="str">
        <f t="shared" si="411"/>
        <v>36.531007751938</v>
      </c>
      <c r="Q502" s="18" t="str">
        <f t="shared" si="412"/>
        <v>1+2122.90572144471i</v>
      </c>
      <c r="R502" s="18">
        <f t="shared" si="423"/>
        <v>2122.9059569709352</v>
      </c>
      <c r="S502" s="18">
        <f t="shared" si="424"/>
        <v>1.5703252743520419</v>
      </c>
      <c r="T502" s="18" t="str">
        <f t="shared" si="413"/>
        <v>1+0.86938043830593i</v>
      </c>
      <c r="U502" s="18">
        <f t="shared" si="425"/>
        <v>1.3250744682881075</v>
      </c>
      <c r="V502" s="18">
        <f t="shared" si="426"/>
        <v>0.71563836138035886</v>
      </c>
      <c r="W502" s="32" t="str">
        <f t="shared" si="414"/>
        <v>1-14.4039362559562i</v>
      </c>
      <c r="X502" s="18">
        <f t="shared" si="427"/>
        <v>14.438607261978197</v>
      </c>
      <c r="Y502" s="18">
        <f t="shared" si="428"/>
        <v>-1.5014820795792887</v>
      </c>
      <c r="Z502" s="32" t="str">
        <f t="shared" si="415"/>
        <v>-8.8890514942694+6.54528681718095i</v>
      </c>
      <c r="AA502" s="18">
        <f t="shared" si="429"/>
        <v>11.038841242944653</v>
      </c>
      <c r="AB502" s="18">
        <f t="shared" si="430"/>
        <v>2.5068970613184876</v>
      </c>
      <c r="AC502" s="68" t="str">
        <f t="shared" si="431"/>
        <v>0.00447688141067264+0.0294865668935618i</v>
      </c>
      <c r="AD502" s="66">
        <f t="shared" si="432"/>
        <v>-30.508540015220319</v>
      </c>
      <c r="AE502" s="63">
        <f t="shared" si="433"/>
        <v>81.366839619939995</v>
      </c>
      <c r="AF502" s="51" t="str">
        <f t="shared" si="434"/>
        <v>42.1703962805665</v>
      </c>
      <c r="AG502" s="51" t="str">
        <f t="shared" si="416"/>
        <v>1+383.550193370264i</v>
      </c>
      <c r="AH502" s="51">
        <f t="shared" si="435"/>
        <v>383.55149697839391</v>
      </c>
      <c r="AI502" s="51">
        <f t="shared" si="436"/>
        <v>1.5681891120119873</v>
      </c>
      <c r="AJ502" s="51" t="str">
        <f t="shared" si="417"/>
        <v>1+0.86938043830593i</v>
      </c>
      <c r="AK502" s="51">
        <f t="shared" si="437"/>
        <v>1.3250744682881075</v>
      </c>
      <c r="AL502" s="51">
        <f t="shared" si="438"/>
        <v>0.71563836138035886</v>
      </c>
      <c r="AM502" s="51" t="str">
        <f t="shared" si="418"/>
        <v>1-2.2543698920542i</v>
      </c>
      <c r="AN502" s="51">
        <f t="shared" si="439"/>
        <v>2.4662083468759213</v>
      </c>
      <c r="AO502" s="51">
        <f t="shared" si="440"/>
        <v>-1.1532916369051316</v>
      </c>
      <c r="AP502" s="60" t="str">
        <f t="shared" si="441"/>
        <v>-0.151426660859286-0.325829054977252i</v>
      </c>
      <c r="AQ502" s="51">
        <f t="shared" si="442"/>
        <v>-8.8909190130661866</v>
      </c>
      <c r="AR502" s="63">
        <f t="shared" si="443"/>
        <v>-114.9263031743008</v>
      </c>
      <c r="AS502" s="32" t="str">
        <f t="shared" si="419"/>
        <v>-0.000133283554228113</v>
      </c>
      <c r="AT502" s="32" t="str">
        <f t="shared" si="420"/>
        <v>0.265595723902462i</v>
      </c>
      <c r="AU502" s="32">
        <f t="shared" si="444"/>
        <v>0.265595723902462</v>
      </c>
      <c r="AV502" s="32">
        <f t="shared" si="445"/>
        <v>1.5707963267948966</v>
      </c>
      <c r="AW502" s="32" t="str">
        <f t="shared" si="421"/>
        <v>1+46.4374438748645i</v>
      </c>
      <c r="AX502" s="32">
        <f t="shared" si="446"/>
        <v>46.448209800068611</v>
      </c>
      <c r="AY502" s="32">
        <f t="shared" si="447"/>
        <v>1.5492653082128971</v>
      </c>
      <c r="AZ502" s="32" t="str">
        <f t="shared" si="422"/>
        <v>1+692.031175793711i</v>
      </c>
      <c r="BA502" s="32">
        <f t="shared" si="448"/>
        <v>692.03189830413601</v>
      </c>
      <c r="BB502" s="32">
        <f t="shared" si="449"/>
        <v>1.5693513061961861</v>
      </c>
      <c r="BC502" s="60" t="str">
        <f t="shared" si="450"/>
        <v>-0.000150167804636137+0.00747523768972472i</v>
      </c>
      <c r="BD502" s="51">
        <f t="shared" si="451"/>
        <v>-42.525747603665316</v>
      </c>
      <c r="BE502" s="63">
        <f t="shared" si="452"/>
        <v>91.150842911750743</v>
      </c>
      <c r="BF502" s="60" t="str">
        <f t="shared" si="453"/>
        <v>-0.000221091379636399+0.0000290378196368253i</v>
      </c>
      <c r="BG502" s="66">
        <f t="shared" si="454"/>
        <v>-73.034287618885656</v>
      </c>
      <c r="BH502" s="63">
        <f t="shared" si="455"/>
        <v>172.51768253169072</v>
      </c>
      <c r="BI502" s="60" t="str">
        <f t="shared" si="460"/>
        <v>0.00245838904139796-0.0010830212486119i</v>
      </c>
      <c r="BJ502" s="66">
        <f t="shared" si="456"/>
        <v>-51.416666616731497</v>
      </c>
      <c r="BK502" s="63">
        <f t="shared" si="461"/>
        <v>-23.775460262550123</v>
      </c>
      <c r="BL502" s="51">
        <f t="shared" si="457"/>
        <v>-73.034287618885656</v>
      </c>
      <c r="BM502" s="63">
        <f t="shared" si="458"/>
        <v>172.51768253169072</v>
      </c>
    </row>
    <row r="503" spans="14:65" x14ac:dyDescent="0.35">
      <c r="N503" s="11">
        <v>85</v>
      </c>
      <c r="O503" s="52">
        <f t="shared" si="459"/>
        <v>707945.78438413853</v>
      </c>
      <c r="P503" s="50" t="str">
        <f t="shared" si="411"/>
        <v>36.531007751938</v>
      </c>
      <c r="Q503" s="18" t="str">
        <f t="shared" si="412"/>
        <v>1+2172.35454802709i</v>
      </c>
      <c r="R503" s="18">
        <f t="shared" si="423"/>
        <v>2172.3547781920847</v>
      </c>
      <c r="S503" s="18">
        <f t="shared" si="424"/>
        <v>1.5703359968131845</v>
      </c>
      <c r="T503" s="18" t="str">
        <f t="shared" si="413"/>
        <v>1+0.88963091014443i</v>
      </c>
      <c r="U503" s="18">
        <f t="shared" si="425"/>
        <v>1.3384480401884888</v>
      </c>
      <c r="V503" s="18">
        <f t="shared" si="426"/>
        <v>0.72705669641334181</v>
      </c>
      <c r="W503" s="32" t="str">
        <f t="shared" si="414"/>
        <v>1-14.7394470319787i</v>
      </c>
      <c r="X503" s="18">
        <f t="shared" si="427"/>
        <v>14.773330660636612</v>
      </c>
      <c r="Y503" s="18">
        <f t="shared" si="428"/>
        <v>-1.503054986164396</v>
      </c>
      <c r="Z503" s="32" t="str">
        <f t="shared" si="415"/>
        <v>-9.3551081327949+6.69774613248888i</v>
      </c>
      <c r="AA503" s="18">
        <f t="shared" si="429"/>
        <v>11.505557415073598</v>
      </c>
      <c r="AB503" s="18">
        <f t="shared" si="430"/>
        <v>2.5202450844300914</v>
      </c>
      <c r="AC503" s="68" t="str">
        <f t="shared" si="431"/>
        <v>0.00443852064534094+0.0285574863162502i</v>
      </c>
      <c r="AD503" s="66">
        <f t="shared" si="432"/>
        <v>-30.781936600632697</v>
      </c>
      <c r="AE503" s="63">
        <f t="shared" si="433"/>
        <v>81.165541376594092</v>
      </c>
      <c r="AF503" s="51" t="str">
        <f t="shared" si="434"/>
        <v>42.1703962805665</v>
      </c>
      <c r="AG503" s="51" t="str">
        <f t="shared" si="416"/>
        <v>1+392.48422506372i</v>
      </c>
      <c r="AH503" s="51">
        <f t="shared" si="435"/>
        <v>392.48549899820347</v>
      </c>
      <c r="AI503" s="51">
        <f t="shared" si="436"/>
        <v>1.5682484592061794</v>
      </c>
      <c r="AJ503" s="51" t="str">
        <f t="shared" si="417"/>
        <v>1+0.88963091014443i</v>
      </c>
      <c r="AK503" s="51">
        <f t="shared" si="437"/>
        <v>1.3384480401884888</v>
      </c>
      <c r="AL503" s="51">
        <f t="shared" si="438"/>
        <v>0.72705669641334181</v>
      </c>
      <c r="AM503" s="51" t="str">
        <f t="shared" si="418"/>
        <v>1-2.30688091254779i</v>
      </c>
      <c r="AN503" s="51">
        <f t="shared" si="439"/>
        <v>2.5142990165605448</v>
      </c>
      <c r="AO503" s="51">
        <f t="shared" si="440"/>
        <v>-1.161760185044626</v>
      </c>
      <c r="AP503" s="60" t="str">
        <f t="shared" si="441"/>
        <v>-0.151439608814684-0.328336720399456i</v>
      </c>
      <c r="AQ503" s="51">
        <f t="shared" si="442"/>
        <v>-8.835949837722767</v>
      </c>
      <c r="AR503" s="63">
        <f t="shared" si="443"/>
        <v>-114.76069317859412</v>
      </c>
      <c r="AS503" s="32" t="str">
        <f t="shared" si="419"/>
        <v>-0.000133283554228113</v>
      </c>
      <c r="AT503" s="32" t="str">
        <f t="shared" si="420"/>
        <v>0.271782243049123i</v>
      </c>
      <c r="AU503" s="32">
        <f t="shared" si="444"/>
        <v>0.27178224304912302</v>
      </c>
      <c r="AV503" s="32">
        <f t="shared" si="445"/>
        <v>1.5707963267948966</v>
      </c>
      <c r="AW503" s="32" t="str">
        <f t="shared" si="421"/>
        <v>1+47.5191108965797i</v>
      </c>
      <c r="AX503" s="32">
        <f t="shared" si="446"/>
        <v>47.529631814284436</v>
      </c>
      <c r="AY503" s="32">
        <f t="shared" si="447"/>
        <v>1.5497552677054076</v>
      </c>
      <c r="AZ503" s="32" t="str">
        <f t="shared" si="422"/>
        <v>1+708.150652629517i</v>
      </c>
      <c r="BA503" s="32">
        <f t="shared" si="448"/>
        <v>708.15135869361347</v>
      </c>
      <c r="BB503" s="32">
        <f t="shared" si="449"/>
        <v>1.569384198836552</v>
      </c>
      <c r="BC503" s="60" t="str">
        <f t="shared" si="450"/>
        <v>-0.000143412131882725+0.00730522267338137i</v>
      </c>
      <c r="BD503" s="51">
        <f t="shared" si="451"/>
        <v>-42.725657410405077</v>
      </c>
      <c r="BE503" s="63">
        <f t="shared" si="452"/>
        <v>91.124654910167507</v>
      </c>
      <c r="BF503" s="60" t="str">
        <f t="shared" si="453"/>
        <v>-0.000209255334240403+0.0000283288916607908i</v>
      </c>
      <c r="BG503" s="66">
        <f t="shared" si="454"/>
        <v>-73.507594011037767</v>
      </c>
      <c r="BH503" s="63">
        <f t="shared" si="455"/>
        <v>172.29019628676159</v>
      </c>
      <c r="BI503" s="60" t="str">
        <f t="shared" si="460"/>
        <v>0.00242029113151739-0.00105921259491317i</v>
      </c>
      <c r="BJ503" s="66">
        <f t="shared" si="456"/>
        <v>-51.561607248127821</v>
      </c>
      <c r="BK503" s="63">
        <f t="shared" si="461"/>
        <v>-23.636038268426638</v>
      </c>
      <c r="BL503" s="51">
        <f t="shared" si="457"/>
        <v>-73.507594011037767</v>
      </c>
      <c r="BM503" s="63">
        <f t="shared" si="458"/>
        <v>172.29019628676159</v>
      </c>
    </row>
    <row r="504" spans="14:65" x14ac:dyDescent="0.35">
      <c r="N504" s="11">
        <v>86</v>
      </c>
      <c r="O504" s="52">
        <f t="shared" si="459"/>
        <v>724435.96007499192</v>
      </c>
      <c r="P504" s="50" t="str">
        <f t="shared" si="411"/>
        <v>36.531007751938</v>
      </c>
      <c r="Q504" s="18" t="str">
        <f t="shared" si="412"/>
        <v>1+2222.95518574535i</v>
      </c>
      <c r="R504" s="18">
        <f t="shared" si="423"/>
        <v>2222.9554106711498</v>
      </c>
      <c r="S504" s="18">
        <f t="shared" si="424"/>
        <v>1.5703464752014156</v>
      </c>
      <c r="T504" s="18" t="str">
        <f t="shared" si="413"/>
        <v>1+0.910353076067146i</v>
      </c>
      <c r="U504" s="18">
        <f t="shared" si="425"/>
        <v>1.3523101430903026</v>
      </c>
      <c r="V504" s="18">
        <f t="shared" si="426"/>
        <v>0.7385056768432976</v>
      </c>
      <c r="W504" s="32" t="str">
        <f t="shared" si="414"/>
        <v>1-15.0827728579172i</v>
      </c>
      <c r="X504" s="18">
        <f t="shared" si="427"/>
        <v>15.11588691025187</v>
      </c>
      <c r="Y504" s="18">
        <f t="shared" si="428"/>
        <v>-1.5045924134769733</v>
      </c>
      <c r="Z504" s="32" t="str">
        <f t="shared" si="415"/>
        <v>-9.8431293440036+6.8537566814514i</v>
      </c>
      <c r="AA504" s="18">
        <f t="shared" si="429"/>
        <v>11.994214269026731</v>
      </c>
      <c r="AB504" s="18">
        <f t="shared" si="430"/>
        <v>2.5333552066395071</v>
      </c>
      <c r="AC504" s="68" t="str">
        <f t="shared" si="431"/>
        <v>0.00439013108788464+0.027660940622249i</v>
      </c>
      <c r="AD504" s="66">
        <f t="shared" si="432"/>
        <v>-31.054619238617676</v>
      </c>
      <c r="AE504" s="63">
        <f t="shared" si="433"/>
        <v>80.981676499717466</v>
      </c>
      <c r="AF504" s="51" t="str">
        <f t="shared" si="434"/>
        <v>42.1703962805665</v>
      </c>
      <c r="AG504" s="51" t="str">
        <f t="shared" si="416"/>
        <v>1+401.626357088448i</v>
      </c>
      <c r="AH504" s="51">
        <f t="shared" si="435"/>
        <v>401.62760202473322</v>
      </c>
      <c r="AI504" s="51">
        <f t="shared" si="436"/>
        <v>1.5683064555106458</v>
      </c>
      <c r="AJ504" s="51" t="str">
        <f t="shared" si="417"/>
        <v>1+0.910353076067146i</v>
      </c>
      <c r="AK504" s="51">
        <f t="shared" si="437"/>
        <v>1.3523101430903026</v>
      </c>
      <c r="AL504" s="51">
        <f t="shared" si="438"/>
        <v>0.7385056768432976</v>
      </c>
      <c r="AM504" s="51" t="str">
        <f t="shared" si="418"/>
        <v>1-2.36061507183638i</v>
      </c>
      <c r="AN504" s="51">
        <f t="shared" si="439"/>
        <v>2.5636894346587842</v>
      </c>
      <c r="AO504" s="51">
        <f t="shared" si="440"/>
        <v>-1.1700964814775385</v>
      </c>
      <c r="AP504" s="60" t="str">
        <f>(IMDIV(IMPRODUCT(AF504,AJ504,AM504),IMPRODUCT(AG504)))</f>
        <v>-0.151451974023487-0.331018471326531i</v>
      </c>
      <c r="AQ504" s="51">
        <f t="shared" si="442"/>
        <v>-8.7774830195648548</v>
      </c>
      <c r="AR504" s="63">
        <f t="shared" si="443"/>
        <v>-114.5856724660788</v>
      </c>
      <c r="AS504" s="32" t="str">
        <f t="shared" si="419"/>
        <v>-0.000133283554228113</v>
      </c>
      <c r="AT504" s="32" t="str">
        <f t="shared" si="420"/>
        <v>0.278112864738513i</v>
      </c>
      <c r="AU504" s="32">
        <f t="shared" si="444"/>
        <v>0.27811286473851299</v>
      </c>
      <c r="AV504" s="32">
        <f t="shared" si="445"/>
        <v>1.5707963267948966</v>
      </c>
      <c r="AW504" s="32" t="str">
        <f t="shared" si="421"/>
        <v>1+48.6259731798821i</v>
      </c>
      <c r="AX504" s="32">
        <f t="shared" si="446"/>
        <v>48.636254663477267</v>
      </c>
      <c r="AY504" s="32">
        <f t="shared" si="447"/>
        <v>1.5502340841215434</v>
      </c>
      <c r="AZ504" s="32" t="str">
        <f t="shared" si="422"/>
        <v>1+724.645600314828i</v>
      </c>
      <c r="BA504" s="32">
        <f t="shared" si="448"/>
        <v>724.64629030695903</v>
      </c>
      <c r="BB504" s="32">
        <f t="shared" si="449"/>
        <v>1.5694163427519656</v>
      </c>
      <c r="BC504" s="60" t="str">
        <f t="shared" si="450"/>
        <v>-0.00013696025135529+0.00713906818763206i</v>
      </c>
      <c r="BD504" s="51">
        <f t="shared" si="451"/>
        <v>-42.925571274745835</v>
      </c>
      <c r="BE504" s="63">
        <f t="shared" si="452"/>
        <v>91.099062461051588</v>
      </c>
      <c r="BF504" s="60" t="str">
        <f t="shared" si="453"/>
        <v>-0.000198074614693557+0.0000275529958087048i</v>
      </c>
      <c r="BG504" s="66">
        <f t="shared" si="454"/>
        <v>-73.980190513363496</v>
      </c>
      <c r="BH504" s="63">
        <f t="shared" si="455"/>
        <v>172.08073896076908</v>
      </c>
      <c r="BI504" s="60" t="str">
        <f t="shared" si="460"/>
        <v>0.00238390633859634-0.00103588959666903i</v>
      </c>
      <c r="BJ504" s="66">
        <f t="shared" si="456"/>
        <v>-51.703054294310704</v>
      </c>
      <c r="BK504" s="63">
        <f t="shared" si="461"/>
        <v>-23.486610005027302</v>
      </c>
      <c r="BL504" s="51">
        <f t="shared" si="457"/>
        <v>-73.980190513363496</v>
      </c>
      <c r="BM504" s="63">
        <f t="shared" si="458"/>
        <v>172.08073896076908</v>
      </c>
    </row>
    <row r="505" spans="14:65" x14ac:dyDescent="0.35">
      <c r="N505" s="11">
        <v>87</v>
      </c>
      <c r="O505" s="52">
        <f t="shared" si="459"/>
        <v>741310.24130091805</v>
      </c>
      <c r="P505" s="50" t="str">
        <f t="shared" si="411"/>
        <v>36.531007751938</v>
      </c>
      <c r="Q505" s="18" t="str">
        <f t="shared" si="412"/>
        <v>1+2274.73446372738i</v>
      </c>
      <c r="R505" s="18">
        <f t="shared" si="423"/>
        <v>2274.7346835332446</v>
      </c>
      <c r="S505" s="18">
        <f t="shared" si="424"/>
        <v>1.570356715072506</v>
      </c>
      <c r="T505" s="18" t="str">
        <f t="shared" si="413"/>
        <v>1+0.931557923240736i</v>
      </c>
      <c r="U505" s="18">
        <f t="shared" si="425"/>
        <v>1.3666748568524238</v>
      </c>
      <c r="V505" s="18">
        <f t="shared" si="426"/>
        <v>0.74997936826251321</v>
      </c>
      <c r="W505" s="32" t="str">
        <f t="shared" si="414"/>
        <v>1-15.434095769669i</v>
      </c>
      <c r="X505" s="18">
        <f t="shared" si="427"/>
        <v>15.466457649614359</v>
      </c>
      <c r="Y505" s="18">
        <f t="shared" si="428"/>
        <v>-1.5060951475930504</v>
      </c>
      <c r="Z505" s="32" t="str">
        <f t="shared" si="415"/>
        <v>-10.3541502863145+7.0134011829266i</v>
      </c>
      <c r="AA505" s="18">
        <f t="shared" si="429"/>
        <v>12.50584760439143</v>
      </c>
      <c r="AB505" s="18">
        <f t="shared" si="430"/>
        <v>2.5462291611845265</v>
      </c>
      <c r="AC505" s="68" t="str">
        <f t="shared" si="431"/>
        <v>0.00433291190030556+0.0267959430367213i</v>
      </c>
      <c r="AD505" s="66">
        <f t="shared" si="432"/>
        <v>-31.326523345690511</v>
      </c>
      <c r="AE505" s="63">
        <f t="shared" si="433"/>
        <v>80.814760308423331</v>
      </c>
      <c r="AF505" s="51" t="str">
        <f t="shared" si="434"/>
        <v>42.1703962805665</v>
      </c>
      <c r="AG505" s="51" t="str">
        <f t="shared" si="416"/>
        <v>1+410.981436723855i</v>
      </c>
      <c r="AH505" s="51">
        <f t="shared" si="435"/>
        <v>410.98265332201555</v>
      </c>
      <c r="AI505" s="51">
        <f t="shared" si="436"/>
        <v>1.5683631316742332</v>
      </c>
      <c r="AJ505" s="51" t="str">
        <f t="shared" si="417"/>
        <v>1+0.931557923240736i</v>
      </c>
      <c r="AK505" s="51">
        <f t="shared" si="437"/>
        <v>1.3666748568524238</v>
      </c>
      <c r="AL505" s="51">
        <f t="shared" si="438"/>
        <v>0.74997936826251321</v>
      </c>
      <c r="AM505" s="51" t="str">
        <f t="shared" si="418"/>
        <v>1-2.41560086048249i</v>
      </c>
      <c r="AN505" s="51">
        <f t="shared" si="439"/>
        <v>2.6144076799848466</v>
      </c>
      <c r="AO505" s="51">
        <f t="shared" si="440"/>
        <v>-1.178300310597368</v>
      </c>
      <c r="AP505" s="60" t="str">
        <f t="shared" si="441"/>
        <v>-0.151463782712965-0.33387572985657i</v>
      </c>
      <c r="AQ505" s="51">
        <f t="shared" si="442"/>
        <v>-8.7155458845528138</v>
      </c>
      <c r="AR505" s="63">
        <f t="shared" si="443"/>
        <v>-114.40157046170762</v>
      </c>
      <c r="AS505" s="32" t="str">
        <f t="shared" si="419"/>
        <v>-0.000133283554228113</v>
      </c>
      <c r="AT505" s="32" t="str">
        <f t="shared" si="420"/>
        <v>0.284590945550045i</v>
      </c>
      <c r="AU505" s="32">
        <f t="shared" si="444"/>
        <v>0.28459094555004499</v>
      </c>
      <c r="AV505" s="32">
        <f t="shared" si="445"/>
        <v>1.5707963267948966</v>
      </c>
      <c r="AW505" s="32" t="str">
        <f t="shared" si="421"/>
        <v>1+49.7586175978051i</v>
      </c>
      <c r="AX505" s="32">
        <f t="shared" si="446"/>
        <v>49.768665094058925</v>
      </c>
      <c r="AY505" s="32">
        <f t="shared" si="447"/>
        <v>1.550702010457395</v>
      </c>
      <c r="AZ505" s="32" t="str">
        <f t="shared" si="422"/>
        <v>1+741.524764689241i</v>
      </c>
      <c r="BA505" s="32">
        <f t="shared" si="448"/>
        <v>741.52543897524799</v>
      </c>
      <c r="BB505" s="32">
        <f t="shared" si="449"/>
        <v>1.5694477549852905</v>
      </c>
      <c r="BC505" s="60" t="str">
        <f t="shared" si="450"/>
        <v>-0.000130798513289966+0.006976686988477i</v>
      </c>
      <c r="BD505" s="51">
        <f t="shared" si="451"/>
        <v>-43.125489014220662</v>
      </c>
      <c r="BE505" s="63">
        <f t="shared" si="452"/>
        <v>91.074052045278876</v>
      </c>
      <c r="BF505" s="60" t="str">
        <f t="shared" si="453"/>
        <v>-0.000187513645563041+0.0000267245005656732i</v>
      </c>
      <c r="BG505" s="66">
        <f t="shared" si="454"/>
        <v>-74.452012359911166</v>
      </c>
      <c r="BH505" s="63">
        <f t="shared" si="455"/>
        <v>171.88881235370221</v>
      </c>
      <c r="BI505" s="60" t="str">
        <f t="shared" si="460"/>
        <v>0.00234915769785472-0.00101304495299021i</v>
      </c>
      <c r="BJ505" s="66">
        <f t="shared" si="456"/>
        <v>-51.841034898773486</v>
      </c>
      <c r="BK505" s="63">
        <f t="shared" si="461"/>
        <v>-23.327518416428806</v>
      </c>
      <c r="BL505" s="51">
        <f t="shared" si="457"/>
        <v>-74.452012359911166</v>
      </c>
      <c r="BM505" s="63">
        <f t="shared" si="458"/>
        <v>171.88881235370221</v>
      </c>
    </row>
    <row r="506" spans="14:65" x14ac:dyDescent="0.35">
      <c r="N506" s="11">
        <v>88</v>
      </c>
      <c r="O506" s="52">
        <f t="shared" si="459"/>
        <v>758577.57502918423</v>
      </c>
      <c r="P506" s="50" t="str">
        <f t="shared" si="411"/>
        <v>36.531007751938</v>
      </c>
      <c r="Q506" s="18" t="str">
        <f t="shared" si="412"/>
        <v>1+2327.71983603174i</v>
      </c>
      <c r="R506" s="18">
        <f t="shared" si="423"/>
        <v>2327.7200508342135</v>
      </c>
      <c r="S506" s="18">
        <f t="shared" si="424"/>
        <v>1.5703667218557624</v>
      </c>
      <c r="T506" s="18" t="str">
        <f t="shared" si="413"/>
        <v>1+0.953256694755858i</v>
      </c>
      <c r="U506" s="18">
        <f t="shared" si="425"/>
        <v>1.3815564867557399</v>
      </c>
      <c r="V506" s="18">
        <f t="shared" si="426"/>
        <v>0.76147177149968881</v>
      </c>
      <c r="W506" s="32" t="str">
        <f t="shared" si="414"/>
        <v>1-15.7936020432923i</v>
      </c>
      <c r="X506" s="18">
        <f t="shared" si="427"/>
        <v>15.825228766178601</v>
      </c>
      <c r="Y506" s="18">
        <f t="shared" si="428"/>
        <v>-1.5075639581189457</v>
      </c>
      <c r="Z506" s="32" t="str">
        <f t="shared" si="415"/>
        <v>-10.8892549036603+7.17676428254234i</v>
      </c>
      <c r="AA506" s="18">
        <f t="shared" si="429"/>
        <v>13.041542007142612</v>
      </c>
      <c r="AB506" s="18">
        <f t="shared" si="430"/>
        <v>2.5588688213570605</v>
      </c>
      <c r="AC506" s="68" t="str">
        <f t="shared" si="431"/>
        <v>0.00426797233665639+0.0259615048408351i</v>
      </c>
      <c r="AD506" s="66">
        <f t="shared" si="432"/>
        <v>-31.59758792278231</v>
      </c>
      <c r="AE506" s="63">
        <f t="shared" si="433"/>
        <v>80.664297337525028</v>
      </c>
      <c r="AF506" s="51" t="str">
        <f t="shared" si="434"/>
        <v>42.1703962805665</v>
      </c>
      <c r="AG506" s="51" t="str">
        <f t="shared" si="416"/>
        <v>1+420.554424156997i</v>
      </c>
      <c r="AH506" s="51">
        <f t="shared" si="435"/>
        <v>420.5556130620817</v>
      </c>
      <c r="AI506" s="51">
        <f t="shared" si="436"/>
        <v>1.5684185177459367</v>
      </c>
      <c r="AJ506" s="51" t="str">
        <f t="shared" si="417"/>
        <v>1+0.953256694755858i</v>
      </c>
      <c r="AK506" s="51">
        <f t="shared" si="437"/>
        <v>1.3815564867557399</v>
      </c>
      <c r="AL506" s="51">
        <f t="shared" si="438"/>
        <v>0.76147177149968881</v>
      </c>
      <c r="AM506" s="51" t="str">
        <f t="shared" si="418"/>
        <v>1-2.4718674326791i</v>
      </c>
      <c r="AN506" s="51">
        <f t="shared" si="439"/>
        <v>2.6664824403583771</v>
      </c>
      <c r="AO506" s="51">
        <f t="shared" si="440"/>
        <v>-1.186371604006339</v>
      </c>
      <c r="AP506" s="60" t="str">
        <f t="shared" si="441"/>
        <v>-0.151475059930019-0.336910011130888i</v>
      </c>
      <c r="AQ506" s="51">
        <f t="shared" si="442"/>
        <v>-8.6501675450085287</v>
      </c>
      <c r="AR506" s="63">
        <f t="shared" si="443"/>
        <v>-114.20872869545325</v>
      </c>
      <c r="AS506" s="32" t="str">
        <f t="shared" si="419"/>
        <v>-0.000133283554228113</v>
      </c>
      <c r="AT506" s="32" t="str">
        <f t="shared" si="420"/>
        <v>0.291219920247915i</v>
      </c>
      <c r="AU506" s="32">
        <f t="shared" si="444"/>
        <v>0.29121992024791499</v>
      </c>
      <c r="AV506" s="32">
        <f t="shared" si="445"/>
        <v>1.5707963267948966</v>
      </c>
      <c r="AW506" s="32" t="str">
        <f t="shared" si="421"/>
        <v>1+50.9176446934118i</v>
      </c>
      <c r="AX506" s="32">
        <f t="shared" si="446"/>
        <v>50.927463525336961</v>
      </c>
      <c r="AY506" s="32">
        <f t="shared" si="447"/>
        <v>1.5511592939935912</v>
      </c>
      <c r="AZ506" s="32" t="str">
        <f t="shared" si="422"/>
        <v>1+758.797095309136i</v>
      </c>
      <c r="BA506" s="32">
        <f t="shared" si="448"/>
        <v>758.79775424653303</v>
      </c>
      <c r="BB506" s="32">
        <f t="shared" si="449"/>
        <v>1.5694784521914609</v>
      </c>
      <c r="BC506" s="60" t="str">
        <f t="shared" si="450"/>
        <v>-0.000124913880229369+0.00681799377568594i</v>
      </c>
      <c r="BD506" s="51">
        <f t="shared" si="451"/>
        <v>-43.325410454561307</v>
      </c>
      <c r="BE506" s="63">
        <f t="shared" si="452"/>
        <v>91.049610448970398</v>
      </c>
      <c r="BF506" s="60" t="str">
        <f t="shared" si="453"/>
        <v>-0.000177538507397537+0.0000258560565198608i</v>
      </c>
      <c r="BG506" s="66">
        <f t="shared" si="454"/>
        <v>-74.922998377343632</v>
      </c>
      <c r="BH506" s="63">
        <f t="shared" si="455"/>
        <v>171.71390778649541</v>
      </c>
      <c r="BI506" s="60" t="str">
        <f t="shared" si="460"/>
        <v>0.00231597169635051-0.000990671278996045i</v>
      </c>
      <c r="BJ506" s="66">
        <f t="shared" si="456"/>
        <v>-51.975577999569829</v>
      </c>
      <c r="BK506" s="63">
        <f t="shared" si="461"/>
        <v>-23.159118246482841</v>
      </c>
      <c r="BL506" s="51">
        <f t="shared" si="457"/>
        <v>-74.922998377343632</v>
      </c>
      <c r="BM506" s="63">
        <f t="shared" si="458"/>
        <v>171.71390778649541</v>
      </c>
    </row>
    <row r="507" spans="14:65" x14ac:dyDescent="0.35">
      <c r="N507" s="11">
        <v>89</v>
      </c>
      <c r="O507" s="52">
        <f t="shared" si="459"/>
        <v>776247.11662869214</v>
      </c>
      <c r="P507" s="50" t="str">
        <f t="shared" si="411"/>
        <v>36.531007751938</v>
      </c>
      <c r="Q507" s="18" t="str">
        <f t="shared" si="412"/>
        <v>1+2381.93939620419i</v>
      </c>
      <c r="R507" s="18">
        <f t="shared" si="423"/>
        <v>2381.9396061171619</v>
      </c>
      <c r="S507" s="18">
        <f t="shared" si="424"/>
        <v>1.5703765008569057</v>
      </c>
      <c r="T507" s="18" t="str">
        <f t="shared" si="413"/>
        <v>1+0.975460895588384i</v>
      </c>
      <c r="U507" s="18">
        <f t="shared" si="425"/>
        <v>1.3969695625968708</v>
      </c>
      <c r="V507" s="18">
        <f t="shared" si="426"/>
        <v>0.77297683811946316</v>
      </c>
      <c r="W507" s="32" t="str">
        <f t="shared" si="414"/>
        <v>1-16.1614822937721i</v>
      </c>
      <c r="X507" s="18">
        <f t="shared" si="427"/>
        <v>16.192390494670917</v>
      </c>
      <c r="Y507" s="18">
        <f t="shared" si="428"/>
        <v>-1.5089995984726063</v>
      </c>
      <c r="Z507" s="32" t="str">
        <f t="shared" si="415"/>
        <v>-11.4495782246768+7.3439325975764i</v>
      </c>
      <c r="AA507" s="18">
        <f t="shared" si="429"/>
        <v>13.602433147078445</v>
      </c>
      <c r="AB507" s="18">
        <f t="shared" si="430"/>
        <v>2.571276191018085</v>
      </c>
      <c r="AC507" s="68" t="str">
        <f t="shared" si="431"/>
        <v>0.00419633609950651+0.0251566396963804i</v>
      </c>
      <c r="AD507" s="66">
        <f t="shared" si="432"/>
        <v>-31.867755611035093</v>
      </c>
      <c r="AE507" s="63">
        <f t="shared" si="433"/>
        <v>80.529782752762799</v>
      </c>
      <c r="AF507" s="51" t="str">
        <f t="shared" si="434"/>
        <v>42.1703962805665</v>
      </c>
      <c r="AG507" s="51" t="str">
        <f t="shared" si="416"/>
        <v>1+430.350395112524i</v>
      </c>
      <c r="AH507" s="51">
        <f t="shared" si="435"/>
        <v>430.35155695489874</v>
      </c>
      <c r="AI507" s="51">
        <f t="shared" si="436"/>
        <v>1.5684726430908245</v>
      </c>
      <c r="AJ507" s="51" t="str">
        <f t="shared" si="417"/>
        <v>1+0.975460895588384i</v>
      </c>
      <c r="AK507" s="51">
        <f t="shared" si="437"/>
        <v>1.3969695625968708</v>
      </c>
      <c r="AL507" s="51">
        <f t="shared" si="438"/>
        <v>0.77297683811946316</v>
      </c>
      <c r="AM507" s="51" t="str">
        <f t="shared" si="418"/>
        <v>1-2.52944462170754i</v>
      </c>
      <c r="AN507" s="51">
        <f t="shared" si="439"/>
        <v>2.7199430314411366</v>
      </c>
      <c r="AO507" s="51">
        <f t="shared" si="440"/>
        <v>-1.1943104336799009</v>
      </c>
      <c r="AP507" s="60" t="str">
        <f t="shared" si="441"/>
        <v>-0.151485829594305-0.340122924138253i</v>
      </c>
      <c r="AQ507" s="51">
        <f t="shared" si="442"/>
        <v>-8.5813788939501165</v>
      </c>
      <c r="AR507" s="63">
        <f t="shared" si="443"/>
        <v>-114.00749952351832</v>
      </c>
      <c r="AS507" s="32" t="str">
        <f t="shared" si="419"/>
        <v>-0.000133283554228113</v>
      </c>
      <c r="AT507" s="32" t="str">
        <f t="shared" si="420"/>
        <v>0.298003303602251i</v>
      </c>
      <c r="AU507" s="32">
        <f t="shared" si="444"/>
        <v>0.29800330360225102</v>
      </c>
      <c r="AV507" s="32">
        <f t="shared" si="445"/>
        <v>1.5707963267948966</v>
      </c>
      <c r="AW507" s="32" t="str">
        <f t="shared" si="421"/>
        <v>1+52.1036689982097i</v>
      </c>
      <c r="AX507" s="32">
        <f t="shared" si="446"/>
        <v>52.113264367865099</v>
      </c>
      <c r="AY507" s="32">
        <f t="shared" si="447"/>
        <v>1.5516061764225026</v>
      </c>
      <c r="AZ507" s="32" t="str">
        <f t="shared" si="422"/>
        <v>1+776.471750192831i</v>
      </c>
      <c r="BA507" s="32">
        <f t="shared" si="448"/>
        <v>776.4723941309943</v>
      </c>
      <c r="BB507" s="32">
        <f t="shared" si="449"/>
        <v>1.5695084506463097</v>
      </c>
      <c r="BC507" s="60" t="str">
        <f t="shared" si="450"/>
        <v>-0.000119293899643+0.00666290515135866i</v>
      </c>
      <c r="BD507" s="51">
        <f t="shared" si="451"/>
        <v>-43.525335429330418</v>
      </c>
      <c r="BE507" s="63">
        <f t="shared" si="452"/>
        <v>91.025724756709977</v>
      </c>
      <c r="BF507" s="60" t="str">
        <f t="shared" si="453"/>
        <v>-0.00016811690152141+0.0000249587557629391i</v>
      </c>
      <c r="BG507" s="66">
        <f t="shared" si="454"/>
        <v>-75.393091040365491</v>
      </c>
      <c r="BH507" s="63">
        <f t="shared" si="455"/>
        <v>171.55550750947279</v>
      </c>
      <c r="BI507" s="60" t="str">
        <f t="shared" si="460"/>
        <v>0.0022842781186889-0.000968761124383303i</v>
      </c>
      <c r="BJ507" s="66">
        <f t="shared" si="456"/>
        <v>-52.106714323280521</v>
      </c>
      <c r="BK507" s="63">
        <f t="shared" si="461"/>
        <v>-22.981774766808332</v>
      </c>
      <c r="BL507" s="51">
        <f t="shared" si="457"/>
        <v>-75.393091040365491</v>
      </c>
      <c r="BM507" s="63">
        <f t="shared" si="458"/>
        <v>171.55550750947279</v>
      </c>
    </row>
    <row r="508" spans="14:65" x14ac:dyDescent="0.35">
      <c r="N508" s="11">
        <v>90</v>
      </c>
      <c r="O508" s="52">
        <f t="shared" si="459"/>
        <v>794328.23472428333</v>
      </c>
      <c r="P508" s="50" t="str">
        <f t="shared" si="411"/>
        <v>36.531007751938</v>
      </c>
      <c r="Q508" s="18" t="str">
        <f t="shared" si="412"/>
        <v>1+2437.4218921732i</v>
      </c>
      <c r="R508" s="18">
        <f t="shared" si="423"/>
        <v>2437.42209730797</v>
      </c>
      <c r="S508" s="18">
        <f t="shared" si="424"/>
        <v>1.5703860572608845</v>
      </c>
      <c r="T508" s="18" t="str">
        <f t="shared" si="413"/>
        <v>1+0.998182298699504i</v>
      </c>
      <c r="U508" s="18">
        <f t="shared" si="425"/>
        <v>1.4129288380654652</v>
      </c>
      <c r="V508" s="18">
        <f t="shared" si="426"/>
        <v>0.7844884862372169</v>
      </c>
      <c r="W508" s="32" t="str">
        <f t="shared" si="414"/>
        <v>1-16.5379315760865i</v>
      </c>
      <c r="X508" s="18">
        <f t="shared" si="427"/>
        <v>16.568137517998782</v>
      </c>
      <c r="Y508" s="18">
        <f t="shared" si="428"/>
        <v>-1.5104028061646304</v>
      </c>
      <c r="Z508" s="32" t="str">
        <f t="shared" si="415"/>
        <v>-12.036308770252+7.51499476288214i</v>
      </c>
      <c r="AA508" s="18">
        <f t="shared" si="429"/>
        <v>14.189710183756088</v>
      </c>
      <c r="AB508" s="18">
        <f t="shared" si="430"/>
        <v>2.5834533953156922</v>
      </c>
      <c r="AC508" s="68" t="str">
        <f t="shared" si="431"/>
        <v>0.00411894570699649+0.0243803674947259i</v>
      </c>
      <c r="AD508" s="66">
        <f t="shared" si="432"/>
        <v>-32.136972733160789</v>
      </c>
      <c r="AE508" s="63">
        <f t="shared" si="433"/>
        <v>80.410703772479721</v>
      </c>
      <c r="AF508" s="51" t="str">
        <f t="shared" si="434"/>
        <v>42.1703962805665</v>
      </c>
      <c r="AG508" s="51" t="str">
        <f t="shared" si="416"/>
        <v>1+440.3745435439i</v>
      </c>
      <c r="AH508" s="51">
        <f t="shared" si="435"/>
        <v>440.37567893958254</v>
      </c>
      <c r="AI508" s="51">
        <f t="shared" si="436"/>
        <v>1.5685255364056014</v>
      </c>
      <c r="AJ508" s="51" t="str">
        <f t="shared" si="417"/>
        <v>1+0.998182298699504i</v>
      </c>
      <c r="AK508" s="51">
        <f t="shared" si="437"/>
        <v>1.4129288380654652</v>
      </c>
      <c r="AL508" s="51">
        <f t="shared" si="438"/>
        <v>0.7844884862372169</v>
      </c>
      <c r="AM508" s="51" t="str">
        <f t="shared" si="418"/>
        <v>1-2.58836295575557i</v>
      </c>
      <c r="AN508" s="51">
        <f t="shared" si="439"/>
        <v>2.7748194158769524</v>
      </c>
      <c r="AO508" s="51">
        <f t="shared" si="440"/>
        <v>-1.2021170050941616</v>
      </c>
      <c r="AP508" s="60" t="str">
        <f t="shared" si="441"/>
        <v>-0.15149611454897-0.343516172568821i</v>
      </c>
      <c r="AQ508" s="51">
        <f t="shared" si="442"/>
        <v>-8.5092125940519061</v>
      </c>
      <c r="AR508" s="63">
        <f t="shared" si="443"/>
        <v>-113.79824482933708</v>
      </c>
      <c r="AS508" s="32" t="str">
        <f t="shared" si="419"/>
        <v>-0.000133283554228113</v>
      </c>
      <c r="AT508" s="32" t="str">
        <f t="shared" si="420"/>
        <v>0.304944692252698i</v>
      </c>
      <c r="AU508" s="32">
        <f t="shared" si="444"/>
        <v>0.30494469225269799</v>
      </c>
      <c r="AV508" s="32">
        <f t="shared" si="445"/>
        <v>1.5707963267948966</v>
      </c>
      <c r="AW508" s="32" t="str">
        <f t="shared" si="421"/>
        <v>1+53.317319357984i</v>
      </c>
      <c r="AX508" s="32">
        <f t="shared" si="446"/>
        <v>53.326696349213826</v>
      </c>
      <c r="AY508" s="32">
        <f t="shared" si="447"/>
        <v>1.552042893972746</v>
      </c>
      <c r="AZ508" s="32" t="str">
        <f t="shared" si="422"/>
        <v>1+794.558100676298i</v>
      </c>
      <c r="BA508" s="32">
        <f t="shared" si="448"/>
        <v>794.55872995665095</v>
      </c>
      <c r="BB508" s="32">
        <f t="shared" si="449"/>
        <v>1.5695377662551988</v>
      </c>
      <c r="BC508" s="60" t="str">
        <f t="shared" si="450"/>
        <v>-0.000113926677764241+0.00651133957924222i</v>
      </c>
      <c r="BD508" s="51">
        <f t="shared" si="451"/>
        <v>-43.725263779570291</v>
      </c>
      <c r="BE508" s="63">
        <f t="shared" si="452"/>
        <v>91.002382344904959</v>
      </c>
      <c r="BF508" s="60" t="str">
        <f t="shared" si="453"/>
        <v>-0.000159218109625169+0.0000240422799353707i</v>
      </c>
      <c r="BG508" s="66">
        <f t="shared" si="454"/>
        <v>-75.862236512731059</v>
      </c>
      <c r="BH508" s="63">
        <f t="shared" si="455"/>
        <v>171.41308611738467</v>
      </c>
      <c r="BI508" s="60" t="str">
        <f t="shared" si="460"/>
        <v>0.00225400989958192-0.000947306990465068i</v>
      </c>
      <c r="BJ508" s="66">
        <f t="shared" si="456"/>
        <v>-52.234476373622194</v>
      </c>
      <c r="BK508" s="63">
        <f t="shared" si="461"/>
        <v>-22.795862484432124</v>
      </c>
      <c r="BL508" s="51">
        <f t="shared" si="457"/>
        <v>-75.862236512731059</v>
      </c>
      <c r="BM508" s="63">
        <f t="shared" si="458"/>
        <v>171.41308611738467</v>
      </c>
    </row>
    <row r="509" spans="14:65" x14ac:dyDescent="0.35">
      <c r="N509" s="11">
        <v>91</v>
      </c>
      <c r="O509" s="52">
        <f t="shared" si="459"/>
        <v>812830.51616410096</v>
      </c>
      <c r="P509" s="50" t="str">
        <f t="shared" si="411"/>
        <v>36.531007751938</v>
      </c>
      <c r="Q509" s="18" t="str">
        <f t="shared" si="412"/>
        <v>1+2494.19674149253i</v>
      </c>
      <c r="R509" s="18">
        <f t="shared" si="423"/>
        <v>2494.1969419578622</v>
      </c>
      <c r="S509" s="18">
        <f t="shared" si="424"/>
        <v>1.5703953961346233</v>
      </c>
      <c r="T509" s="18" t="str">
        <f t="shared" si="413"/>
        <v>1+1.0214329512779i</v>
      </c>
      <c r="U509" s="18">
        <f t="shared" si="425"/>
        <v>1.4294492904458977</v>
      </c>
      <c r="V509" s="18">
        <f t="shared" si="426"/>
        <v>0.79600061654894549</v>
      </c>
      <c r="W509" s="32" t="str">
        <f t="shared" si="414"/>
        <v>1-16.9231494886279i</v>
      </c>
      <c r="X509" s="18">
        <f t="shared" si="427"/>
        <v>16.9526690705165</v>
      </c>
      <c r="Y509" s="18">
        <f t="shared" si="428"/>
        <v>-1.511774303078594</v>
      </c>
      <c r="Z509" s="32" t="str">
        <f t="shared" si="415"/>
        <v>-12.6506910745372+7.69004147788385i</v>
      </c>
      <c r="AA509" s="18">
        <f t="shared" si="429"/>
        <v>14.804618286026466</v>
      </c>
      <c r="AB509" s="18">
        <f t="shared" si="430"/>
        <v>2.5954026716283485</v>
      </c>
      <c r="AC509" s="68" t="str">
        <f t="shared" si="431"/>
        <v>0.00403666683837648+0.0236317177570826i</v>
      </c>
      <c r="AD509" s="66">
        <f t="shared" si="432"/>
        <v>-32.405189320389574</v>
      </c>
      <c r="AE509" s="63">
        <f t="shared" si="433"/>
        <v>80.306541088759516</v>
      </c>
      <c r="AF509" s="51" t="str">
        <f t="shared" si="434"/>
        <v>42.1703962805665</v>
      </c>
      <c r="AG509" s="51" t="str">
        <f t="shared" si="416"/>
        <v>1+450.632184387308i</v>
      </c>
      <c r="AH509" s="51">
        <f t="shared" si="435"/>
        <v>450.63329393829389</v>
      </c>
      <c r="AI509" s="51">
        <f t="shared" si="436"/>
        <v>1.5685772257338189</v>
      </c>
      <c r="AJ509" s="51" t="str">
        <f t="shared" si="417"/>
        <v>1+1.0214329512779i</v>
      </c>
      <c r="AK509" s="51">
        <f t="shared" si="437"/>
        <v>1.4294492904458977</v>
      </c>
      <c r="AL509" s="51">
        <f t="shared" si="438"/>
        <v>0.79600061654894549</v>
      </c>
      <c r="AM509" s="51" t="str">
        <f t="shared" si="418"/>
        <v>1-2.64865367410378i</v>
      </c>
      <c r="AN509" s="51">
        <f t="shared" si="439"/>
        <v>2.831142222733336</v>
      </c>
      <c r="AO509" s="51">
        <f t="shared" si="440"/>
        <v>-1.2097916503510768</v>
      </c>
      <c r="AP509" s="60" t="str">
        <f t="shared" si="441"/>
        <v>-0.151505936609089-0.347091555718212i</v>
      </c>
      <c r="AQ509" s="51">
        <f t="shared" si="442"/>
        <v>-8.4337030608389796</v>
      </c>
      <c r="AR509" s="63">
        <f t="shared" si="443"/>
        <v>-113.58133471210455</v>
      </c>
      <c r="AS509" s="32" t="str">
        <f t="shared" si="419"/>
        <v>-0.000133283554228113</v>
      </c>
      <c r="AT509" s="32" t="str">
        <f t="shared" si="420"/>
        <v>0.312047766615397i</v>
      </c>
      <c r="AU509" s="32">
        <f t="shared" si="444"/>
        <v>0.31204776661539702</v>
      </c>
      <c r="AV509" s="32">
        <f t="shared" si="445"/>
        <v>1.5707963267948966</v>
      </c>
      <c r="AW509" s="32" t="str">
        <f t="shared" si="421"/>
        <v>1+54.55923926622i</v>
      </c>
      <c r="AX509" s="32">
        <f t="shared" si="446"/>
        <v>54.56840284733137</v>
      </c>
      <c r="AY509" s="32">
        <f t="shared" si="447"/>
        <v>1.5524696775310305</v>
      </c>
      <c r="AZ509" s="32" t="str">
        <f t="shared" si="422"/>
        <v>1+813.065736381961i</v>
      </c>
      <c r="BA509" s="32">
        <f t="shared" si="448"/>
        <v>813.06635133815519</v>
      </c>
      <c r="BB509" s="32">
        <f t="shared" si="449"/>
        <v>1.5695664145614507</v>
      </c>
      <c r="BC509" s="60" t="str">
        <f t="shared" si="450"/>
        <v>-0.00010880085459056+0.00636321734480013i</v>
      </c>
      <c r="BD509" s="51">
        <f t="shared" si="451"/>
        <v>-43.925195353467153</v>
      </c>
      <c r="BE509" s="63">
        <f t="shared" si="452"/>
        <v>90.979570875288104</v>
      </c>
      <c r="BF509" s="60" t="str">
        <f t="shared" si="453"/>
        <v>-0.000150812949121002+0.0000231150373537232i</v>
      </c>
      <c r="BG509" s="66">
        <f t="shared" si="454"/>
        <v>-76.330384673856727</v>
      </c>
      <c r="BH509" s="63">
        <f t="shared" si="455"/>
        <v>171.28611196404762</v>
      </c>
      <c r="BI509" s="60" t="str">
        <f t="shared" si="460"/>
        <v>0.0022251029829584-0.000926301345787836i</v>
      </c>
      <c r="BJ509" s="66">
        <f t="shared" si="456"/>
        <v>-52.358898414306132</v>
      </c>
      <c r="BK509" s="63">
        <f t="shared" si="461"/>
        <v>-22.601763836816453</v>
      </c>
      <c r="BL509" s="51">
        <f t="shared" si="457"/>
        <v>-76.330384673856727</v>
      </c>
      <c r="BM509" s="63">
        <f t="shared" si="458"/>
        <v>171.28611196404762</v>
      </c>
    </row>
    <row r="510" spans="14:65" x14ac:dyDescent="0.35">
      <c r="N510" s="11">
        <v>92</v>
      </c>
      <c r="O510" s="52">
        <f t="shared" si="459"/>
        <v>831763.77110267128</v>
      </c>
      <c r="P510" s="50" t="str">
        <f t="shared" si="411"/>
        <v>36.531007751938</v>
      </c>
      <c r="Q510" s="18" t="str">
        <f t="shared" si="412"/>
        <v>1+2552.2940469388i</v>
      </c>
      <c r="R510" s="18">
        <f t="shared" si="423"/>
        <v>2552.2942428409851</v>
      </c>
      <c r="S510" s="18">
        <f t="shared" si="424"/>
        <v>1.5704045224297103</v>
      </c>
      <c r="T510" s="18" t="str">
        <f t="shared" si="413"/>
        <v>1+1.04522518112732i</v>
      </c>
      <c r="U510" s="18">
        <f t="shared" si="425"/>
        <v>1.4465461206828627</v>
      </c>
      <c r="V510" s="18">
        <f t="shared" si="426"/>
        <v>0.80750712847346962</v>
      </c>
      <c r="W510" s="32" t="str">
        <f t="shared" si="414"/>
        <v>1-17.3173402790325i</v>
      </c>
      <c r="X510" s="18">
        <f t="shared" si="427"/>
        <v>17.346189043700679</v>
      </c>
      <c r="Y510" s="18">
        <f t="shared" si="428"/>
        <v>-1.5131147957503248</v>
      </c>
      <c r="Z510" s="32" t="str">
        <f t="shared" si="415"/>
        <v>-13.2940283247714+7.86916555466687i</v>
      </c>
      <c r="AA510" s="18">
        <f t="shared" si="429"/>
        <v>15.448461270514285</v>
      </c>
      <c r="AB510" s="18">
        <f t="shared" si="430"/>
        <v>2.6071263607528321</v>
      </c>
      <c r="AC510" s="68" t="str">
        <f t="shared" si="431"/>
        <v>0.00395029263001643+0.0229097326137192i</v>
      </c>
      <c r="AD510" s="66">
        <f t="shared" si="432"/>
        <v>-32.672359125129731</v>
      </c>
      <c r="AE510" s="63">
        <f t="shared" si="433"/>
        <v>80.216770281045967</v>
      </c>
      <c r="AF510" s="51" t="str">
        <f t="shared" si="434"/>
        <v>42.1703962805665</v>
      </c>
      <c r="AG510" s="51" t="str">
        <f t="shared" si="416"/>
        <v>1+461.128756379701i</v>
      </c>
      <c r="AH510" s="51">
        <f t="shared" si="435"/>
        <v>461.12984067428306</v>
      </c>
      <c r="AI510" s="51">
        <f t="shared" si="436"/>
        <v>1.5686277384807374</v>
      </c>
      <c r="AJ510" s="51" t="str">
        <f t="shared" si="417"/>
        <v>1+1.04522518112732i</v>
      </c>
      <c r="AK510" s="51">
        <f t="shared" si="437"/>
        <v>1.4465461206828627</v>
      </c>
      <c r="AL510" s="51">
        <f t="shared" si="438"/>
        <v>0.80750712847346962</v>
      </c>
      <c r="AM510" s="51" t="str">
        <f t="shared" si="418"/>
        <v>1-2.71034874368906i</v>
      </c>
      <c r="AN510" s="51">
        <f t="shared" si="439"/>
        <v>2.8889427672449424</v>
      </c>
      <c r="AO510" s="51">
        <f t="shared" si="440"/>
        <v>-1.2173348213333317</v>
      </c>
      <c r="AP510" s="60" t="str">
        <f t="shared" si="441"/>
        <v>-0.151515316607938-0.350850969442254i</v>
      </c>
      <c r="AQ510" s="51">
        <f t="shared" si="442"/>
        <v>-8.3548864397983991</v>
      </c>
      <c r="AR510" s="63">
        <f t="shared" si="443"/>
        <v>-113.3571461705512</v>
      </c>
      <c r="AS510" s="32" t="str">
        <f t="shared" si="419"/>
        <v>-0.000133283554228113</v>
      </c>
      <c r="AT510" s="32" t="str">
        <f t="shared" si="420"/>
        <v>0.319316292834396i</v>
      </c>
      <c r="AU510" s="32">
        <f t="shared" si="444"/>
        <v>0.319316292834396</v>
      </c>
      <c r="AV510" s="32">
        <f t="shared" si="445"/>
        <v>1.5707963267948966</v>
      </c>
      <c r="AW510" s="32" t="str">
        <f t="shared" si="421"/>
        <v>1+55.8300872052918i</v>
      </c>
      <c r="AX510" s="32">
        <f t="shared" si="446"/>
        <v>55.839042231672337</v>
      </c>
      <c r="AY510" s="32">
        <f t="shared" si="447"/>
        <v>1.5528867527614021</v>
      </c>
      <c r="AZ510" s="32" t="str">
        <f t="shared" si="422"/>
        <v>1+832.00447030325i</v>
      </c>
      <c r="BA510" s="32">
        <f t="shared" si="448"/>
        <v>832.00507126134255</v>
      </c>
      <c r="BB510" s="32">
        <f t="shared" si="449"/>
        <v>1.5695944107545881</v>
      </c>
      <c r="BC510" s="60" t="str">
        <f t="shared" si="450"/>
        <v>-0.00010390557999584+0.00621846051602797i</v>
      </c>
      <c r="BD510" s="51">
        <f t="shared" si="451"/>
        <v>-44.125130006030425</v>
      </c>
      <c r="BE510" s="63">
        <f t="shared" si="452"/>
        <v>90.957278288557575</v>
      </c>
      <c r="BF510" s="60" t="str">
        <f t="shared" si="453"/>
        <v>-0.000142873725138046+0.0000221842896917353i</v>
      </c>
      <c r="BG510" s="66">
        <f t="shared" si="454"/>
        <v>-76.797489131160177</v>
      </c>
      <c r="BH510" s="63">
        <f t="shared" si="455"/>
        <v>171.17404856960354</v>
      </c>
      <c r="BI510" s="60" t="str">
        <f t="shared" si="460"/>
        <v>0.00219749618733719-0.000905736640427939i</v>
      </c>
      <c r="BJ510" s="66">
        <f t="shared" si="456"/>
        <v>-52.480016445828845</v>
      </c>
      <c r="BK510" s="63">
        <f t="shared" si="461"/>
        <v>-22.399867881993643</v>
      </c>
      <c r="BL510" s="51">
        <f t="shared" si="457"/>
        <v>-76.797489131160177</v>
      </c>
      <c r="BM510" s="63">
        <f t="shared" si="458"/>
        <v>171.17404856960354</v>
      </c>
    </row>
    <row r="511" spans="14:65" x14ac:dyDescent="0.35">
      <c r="N511" s="11">
        <v>93</v>
      </c>
      <c r="O511" s="52">
        <f t="shared" si="459"/>
        <v>851138.03820237669</v>
      </c>
      <c r="P511" s="50" t="str">
        <f t="shared" si="411"/>
        <v>36.531007751938</v>
      </c>
      <c r="Q511" s="18" t="str">
        <f t="shared" si="412"/>
        <v>1+2611.74461247236i</v>
      </c>
      <c r="R511" s="18">
        <f t="shared" si="423"/>
        <v>2611.7448039152673</v>
      </c>
      <c r="S511" s="18">
        <f t="shared" si="424"/>
        <v>1.5704134409850217</v>
      </c>
      <c r="T511" s="18" t="str">
        <f t="shared" si="413"/>
        <v>1+1.06957160320297i</v>
      </c>
      <c r="U511" s="18">
        <f t="shared" si="425"/>
        <v>1.4642347538486347</v>
      </c>
      <c r="V511" s="18">
        <f t="shared" si="426"/>
        <v>0.81900193630290474</v>
      </c>
      <c r="W511" s="32" t="str">
        <f t="shared" si="414"/>
        <v>1-17.7207129524752i</v>
      </c>
      <c r="X511" s="18">
        <f t="shared" si="427"/>
        <v>17.748906094292749</v>
      </c>
      <c r="Y511" s="18">
        <f t="shared" si="428"/>
        <v>-1.5144249756458128</v>
      </c>
      <c r="Z511" s="32" t="str">
        <f t="shared" si="415"/>
        <v>-13.9676851255163+8.05246196718769i</v>
      </c>
      <c r="AA511" s="18">
        <f t="shared" si="429"/>
        <v>16.122604364635805</v>
      </c>
      <c r="AB511" s="18">
        <f t="shared" si="430"/>
        <v>2.6186268983532415</v>
      </c>
      <c r="AC511" s="68" t="str">
        <f t="shared" si="431"/>
        <v>0.0038605478977349+0.0222134693900899i</v>
      </c>
      <c r="AD511" s="66">
        <f t="shared" si="432"/>
        <v>-32.938439619549179</v>
      </c>
      <c r="AE511" s="63">
        <f t="shared" si="433"/>
        <v>80.140863215358436</v>
      </c>
      <c r="AF511" s="51" t="str">
        <f t="shared" si="434"/>
        <v>42.1703962805665</v>
      </c>
      <c r="AG511" s="51" t="str">
        <f t="shared" si="416"/>
        <v>1+471.869824942486i</v>
      </c>
      <c r="AH511" s="51">
        <f t="shared" si="435"/>
        <v>471.87088455556614</v>
      </c>
      <c r="AI511" s="51">
        <f t="shared" si="436"/>
        <v>1.5686771014278524</v>
      </c>
      <c r="AJ511" s="51" t="str">
        <f t="shared" si="417"/>
        <v>1+1.06957160320297i</v>
      </c>
      <c r="AK511" s="51">
        <f t="shared" si="437"/>
        <v>1.4642347538486347</v>
      </c>
      <c r="AL511" s="51">
        <f t="shared" si="438"/>
        <v>0.81900193630290474</v>
      </c>
      <c r="AM511" s="51" t="str">
        <f t="shared" si="418"/>
        <v>1-2.77348087605396i</v>
      </c>
      <c r="AN511" s="51">
        <f t="shared" si="439"/>
        <v>2.9482530708602752</v>
      </c>
      <c r="AO511" s="51">
        <f t="shared" si="440"/>
        <v>-1.2247470829179223</v>
      </c>
      <c r="AP511" s="60" t="str">
        <f t="shared" si="441"/>
        <v>-0.151524274441177-0.354796407162855i</v>
      </c>
      <c r="AQ511" s="51">
        <f t="shared" si="442"/>
        <v>-8.2728005771716706</v>
      </c>
      <c r="AR511" s="63">
        <f t="shared" si="443"/>
        <v>-113.12606178958858</v>
      </c>
      <c r="AS511" s="32" t="str">
        <f t="shared" si="419"/>
        <v>-0.000133283554228113</v>
      </c>
      <c r="AT511" s="32" t="str">
        <f t="shared" si="420"/>
        <v>0.326754124778506i</v>
      </c>
      <c r="AU511" s="32">
        <f t="shared" si="444"/>
        <v>0.32675412477850602</v>
      </c>
      <c r="AV511" s="32">
        <f t="shared" si="445"/>
        <v>1.5707963267948966</v>
      </c>
      <c r="AW511" s="32" t="str">
        <f t="shared" si="421"/>
        <v>1+57.1305369955985i</v>
      </c>
      <c r="AX511" s="32">
        <f t="shared" si="446"/>
        <v>57.139288212275169</v>
      </c>
      <c r="AY511" s="32">
        <f t="shared" si="447"/>
        <v>1.5532943402219279</v>
      </c>
      <c r="AZ511" s="32" t="str">
        <f t="shared" si="422"/>
        <v>1+851.384344007576i</v>
      </c>
      <c r="BA511" s="32">
        <f t="shared" si="448"/>
        <v>851.38493128620189</v>
      </c>
      <c r="BB511" s="32">
        <f t="shared" si="449"/>
        <v>1.5696217696783876</v>
      </c>
      <c r="BC511" s="60" t="str">
        <f t="shared" si="450"/>
        <v>-0.0000992304909058943+0.00607699290500882i</v>
      </c>
      <c r="BD511" s="51">
        <f t="shared" si="451"/>
        <v>-44.325067598786617</v>
      </c>
      <c r="BE511" s="63">
        <f t="shared" si="452"/>
        <v>90.935492798152723</v>
      </c>
      <c r="BF511" s="60" t="str">
        <f t="shared" si="453"/>
        <v>-0.000135374179942265+0.00002125626871168i</v>
      </c>
      <c r="BG511" s="66">
        <f t="shared" si="454"/>
        <v>-77.263507218335789</v>
      </c>
      <c r="BH511" s="63">
        <f t="shared" si="455"/>
        <v>171.07635601351117</v>
      </c>
      <c r="BI511" s="60" t="str">
        <f t="shared" si="460"/>
        <v>0.00217113107718825-0.000885605319061224i</v>
      </c>
      <c r="BJ511" s="66">
        <f t="shared" si="456"/>
        <v>-52.597868175958283</v>
      </c>
      <c r="BK511" s="63">
        <f t="shared" si="461"/>
        <v>-22.190568991435825</v>
      </c>
      <c r="BL511" s="51">
        <f t="shared" si="457"/>
        <v>-77.263507218335789</v>
      </c>
      <c r="BM511" s="63">
        <f t="shared" si="458"/>
        <v>171.07635601351117</v>
      </c>
    </row>
    <row r="512" spans="14:65" x14ac:dyDescent="0.35">
      <c r="N512" s="11">
        <v>94</v>
      </c>
      <c r="O512" s="52">
        <f t="shared" si="459"/>
        <v>870963.58995608077</v>
      </c>
      <c r="P512" s="50" t="str">
        <f t="shared" si="411"/>
        <v>36.531007751938</v>
      </c>
      <c r="Q512" s="18" t="str">
        <f t="shared" si="412"/>
        <v>1+2672.57995956997i</v>
      </c>
      <c r="R512" s="18">
        <f t="shared" si="423"/>
        <v>2672.5801466551047</v>
      </c>
      <c r="S512" s="18">
        <f t="shared" si="424"/>
        <v>1.5704221565292882</v>
      </c>
      <c r="T512" s="18" t="str">
        <f t="shared" si="413"/>
        <v>1+1.09448512630009i</v>
      </c>
      <c r="U512" s="18">
        <f t="shared" si="425"/>
        <v>1.4825308400475601</v>
      </c>
      <c r="V512" s="18">
        <f t="shared" si="426"/>
        <v>0.83047898525715502</v>
      </c>
      <c r="W512" s="32" t="str">
        <f t="shared" si="414"/>
        <v>1-18.1334813824867i</v>
      </c>
      <c r="X512" s="18">
        <f t="shared" si="427"/>
        <v>18.161033754965374</v>
      </c>
      <c r="Y512" s="18">
        <f t="shared" si="428"/>
        <v>-1.5157055194374607</v>
      </c>
      <c r="Z512" s="32" t="str">
        <f t="shared" si="415"/>
        <v>-14.673090393165+8.24002790163046i</v>
      </c>
      <c r="AA512" s="18">
        <f t="shared" si="429"/>
        <v>16.828477100012332</v>
      </c>
      <c r="AB512" s="18">
        <f t="shared" si="430"/>
        <v>2.6299068066847995</v>
      </c>
      <c r="AC512" s="68" t="str">
        <f t="shared" si="431"/>
        <v>0.00376809326490734+0.0215420028277882i</v>
      </c>
      <c r="AD512" s="66">
        <f t="shared" si="432"/>
        <v>-33.203391980382627</v>
      </c>
      <c r="AE512" s="63">
        <f t="shared" si="433"/>
        <v>80.078289422363554</v>
      </c>
      <c r="AF512" s="51" t="str">
        <f t="shared" si="434"/>
        <v>42.1703962805665</v>
      </c>
      <c r="AG512" s="51" t="str">
        <f t="shared" si="416"/>
        <v>1+482.861085132392i</v>
      </c>
      <c r="AH512" s="51">
        <f t="shared" si="435"/>
        <v>482.86212062578602</v>
      </c>
      <c r="AI512" s="51">
        <f t="shared" si="436"/>
        <v>1.5687253407470889</v>
      </c>
      <c r="AJ512" s="51" t="str">
        <f t="shared" si="417"/>
        <v>1+1.09448512630009i</v>
      </c>
      <c r="AK512" s="51">
        <f t="shared" si="437"/>
        <v>1.4825308400475601</v>
      </c>
      <c r="AL512" s="51">
        <f t="shared" si="438"/>
        <v>0.83047898525715502</v>
      </c>
      <c r="AM512" s="51" t="str">
        <f t="shared" si="418"/>
        <v>1-2.8380835446907i</v>
      </c>
      <c r="AN512" s="51">
        <f t="shared" si="439"/>
        <v>3.009105881594087</v>
      </c>
      <c r="AO512" s="51">
        <f t="shared" si="440"/>
        <v>-1.2320291062745219</v>
      </c>
      <c r="AP512" s="60" t="str">
        <f t="shared" si="441"/>
        <v>-0.151532829109046-0.358929960925556i</v>
      </c>
      <c r="AQ512" s="51">
        <f t="shared" si="442"/>
        <v>-8.1874849842746613</v>
      </c>
      <c r="AR512" s="63">
        <f t="shared" si="443"/>
        <v>-112.88846843729266</v>
      </c>
      <c r="AS512" s="32" t="str">
        <f t="shared" si="419"/>
        <v>-0.000133283554228113</v>
      </c>
      <c r="AT512" s="32" t="str">
        <f t="shared" si="420"/>
        <v>0.334365206084676i</v>
      </c>
      <c r="AU512" s="32">
        <f t="shared" si="444"/>
        <v>0.33436520608467601</v>
      </c>
      <c r="AV512" s="32">
        <f t="shared" si="445"/>
        <v>1.5707963267948966</v>
      </c>
      <c r="AW512" s="32" t="str">
        <f t="shared" si="421"/>
        <v>1+58.4612781528323i</v>
      </c>
      <c r="AX512" s="32">
        <f t="shared" si="446"/>
        <v>58.469830196972758</v>
      </c>
      <c r="AY512" s="32">
        <f t="shared" si="447"/>
        <v>1.5536926554788719</v>
      </c>
      <c r="AZ512" s="32" t="str">
        <f t="shared" si="422"/>
        <v>1+871.215632960499i</v>
      </c>
      <c r="BA512" s="32">
        <f t="shared" si="448"/>
        <v>871.21620687104007</v>
      </c>
      <c r="BB512" s="32">
        <f t="shared" si="449"/>
        <v>1.5696485058387488</v>
      </c>
      <c r="BC512" s="60" t="str">
        <f t="shared" si="450"/>
        <v>-0.0000947656894904+0.00593874003020221i</v>
      </c>
      <c r="BD512" s="51">
        <f t="shared" si="451"/>
        <v>-44.525007999486746</v>
      </c>
      <c r="BE512" s="63">
        <f t="shared" si="452"/>
        <v>90.914202884163245</v>
      </c>
      <c r="BF512" s="60" t="str">
        <f t="shared" si="453"/>
        <v>-0.000128289440480428+0.0000203362835588611i</v>
      </c>
      <c r="BG512" s="66">
        <f t="shared" si="454"/>
        <v>-77.72839997986938</v>
      </c>
      <c r="BH512" s="63">
        <f t="shared" si="455"/>
        <v>170.99249230652677</v>
      </c>
      <c r="BI512" s="60" t="str">
        <f t="shared" si="460"/>
        <v>0.00214595184001846-0.00086589983289381i</v>
      </c>
      <c r="BJ512" s="66">
        <f t="shared" si="456"/>
        <v>-52.712492983761422</v>
      </c>
      <c r="BK512" s="63">
        <f t="shared" si="461"/>
        <v>-21.97426555312947</v>
      </c>
      <c r="BL512" s="51">
        <f t="shared" si="457"/>
        <v>-77.72839997986938</v>
      </c>
      <c r="BM512" s="63">
        <f t="shared" si="458"/>
        <v>170.99249230652677</v>
      </c>
    </row>
    <row r="513" spans="14:65" x14ac:dyDescent="0.35">
      <c r="N513" s="11">
        <v>95</v>
      </c>
      <c r="O513" s="52">
        <f t="shared" si="459"/>
        <v>891250.93813374708</v>
      </c>
      <c r="P513" s="50" t="str">
        <f t="shared" si="411"/>
        <v>36.531007751938</v>
      </c>
      <c r="Q513" s="18" t="str">
        <f t="shared" si="412"/>
        <v>1+2734.83234393794i</v>
      </c>
      <c r="R513" s="18">
        <f t="shared" si="423"/>
        <v>2734.8325267644977</v>
      </c>
      <c r="S513" s="18">
        <f t="shared" si="424"/>
        <v>1.5704306736836011</v>
      </c>
      <c r="T513" s="18" t="str">
        <f t="shared" si="413"/>
        <v>1+1.1199789598984i</v>
      </c>
      <c r="U513" s="18">
        <f t="shared" si="425"/>
        <v>1.5014502557910807</v>
      </c>
      <c r="V513" s="18">
        <f t="shared" si="426"/>
        <v>0.84193226733945747</v>
      </c>
      <c r="W513" s="32" t="str">
        <f t="shared" si="414"/>
        <v>1-18.5558644243521i</v>
      </c>
      <c r="X513" s="18">
        <f t="shared" si="427"/>
        <v>18.582790547572127</v>
      </c>
      <c r="Y513" s="18">
        <f t="shared" si="428"/>
        <v>-1.5169570892784152</v>
      </c>
      <c r="Z513" s="32" t="str">
        <f t="shared" si="415"/>
        <v>-15.4117403868654+8.43196280793635i</v>
      </c>
      <c r="AA513" s="18">
        <f t="shared" si="429"/>
        <v>17.567576342414451</v>
      </c>
      <c r="AB513" s="18">
        <f t="shared" si="430"/>
        <v>2.640968686603701</v>
      </c>
      <c r="AC513" s="68" t="str">
        <f t="shared" si="431"/>
        <v>0.00367352917917215+0.0208944269679126i</v>
      </c>
      <c r="AD513" s="66">
        <f t="shared" si="432"/>
        <v>-33.467181060356111</v>
      </c>
      <c r="AE513" s="63">
        <f t="shared" si="433"/>
        <v>80.028517447770653</v>
      </c>
      <c r="AF513" s="51" t="str">
        <f t="shared" si="434"/>
        <v>42.1703962805665</v>
      </c>
      <c r="AG513" s="51" t="str">
        <f t="shared" si="416"/>
        <v>1+494.108364661059i</v>
      </c>
      <c r="AH513" s="51">
        <f t="shared" si="435"/>
        <v>494.10937658379453</v>
      </c>
      <c r="AI513" s="51">
        <f t="shared" si="436"/>
        <v>1.5687724820146738</v>
      </c>
      <c r="AJ513" s="51" t="str">
        <f t="shared" si="417"/>
        <v>1+1.1199789598984i</v>
      </c>
      <c r="AK513" s="51">
        <f t="shared" si="437"/>
        <v>1.5014502557910807</v>
      </c>
      <c r="AL513" s="51">
        <f t="shared" si="438"/>
        <v>0.84193226733945747</v>
      </c>
      <c r="AM513" s="51" t="str">
        <f t="shared" si="418"/>
        <v>1-2.90419100278932i</v>
      </c>
      <c r="AN513" s="51">
        <f t="shared" si="439"/>
        <v>3.0715346946896815</v>
      </c>
      <c r="AO513" s="51">
        <f t="shared" si="440"/>
        <v>-1.2391816622719793</v>
      </c>
      <c r="AP513" s="60" t="str">
        <f t="shared" si="441"/>
        <v>-0.151540998756666-0.363253822509366i</v>
      </c>
      <c r="AQ513" s="51">
        <f t="shared" si="442"/>
        <v>-8.098980795276292</v>
      </c>
      <c r="AR513" s="63">
        <f t="shared" si="443"/>
        <v>-112.64475597946274</v>
      </c>
      <c r="AS513" s="32" t="str">
        <f t="shared" si="419"/>
        <v>-0.000133283554228113</v>
      </c>
      <c r="AT513" s="32" t="str">
        <f t="shared" si="420"/>
        <v>0.34215357224896i</v>
      </c>
      <c r="AU513" s="32">
        <f t="shared" si="444"/>
        <v>0.34215357224895998</v>
      </c>
      <c r="AV513" s="32">
        <f t="shared" si="445"/>
        <v>1.5707963267948966</v>
      </c>
      <c r="AW513" s="32" t="str">
        <f t="shared" si="421"/>
        <v>1+59.8230162535693i</v>
      </c>
      <c r="AX513" s="32">
        <f t="shared" si="446"/>
        <v>59.831373656926992</v>
      </c>
      <c r="AY513" s="32">
        <f t="shared" si="447"/>
        <v>1.5540819092184077</v>
      </c>
      <c r="AZ513" s="32" t="str">
        <f t="shared" si="422"/>
        <v>1+891.508851973922i</v>
      </c>
      <c r="BA513" s="32">
        <f t="shared" si="448"/>
        <v>891.50941282067265</v>
      </c>
      <c r="BB513" s="32">
        <f t="shared" si="449"/>
        <v>1.5696746334113849</v>
      </c>
      <c r="BC513" s="60" t="str">
        <f t="shared" si="450"/>
        <v>-0.0000905017223264302+0.00580362907945919i</v>
      </c>
      <c r="BD513" s="51">
        <f t="shared" si="451"/>
        <v>-44.724951081826838</v>
      </c>
      <c r="BE513" s="63">
        <f t="shared" si="452"/>
        <v>90.893397287369112</v>
      </c>
      <c r="BF513" s="60" t="str">
        <f t="shared" si="453"/>
        <v>-0.000121595964667345+0.0000194288191408654i</v>
      </c>
      <c r="BG513" s="66">
        <f t="shared" si="454"/>
        <v>-78.19213214218297</v>
      </c>
      <c r="BH513" s="63">
        <f t="shared" si="455"/>
        <v>170.92191473513975</v>
      </c>
      <c r="BI513" s="60" t="str">
        <f t="shared" si="460"/>
        <v>0.00212190516893061-0.000846612650535719i</v>
      </c>
      <c r="BJ513" s="66">
        <f t="shared" si="456"/>
        <v>-52.823931877103128</v>
      </c>
      <c r="BK513" s="63">
        <f t="shared" si="461"/>
        <v>-21.751358692093639</v>
      </c>
      <c r="BL513" s="51">
        <f t="shared" si="457"/>
        <v>-78.19213214218297</v>
      </c>
      <c r="BM513" s="63">
        <f t="shared" si="458"/>
        <v>170.92191473513975</v>
      </c>
    </row>
    <row r="514" spans="14:65" x14ac:dyDescent="0.35">
      <c r="N514" s="11">
        <v>96</v>
      </c>
      <c r="O514" s="52">
        <f t="shared" si="459"/>
        <v>912010.83935591124</v>
      </c>
      <c r="P514" s="50" t="str">
        <f t="shared" si="411"/>
        <v>36.531007751938</v>
      </c>
      <c r="Q514" s="18" t="str">
        <f t="shared" si="412"/>
        <v>1+2798.53477261444i</v>
      </c>
      <c r="R514" s="18">
        <f t="shared" si="423"/>
        <v>2798.5349512793573</v>
      </c>
      <c r="S514" s="18">
        <f t="shared" si="424"/>
        <v>1.5704389969638635</v>
      </c>
      <c r="T514" s="18" t="str">
        <f t="shared" si="413"/>
        <v>1+1.14606662116592i</v>
      </c>
      <c r="U514" s="18">
        <f t="shared" si="425"/>
        <v>1.5210091058736857</v>
      </c>
      <c r="V514" s="18">
        <f t="shared" si="426"/>
        <v>0.85335583689225447</v>
      </c>
      <c r="W514" s="32" t="str">
        <f t="shared" si="414"/>
        <v>1-18.9880860311513i</v>
      </c>
      <c r="X514" s="18">
        <f t="shared" si="427"/>
        <v>19.01440009904081</v>
      </c>
      <c r="Y514" s="18">
        <f t="shared" si="428"/>
        <v>-1.518180333074743</v>
      </c>
      <c r="Z514" s="32" t="str">
        <f t="shared" si="415"/>
        <v>-16.1852018822866+8.62836845253321i</v>
      </c>
      <c r="AA514" s="18">
        <f t="shared" si="429"/>
        <v>18.341469464659696</v>
      </c>
      <c r="AB514" s="18">
        <f t="shared" si="430"/>
        <v>2.6518152098717298</v>
      </c>
      <c r="AC514" s="68" t="str">
        <f t="shared" si="431"/>
        <v>0.00357739980364171+0.0202698567238532i</v>
      </c>
      <c r="AD514" s="66">
        <f t="shared" si="432"/>
        <v>-33.729775346705594</v>
      </c>
      <c r="AE514" s="63">
        <f t="shared" si="433"/>
        <v>79.991016168795625</v>
      </c>
      <c r="AF514" s="51" t="str">
        <f t="shared" si="434"/>
        <v>42.1703962805665</v>
      </c>
      <c r="AG514" s="51" t="str">
        <f t="shared" si="416"/>
        <v>1+505.617626984964i</v>
      </c>
      <c r="AH514" s="51">
        <f t="shared" si="435"/>
        <v>505.6186158735714</v>
      </c>
      <c r="AI514" s="51">
        <f t="shared" si="436"/>
        <v>1.5688185502246927</v>
      </c>
      <c r="AJ514" s="51" t="str">
        <f t="shared" si="417"/>
        <v>1+1.14606662116592i</v>
      </c>
      <c r="AK514" s="51">
        <f t="shared" si="437"/>
        <v>1.5210091058736857</v>
      </c>
      <c r="AL514" s="51">
        <f t="shared" si="438"/>
        <v>0.85335583689225447</v>
      </c>
      <c r="AM514" s="51" t="str">
        <f t="shared" si="418"/>
        <v>1-2.97183830139913i</v>
      </c>
      <c r="AN514" s="51">
        <f t="shared" si="439"/>
        <v>3.135573773595969</v>
      </c>
      <c r="AO514" s="51">
        <f t="shared" si="440"/>
        <v>-1.2462056150135028</v>
      </c>
      <c r="AP514" s="60" t="str">
        <f t="shared" si="441"/>
        <v>-0.151548800712518-0.367770284589398i</v>
      </c>
      <c r="AQ514" s="51">
        <f t="shared" si="442"/>
        <v>-8.0073307184552718</v>
      </c>
      <c r="AR514" s="63">
        <f t="shared" si="443"/>
        <v>-112.3953160187058</v>
      </c>
      <c r="AS514" s="32" t="str">
        <f t="shared" si="419"/>
        <v>-0.000133283554228113</v>
      </c>
      <c r="AT514" s="32" t="str">
        <f t="shared" si="420"/>
        <v>0.350123352766188i</v>
      </c>
      <c r="AU514" s="32">
        <f t="shared" si="444"/>
        <v>0.350123352766188</v>
      </c>
      <c r="AV514" s="32">
        <f t="shared" si="445"/>
        <v>1.5707963267948966</v>
      </c>
      <c r="AW514" s="32" t="str">
        <f t="shared" si="421"/>
        <v>1+61.2164733093751i</v>
      </c>
      <c r="AX514" s="32">
        <f t="shared" si="446"/>
        <v>61.224640500679406</v>
      </c>
      <c r="AY514" s="32">
        <f t="shared" si="447"/>
        <v>1.554462307355917</v>
      </c>
      <c r="AZ514" s="32" t="str">
        <f t="shared" si="422"/>
        <v>1+912.274760781174i</v>
      </c>
      <c r="BA514" s="32">
        <f t="shared" si="448"/>
        <v>912.27530886150168</v>
      </c>
      <c r="BB514" s="32">
        <f t="shared" si="449"/>
        <v>1.5697001662493379</v>
      </c>
      <c r="BC514" s="60" t="str">
        <f t="shared" si="450"/>
        <v>-0.0000864295604907398+0.0056715888737556i</v>
      </c>
      <c r="BD514" s="51">
        <f t="shared" si="451"/>
        <v>-44.924896725180972</v>
      </c>
      <c r="BE514" s="63">
        <f t="shared" si="452"/>
        <v>90.873065003408911</v>
      </c>
      <c r="BF514" s="60" t="str">
        <f t="shared" si="453"/>
        <v>-0.000115271486960354+0.0000185376261154569i</v>
      </c>
      <c r="BG514" s="66">
        <f t="shared" si="454"/>
        <v>-78.65467207188658</v>
      </c>
      <c r="BH514" s="63">
        <f t="shared" si="455"/>
        <v>170.86408117220449</v>
      </c>
      <c r="BI514" s="60" t="str">
        <f t="shared" si="460"/>
        <v>0.00209894015041364-0.000827736267893506i</v>
      </c>
      <c r="BJ514" s="66">
        <f t="shared" si="456"/>
        <v>-52.932227443636251</v>
      </c>
      <c r="BK514" s="63">
        <f t="shared" si="461"/>
        <v>-21.522251015296906</v>
      </c>
      <c r="BL514" s="51">
        <f t="shared" si="457"/>
        <v>-78.65467207188658</v>
      </c>
      <c r="BM514" s="63">
        <f t="shared" si="458"/>
        <v>170.86408117220449</v>
      </c>
    </row>
    <row r="515" spans="14:65" x14ac:dyDescent="0.35">
      <c r="N515" s="11">
        <v>97</v>
      </c>
      <c r="O515" s="52">
        <f t="shared" si="459"/>
        <v>933254.30079699249</v>
      </c>
      <c r="P515" s="50" t="str">
        <f t="shared" si="411"/>
        <v>36.531007751938</v>
      </c>
      <c r="Q515" s="18" t="str">
        <f t="shared" si="412"/>
        <v>1+2863.72102147037i</v>
      </c>
      <c r="R515" s="18">
        <f t="shared" si="423"/>
        <v>2863.7211960683776</v>
      </c>
      <c r="S515" s="18">
        <f t="shared" si="424"/>
        <v>1.5704471307831844</v>
      </c>
      <c r="T515" s="18" t="str">
        <f t="shared" si="413"/>
        <v>1+1.17276194212596i</v>
      </c>
      <c r="U515" s="18">
        <f t="shared" si="425"/>
        <v>1.5412237257773622</v>
      </c>
      <c r="V515" s="18">
        <f t="shared" si="426"/>
        <v>0.86474382575632658</v>
      </c>
      <c r="W515" s="32" t="str">
        <f t="shared" si="414"/>
        <v>1-19.4303753725012i</v>
      </c>
      <c r="X515" s="18">
        <f t="shared" si="427"/>
        <v>19.456091259970517</v>
      </c>
      <c r="Y515" s="18">
        <f t="shared" si="428"/>
        <v>-1.5193758847552268</v>
      </c>
      <c r="Z515" s="32" t="str">
        <f t="shared" si="415"/>
        <v>-16.9951154949604+8.82934897229357i</v>
      </c>
      <c r="AA515" s="18">
        <f t="shared" si="429"/>
        <v>19.151797669189822</v>
      </c>
      <c r="AB515" s="18">
        <f t="shared" si="430"/>
        <v>2.6624491117621707</v>
      </c>
      <c r="AC515" s="68" t="str">
        <f t="shared" si="431"/>
        <v>0.00348019677134777+0.0196674291697225i</v>
      </c>
      <c r="AD515" s="66">
        <f t="shared" si="432"/>
        <v>-33.991146907348977</v>
      </c>
      <c r="AE515" s="63">
        <f t="shared" si="433"/>
        <v>79.965256070770664</v>
      </c>
      <c r="AF515" s="51" t="str">
        <f t="shared" si="434"/>
        <v>42.1703962805665</v>
      </c>
      <c r="AG515" s="51" t="str">
        <f t="shared" si="416"/>
        <v>1+517.394974467339i</v>
      </c>
      <c r="AH515" s="51">
        <f t="shared" si="435"/>
        <v>517.395940846136</v>
      </c>
      <c r="AI515" s="51">
        <f t="shared" si="436"/>
        <v>1.5688635698023379</v>
      </c>
      <c r="AJ515" s="51" t="str">
        <f t="shared" si="417"/>
        <v>1+1.17276194212596i</v>
      </c>
      <c r="AK515" s="51">
        <f t="shared" si="437"/>
        <v>1.5412237257773622</v>
      </c>
      <c r="AL515" s="51">
        <f t="shared" si="438"/>
        <v>0.86474382575632658</v>
      </c>
      <c r="AM515" s="51" t="str">
        <f t="shared" si="418"/>
        <v>1-3.04106130801327i</v>
      </c>
      <c r="AN515" s="51">
        <f t="shared" si="439"/>
        <v>3.2012581712656951</v>
      </c>
      <c r="AO515" s="51">
        <f t="shared" si="440"/>
        <v>-1.2531019155185266</v>
      </c>
      <c r="AP515" s="60" t="str">
        <f t="shared" si="441"/>
        <v>-0.151556251525199-0.372481741952992i</v>
      </c>
      <c r="AQ515" s="51">
        <f t="shared" si="442"/>
        <v>-7.9125789810355407</v>
      </c>
      <c r="AR515" s="63">
        <f t="shared" si="443"/>
        <v>-112.14054066463883</v>
      </c>
      <c r="AS515" s="32" t="str">
        <f t="shared" si="419"/>
        <v>-0.000133283554228113</v>
      </c>
      <c r="AT515" s="32" t="str">
        <f t="shared" si="420"/>
        <v>0.358278773319482i</v>
      </c>
      <c r="AU515" s="32">
        <f t="shared" si="444"/>
        <v>0.35827877331948199</v>
      </c>
      <c r="AV515" s="32">
        <f t="shared" si="445"/>
        <v>1.5707963267948966</v>
      </c>
      <c r="AW515" s="32" t="str">
        <f t="shared" si="421"/>
        <v>1+62.6423881496254i</v>
      </c>
      <c r="AX515" s="32">
        <f t="shared" si="446"/>
        <v>62.650369456918028</v>
      </c>
      <c r="AY515" s="32">
        <f t="shared" si="447"/>
        <v>1.5548340511429168</v>
      </c>
      <c r="AZ515" s="32" t="str">
        <f t="shared" si="422"/>
        <v>1+933.524369741977i</v>
      </c>
      <c r="BA515" s="32">
        <f t="shared" si="448"/>
        <v>933.52490534648052</v>
      </c>
      <c r="BB515" s="32">
        <f t="shared" si="449"/>
        <v>1.5697251178903233</v>
      </c>
      <c r="BC515" s="60" t="str">
        <f t="shared" si="450"/>
        <v>-0.0000825405805397945+0.00554254983163566i</v>
      </c>
      <c r="BD515" s="51">
        <f t="shared" si="451"/>
        <v>-45.124844814346218</v>
      </c>
      <c r="BE515" s="63">
        <f t="shared" si="452"/>
        <v>90.853195277073993</v>
      </c>
      <c r="BF515" s="60" t="str">
        <f t="shared" si="453"/>
        <v>-0.000109294963695251+0.0000176658030076984i</v>
      </c>
      <c r="BG515" s="66">
        <f t="shared" si="454"/>
        <v>-79.115991721695238</v>
      </c>
      <c r="BH515" s="63">
        <f t="shared" si="455"/>
        <v>170.81845134784459</v>
      </c>
      <c r="BI515" s="60" t="str">
        <f t="shared" si="460"/>
        <v>0.00207700815713424-0.00080926321715305i</v>
      </c>
      <c r="BJ515" s="66">
        <f t="shared" si="456"/>
        <v>-53.037423795381756</v>
      </c>
      <c r="BK515" s="63">
        <f t="shared" si="461"/>
        <v>-21.287345387564841</v>
      </c>
      <c r="BL515" s="51">
        <f t="shared" si="457"/>
        <v>-79.115991721695238</v>
      </c>
      <c r="BM515" s="63">
        <f t="shared" si="458"/>
        <v>170.81845134784459</v>
      </c>
    </row>
    <row r="516" spans="14:65" x14ac:dyDescent="0.35">
      <c r="N516" s="11">
        <v>98</v>
      </c>
      <c r="O516" s="52">
        <f t="shared" si="459"/>
        <v>954992.58602143743</v>
      </c>
      <c r="P516" s="50" t="str">
        <f t="shared" si="411"/>
        <v>36.531007751938</v>
      </c>
      <c r="Q516" s="18" t="str">
        <f t="shared" si="412"/>
        <v>1+2930.42565311772i</v>
      </c>
      <c r="R516" s="18">
        <f t="shared" si="423"/>
        <v>2930.4258237413915</v>
      </c>
      <c r="S516" s="18">
        <f t="shared" si="424"/>
        <v>1.5704550794542178</v>
      </c>
      <c r="T516" s="18" t="str">
        <f t="shared" si="413"/>
        <v>1+1.20007907699107i</v>
      </c>
      <c r="U516" s="18">
        <f t="shared" si="425"/>
        <v>1.5621106846288897</v>
      </c>
      <c r="V516" s="18">
        <f t="shared" si="426"/>
        <v>0.87609045794074758</v>
      </c>
      <c r="W516" s="32" t="str">
        <f t="shared" si="414"/>
        <v>1-19.882966956065i</v>
      </c>
      <c r="X516" s="18">
        <f t="shared" si="427"/>
        <v>19.908098225997698</v>
      </c>
      <c r="Y516" s="18">
        <f t="shared" si="428"/>
        <v>-1.5205443645386016</v>
      </c>
      <c r="Z516" s="32" t="str">
        <f t="shared" si="415"/>
        <v>-17.8431991602461+9.03501092974929i</v>
      </c>
      <c r="AA516" s="18">
        <f t="shared" si="429"/>
        <v>20.000279467369857</v>
      </c>
      <c r="AB516" s="18">
        <f t="shared" si="430"/>
        <v>2.6728731839714404</v>
      </c>
      <c r="AC516" s="68" t="str">
        <f t="shared" si="431"/>
        <v>0.00338236279421463+0.0190863045697169i</v>
      </c>
      <c r="AD516" s="66">
        <f t="shared" si="432"/>
        <v>-34.251271325341243</v>
      </c>
      <c r="AE516" s="63">
        <f t="shared" si="433"/>
        <v>79.950710478357735</v>
      </c>
      <c r="AF516" s="51" t="str">
        <f t="shared" si="434"/>
        <v>42.1703962805665</v>
      </c>
      <c r="AG516" s="51" t="str">
        <f t="shared" si="416"/>
        <v>1+529.446651613707i</v>
      </c>
      <c r="AH516" s="51">
        <f t="shared" si="435"/>
        <v>529.44759599507677</v>
      </c>
      <c r="AI516" s="51">
        <f t="shared" si="436"/>
        <v>1.5689075646168549</v>
      </c>
      <c r="AJ516" s="51" t="str">
        <f t="shared" si="417"/>
        <v>1+1.20007907699107i</v>
      </c>
      <c r="AK516" s="51">
        <f t="shared" si="437"/>
        <v>1.5621106846288897</v>
      </c>
      <c r="AL516" s="51">
        <f t="shared" si="438"/>
        <v>0.87609045794074758</v>
      </c>
      <c r="AM516" s="51" t="str">
        <f t="shared" si="418"/>
        <v>1-3.11189672558612i</v>
      </c>
      <c r="AN516" s="51">
        <f t="shared" si="439"/>
        <v>3.2686237517820267</v>
      </c>
      <c r="AO516" s="51">
        <f t="shared" si="440"/>
        <v>-1.2598715955667361</v>
      </c>
      <c r="AP516" s="60" t="str">
        <f t="shared" si="441"/>
        <v>-0.151563366998517-0.377390692769943i</v>
      </c>
      <c r="AQ516" s="51">
        <f t="shared" si="442"/>
        <v>-7.8147712677848329</v>
      </c>
      <c r="AR516" s="63">
        <f t="shared" si="443"/>
        <v>-111.88082134139285</v>
      </c>
      <c r="AS516" s="32" t="str">
        <f t="shared" si="419"/>
        <v>-0.000133283554228113</v>
      </c>
      <c r="AT516" s="32" t="str">
        <f t="shared" si="420"/>
        <v>0.366624158020771i</v>
      </c>
      <c r="AU516" s="32">
        <f t="shared" si="444"/>
        <v>0.36662415802077097</v>
      </c>
      <c r="AV516" s="32">
        <f t="shared" si="445"/>
        <v>1.5707963267948966</v>
      </c>
      <c r="AW516" s="32" t="str">
        <f t="shared" si="421"/>
        <v>1+64.1015168132426i</v>
      </c>
      <c r="AX516" s="32">
        <f t="shared" si="446"/>
        <v>64.109316466161317</v>
      </c>
      <c r="AY516" s="32">
        <f t="shared" si="447"/>
        <v>1.5551973372716679</v>
      </c>
      <c r="AZ516" s="32" t="str">
        <f t="shared" si="422"/>
        <v>1+955.268945680273i</v>
      </c>
      <c r="BA516" s="32">
        <f t="shared" si="448"/>
        <v>955.26946909293611</v>
      </c>
      <c r="BB516" s="32">
        <f t="shared" si="449"/>
        <v>1.5697495015639069</v>
      </c>
      <c r="BC516" s="60" t="str">
        <f t="shared" si="450"/>
        <v>-0.0000788265463383059+0.00541644393435686i</v>
      </c>
      <c r="BD516" s="51">
        <f t="shared" si="451"/>
        <v>-45.324795239299512</v>
      </c>
      <c r="BE516" s="63">
        <f t="shared" si="452"/>
        <v>90.833777596726279</v>
      </c>
      <c r="BF516" s="60" t="str">
        <f t="shared" si="453"/>
        <v>-0.000103646518593462+0.0000168158709689263i</v>
      </c>
      <c r="BG516" s="66">
        <f t="shared" si="454"/>
        <v>-79.57606656464074</v>
      </c>
      <c r="BH516" s="63">
        <f t="shared" si="455"/>
        <v>170.78448807508403</v>
      </c>
      <c r="BI516" s="60" t="str">
        <f t="shared" si="460"/>
        <v>0.00205606274550839-0.000791186074918545i</v>
      </c>
      <c r="BJ516" s="66">
        <f t="shared" si="456"/>
        <v>-53.139566507084346</v>
      </c>
      <c r="BK516" s="63">
        <f t="shared" si="461"/>
        <v>-21.047043744666578</v>
      </c>
      <c r="BL516" s="51">
        <f t="shared" si="457"/>
        <v>-79.57606656464074</v>
      </c>
      <c r="BM516" s="63">
        <f t="shared" si="458"/>
        <v>170.78448807508403</v>
      </c>
    </row>
    <row r="517" spans="14:65" x14ac:dyDescent="0.35">
      <c r="N517" s="11">
        <v>99</v>
      </c>
      <c r="O517" s="52">
        <f t="shared" si="459"/>
        <v>977237.22095581202</v>
      </c>
      <c r="P517" s="50" t="str">
        <f t="shared" si="411"/>
        <v>36.531007751938</v>
      </c>
      <c r="Q517" s="18" t="str">
        <f t="shared" si="412"/>
        <v>1+2998.68403523511i</v>
      </c>
      <c r="R517" s="18">
        <f t="shared" si="423"/>
        <v>2998.6842019749133</v>
      </c>
      <c r="S517" s="18">
        <f t="shared" si="424"/>
        <v>1.5704628471914506</v>
      </c>
      <c r="T517" s="18" t="str">
        <f t="shared" si="413"/>
        <v>1+1.22803250966771i</v>
      </c>
      <c r="U517" s="18">
        <f t="shared" si="425"/>
        <v>1.583686788730895</v>
      </c>
      <c r="V517" s="18">
        <f t="shared" si="426"/>
        <v>0.88739006371686935</v>
      </c>
      <c r="W517" s="32" t="str">
        <f t="shared" si="414"/>
        <v>1-20.3461007518911i</v>
      </c>
      <c r="X517" s="18">
        <f t="shared" si="427"/>
        <v>20.370660661993846</v>
      </c>
      <c r="Y517" s="18">
        <f t="shared" si="428"/>
        <v>-1.5216863791980457</v>
      </c>
      <c r="Z517" s="32" t="str">
        <f t="shared" si="415"/>
        <v>-18.7312517773025+9.24546336959247i</v>
      </c>
      <c r="AA517" s="18">
        <f t="shared" si="429"/>
        <v>20.888714322886756</v>
      </c>
      <c r="AB517" s="18">
        <f t="shared" si="430"/>
        <v>2.6830902678390114</v>
      </c>
      <c r="AC517" s="68" t="str">
        <f t="shared" si="431"/>
        <v>0.00328429512015301+0.0185256671726057i</v>
      </c>
      <c r="AD517" s="66">
        <f t="shared" si="432"/>
        <v>-34.510127622316176</v>
      </c>
      <c r="AE517" s="63">
        <f t="shared" si="433"/>
        <v>79.946856736260159</v>
      </c>
      <c r="AF517" s="51" t="str">
        <f t="shared" si="434"/>
        <v>42.1703962805665</v>
      </c>
      <c r="AG517" s="51" t="str">
        <f t="shared" si="416"/>
        <v>1+541.779048382817i</v>
      </c>
      <c r="AH517" s="51">
        <f t="shared" si="435"/>
        <v>541.77997126747925</v>
      </c>
      <c r="AI517" s="51">
        <f t="shared" si="436"/>
        <v>1.5689505579941949</v>
      </c>
      <c r="AJ517" s="51" t="str">
        <f t="shared" si="417"/>
        <v>1+1.22803250966771i</v>
      </c>
      <c r="AK517" s="51">
        <f t="shared" si="437"/>
        <v>1.583686788730895</v>
      </c>
      <c r="AL517" s="51">
        <f t="shared" si="438"/>
        <v>0.88739006371686935</v>
      </c>
      <c r="AM517" s="51" t="str">
        <f t="shared" si="418"/>
        <v>1-3.18438211199371i</v>
      </c>
      <c r="AN517" s="51">
        <f t="shared" si="439"/>
        <v>3.3377072123218841</v>
      </c>
      <c r="AO517" s="51">
        <f t="shared" si="440"/>
        <v>-1.2665157617173839</v>
      </c>
      <c r="AP517" s="60" t="str">
        <f t="shared" si="441"/>
        <v>-0.151570162225016-0.382499739917487i</v>
      </c>
      <c r="AQ517" s="51">
        <f t="shared" si="442"/>
        <v>-7.7139546536378969</v>
      </c>
      <c r="AR517" s="63">
        <f t="shared" si="443"/>
        <v>-111.61654763814371</v>
      </c>
      <c r="AS517" s="32" t="str">
        <f t="shared" si="419"/>
        <v>-0.000133283554228113</v>
      </c>
      <c r="AT517" s="32" t="str">
        <f t="shared" si="420"/>
        <v>0.375163931703487i</v>
      </c>
      <c r="AU517" s="32">
        <f t="shared" si="444"/>
        <v>0.375163931703487</v>
      </c>
      <c r="AV517" s="32">
        <f t="shared" si="445"/>
        <v>1.5707963267948966</v>
      </c>
      <c r="AW517" s="32" t="str">
        <f t="shared" si="421"/>
        <v>1+65.5946329495581i</v>
      </c>
      <c r="AX517" s="32">
        <f t="shared" si="446"/>
        <v>65.602255081569069</v>
      </c>
      <c r="AY517" s="32">
        <f t="shared" si="447"/>
        <v>1.5555523579775015</v>
      </c>
      <c r="AZ517" s="32" t="str">
        <f t="shared" si="422"/>
        <v>1+977.520017858048i</v>
      </c>
      <c r="BA517" s="32">
        <f t="shared" si="448"/>
        <v>977.52052935639085</v>
      </c>
      <c r="BB517" s="32">
        <f t="shared" si="449"/>
        <v>1.5697733301985195</v>
      </c>
      <c r="BC517" s="60" t="str">
        <f t="shared" si="450"/>
        <v>-0.0000752795916987657+0.00529320469172838i</v>
      </c>
      <c r="BD517" s="51">
        <f t="shared" si="451"/>
        <v>-45.524747894964364</v>
      </c>
      <c r="BE517" s="63">
        <f t="shared" si="452"/>
        <v>90.814801688837122</v>
      </c>
      <c r="BF517" s="60" t="str">
        <f t="shared" si="453"/>
        <v>-0.0000983073887910983+0.0000159898416783135i</v>
      </c>
      <c r="BG517" s="66">
        <f t="shared" si="454"/>
        <v>-80.03487551728054</v>
      </c>
      <c r="BH517" s="63">
        <f t="shared" si="455"/>
        <v>170.76165842509729</v>
      </c>
      <c r="BI517" s="60" t="str">
        <f t="shared" si="460"/>
        <v>0.00203605955784214-0.000773497469569614i</v>
      </c>
      <c r="BJ517" s="66">
        <f t="shared" si="456"/>
        <v>-53.238702548602262</v>
      </c>
      <c r="BK517" s="63">
        <f t="shared" si="461"/>
        <v>-20.801745949306628</v>
      </c>
      <c r="BL517" s="51">
        <f t="shared" si="457"/>
        <v>-80.03487551728054</v>
      </c>
      <c r="BM517" s="63">
        <f t="shared" si="458"/>
        <v>170.76165842509729</v>
      </c>
    </row>
    <row r="518" spans="14:65" x14ac:dyDescent="0.35">
      <c r="N518" s="11">
        <v>100</v>
      </c>
      <c r="O518" s="52">
        <f t="shared" si="459"/>
        <v>1000000</v>
      </c>
      <c r="P518" s="50" t="str">
        <f t="shared" si="411"/>
        <v>36.531007751938</v>
      </c>
      <c r="Q518" s="18" t="str">
        <f t="shared" si="412"/>
        <v>1+3068.53235932026i</v>
      </c>
      <c r="R518" s="18">
        <f t="shared" si="423"/>
        <v>3068.5325222646024</v>
      </c>
      <c r="S518" s="18">
        <f t="shared" si="424"/>
        <v>1.5704704381134358</v>
      </c>
      <c r="T518" s="18" t="str">
        <f t="shared" si="413"/>
        <v>1+1.25663706143592i</v>
      </c>
      <c r="U518" s="18">
        <f t="shared" si="425"/>
        <v>1.6059690856844984</v>
      </c>
      <c r="V518" s="18">
        <f t="shared" si="426"/>
        <v>0.89863709305634321</v>
      </c>
      <c r="W518" s="32" t="str">
        <f t="shared" si="414"/>
        <v>1-20.8200223196484i</v>
      </c>
      <c r="X518" s="18">
        <f t="shared" si="427"/>
        <v>20.844023829161625</v>
      </c>
      <c r="Y518" s="18">
        <f t="shared" si="428"/>
        <v>-1.5228025223227795</v>
      </c>
      <c r="Z518" s="32" t="str">
        <f t="shared" si="415"/>
        <v>-19.6611570247934+9.46081787649238i</v>
      </c>
      <c r="AA518" s="18">
        <f t="shared" si="429"/>
        <v>21.818986466968184</v>
      </c>
      <c r="AB518" s="18">
        <f t="shared" si="430"/>
        <v>2.6931032478763348</v>
      </c>
      <c r="AC518" s="68" t="str">
        <f t="shared" si="431"/>
        <v>0.00318634883392156+0.0179847257943849i</v>
      </c>
      <c r="AD518" s="66">
        <f t="shared" si="432"/>
        <v>-34.767698171672713</v>
      </c>
      <c r="AE518" s="63">
        <f t="shared" si="433"/>
        <v>79.95317733481231</v>
      </c>
      <c r="AF518" s="51" t="str">
        <f t="shared" si="434"/>
        <v>42.1703962805665</v>
      </c>
      <c r="AG518" s="51" t="str">
        <f t="shared" si="416"/>
        <v>1+554.398703574671i</v>
      </c>
      <c r="AH518" s="51">
        <f t="shared" si="435"/>
        <v>554.39960545194822</v>
      </c>
      <c r="AI518" s="51">
        <f t="shared" si="436"/>
        <v>1.5689925727293796</v>
      </c>
      <c r="AJ518" s="51" t="str">
        <f t="shared" si="417"/>
        <v>1+1.25663706143592i</v>
      </c>
      <c r="AK518" s="51">
        <f t="shared" si="437"/>
        <v>1.6059690856844984</v>
      </c>
      <c r="AL518" s="51">
        <f t="shared" si="438"/>
        <v>0.89863709305634321</v>
      </c>
      <c r="AM518" s="51" t="str">
        <f t="shared" si="418"/>
        <v>1-3.25855589994734i</v>
      </c>
      <c r="AN518" s="51">
        <f t="shared" si="439"/>
        <v>3.4085461054651471</v>
      </c>
      <c r="AO518" s="51">
        <f t="shared" si="440"/>
        <v>-1.2730355895148091</v>
      </c>
      <c r="AP518" s="60" t="str">
        <f t="shared" si="441"/>
        <v>-0.151576651617979-0.387811592360819i</v>
      </c>
      <c r="AQ518" s="51">
        <f t="shared" si="442"/>
        <v>-7.6101775306763191</v>
      </c>
      <c r="AR518" s="63">
        <f t="shared" si="443"/>
        <v>-111.34810620788012</v>
      </c>
      <c r="AS518" s="32" t="str">
        <f t="shared" si="419"/>
        <v>-0.000133283554228113</v>
      </c>
      <c r="AT518" s="32" t="str">
        <f t="shared" si="420"/>
        <v>0.383902622268673i</v>
      </c>
      <c r="AU518" s="32">
        <f t="shared" si="444"/>
        <v>0.383902622268673</v>
      </c>
      <c r="AV518" s="32">
        <f t="shared" si="445"/>
        <v>1.5707963267948966</v>
      </c>
      <c r="AW518" s="32" t="str">
        <f t="shared" si="421"/>
        <v>1+67.122528228511i</v>
      </c>
      <c r="AX518" s="32">
        <f t="shared" si="446"/>
        <v>67.129976879090734</v>
      </c>
      <c r="AY518" s="32">
        <f t="shared" si="447"/>
        <v>1.5558993011389159</v>
      </c>
      <c r="AZ518" s="32" t="str">
        <f t="shared" si="422"/>
        <v>1+1000.2893840883i</v>
      </c>
      <c r="BA518" s="32">
        <f t="shared" si="448"/>
        <v>1000.289883943525</v>
      </c>
      <c r="BB518" s="32">
        <f t="shared" si="449"/>
        <v>1.5697966164283099</v>
      </c>
      <c r="BC518" s="60" t="str">
        <f t="shared" si="450"/>
        <v>-0.0000718922037960492+0.00517276710863261i</v>
      </c>
      <c r="BD518" s="51">
        <f t="shared" si="451"/>
        <v>-45.724702680989118</v>
      </c>
      <c r="BE518" s="63">
        <f t="shared" si="452"/>
        <v>90.7962575126449</v>
      </c>
      <c r="BF518" s="60" t="str">
        <f t="shared" si="453"/>
        <v>-0.0000932598716867043+0.0000151892788727133i</v>
      </c>
      <c r="BG518" s="66">
        <f t="shared" si="454"/>
        <v>-80.492400852661831</v>
      </c>
      <c r="BH518" s="63">
        <f t="shared" si="455"/>
        <v>170.74943484745722</v>
      </c>
      <c r="BI518" s="60" t="str">
        <f t="shared" si="460"/>
        <v>0.00201695622883932-0.000756190087893671i</v>
      </c>
      <c r="BJ518" s="66">
        <f t="shared" si="456"/>
        <v>-53.33488021166545</v>
      </c>
      <c r="BK518" s="63">
        <f t="shared" si="461"/>
        <v>-20.551848695235247</v>
      </c>
      <c r="BL518" s="51">
        <f t="shared" si="457"/>
        <v>-80.492400852661831</v>
      </c>
      <c r="BM518" s="63">
        <f t="shared" si="458"/>
        <v>170.74943484745722</v>
      </c>
    </row>
    <row r="519" spans="14:65" x14ac:dyDescent="0.35">
      <c r="N519" s="11">
        <v>1</v>
      </c>
      <c r="O519" s="52">
        <f>10^(6+(N519/100))</f>
        <v>1023292.9922807553</v>
      </c>
      <c r="P519" s="50" t="str">
        <f t="shared" si="411"/>
        <v>36.531007751938</v>
      </c>
      <c r="Q519" s="18" t="str">
        <f t="shared" si="412"/>
        <v>1+3140.00765987916i</v>
      </c>
      <c r="R519" s="18">
        <f t="shared" si="423"/>
        <v>3140.0078191144362</v>
      </c>
      <c r="S519" s="18">
        <f t="shared" si="424"/>
        <v>1.5704778562449775</v>
      </c>
      <c r="T519" s="18" t="str">
        <f t="shared" si="413"/>
        <v>1+1.28590789880766i</v>
      </c>
      <c r="U519" s="18">
        <f t="shared" si="425"/>
        <v>1.6289748691173633</v>
      </c>
      <c r="V519" s="18">
        <f t="shared" si="426"/>
        <v>0.90982612834030963</v>
      </c>
      <c r="W519" s="32" t="str">
        <f t="shared" si="414"/>
        <v>1-21.3049829388251i</v>
      </c>
      <c r="X519" s="18">
        <f t="shared" si="427"/>
        <v>21.328438715096532</v>
      </c>
      <c r="Y519" s="18">
        <f t="shared" si="428"/>
        <v>-1.5238933745766299</v>
      </c>
      <c r="Z519" s="32" t="str">
        <f t="shared" si="415"/>
        <v>-20.6348873564236+9.68118863425915i</v>
      </c>
      <c r="AA519" s="18">
        <f t="shared" si="429"/>
        <v>22.793068893512324</v>
      </c>
      <c r="AB519" s="18">
        <f t="shared" si="430"/>
        <v>2.7029150456040356</v>
      </c>
      <c r="AC519" s="68" t="str">
        <f t="shared" si="431"/>
        <v>0.00308883999922405+0.0174627142108784i</v>
      </c>
      <c r="AD519" s="66">
        <f t="shared" si="432"/>
        <v>-35.023968602320522</v>
      </c>
      <c r="AE519" s="63">
        <f t="shared" si="433"/>
        <v>79.969160976326165</v>
      </c>
      <c r="AF519" s="51" t="str">
        <f t="shared" si="434"/>
        <v>42.1703962805665</v>
      </c>
      <c r="AG519" s="51" t="str">
        <f t="shared" si="416"/>
        <v>1+567.312308297497i</v>
      </c>
      <c r="AH519" s="51">
        <f t="shared" si="435"/>
        <v>567.3131896455734</v>
      </c>
      <c r="AI519" s="51">
        <f t="shared" si="436"/>
        <v>1.5690336310985842</v>
      </c>
      <c r="AJ519" s="51" t="str">
        <f t="shared" si="417"/>
        <v>1+1.28590789880766i</v>
      </c>
      <c r="AK519" s="51">
        <f t="shared" si="437"/>
        <v>1.6289748691173633</v>
      </c>
      <c r="AL519" s="51">
        <f t="shared" si="438"/>
        <v>0.90982612834030963</v>
      </c>
      <c r="AM519" s="51" t="str">
        <f t="shared" si="418"/>
        <v>1-3.33445741737123i</v>
      </c>
      <c r="AN519" s="51">
        <f t="shared" si="439"/>
        <v>3.4811788618601622</v>
      </c>
      <c r="AO519" s="51">
        <f t="shared" si="440"/>
        <v>-1.2794323178890352</v>
      </c>
      <c r="AP519" s="60" t="str">
        <f t="shared" si="441"/>
        <v>-0.151582848942005-0.393329066589791i</v>
      </c>
      <c r="AQ519" s="51">
        <f t="shared" si="442"/>
        <v>-7.5034895298651971</v>
      </c>
      <c r="AR519" s="63">
        <f t="shared" si="443"/>
        <v>-111.0758797190897</v>
      </c>
      <c r="AS519" s="32" t="str">
        <f t="shared" si="419"/>
        <v>-0.000133283554228113</v>
      </c>
      <c r="AT519" s="32" t="str">
        <f t="shared" si="420"/>
        <v>0.392844863085739i</v>
      </c>
      <c r="AU519" s="32">
        <f t="shared" si="444"/>
        <v>0.39284486308573902</v>
      </c>
      <c r="AV519" s="32">
        <f t="shared" si="445"/>
        <v>1.5707963267948966</v>
      </c>
      <c r="AW519" s="32" t="str">
        <f t="shared" si="421"/>
        <v>1+68.6860127604025i</v>
      </c>
      <c r="AX519" s="32">
        <f t="shared" si="446"/>
        <v>68.693291877170765</v>
      </c>
      <c r="AY519" s="32">
        <f t="shared" si="447"/>
        <v>1.5562383503754846</v>
      </c>
      <c r="AZ519" s="32" t="str">
        <f t="shared" si="422"/>
        <v>1+1023.58911699039i</v>
      </c>
      <c r="BA519" s="32">
        <f t="shared" si="448"/>
        <v>1023.5896054675263</v>
      </c>
      <c r="BB519" s="32">
        <f t="shared" si="449"/>
        <v>1.5698193725998444</v>
      </c>
      <c r="BC519" s="60" t="str">
        <f t="shared" si="450"/>
        <v>-0.0000686572073227842+0.00505506765222144i</v>
      </c>
      <c r="BD519" s="51">
        <f t="shared" si="451"/>
        <v>-45.924659501534599</v>
      </c>
      <c r="BE519" s="63">
        <f t="shared" si="452"/>
        <v>90.778135254929182</v>
      </c>
      <c r="BF519" s="60" t="str">
        <f t="shared" si="453"/>
        <v>-0.0000884872728556127+0.0000144153539729704i</v>
      </c>
      <c r="BG519" s="66">
        <f t="shared" si="454"/>
        <v>-80.9486281038551</v>
      </c>
      <c r="BH519" s="63">
        <f t="shared" si="455"/>
        <v>170.74729623125535</v>
      </c>
      <c r="BI519" s="60" t="str">
        <f t="shared" si="460"/>
        <v>0.00199871229628289-0.000739256681047366i</v>
      </c>
      <c r="BJ519" s="66">
        <f t="shared" si="456"/>
        <v>-53.428149031399812</v>
      </c>
      <c r="BK519" s="63">
        <f t="shared" si="461"/>
        <v>-20.297744464160562</v>
      </c>
      <c r="BL519" s="51">
        <f t="shared" si="457"/>
        <v>-80.9486281038551</v>
      </c>
      <c r="BM519" s="63">
        <f t="shared" si="458"/>
        <v>170.74729623125535</v>
      </c>
    </row>
    <row r="520" spans="14:65" x14ac:dyDescent="0.35">
      <c r="N520" s="11">
        <v>2</v>
      </c>
      <c r="O520" s="52">
        <f t="shared" ref="O520:O560" si="462">10^(6+(N520/100))</f>
        <v>1047128.5480509007</v>
      </c>
      <c r="P520" s="50" t="str">
        <f t="shared" si="411"/>
        <v>36.531007751938</v>
      </c>
      <c r="Q520" s="18" t="str">
        <f t="shared" si="412"/>
        <v>1+3213.14783406223i</v>
      </c>
      <c r="R520" s="18">
        <f t="shared" si="423"/>
        <v>3213.1479896728688</v>
      </c>
      <c r="S520" s="18">
        <f t="shared" si="424"/>
        <v>1.5704851055192637</v>
      </c>
      <c r="T520" s="18" t="str">
        <f t="shared" si="413"/>
        <v>1+1.31586054156834i</v>
      </c>
      <c r="U520" s="18">
        <f t="shared" si="425"/>
        <v>1.6527216840280536</v>
      </c>
      <c r="V520" s="18">
        <f t="shared" si="426"/>
        <v>0.92095189627528051</v>
      </c>
      <c r="W520" s="32" t="str">
        <f t="shared" si="414"/>
        <v>1-21.8012397419607i</v>
      </c>
      <c r="X520" s="18">
        <f t="shared" si="427"/>
        <v>21.824162166883902</v>
      </c>
      <c r="Y520" s="18">
        <f t="shared" si="428"/>
        <v>-1.5249595039534447</v>
      </c>
      <c r="Z520" s="32" t="str">
        <f t="shared" si="415"/>
        <v>-21.6545081847766+9.90669248638546i</v>
      </c>
      <c r="AA520" s="18">
        <f t="shared" si="429"/>
        <v>23.813027542594469</v>
      </c>
      <c r="AB520" s="18">
        <f t="shared" si="430"/>
        <v>2.7125286136950795</v>
      </c>
      <c r="AC520" s="68" t="str">
        <f t="shared" si="431"/>
        <v>0.00299204864109816+0.0169588913807914i</v>
      </c>
      <c r="AD520" s="66">
        <f t="shared" si="432"/>
        <v>-35.278927693838483</v>
      </c>
      <c r="AE520" s="63">
        <f t="shared" si="433"/>
        <v>79.994303578635794</v>
      </c>
      <c r="AF520" s="51" t="str">
        <f t="shared" si="434"/>
        <v>42.1703962805665</v>
      </c>
      <c r="AG520" s="51" t="str">
        <f t="shared" si="416"/>
        <v>1+580.526709515447i</v>
      </c>
      <c r="AH520" s="51">
        <f t="shared" si="435"/>
        <v>580.52757080162201</v>
      </c>
      <c r="AI520" s="51">
        <f t="shared" si="436"/>
        <v>1.5690737548709452</v>
      </c>
      <c r="AJ520" s="51" t="str">
        <f t="shared" si="417"/>
        <v>1+1.31586054156834i</v>
      </c>
      <c r="AK520" s="51">
        <f t="shared" si="437"/>
        <v>1.6527216840280536</v>
      </c>
      <c r="AL520" s="51">
        <f t="shared" si="438"/>
        <v>0.92095189627528051</v>
      </c>
      <c r="AM520" s="51" t="str">
        <f t="shared" si="418"/>
        <v>1-3.41212690825456i</v>
      </c>
      <c r="AN520" s="51">
        <f t="shared" si="439"/>
        <v>3.555644813256075</v>
      </c>
      <c r="AO520" s="51">
        <f t="shared" si="440"/>
        <v>-1.2857072437583414</v>
      </c>
      <c r="AP520" s="60" t="str">
        <f t="shared" si="441"/>
        <v>-0.151588767342198-0.39905508811261i</v>
      </c>
      <c r="AQ520" s="51">
        <f t="shared" si="442"/>
        <v>-7.3939414380023898</v>
      </c>
      <c r="AR520" s="63">
        <f t="shared" si="443"/>
        <v>-110.8002458644571</v>
      </c>
      <c r="AS520" s="32" t="str">
        <f t="shared" si="419"/>
        <v>-0.000133283554228113</v>
      </c>
      <c r="AT520" s="32" t="str">
        <f t="shared" si="420"/>
        <v>0.401995395449129i</v>
      </c>
      <c r="AU520" s="32">
        <f t="shared" si="444"/>
        <v>0.40199539544912899</v>
      </c>
      <c r="AV520" s="32">
        <f t="shared" si="445"/>
        <v>1.5707963267948966</v>
      </c>
      <c r="AW520" s="32" t="str">
        <f t="shared" si="421"/>
        <v>1+70.2859155254262i</v>
      </c>
      <c r="AX520" s="32">
        <f t="shared" si="446"/>
        <v>70.293028966230693</v>
      </c>
      <c r="AY520" s="32">
        <f t="shared" si="447"/>
        <v>1.5565696851436206</v>
      </c>
      <c r="AZ520" s="32" t="str">
        <f t="shared" si="422"/>
        <v>1+1047.43157039111i</v>
      </c>
      <c r="BA520" s="32">
        <f t="shared" si="448"/>
        <v>1047.4320477491544</v>
      </c>
      <c r="BB520" s="32">
        <f t="shared" si="449"/>
        <v>1.5698416107786521</v>
      </c>
      <c r="BC520" s="60" t="str">
        <f t="shared" si="450"/>
        <v>-0.0000655677493526301+0.00494004421977746i</v>
      </c>
      <c r="BD520" s="51">
        <f t="shared" si="451"/>
        <v>-46.124618265071291</v>
      </c>
      <c r="BE520" s="63">
        <f t="shared" si="452"/>
        <v>90.76042532489879</v>
      </c>
      <c r="BF520" s="60" t="str">
        <f t="shared" si="453"/>
        <v>-0.0000839738552348628+0.0000136688962553958i</v>
      </c>
      <c r="BG520" s="66">
        <f t="shared" si="454"/>
        <v>-81.40354595890976</v>
      </c>
      <c r="BH520" s="63">
        <f t="shared" si="455"/>
        <v>170.75472890353458</v>
      </c>
      <c r="BI520" s="60" t="str">
        <f t="shared" si="460"/>
        <v>0.00198128911570525-0.000722690069896756i</v>
      </c>
      <c r="BJ520" s="66">
        <f t="shared" si="456"/>
        <v>-53.518559703073684</v>
      </c>
      <c r="BK520" s="63">
        <f t="shared" si="461"/>
        <v>-20.039820539558313</v>
      </c>
      <c r="BL520" s="51">
        <f t="shared" si="457"/>
        <v>-81.40354595890976</v>
      </c>
      <c r="BM520" s="63">
        <f t="shared" si="458"/>
        <v>170.75472890353458</v>
      </c>
    </row>
    <row r="521" spans="14:65" x14ac:dyDescent="0.35">
      <c r="N521" s="11">
        <v>3</v>
      </c>
      <c r="O521" s="52">
        <f t="shared" si="462"/>
        <v>1071519.3052376076</v>
      </c>
      <c r="P521" s="50" t="str">
        <f t="shared" si="411"/>
        <v>36.531007751938</v>
      </c>
      <c r="Q521" s="18" t="str">
        <f t="shared" si="412"/>
        <v>1+3287.99166175796i</v>
      </c>
      <c r="R521" s="18">
        <f t="shared" si="423"/>
        <v>3287.9918138264688</v>
      </c>
      <c r="S521" s="18">
        <f t="shared" si="424"/>
        <v>1.5704921897799529</v>
      </c>
      <c r="T521" s="18" t="str">
        <f t="shared" si="413"/>
        <v>1+1.34651087100564i</v>
      </c>
      <c r="U521" s="18">
        <f t="shared" si="425"/>
        <v>1.6772273327537823</v>
      </c>
      <c r="V521" s="18">
        <f t="shared" si="426"/>
        <v>0.93200927895964059</v>
      </c>
      <c r="W521" s="32" t="str">
        <f t="shared" si="414"/>
        <v>1-22.3090558509811i</v>
      </c>
      <c r="X521" s="18">
        <f t="shared" si="427"/>
        <v>22.331457027301067</v>
      </c>
      <c r="Y521" s="18">
        <f t="shared" si="428"/>
        <v>-1.5260014660292442</v>
      </c>
      <c r="Z521" s="32" t="str">
        <f t="shared" si="415"/>
        <v>-22.7221822623323+10.1374489979986i</v>
      </c>
      <c r="AA521" s="18">
        <f t="shared" si="429"/>
        <v>24.881025681222859</v>
      </c>
      <c r="AB521" s="18">
        <f t="shared" si="430"/>
        <v>2.721946930420478</v>
      </c>
      <c r="AC521" s="68" t="str">
        <f t="shared" si="431"/>
        <v>0.00289622156903853+0.0164725415184053i</v>
      </c>
      <c r="AD521" s="66">
        <f t="shared" si="432"/>
        <v>-35.532567263936009</v>
      </c>
      <c r="AE521" s="63">
        <f t="shared" si="433"/>
        <v>80.028109212833527</v>
      </c>
      <c r="AF521" s="51" t="str">
        <f t="shared" si="434"/>
        <v>42.1703962805665</v>
      </c>
      <c r="AG521" s="51" t="str">
        <f t="shared" si="416"/>
        <v>1+594.048913678962i</v>
      </c>
      <c r="AH521" s="51">
        <f t="shared" si="435"/>
        <v>594.04975535989809</v>
      </c>
      <c r="AI521" s="51">
        <f t="shared" si="436"/>
        <v>1.5691129653201012</v>
      </c>
      <c r="AJ521" s="51" t="str">
        <f t="shared" si="417"/>
        <v>1+1.34651087100564i</v>
      </c>
      <c r="AK521" s="51">
        <f t="shared" si="437"/>
        <v>1.6772273327537823</v>
      </c>
      <c r="AL521" s="51">
        <f t="shared" si="438"/>
        <v>0.93200927895964059</v>
      </c>
      <c r="AM521" s="51" t="str">
        <f t="shared" si="418"/>
        <v>1-3.49160555398948i</v>
      </c>
      <c r="AN521" s="51">
        <f t="shared" si="439"/>
        <v>3.6319842159142404</v>
      </c>
      <c r="AO521" s="51">
        <f t="shared" si="440"/>
        <v>-1.291861716839025</v>
      </c>
      <c r="AP521" s="60" t="str">
        <f t="shared" si="441"/>
        <v>-0.151594419372047-0.404992693007336i</v>
      </c>
      <c r="AQ521" s="51">
        <f t="shared" si="442"/>
        <v>-7.2815851103868638</v>
      </c>
      <c r="AR521" s="63">
        <f t="shared" si="443"/>
        <v>-110.52157643008165</v>
      </c>
      <c r="AS521" s="32" t="str">
        <f t="shared" si="419"/>
        <v>-0.000133283554228113</v>
      </c>
      <c r="AT521" s="32" t="str">
        <f t="shared" si="420"/>
        <v>0.411359071092224i</v>
      </c>
      <c r="AU521" s="32">
        <f t="shared" si="444"/>
        <v>0.41135907109222403</v>
      </c>
      <c r="AV521" s="32">
        <f t="shared" si="445"/>
        <v>1.5707963267948966</v>
      </c>
      <c r="AW521" s="32" t="str">
        <f t="shared" si="421"/>
        <v>1+71.9230848132057i</v>
      </c>
      <c r="AX521" s="32">
        <f t="shared" si="446"/>
        <v>71.930036348159746</v>
      </c>
      <c r="AY521" s="32">
        <f t="shared" si="447"/>
        <v>1.5568934808302375</v>
      </c>
      <c r="AZ521" s="32" t="str">
        <f t="shared" si="422"/>
        <v>1+1071.82938587485i</v>
      </c>
      <c r="BA521" s="32">
        <f t="shared" si="448"/>
        <v>1071.8298523669034</v>
      </c>
      <c r="BB521" s="32">
        <f t="shared" si="449"/>
        <v>1.5698633427556219</v>
      </c>
      <c r="BC521" s="60" t="str">
        <f t="shared" si="450"/>
        <v>-0.0000626172848800685+0.00482763610723035i</v>
      </c>
      <c r="BD521" s="51">
        <f t="shared" si="451"/>
        <v>-46.324578884185698</v>
      </c>
      <c r="BE521" s="63">
        <f t="shared" si="452"/>
        <v>90.743118349191931</v>
      </c>
      <c r="BF521" s="60" t="str">
        <f t="shared" si="453"/>
        <v>-0.0000797047897431688+0.000012950437996273i</v>
      </c>
      <c r="BG521" s="66">
        <f t="shared" si="454"/>
        <v>-81.8571461481217</v>
      </c>
      <c r="BH521" s="63">
        <f t="shared" si="455"/>
        <v>170.77122756202547</v>
      </c>
      <c r="BI521" s="60" t="str">
        <f t="shared" si="460"/>
        <v>0.00196464977887072-0.000706483149782728i</v>
      </c>
      <c r="BJ521" s="66">
        <f t="shared" si="456"/>
        <v>-53.606163994572562</v>
      </c>
      <c r="BK521" s="63">
        <f t="shared" si="461"/>
        <v>-19.778458080889713</v>
      </c>
      <c r="BL521" s="51">
        <f t="shared" si="457"/>
        <v>-81.8571461481217</v>
      </c>
      <c r="BM521" s="63">
        <f t="shared" si="458"/>
        <v>170.77122756202547</v>
      </c>
    </row>
    <row r="522" spans="14:65" x14ac:dyDescent="0.35">
      <c r="N522" s="11">
        <v>4</v>
      </c>
      <c r="O522" s="52">
        <f t="shared" si="462"/>
        <v>1096478.196143186</v>
      </c>
      <c r="P522" s="50" t="str">
        <f t="shared" si="411"/>
        <v>36.531007751938</v>
      </c>
      <c r="Q522" s="18" t="str">
        <f t="shared" si="412"/>
        <v>1+3364.57882615447i</v>
      </c>
      <c r="R522" s="18">
        <f t="shared" si="423"/>
        <v>3364.5789747614772</v>
      </c>
      <c r="S522" s="18">
        <f t="shared" si="424"/>
        <v>1.5704991127832109</v>
      </c>
      <c r="T522" s="18" t="str">
        <f t="shared" si="413"/>
        <v>1+1.37787513832993i</v>
      </c>
      <c r="U522" s="18">
        <f t="shared" si="425"/>
        <v>1.7025098815653681</v>
      </c>
      <c r="V522" s="18">
        <f t="shared" si="426"/>
        <v>0.94299332405373126</v>
      </c>
      <c r="W522" s="32" t="str">
        <f t="shared" si="414"/>
        <v>1-22.8287005167089i</v>
      </c>
      <c r="X522" s="18">
        <f t="shared" si="427"/>
        <v>22.850592274196856</v>
      </c>
      <c r="Y522" s="18">
        <f t="shared" si="428"/>
        <v>-1.5270198042110226</v>
      </c>
      <c r="Z522" s="32" t="str">
        <f t="shared" si="415"/>
        <v>-23.8401742689549+10.3735805192556i</v>
      </c>
      <c r="AA522" s="18">
        <f t="shared" si="429"/>
        <v>25.999328490628724</v>
      </c>
      <c r="AB522" s="18">
        <f t="shared" si="430"/>
        <v>2.7311729943928817</v>
      </c>
      <c r="AC522" s="68" t="str">
        <f t="shared" si="431"/>
        <v>0.00280157504248451+0.0160029740337907i</v>
      </c>
      <c r="AD522" s="66">
        <f t="shared" si="432"/>
        <v>-35.784882049130573</v>
      </c>
      <c r="AE522" s="63">
        <f t="shared" si="433"/>
        <v>80.070090972768796</v>
      </c>
      <c r="AF522" s="51" t="str">
        <f t="shared" si="434"/>
        <v>42.1703962805665</v>
      </c>
      <c r="AG522" s="51" t="str">
        <f t="shared" si="416"/>
        <v>1+607.886090439676i</v>
      </c>
      <c r="AH522" s="51">
        <f t="shared" si="435"/>
        <v>607.8869129616412</v>
      </c>
      <c r="AI522" s="51">
        <f t="shared" si="436"/>
        <v>1.5691512832354686</v>
      </c>
      <c r="AJ522" s="51" t="str">
        <f t="shared" si="417"/>
        <v>1+1.37787513832993i</v>
      </c>
      <c r="AK522" s="51">
        <f t="shared" si="437"/>
        <v>1.7025098815653681</v>
      </c>
      <c r="AL522" s="51">
        <f t="shared" si="438"/>
        <v>0.94299332405373126</v>
      </c>
      <c r="AM522" s="51" t="str">
        <f t="shared" si="418"/>
        <v>1-3.572935495206i</v>
      </c>
      <c r="AN522" s="51">
        <f t="shared" si="439"/>
        <v>3.7102382744108149</v>
      </c>
      <c r="AO522" s="51">
        <f t="shared" si="440"/>
        <v>-1.2978971346658748</v>
      </c>
      <c r="AP522" s="60" t="str">
        <f t="shared" si="441"/>
        <v>-0.151599817020059-0.411145029531943i</v>
      </c>
      <c r="AQ522" s="51">
        <f t="shared" si="442"/>
        <v>-7.1664733797551383</v>
      </c>
      <c r="AR522" s="63">
        <f t="shared" si="443"/>
        <v>-110.24023642811576</v>
      </c>
      <c r="AS522" s="32" t="str">
        <f t="shared" si="419"/>
        <v>-0.000133283554228113</v>
      </c>
      <c r="AT522" s="32" t="str">
        <f t="shared" si="420"/>
        <v>0.420940854759793i</v>
      </c>
      <c r="AU522" s="32">
        <f t="shared" si="444"/>
        <v>0.42094085475979298</v>
      </c>
      <c r="AV522" s="32">
        <f t="shared" si="445"/>
        <v>1.5707963267948966</v>
      </c>
      <c r="AW522" s="32" t="str">
        <f t="shared" si="421"/>
        <v>1+73.5983886725678i</v>
      </c>
      <c r="AX522" s="32">
        <f t="shared" si="446"/>
        <v>73.605181986041956</v>
      </c>
      <c r="AY522" s="32">
        <f t="shared" si="447"/>
        <v>1.5572099088443554</v>
      </c>
      <c r="AZ522" s="32" t="str">
        <f t="shared" si="422"/>
        <v>1+1096.79549948631i</v>
      </c>
      <c r="BA522" s="32">
        <f t="shared" si="448"/>
        <v>1096.7959553597125</v>
      </c>
      <c r="BB522" s="32">
        <f t="shared" si="449"/>
        <v>1.569884580053253</v>
      </c>
      <c r="BC522" s="60" t="str">
        <f t="shared" si="450"/>
        <v>-0.0000597995630066718+0.00471778397831843i</v>
      </c>
      <c r="BD522" s="51">
        <f t="shared" si="451"/>
        <v>-46.52454127539567</v>
      </c>
      <c r="BE522" s="63">
        <f t="shared" si="452"/>
        <v>90.726205166985807</v>
      </c>
      <c r="BF522" s="60" t="str">
        <f t="shared" si="453"/>
        <v>-0.0000756661074653346+0.0000122602549954624i</v>
      </c>
      <c r="BG522" s="66">
        <f t="shared" si="454"/>
        <v>-82.30942332452625</v>
      </c>
      <c r="BH522" s="63">
        <f t="shared" si="455"/>
        <v>170.79629613975462</v>
      </c>
      <c r="BI522" s="60" t="str">
        <f t="shared" si="460"/>
        <v>0.00194875903590075-0.000690628894754865i</v>
      </c>
      <c r="BJ522" s="66">
        <f t="shared" si="456"/>
        <v>-53.691014655150802</v>
      </c>
      <c r="BK522" s="63">
        <f t="shared" si="461"/>
        <v>-19.514031261129958</v>
      </c>
      <c r="BL522" s="51">
        <f t="shared" si="457"/>
        <v>-82.30942332452625</v>
      </c>
      <c r="BM522" s="63">
        <f t="shared" si="458"/>
        <v>170.79629613975462</v>
      </c>
    </row>
    <row r="523" spans="14:65" x14ac:dyDescent="0.35">
      <c r="N523" s="11">
        <v>5</v>
      </c>
      <c r="O523" s="52">
        <f t="shared" si="462"/>
        <v>1122018.4543019643</v>
      </c>
      <c r="P523" s="50" t="str">
        <f t="shared" si="411"/>
        <v>36.531007751938</v>
      </c>
      <c r="Q523" s="18" t="str">
        <f t="shared" si="412"/>
        <v>1+3442.94993478008i</v>
      </c>
      <c r="R523" s="18">
        <f t="shared" si="423"/>
        <v>3442.9500800043788</v>
      </c>
      <c r="S523" s="18">
        <f t="shared" si="424"/>
        <v>1.5705058781997028</v>
      </c>
      <c r="T523" s="18" t="str">
        <f t="shared" si="413"/>
        <v>1+1.40996997329089i</v>
      </c>
      <c r="U523" s="18">
        <f t="shared" si="425"/>
        <v>1.7285876678901515</v>
      </c>
      <c r="V523" s="18">
        <f t="shared" si="426"/>
        <v>0.9538992540157778</v>
      </c>
      <c r="W523" s="32" t="str">
        <f t="shared" si="414"/>
        <v>1-23.3604492616242i</v>
      </c>
      <c r="X523" s="18">
        <f t="shared" si="427"/>
        <v>23.38184316312379</v>
      </c>
      <c r="Y523" s="18">
        <f t="shared" si="428"/>
        <v>-1.5280150499821166</v>
      </c>
      <c r="Z523" s="32" t="str">
        <f t="shared" si="415"/>
        <v>-25.010855615582+10.6152122502144i</v>
      </c>
      <c r="AA523" s="18">
        <f t="shared" si="429"/>
        <v>27.170307869816114</v>
      </c>
      <c r="AB523" s="18">
        <f t="shared" si="430"/>
        <v>2.7402098196025029</v>
      </c>
      <c r="AC523" s="68" t="str">
        <f t="shared" si="431"/>
        <v>0.0027082972813081+0.0155495233571197i</v>
      </c>
      <c r="AD523" s="66">
        <f t="shared" si="432"/>
        <v>-36.035869579566317</v>
      </c>
      <c r="AE523" s="63">
        <f t="shared" si="433"/>
        <v>80.11977177447686</v>
      </c>
      <c r="AF523" s="51" t="str">
        <f t="shared" si="434"/>
        <v>42.1703962805665</v>
      </c>
      <c r="AG523" s="51" t="str">
        <f t="shared" si="416"/>
        <v>1+622.045576451865i</v>
      </c>
      <c r="AH523" s="51">
        <f t="shared" si="435"/>
        <v>622.04638025096892</v>
      </c>
      <c r="AI523" s="51">
        <f t="shared" si="436"/>
        <v>1.5691887289332627</v>
      </c>
      <c r="AJ523" s="51" t="str">
        <f t="shared" si="417"/>
        <v>1+1.40996997329089i</v>
      </c>
      <c r="AK523" s="51">
        <f t="shared" si="437"/>
        <v>1.7285876678901515</v>
      </c>
      <c r="AL523" s="51">
        <f t="shared" si="438"/>
        <v>0.9538992540157778</v>
      </c>
      <c r="AM523" s="51" t="str">
        <f t="shared" si="418"/>
        <v>1-3.65615985411546i</v>
      </c>
      <c r="AN523" s="51">
        <f t="shared" si="439"/>
        <v>3.7904491658437505</v>
      </c>
      <c r="AO523" s="51">
        <f t="shared" si="440"/>
        <v>-1.3038149378254555</v>
      </c>
      <c r="AP523" s="60" t="str">
        <f t="shared" si="441"/>
        <v>-0.151604971735177-0.417515359793869i</v>
      </c>
      <c r="AQ523" s="51">
        <f t="shared" si="442"/>
        <v>-7.0486599620648551</v>
      </c>
      <c r="AR523" s="63">
        <f t="shared" si="443"/>
        <v>-109.95658329510292</v>
      </c>
      <c r="AS523" s="32" t="str">
        <f t="shared" si="419"/>
        <v>-0.000133283554228113</v>
      </c>
      <c r="AT523" s="32" t="str">
        <f t="shared" si="420"/>
        <v>0.430745826840367i</v>
      </c>
      <c r="AU523" s="32">
        <f t="shared" si="444"/>
        <v>0.430745826840367</v>
      </c>
      <c r="AV523" s="32">
        <f t="shared" si="445"/>
        <v>1.5707963267948966</v>
      </c>
      <c r="AW523" s="32" t="str">
        <f t="shared" si="421"/>
        <v>1+75.3127153717938i</v>
      </c>
      <c r="AX523" s="32">
        <f t="shared" si="446"/>
        <v>75.31935406436267</v>
      </c>
      <c r="AY523" s="32">
        <f t="shared" si="447"/>
        <v>1.557519136706687</v>
      </c>
      <c r="AZ523" s="32" t="str">
        <f t="shared" si="422"/>
        <v>1+1122.34314858941i</v>
      </c>
      <c r="BA523" s="32">
        <f t="shared" si="448"/>
        <v>1122.343594085871</v>
      </c>
      <c r="BB523" s="32">
        <f t="shared" si="449"/>
        <v>1.5699053339317655</v>
      </c>
      <c r="BC523" s="60" t="str">
        <f t="shared" si="450"/>
        <v>-0.0000571086137451471+0.00461042983438621i</v>
      </c>
      <c r="BD523" s="51">
        <f t="shared" si="451"/>
        <v>-46.724505358973147</v>
      </c>
      <c r="BE523" s="63">
        <f t="shared" si="452"/>
        <v>90.709676825213648</v>
      </c>
      <c r="BF523" s="60" t="str">
        <f t="shared" si="453"/>
        <v>-0.0000718446534994951+0.000011598402862807i</v>
      </c>
      <c r="BG523" s="66">
        <f t="shared" si="454"/>
        <v>-82.760374938539471</v>
      </c>
      <c r="BH523" s="63">
        <f t="shared" si="455"/>
        <v>170.82944859969052</v>
      </c>
      <c r="BI523" s="60" t="str">
        <f t="shared" si="460"/>
        <v>0.00193358322088081-0.000675120361314004i</v>
      </c>
      <c r="BJ523" s="66">
        <f t="shared" si="456"/>
        <v>-53.773165321038022</v>
      </c>
      <c r="BK523" s="63">
        <f t="shared" si="461"/>
        <v>-19.246906469889304</v>
      </c>
      <c r="BL523" s="51">
        <f t="shared" si="457"/>
        <v>-82.760374938539471</v>
      </c>
      <c r="BM523" s="63">
        <f t="shared" si="458"/>
        <v>170.82944859969052</v>
      </c>
    </row>
    <row r="524" spans="14:65" x14ac:dyDescent="0.35">
      <c r="N524" s="11">
        <v>6</v>
      </c>
      <c r="O524" s="52">
        <f t="shared" si="462"/>
        <v>1148153.6214968837</v>
      </c>
      <c r="P524" s="50" t="str">
        <f t="shared" si="411"/>
        <v>36.531007751938</v>
      </c>
      <c r="Q524" s="18" t="str">
        <f t="shared" si="412"/>
        <v>1+3523.14654103393i</v>
      </c>
      <c r="R524" s="18">
        <f t="shared" si="423"/>
        <v>3523.1466829525202</v>
      </c>
      <c r="S524" s="18">
        <f t="shared" si="424"/>
        <v>1.5705124896165397</v>
      </c>
      <c r="T524" s="18" t="str">
        <f t="shared" si="413"/>
        <v>1+1.44281239299485i</v>
      </c>
      <c r="U524" s="18">
        <f t="shared" si="425"/>
        <v>1.7554793081604594</v>
      </c>
      <c r="V524" s="18">
        <f t="shared" si="426"/>
        <v>0.96472247437516023</v>
      </c>
      <c r="W524" s="32" t="str">
        <f t="shared" si="414"/>
        <v>1-23.9045840259502i</v>
      </c>
      <c r="X524" s="18">
        <f t="shared" si="427"/>
        <v>23.925491373297092</v>
      </c>
      <c r="Y524" s="18">
        <f t="shared" si="428"/>
        <v>-1.528987723144076</v>
      </c>
      <c r="Z524" s="32" t="str">
        <f t="shared" si="415"/>
        <v>-26.2367094743059+10.8624723072172i</v>
      </c>
      <c r="AA524" s="18">
        <f t="shared" si="429"/>
        <v>28.396447465557969</v>
      </c>
      <c r="AB524" s="18">
        <f t="shared" si="430"/>
        <v>2.7490604307388935</v>
      </c>
      <c r="AC524" s="68" t="str">
        <f t="shared" si="431"/>
        <v>0.00261655082478199+0.0151115486623731i</v>
      </c>
      <c r="AD524" s="66">
        <f t="shared" si="432"/>
        <v>-36.285530048907788</v>
      </c>
      <c r="AE524" s="63">
        <f t="shared" si="433"/>
        <v>80.176685084275732</v>
      </c>
      <c r="AF524" s="51" t="str">
        <f t="shared" si="434"/>
        <v>42.1703962805665</v>
      </c>
      <c r="AG524" s="51" t="str">
        <f t="shared" si="416"/>
        <v>1+636.534879262436i</v>
      </c>
      <c r="AH524" s="51">
        <f t="shared" si="435"/>
        <v>636.53566476486139</v>
      </c>
      <c r="AI524" s="51">
        <f t="shared" si="436"/>
        <v>1.5692253222672681</v>
      </c>
      <c r="AJ524" s="51" t="str">
        <f t="shared" si="417"/>
        <v>1+1.44281239299485i</v>
      </c>
      <c r="AK524" s="51">
        <f t="shared" si="437"/>
        <v>1.7554793081604594</v>
      </c>
      <c r="AL524" s="51">
        <f t="shared" si="438"/>
        <v>0.96472247437516023</v>
      </c>
      <c r="AM524" s="51" t="str">
        <f t="shared" si="418"/>
        <v>1-3.74132275737458i</v>
      </c>
      <c r="AN524" s="51">
        <f t="shared" si="439"/>
        <v>3.8726600644581408</v>
      </c>
      <c r="AO524" s="51">
        <f t="shared" si="440"/>
        <v>-1.3096166054029679</v>
      </c>
      <c r="AP524" s="60" t="str">
        <f t="shared" si="441"/>
        <v>-0.15160989445107-0.424107061479905i</v>
      </c>
      <c r="AQ524" s="51">
        <f t="shared" si="442"/>
        <v>-6.9281993597292644</v>
      </c>
      <c r="AR524" s="63">
        <f t="shared" si="443"/>
        <v>-109.67096615769634</v>
      </c>
      <c r="AS524" s="32" t="str">
        <f t="shared" si="419"/>
        <v>-0.000133283554228113</v>
      </c>
      <c r="AT524" s="32" t="str">
        <f t="shared" si="420"/>
        <v>0.440779186059927i</v>
      </c>
      <c r="AU524" s="32">
        <f t="shared" si="444"/>
        <v>0.440779186059927</v>
      </c>
      <c r="AV524" s="32">
        <f t="shared" si="445"/>
        <v>1.5707963267948966</v>
      </c>
      <c r="AW524" s="32" t="str">
        <f t="shared" si="421"/>
        <v>1+77.0669738695916i</v>
      </c>
      <c r="AX524" s="32">
        <f t="shared" si="446"/>
        <v>77.073461459936496</v>
      </c>
      <c r="AY524" s="32">
        <f t="shared" si="447"/>
        <v>1.5578213281372508</v>
      </c>
      <c r="AZ524" s="32" t="str">
        <f t="shared" si="422"/>
        <v>1+1148.48587888586i</v>
      </c>
      <c r="BA524" s="32">
        <f t="shared" si="448"/>
        <v>1148.4863142415875</v>
      </c>
      <c r="BB524" s="32">
        <f t="shared" si="449"/>
        <v>1.5699256153950687</v>
      </c>
      <c r="BC524" s="60" t="str">
        <f t="shared" si="450"/>
        <v>-0.0000545387354136722+0.00450551698480652i</v>
      </c>
      <c r="BD524" s="51">
        <f t="shared" si="451"/>
        <v>-46.924471058776184</v>
      </c>
      <c r="BE524" s="63">
        <f t="shared" si="452"/>
        <v>90.693524573886947</v>
      </c>
      <c r="BF524" s="60" t="str">
        <f t="shared" si="453"/>
        <v>-0.0000682280425381815+0.0000109647494284768i</v>
      </c>
      <c r="BG524" s="66">
        <f t="shared" si="454"/>
        <v>-83.210001107683965</v>
      </c>
      <c r="BH524" s="63">
        <f t="shared" si="455"/>
        <v>170.87020965816265</v>
      </c>
      <c r="BI524" s="60" t="str">
        <f t="shared" si="460"/>
        <v>0.00191909018079366-0.000659950691700897i</v>
      </c>
      <c r="BJ524" s="66">
        <f t="shared" si="456"/>
        <v>-53.852670418505433</v>
      </c>
      <c r="BK524" s="63">
        <f t="shared" si="461"/>
        <v>-18.977441583809362</v>
      </c>
      <c r="BL524" s="51">
        <f t="shared" si="457"/>
        <v>-83.210001107683965</v>
      </c>
      <c r="BM524" s="63">
        <f t="shared" si="458"/>
        <v>170.87020965816265</v>
      </c>
    </row>
    <row r="525" spans="14:65" x14ac:dyDescent="0.35">
      <c r="N525" s="11">
        <v>7</v>
      </c>
      <c r="O525" s="52">
        <f t="shared" si="462"/>
        <v>1174897.5549395324</v>
      </c>
      <c r="P525" s="50" t="str">
        <f t="shared" si="411"/>
        <v>36.531007751938</v>
      </c>
      <c r="Q525" s="18" t="str">
        <f t="shared" si="412"/>
        <v>1+3605.21116621821i</v>
      </c>
      <c r="R525" s="18">
        <f t="shared" si="423"/>
        <v>3605.2113049063387</v>
      </c>
      <c r="S525" s="18">
        <f t="shared" si="424"/>
        <v>1.5705189505391799</v>
      </c>
      <c r="T525" s="18" t="str">
        <f t="shared" si="413"/>
        <v>1+1.47641981092746i</v>
      </c>
      <c r="U525" s="18">
        <f t="shared" si="425"/>
        <v>1.7832037062823407</v>
      </c>
      <c r="V525" s="18">
        <f t="shared" si="426"/>
        <v>0.97545858102379013</v>
      </c>
      <c r="W525" s="32" t="str">
        <f t="shared" si="414"/>
        <v>1-24.4613933171413i</v>
      </c>
      <c r="X525" s="18">
        <f t="shared" si="427"/>
        <v>24.481825156958479</v>
      </c>
      <c r="Y525" s="18">
        <f t="shared" si="428"/>
        <v>-1.5299383320549769</v>
      </c>
      <c r="Z525" s="32" t="str">
        <f t="shared" si="415"/>
        <v>-27.5203360455143+11.1154917908191i</v>
      </c>
      <c r="AA525" s="18">
        <f t="shared" si="429"/>
        <v>29.680347939500308</v>
      </c>
      <c r="AB525" s="18">
        <f t="shared" si="430"/>
        <v>2.7577278587914669</v>
      </c>
      <c r="AC525" s="68" t="str">
        <f t="shared" si="431"/>
        <v>0.00252647474320223+0.0146884335045027i</v>
      </c>
      <c r="AD525" s="66">
        <f t="shared" si="432"/>
        <v>-36.533866180235449</v>
      </c>
      <c r="AE525" s="63">
        <f t="shared" si="433"/>
        <v>80.240375574837543</v>
      </c>
      <c r="AF525" s="51" t="str">
        <f t="shared" si="434"/>
        <v>42.1703962805665</v>
      </c>
      <c r="AG525" s="51" t="str">
        <f t="shared" si="416"/>
        <v>1+651.361681291527i</v>
      </c>
      <c r="AH525" s="51">
        <f t="shared" si="435"/>
        <v>651.36244891375554</v>
      </c>
      <c r="AI525" s="51">
        <f t="shared" si="436"/>
        <v>1.5692610826393625</v>
      </c>
      <c r="AJ525" s="51" t="str">
        <f t="shared" si="417"/>
        <v>1+1.47641981092746i</v>
      </c>
      <c r="AK525" s="51">
        <f t="shared" si="437"/>
        <v>1.7832037062823407</v>
      </c>
      <c r="AL525" s="51">
        <f t="shared" si="438"/>
        <v>0.97545858102379013</v>
      </c>
      <c r="AM525" s="51" t="str">
        <f t="shared" si="418"/>
        <v>1-3.82846935948192i</v>
      </c>
      <c r="AN525" s="51">
        <f t="shared" si="439"/>
        <v>3.9569151667039697</v>
      </c>
      <c r="AO525" s="51">
        <f t="shared" si="440"/>
        <v>-1.3153036506422378</v>
      </c>
      <c r="AP525" s="60" t="str">
        <f t="shared" si="441"/>
        <v>-0.15161459560932-0.430923629647338i</v>
      </c>
      <c r="AQ525" s="51">
        <f t="shared" si="442"/>
        <v>-6.805146762920339</v>
      </c>
      <c r="AR525" s="63">
        <f t="shared" si="443"/>
        <v>-109.38372516683241</v>
      </c>
      <c r="AS525" s="32" t="str">
        <f t="shared" si="419"/>
        <v>-0.000133283554228113</v>
      </c>
      <c r="AT525" s="32" t="str">
        <f t="shared" si="420"/>
        <v>0.451046252238338i</v>
      </c>
      <c r="AU525" s="32">
        <f t="shared" si="444"/>
        <v>0.451046252238338</v>
      </c>
      <c r="AV525" s="32">
        <f t="shared" si="445"/>
        <v>1.5707963267948966</v>
      </c>
      <c r="AW525" s="32" t="str">
        <f t="shared" si="421"/>
        <v>1+78.8620942970373i</v>
      </c>
      <c r="AX525" s="32">
        <f t="shared" si="446"/>
        <v>78.868434223805934</v>
      </c>
      <c r="AY525" s="32">
        <f t="shared" si="447"/>
        <v>1.5581166431410483</v>
      </c>
      <c r="AZ525" s="32" t="str">
        <f t="shared" si="422"/>
        <v>1+1175.23755159731i</v>
      </c>
      <c r="BA525" s="32">
        <f t="shared" si="448"/>
        <v>1175.2379770431348</v>
      </c>
      <c r="BB525" s="32">
        <f t="shared" si="449"/>
        <v>1.5699454351965962</v>
      </c>
      <c r="BC525" s="60" t="str">
        <f t="shared" si="450"/>
        <v>-0.0000520844825943075+0.00440299001801873i</v>
      </c>
      <c r="BD525" s="51">
        <f t="shared" si="451"/>
        <v>-47.124438302087135</v>
      </c>
      <c r="BE525" s="63">
        <f t="shared" si="452"/>
        <v>90.677739861520777</v>
      </c>
      <c r="BF525" s="60" t="str">
        <f t="shared" si="453"/>
        <v>-0.0000648046162304445+0.0000103590036158929i</v>
      </c>
      <c r="BG525" s="66">
        <f t="shared" si="454"/>
        <v>-83.658304482322592</v>
      </c>
      <c r="BH525" s="63">
        <f t="shared" si="455"/>
        <v>170.91811543635833</v>
      </c>
      <c r="BI525" s="60" t="str">
        <f t="shared" si="460"/>
        <v>0.00190524920763169-0.00064511311676594i</v>
      </c>
      <c r="BJ525" s="66">
        <f t="shared" si="456"/>
        <v>-53.929585065007466</v>
      </c>
      <c r="BK525" s="63">
        <f t="shared" si="461"/>
        <v>-18.705985305311597</v>
      </c>
      <c r="BL525" s="51">
        <f t="shared" si="457"/>
        <v>-83.658304482322592</v>
      </c>
      <c r="BM525" s="63">
        <f t="shared" si="458"/>
        <v>170.91811543635833</v>
      </c>
    </row>
    <row r="526" spans="14:65" x14ac:dyDescent="0.35">
      <c r="N526" s="11">
        <v>8</v>
      </c>
      <c r="O526" s="52">
        <f t="shared" si="462"/>
        <v>1202264.4346174158</v>
      </c>
      <c r="P526" s="50" t="str">
        <f t="shared" si="411"/>
        <v>36.531007751938</v>
      </c>
      <c r="Q526" s="18" t="str">
        <f t="shared" si="412"/>
        <v>1+3689.18732208342i</v>
      </c>
      <c r="R526" s="18">
        <f t="shared" si="423"/>
        <v>3689.1874576146211</v>
      </c>
      <c r="S526" s="18">
        <f t="shared" si="424"/>
        <v>1.5705252643932879</v>
      </c>
      <c r="T526" s="18" t="str">
        <f t="shared" si="413"/>
        <v>1+1.51081004618654i</v>
      </c>
      <c r="U526" s="18">
        <f t="shared" si="425"/>
        <v>1.811780062716823</v>
      </c>
      <c r="V526" s="18">
        <f t="shared" si="426"/>
        <v>0.98610336651547881</v>
      </c>
      <c r="W526" s="32" t="str">
        <f t="shared" si="414"/>
        <v>1-25.031172362854i</v>
      </c>
      <c r="X526" s="18">
        <f t="shared" si="427"/>
        <v>25.05113949222482</v>
      </c>
      <c r="Y526" s="18">
        <f t="shared" si="428"/>
        <v>-1.5308673738641321</v>
      </c>
      <c r="Z526" s="32" t="str">
        <f t="shared" si="415"/>
        <v>-28.8644580732631+11.3744048552994i</v>
      </c>
      <c r="AA526" s="18">
        <f t="shared" si="429"/>
        <v>31.024732483543225</v>
      </c>
      <c r="AB526" s="18">
        <f t="shared" si="430"/>
        <v>2.7662151369209651</v>
      </c>
      <c r="AC526" s="68" t="str">
        <f t="shared" si="431"/>
        <v>0.00243818670689378+0.014279585382916i</v>
      </c>
      <c r="AD526" s="66">
        <f t="shared" si="432"/>
        <v>-36.780883088854445</v>
      </c>
      <c r="AE526" s="63">
        <f t="shared" si="433"/>
        <v>80.310399709110911</v>
      </c>
      <c r="AF526" s="51" t="str">
        <f t="shared" si="434"/>
        <v>42.1703962805665</v>
      </c>
      <c r="AG526" s="51" t="str">
        <f t="shared" si="416"/>
        <v>1+666.53384390583i</v>
      </c>
      <c r="AH526" s="51">
        <f t="shared" si="435"/>
        <v>666.53459405486331</v>
      </c>
      <c r="AI526" s="51">
        <f t="shared" si="436"/>
        <v>1.5692960290098026</v>
      </c>
      <c r="AJ526" s="51" t="str">
        <f t="shared" si="417"/>
        <v>1+1.51081004618654i</v>
      </c>
      <c r="AK526" s="51">
        <f t="shared" si="437"/>
        <v>1.811780062716823</v>
      </c>
      <c r="AL526" s="51">
        <f t="shared" si="438"/>
        <v>0.98610336651547881</v>
      </c>
      <c r="AM526" s="51" t="str">
        <f t="shared" si="418"/>
        <v>1-3.91764586671944i</v>
      </c>
      <c r="AN526" s="51">
        <f t="shared" si="439"/>
        <v>4.0432597167414208</v>
      </c>
      <c r="AO526" s="51">
        <f t="shared" si="440"/>
        <v>-1.3208776168173662</v>
      </c>
      <c r="AP526" s="60" t="str">
        <f t="shared" si="441"/>
        <v>-0.151619085181571-0.437968678577307i</v>
      </c>
      <c r="AQ526" s="51">
        <f t="shared" si="442"/>
        <v>-6.6795579495630077</v>
      </c>
      <c r="AR526" s="63">
        <f t="shared" si="443"/>
        <v>-109.09519090085574</v>
      </c>
      <c r="AS526" s="32" t="str">
        <f t="shared" si="419"/>
        <v>-0.000133283554228113</v>
      </c>
      <c r="AT526" s="32" t="str">
        <f t="shared" si="420"/>
        <v>0.461552469109989i</v>
      </c>
      <c r="AU526" s="32">
        <f t="shared" si="444"/>
        <v>0.46155246910998898</v>
      </c>
      <c r="AV526" s="32">
        <f t="shared" si="445"/>
        <v>1.5707963267948966</v>
      </c>
      <c r="AW526" s="32" t="str">
        <f t="shared" si="421"/>
        <v>1+80.6990284507423i</v>
      </c>
      <c r="AX526" s="32">
        <f t="shared" si="446"/>
        <v>80.705224074366569</v>
      </c>
      <c r="AY526" s="32">
        <f t="shared" si="447"/>
        <v>1.5584052380918474</v>
      </c>
      <c r="AZ526" s="32" t="str">
        <f t="shared" si="422"/>
        <v>1+1202.61235081472i</v>
      </c>
      <c r="BA526" s="32">
        <f t="shared" si="448"/>
        <v>1202.612766576219</v>
      </c>
      <c r="BB526" s="32">
        <f t="shared" si="449"/>
        <v>1.5699648038450069</v>
      </c>
      <c r="BC526" s="60" t="str">
        <f t="shared" si="450"/>
        <v>-0.0000497406546303528+0.00430279477317148i</v>
      </c>
      <c r="BD526" s="51">
        <f t="shared" si="451"/>
        <v>-47.324407019459272</v>
      </c>
      <c r="BE526" s="63">
        <f t="shared" si="452"/>
        <v>90.66231433066001</v>
      </c>
      <c r="BF526" s="60" t="str">
        <f t="shared" si="453"/>
        <v>-0.0000615634023515788+9.78074109364248E-06i</v>
      </c>
      <c r="BG526" s="66">
        <f t="shared" si="454"/>
        <v>-84.10529010831371</v>
      </c>
      <c r="BH526" s="63">
        <f t="shared" si="455"/>
        <v>170.97271403977092</v>
      </c>
      <c r="BI526" s="60" t="str">
        <f t="shared" si="460"/>
        <v>0.00189203097354664-0.000630600958452279i</v>
      </c>
      <c r="BJ526" s="66">
        <f t="shared" si="456"/>
        <v>-54.003964969022306</v>
      </c>
      <c r="BK526" s="63">
        <f t="shared" si="461"/>
        <v>-18.432876570195756</v>
      </c>
      <c r="BL526" s="51">
        <f t="shared" si="457"/>
        <v>-84.10529010831371</v>
      </c>
      <c r="BM526" s="63">
        <f t="shared" si="458"/>
        <v>170.97271403977092</v>
      </c>
    </row>
    <row r="527" spans="14:65" x14ac:dyDescent="0.35">
      <c r="N527" s="11">
        <v>9</v>
      </c>
      <c r="O527" s="52">
        <f t="shared" si="462"/>
        <v>1230268.770812382</v>
      </c>
      <c r="P527" s="50" t="str">
        <f t="shared" si="411"/>
        <v>36.531007751938</v>
      </c>
      <c r="Q527" s="18" t="str">
        <f t="shared" si="412"/>
        <v>1+3775.11953389896i</v>
      </c>
      <c r="R527" s="18">
        <f t="shared" si="423"/>
        <v>3775.1196663450951</v>
      </c>
      <c r="S527" s="18">
        <f t="shared" si="424"/>
        <v>1.5705314345265509</v>
      </c>
      <c r="T527" s="18" t="str">
        <f t="shared" si="413"/>
        <v>1+1.54600133293005i</v>
      </c>
      <c r="U527" s="18">
        <f t="shared" si="425"/>
        <v>1.8412278841635794</v>
      </c>
      <c r="V527" s="18">
        <f t="shared" si="426"/>
        <v>0.99665282537194344</v>
      </c>
      <c r="W527" s="32" t="str">
        <f t="shared" si="414"/>
        <v>1-25.6142232674801i</v>
      </c>
      <c r="X527" s="18">
        <f t="shared" si="427"/>
        <v>25.633736239501236</v>
      </c>
      <c r="Y527" s="18">
        <f t="shared" si="428"/>
        <v>-1.5317753347431613</v>
      </c>
      <c r="Z527" s="32" t="str">
        <f t="shared" si="415"/>
        <v>-30.2719266205829+11.6393487797921i</v>
      </c>
      <c r="AA527" s="18">
        <f t="shared" si="429"/>
        <v>32.4324525951955</v>
      </c>
      <c r="AB527" s="18">
        <f t="shared" si="430"/>
        <v>2.7745252965936702</v>
      </c>
      <c r="AC527" s="68" t="str">
        <f t="shared" si="431"/>
        <v>0.00235178491776759+0.0138844352429932i</v>
      </c>
      <c r="AD527" s="66">
        <f t="shared" si="432"/>
        <v>-37.026588142912395</v>
      </c>
      <c r="AE527" s="63">
        <f t="shared" si="433"/>
        <v>80.386326252480856</v>
      </c>
      <c r="AF527" s="51" t="str">
        <f t="shared" si="434"/>
        <v>42.1703962805665</v>
      </c>
      <c r="AG527" s="51" t="str">
        <f t="shared" si="416"/>
        <v>1+682.059411586789i</v>
      </c>
      <c r="AH527" s="51">
        <f t="shared" si="435"/>
        <v>682.06014466036413</v>
      </c>
      <c r="AI527" s="51">
        <f t="shared" si="436"/>
        <v>1.569330179907275</v>
      </c>
      <c r="AJ527" s="51" t="str">
        <f t="shared" si="417"/>
        <v>1+1.54600133293005i</v>
      </c>
      <c r="AK527" s="51">
        <f t="shared" si="437"/>
        <v>1.8412278841635794</v>
      </c>
      <c r="AL527" s="51">
        <f t="shared" si="438"/>
        <v>0.99665282537194344</v>
      </c>
      <c r="AM527" s="51" t="str">
        <f t="shared" si="418"/>
        <v>1-4.00889956165165i</v>
      </c>
      <c r="AN527" s="51">
        <f t="shared" si="439"/>
        <v>4.1317400324089597</v>
      </c>
      <c r="AO527" s="51">
        <f t="shared" si="440"/>
        <v>-1.3263400733136006</v>
      </c>
      <c r="AP527" s="60" t="str">
        <f t="shared" si="441"/>
        <v>-0.151623372690671-0.445245943691388i</v>
      </c>
      <c r="AQ527" s="51">
        <f t="shared" si="442"/>
        <v>-6.5514891846397552</v>
      </c>
      <c r="AR527" s="63">
        <f t="shared" si="443"/>
        <v>-108.80568383753308</v>
      </c>
      <c r="AS527" s="32" t="str">
        <f t="shared" si="419"/>
        <v>-0.000133283554228113</v>
      </c>
      <c r="AT527" s="32" t="str">
        <f t="shared" si="420"/>
        <v>0.47230340721013i</v>
      </c>
      <c r="AU527" s="32">
        <f t="shared" si="444"/>
        <v>0.47230340721012998</v>
      </c>
      <c r="AV527" s="32">
        <f t="shared" si="445"/>
        <v>1.5707963267948966</v>
      </c>
      <c r="AW527" s="32" t="str">
        <f t="shared" si="421"/>
        <v>1+82.5787502975096i</v>
      </c>
      <c r="AX527" s="32">
        <f t="shared" si="446"/>
        <v>82.584804901982068</v>
      </c>
      <c r="AY527" s="32">
        <f t="shared" si="447"/>
        <v>1.5586872658141111</v>
      </c>
      <c r="AZ527" s="32" t="str">
        <f t="shared" si="422"/>
        <v>1+1230.62479101898i</v>
      </c>
      <c r="BA527" s="32">
        <f t="shared" si="448"/>
        <v>1230.6251973165952</v>
      </c>
      <c r="BB527" s="32">
        <f t="shared" si="449"/>
        <v>1.5699837316097562</v>
      </c>
      <c r="BC527" s="60" t="str">
        <f t="shared" si="450"/>
        <v>-0.0000475022846386807+0.00420487831236087i</v>
      </c>
      <c r="BD527" s="51">
        <f t="shared" si="451"/>
        <v>-47.524377144569321</v>
      </c>
      <c r="BE527" s="63">
        <f t="shared" si="452"/>
        <v>90.647239813504356</v>
      </c>
      <c r="BF527" s="60" t="str">
        <f t="shared" si="453"/>
        <v>-0.0000584940757892138+9.22942700109834E-06i</v>
      </c>
      <c r="BG527" s="66">
        <f t="shared" si="454"/>
        <v>-84.550965287481716</v>
      </c>
      <c r="BH527" s="63">
        <f t="shared" si="455"/>
        <v>171.03356606598521</v>
      </c>
      <c r="BI527" s="60" t="str">
        <f t="shared" si="460"/>
        <v>0.001879407468902-0.000616407631922566i</v>
      </c>
      <c r="BJ527" s="66">
        <f t="shared" si="456"/>
        <v>-54.075866329209063</v>
      </c>
      <c r="BK527" s="63">
        <f t="shared" si="461"/>
        <v>-18.15844402402869</v>
      </c>
      <c r="BL527" s="51">
        <f t="shared" si="457"/>
        <v>-84.550965287481716</v>
      </c>
      <c r="BM527" s="63">
        <f t="shared" si="458"/>
        <v>171.03356606598521</v>
      </c>
    </row>
    <row r="528" spans="14:65" x14ac:dyDescent="0.35">
      <c r="N528" s="11">
        <v>10</v>
      </c>
      <c r="O528" s="52">
        <f t="shared" si="462"/>
        <v>1258925.4117941677</v>
      </c>
      <c r="P528" s="50" t="str">
        <f t="shared" si="411"/>
        <v>36.531007751938</v>
      </c>
      <c r="Q528" s="18" t="str">
        <f t="shared" si="412"/>
        <v>1+3863.05336406098i</v>
      </c>
      <c r="R528" s="18">
        <f t="shared" si="423"/>
        <v>3863.053493492273</v>
      </c>
      <c r="S528" s="18">
        <f t="shared" si="424"/>
        <v>1.5705374642104533</v>
      </c>
      <c r="T528" s="18" t="str">
        <f t="shared" si="413"/>
        <v>1+1.58201233004402i</v>
      </c>
      <c r="U528" s="18">
        <f t="shared" si="425"/>
        <v>1.8715669938346611</v>
      </c>
      <c r="V528" s="18">
        <f t="shared" si="426"/>
        <v>1.0071031584023906</v>
      </c>
      <c r="W528" s="32" t="str">
        <f t="shared" si="414"/>
        <v>1-26.210855172327i</v>
      </c>
      <c r="X528" s="18">
        <f t="shared" si="427"/>
        <v>26.22992430154348</v>
      </c>
      <c r="Y528" s="18">
        <f t="shared" si="428"/>
        <v>-1.5326626901133933</v>
      </c>
      <c r="Z528" s="32" t="str">
        <f t="shared" si="415"/>
        <v>-31.7457271169652+11.9104640410728i</v>
      </c>
      <c r="AA528" s="18">
        <f t="shared" si="429"/>
        <v>33.90649412514523</v>
      </c>
      <c r="AB528" s="18">
        <f t="shared" si="430"/>
        <v>2.7826613639696669</v>
      </c>
      <c r="AC528" s="68" t="str">
        <f t="shared" si="431"/>
        <v>0.0022673499089244+0.0135024369262712i</v>
      </c>
      <c r="AD528" s="66">
        <f t="shared" si="432"/>
        <v>-37.270990822684567</v>
      </c>
      <c r="AE528" s="63">
        <f t="shared" si="433"/>
        <v>80.467736714071108</v>
      </c>
      <c r="AF528" s="51" t="str">
        <f t="shared" si="434"/>
        <v>42.1703962805665</v>
      </c>
      <c r="AG528" s="51" t="str">
        <f t="shared" si="416"/>
        <v>1+697.946616195895i</v>
      </c>
      <c r="AH528" s="51">
        <f t="shared" si="435"/>
        <v>697.94733258269571</v>
      </c>
      <c r="AI528" s="51">
        <f t="shared" si="436"/>
        <v>1.5693635534387187</v>
      </c>
      <c r="AJ528" s="51" t="str">
        <f t="shared" si="417"/>
        <v>1+1.58201233004402i</v>
      </c>
      <c r="AK528" s="51">
        <f t="shared" si="437"/>
        <v>1.8715669938346611</v>
      </c>
      <c r="AL528" s="51">
        <f t="shared" si="438"/>
        <v>1.0071031584023906</v>
      </c>
      <c r="AM528" s="51" t="str">
        <f t="shared" si="418"/>
        <v>1-4.10227882819552i</v>
      </c>
      <c r="AN528" s="51">
        <f t="shared" si="439"/>
        <v>4.2224035316702277</v>
      </c>
      <c r="AO528" s="51">
        <f t="shared" si="440"/>
        <v>-1.3316926119142092</v>
      </c>
      <c r="AP528" s="60" t="str">
        <f t="shared" si="441"/>
        <v>-0.151627467230887-0.452759283532348i</v>
      </c>
      <c r="AQ528" s="51">
        <f t="shared" si="442"/>
        <v>-6.4209971194155031</v>
      </c>
      <c r="AR528" s="63">
        <f t="shared" si="443"/>
        <v>-108.51551389437714</v>
      </c>
      <c r="AS528" s="32" t="str">
        <f t="shared" si="419"/>
        <v>-0.000133283554228113</v>
      </c>
      <c r="AT528" s="32" t="str">
        <f t="shared" si="420"/>
        <v>0.48330476682845i</v>
      </c>
      <c r="AU528" s="32">
        <f t="shared" si="444"/>
        <v>0.48330476682845003</v>
      </c>
      <c r="AV528" s="32">
        <f t="shared" si="445"/>
        <v>1.5707963267948966</v>
      </c>
      <c r="AW528" s="32" t="str">
        <f t="shared" si="421"/>
        <v>1+84.5022564907438i</v>
      </c>
      <c r="AX528" s="32">
        <f t="shared" si="446"/>
        <v>84.508173285354189</v>
      </c>
      <c r="AY528" s="32">
        <f t="shared" si="447"/>
        <v>1.5589628756631089</v>
      </c>
      <c r="AZ528" s="32" t="str">
        <f t="shared" si="422"/>
        <v>1+1259.28972477669i</v>
      </c>
      <c r="BA528" s="32">
        <f t="shared" si="448"/>
        <v>1259.2901218258451</v>
      </c>
      <c r="BB528" s="32">
        <f t="shared" si="449"/>
        <v>1.5700022285265414</v>
      </c>
      <c r="BC528" s="60" t="str">
        <f t="shared" si="450"/>
        <v>-0.0000453646290140927+0.00410918889345305i</v>
      </c>
      <c r="BD528" s="51">
        <f t="shared" si="451"/>
        <v>-47.724348614077378</v>
      </c>
      <c r="BE528" s="63">
        <f t="shared" si="452"/>
        <v>90.632508327630362</v>
      </c>
      <c r="BF528" s="60" t="str">
        <f t="shared" si="453"/>
        <v>-0.0000555869213394474+8.70443602137745E-06i</v>
      </c>
      <c r="BG528" s="66">
        <f t="shared" si="454"/>
        <v>-84.995339436761952</v>
      </c>
      <c r="BH528" s="63">
        <f t="shared" si="455"/>
        <v>171.10024504170144</v>
      </c>
      <c r="BI528" s="60" t="str">
        <f t="shared" si="460"/>
        <v>0.00186735194309816-0.000602526647357446i</v>
      </c>
      <c r="BJ528" s="66">
        <f t="shared" si="456"/>
        <v>-54.145345733492874</v>
      </c>
      <c r="BK528" s="63">
        <f t="shared" si="461"/>
        <v>-17.883005566746803</v>
      </c>
      <c r="BL528" s="51">
        <f t="shared" si="457"/>
        <v>-84.995339436761952</v>
      </c>
      <c r="BM528" s="63">
        <f t="shared" si="458"/>
        <v>171.10024504170144</v>
      </c>
    </row>
    <row r="529" spans="14:65" x14ac:dyDescent="0.35">
      <c r="N529" s="11">
        <v>11</v>
      </c>
      <c r="O529" s="52">
        <f t="shared" si="462"/>
        <v>1288249.5516931366</v>
      </c>
      <c r="P529" s="50" t="str">
        <f t="shared" si="411"/>
        <v>36.531007751938</v>
      </c>
      <c r="Q529" s="18" t="str">
        <f t="shared" si="412"/>
        <v>1+3953.0354362502i</v>
      </c>
      <c r="R529" s="18">
        <f t="shared" si="423"/>
        <v>3953.0355627352769</v>
      </c>
      <c r="S529" s="18">
        <f t="shared" si="424"/>
        <v>1.5705433566420115</v>
      </c>
      <c r="T529" s="18" t="str">
        <f t="shared" si="413"/>
        <v>1+1.6188621310358i</v>
      </c>
      <c r="U529" s="18">
        <f t="shared" si="425"/>
        <v>1.9028175423045091</v>
      </c>
      <c r="V529" s="18">
        <f t="shared" si="426"/>
        <v>1.0174507760515923</v>
      </c>
      <c r="W529" s="32" t="str">
        <f t="shared" si="414"/>
        <v>1-26.8213844195281i</v>
      </c>
      <c r="X529" s="18">
        <f t="shared" si="427"/>
        <v>26.840019787252483</v>
      </c>
      <c r="Y529" s="18">
        <f t="shared" si="428"/>
        <v>-1.5335299048695761</v>
      </c>
      <c r="Z529" s="32" t="str">
        <f t="shared" si="415"/>
        <v>-33.2889856908588+12.1878943880417i</v>
      </c>
      <c r="AA529" s="18">
        <f t="shared" si="429"/>
        <v>35.449983609872945</v>
      </c>
      <c r="AB529" s="18">
        <f t="shared" si="430"/>
        <v>2.7906263565362166</v>
      </c>
      <c r="AC529" s="68" t="str">
        <f t="shared" si="431"/>
        <v>0.00218494621803489+0.0131330665788835i</v>
      </c>
      <c r="AD529" s="66">
        <f t="shared" si="432"/>
        <v>-37.514102579356972</v>
      </c>
      <c r="AE529" s="63">
        <f t="shared" si="433"/>
        <v>80.554225718548878</v>
      </c>
      <c r="AF529" s="51" t="str">
        <f t="shared" si="434"/>
        <v>42.1703962805665</v>
      </c>
      <c r="AG529" s="51" t="str">
        <f t="shared" si="416"/>
        <v>1+714.203881339326i</v>
      </c>
      <c r="AH529" s="51">
        <f t="shared" si="435"/>
        <v>714.20458141918834</v>
      </c>
      <c r="AI529" s="51">
        <f t="shared" si="436"/>
        <v>1.5693961672989241</v>
      </c>
      <c r="AJ529" s="51" t="str">
        <f t="shared" si="417"/>
        <v>1+1.6188621310358i</v>
      </c>
      <c r="AK529" s="51">
        <f t="shared" si="437"/>
        <v>1.9028175423045091</v>
      </c>
      <c r="AL529" s="51">
        <f t="shared" si="438"/>
        <v>1.0174507760515923</v>
      </c>
      <c r="AM529" s="51" t="str">
        <f t="shared" si="418"/>
        <v>1-4.19783317727419i</v>
      </c>
      <c r="AN529" s="51">
        <f t="shared" si="439"/>
        <v>4.3152987595558114</v>
      </c>
      <c r="AO529" s="51">
        <f t="shared" si="440"/>
        <v>-1.3369368432893931</v>
      </c>
      <c r="AP529" s="60" t="str">
        <f t="shared" si="441"/>
        <v>-0.151631377487176-0.4605126818102i</v>
      </c>
      <c r="AQ529" s="51">
        <f t="shared" si="442"/>
        <v>-6.2881386911722252</v>
      </c>
      <c r="AR529" s="63">
        <f t="shared" si="443"/>
        <v>-108.22498003619438</v>
      </c>
      <c r="AS529" s="32" t="str">
        <f t="shared" si="419"/>
        <v>-0.000133283554228113</v>
      </c>
      <c r="AT529" s="32" t="str">
        <f t="shared" si="420"/>
        <v>0.494562381031437i</v>
      </c>
      <c r="AU529" s="32">
        <f t="shared" si="444"/>
        <v>0.49456238103143702</v>
      </c>
      <c r="AV529" s="32">
        <f t="shared" si="445"/>
        <v>1.5707963267948966</v>
      </c>
      <c r="AW529" s="32" t="str">
        <f t="shared" si="421"/>
        <v>1+86.4705668988891i</v>
      </c>
      <c r="AX529" s="32">
        <f t="shared" si="446"/>
        <v>86.476349019921372</v>
      </c>
      <c r="AY529" s="32">
        <f t="shared" si="447"/>
        <v>1.5592322136032499</v>
      </c>
      <c r="AZ529" s="32" t="str">
        <f t="shared" si="422"/>
        <v>1+1288.62235061515i</v>
      </c>
      <c r="BA529" s="32">
        <f t="shared" si="448"/>
        <v>1288.6227386263656</v>
      </c>
      <c r="BB529" s="32">
        <f t="shared" si="449"/>
        <v>1.570020304402622</v>
      </c>
      <c r="BC529" s="60" t="str">
        <f t="shared" si="450"/>
        <v>-0.0000433231574037851+0.00401567594348172i</v>
      </c>
      <c r="BD529" s="51">
        <f t="shared" si="451"/>
        <v>-47.924321367492517</v>
      </c>
      <c r="BE529" s="63">
        <f t="shared" si="452"/>
        <v>90.618112071807928</v>
      </c>
      <c r="BF529" s="60" t="str">
        <f t="shared" si="453"/>
        <v>-0.000052832798293889+8.20507005497271E-06i</v>
      </c>
      <c r="BG529" s="66">
        <f t="shared" si="454"/>
        <v>-85.438423946849497</v>
      </c>
      <c r="BH529" s="63">
        <f t="shared" si="455"/>
        <v>171.17233779035681</v>
      </c>
      <c r="BI529" s="60" t="str">
        <f t="shared" si="460"/>
        <v>0.0018558388480477-0.000588951611451746i</v>
      </c>
      <c r="BJ529" s="66">
        <f t="shared" si="456"/>
        <v>-54.212460058664753</v>
      </c>
      <c r="BK529" s="63">
        <f t="shared" si="461"/>
        <v>-17.606867964386463</v>
      </c>
      <c r="BL529" s="51">
        <f t="shared" si="457"/>
        <v>-85.438423946849497</v>
      </c>
      <c r="BM529" s="63">
        <f t="shared" si="458"/>
        <v>171.17233779035681</v>
      </c>
    </row>
    <row r="530" spans="14:65" x14ac:dyDescent="0.35">
      <c r="N530" s="11">
        <v>12</v>
      </c>
      <c r="O530" s="52">
        <f t="shared" si="462"/>
        <v>1318256.7385564097</v>
      </c>
      <c r="P530" s="50" t="str">
        <f t="shared" si="411"/>
        <v>36.531007751938</v>
      </c>
      <c r="Q530" s="18" t="str">
        <f t="shared" si="412"/>
        <v>1+4045.11346015233i</v>
      </c>
      <c r="R530" s="18">
        <f t="shared" si="423"/>
        <v>4045.1135837582551</v>
      </c>
      <c r="S530" s="18">
        <f t="shared" si="424"/>
        <v>1.5705491149454691</v>
      </c>
      <c r="T530" s="18" t="str">
        <f t="shared" si="413"/>
        <v>1+1.65657027415762i</v>
      </c>
      <c r="U530" s="18">
        <f t="shared" si="425"/>
        <v>1.935000018920582</v>
      </c>
      <c r="V530" s="18">
        <f t="shared" si="426"/>
        <v>1.0276923007984777</v>
      </c>
      <c r="W530" s="32" t="str">
        <f t="shared" si="414"/>
        <v>1-27.4461347197713i</v>
      </c>
      <c r="X530" s="18">
        <f t="shared" si="427"/>
        <v>27.464346179289169</v>
      </c>
      <c r="Y530" s="18">
        <f t="shared" si="428"/>
        <v>-1.5343774335998837</v>
      </c>
      <c r="Z530" s="32" t="str">
        <f t="shared" si="415"/>
        <v>-34.9049758006071+12.471786917941i</v>
      </c>
      <c r="AA530" s="18">
        <f t="shared" si="429"/>
        <v>37.066194902734367</v>
      </c>
      <c r="AB530" s="18">
        <f t="shared" si="430"/>
        <v>2.7984232799770838</v>
      </c>
      <c r="AC530" s="68" t="str">
        <f t="shared" si="431"/>
        <v>0.00210462394037666+0.0127758220268889i</v>
      </c>
      <c r="AD530" s="66">
        <f t="shared" si="432"/>
        <v>-37.755936694087204</v>
      </c>
      <c r="AE530" s="63">
        <f t="shared" si="433"/>
        <v>80.64540131022801</v>
      </c>
      <c r="AF530" s="51" t="str">
        <f t="shared" si="434"/>
        <v>42.1703962805665</v>
      </c>
      <c r="AG530" s="51" t="str">
        <f t="shared" si="416"/>
        <v>1+730.839826834248i</v>
      </c>
      <c r="AH530" s="51">
        <f t="shared" si="435"/>
        <v>730.84051097836232</v>
      </c>
      <c r="AI530" s="51">
        <f t="shared" si="436"/>
        <v>1.569428038779914</v>
      </c>
      <c r="AJ530" s="51" t="str">
        <f t="shared" si="417"/>
        <v>1+1.65657027415762i</v>
      </c>
      <c r="AK530" s="51">
        <f t="shared" si="437"/>
        <v>1.935000018920582</v>
      </c>
      <c r="AL530" s="51">
        <f t="shared" si="438"/>
        <v>1.0276923007984777</v>
      </c>
      <c r="AM530" s="51" t="str">
        <f t="shared" si="418"/>
        <v>1-4.29561327306833i</v>
      </c>
      <c r="AN530" s="51">
        <f t="shared" si="439"/>
        <v>4.4104754156168706</v>
      </c>
      <c r="AO530" s="51">
        <f t="shared" si="440"/>
        <v>-1.3420743936827126</v>
      </c>
      <c r="AP530" s="60" t="str">
        <f t="shared" si="441"/>
        <v>-0.151635111753616-0.468510249514592i</v>
      </c>
      <c r="AQ530" s="51">
        <f t="shared" si="442"/>
        <v>-6.1529710240197435</v>
      </c>
      <c r="AR530" s="63">
        <f t="shared" si="443"/>
        <v>-107.93436994833964</v>
      </c>
      <c r="AS530" s="32" t="str">
        <f t="shared" si="419"/>
        <v>-0.000133283554228113</v>
      </c>
      <c r="AT530" s="32" t="str">
        <f t="shared" si="420"/>
        <v>0.506082218755154i</v>
      </c>
      <c r="AU530" s="32">
        <f t="shared" si="444"/>
        <v>0.50608221875515402</v>
      </c>
      <c r="AV530" s="32">
        <f t="shared" si="445"/>
        <v>1.5707963267948966</v>
      </c>
      <c r="AW530" s="32" t="str">
        <f t="shared" si="421"/>
        <v>1+88.4847251461775i</v>
      </c>
      <c r="AX530" s="32">
        <f t="shared" si="446"/>
        <v>88.490375658568524</v>
      </c>
      <c r="AY530" s="32">
        <f t="shared" si="447"/>
        <v>1.5594954222846771</v>
      </c>
      <c r="AZ530" s="32" t="str">
        <f t="shared" si="422"/>
        <v>1+1318.63822108084i</v>
      </c>
      <c r="BA530" s="32">
        <f t="shared" si="448"/>
        <v>1318.6386002598445</v>
      </c>
      <c r="BB530" s="32">
        <f t="shared" si="449"/>
        <v>1.5700379688220192</v>
      </c>
      <c r="BC530" s="60" t="str">
        <f t="shared" si="450"/>
        <v>-0.0000413735431309566+0.0039242900326099i</v>
      </c>
      <c r="BD530" s="51">
        <f t="shared" si="451"/>
        <v>-48.124295347044921</v>
      </c>
      <c r="BE530" s="63">
        <f t="shared" si="452"/>
        <v>90.60404342190995</v>
      </c>
      <c r="BF530" s="60" t="str">
        <f t="shared" si="453"/>
        <v>-0.0000502231067878897+7.73057372794938E-06i</v>
      </c>
      <c r="BG530" s="66">
        <f t="shared" si="454"/>
        <v>-85.880232041132132</v>
      </c>
      <c r="BH530" s="63">
        <f t="shared" si="455"/>
        <v>171.24944473213796</v>
      </c>
      <c r="BI530" s="60" t="str">
        <f t="shared" si="460"/>
        <v>0.001844843784182-0.000575676228632816i</v>
      </c>
      <c r="BJ530" s="66">
        <f t="shared" si="456"/>
        <v>-54.277266371064641</v>
      </c>
      <c r="BK530" s="63">
        <f t="shared" si="461"/>
        <v>-17.330326526429655</v>
      </c>
      <c r="BL530" s="51">
        <f t="shared" si="457"/>
        <v>-85.880232041132132</v>
      </c>
      <c r="BM530" s="63">
        <f t="shared" si="458"/>
        <v>171.24944473213796</v>
      </c>
    </row>
    <row r="531" spans="14:65" x14ac:dyDescent="0.35">
      <c r="N531" s="11">
        <v>13</v>
      </c>
      <c r="O531" s="52">
        <f t="shared" si="462"/>
        <v>1348962.8825916562</v>
      </c>
      <c r="P531" s="50" t="str">
        <f t="shared" ref="P531:P560" si="463">COMPLEX(Adc,0)</f>
        <v>36.531007751938</v>
      </c>
      <c r="Q531" s="18" t="str">
        <f t="shared" ref="Q531:Q560" si="464">IMSUM(COMPLEX(1,0),IMDIV(COMPLEX(0,2*PI()*O531),COMPLEX(wp_lf,0)))</f>
        <v>1+4139.33625675443i</v>
      </c>
      <c r="R531" s="18">
        <f t="shared" si="423"/>
        <v>4139.3363775467415</v>
      </c>
      <c r="S531" s="18">
        <f t="shared" si="424"/>
        <v>1.5705547421739532</v>
      </c>
      <c r="T531" s="18" t="str">
        <f t="shared" ref="T531:T560" si="465">IMSUM(COMPLEX(1,0),IMDIV(COMPLEX(0,2*PI()*O531),COMPLEX(wz_esr,0)))</f>
        <v>1+1.6951567527661i</v>
      </c>
      <c r="U531" s="18">
        <f t="shared" si="425"/>
        <v>1.968135263758187</v>
      </c>
      <c r="V531" s="18">
        <f t="shared" si="426"/>
        <v>1.0378245686340206</v>
      </c>
      <c r="W531" s="32" t="str">
        <f t="shared" ref="W531:W560" si="466">IMSUB(COMPLEX(1,0),IMDIV(COMPLEX(0,2*PI()*O531),COMPLEX(wz_rhp,0)))</f>
        <v>1-28.0854373239354i</v>
      </c>
      <c r="X531" s="18">
        <f t="shared" si="427"/>
        <v>28.103234505599232</v>
      </c>
      <c r="Y531" s="18">
        <f t="shared" si="428"/>
        <v>-1.5352057208022145</v>
      </c>
      <c r="Z531" s="32" t="str">
        <f t="shared" ref="Z531:Z560" si="467">IMSUM(COMPLEX(1,0),IMDIV(COMPLEX(0,2*PI()*O531),COMPLEX(Q*(wsl/2),0)),IMDIV(IMPOWER(COMPLEX(0,2*PI()*O531),2),IMPOWER(COMPLEX(wsl/2,0),2)))</f>
        <v>-36.5971251778923+12.7622921543478i</v>
      </c>
      <c r="AA531" s="18">
        <f t="shared" si="429"/>
        <v>38.758556117575459</v>
      </c>
      <c r="AB531" s="18">
        <f t="shared" si="430"/>
        <v>2.806055125268486</v>
      </c>
      <c r="AC531" s="68" t="str">
        <f t="shared" si="431"/>
        <v>0.00202642016748637+0.0124302221262015i</v>
      </c>
      <c r="AD531" s="66">
        <f t="shared" si="432"/>
        <v>-37.996508138083257</v>
      </c>
      <c r="AE531" s="63">
        <f t="shared" si="433"/>
        <v>80.740885191645845</v>
      </c>
      <c r="AF531" s="51" t="str">
        <f t="shared" si="434"/>
        <v>42.1703962805665</v>
      </c>
      <c r="AG531" s="51" t="str">
        <f t="shared" ref="AG531:AG560" si="468">IMSUM(COMPLEX(1,0),IMDIV(COMPLEX(0,2*PI()*O531),COMPLEX(wp_lf_DCM,0)))</f>
        <v>1+747.863273279165i</v>
      </c>
      <c r="AH531" s="51">
        <f t="shared" si="435"/>
        <v>747.863941850272</v>
      </c>
      <c r="AI531" s="51">
        <f t="shared" si="436"/>
        <v>1.5694591847801105</v>
      </c>
      <c r="AJ531" s="51" t="str">
        <f t="shared" ref="AJ531:AJ560" si="469">IMSUM(COMPLEX(1,0),IMDIV(COMPLEX(0,2*PI()*O531),COMPLEX(wz1_dcm,0)))</f>
        <v>1+1.6951567527661i</v>
      </c>
      <c r="AK531" s="51">
        <f t="shared" si="437"/>
        <v>1.968135263758187</v>
      </c>
      <c r="AL531" s="51">
        <f t="shared" si="438"/>
        <v>1.0378245686340206</v>
      </c>
      <c r="AM531" s="51" t="str">
        <f t="shared" ref="AM531:AM560" si="470">IMSUB(COMPLEX(1,0),IMDIV(COMPLEX(0,2*PI()*O531),COMPLEX(wz2_dcm,0)))</f>
        <v>1-4.39567095987901i</v>
      </c>
      <c r="AN531" s="51">
        <f t="shared" si="439"/>
        <v>4.5079843819076899</v>
      </c>
      <c r="AO531" s="51">
        <f t="shared" si="440"/>
        <v>-1.3471069017899691</v>
      </c>
      <c r="AP531" s="60" t="str">
        <f t="shared" si="441"/>
        <v>-0.151638677950995-0.476756227094688i</v>
      </c>
      <c r="AQ531" s="51">
        <f t="shared" si="442"/>
        <v>-6.0155513313178668</v>
      </c>
      <c r="AR531" s="63">
        <f t="shared" si="443"/>
        <v>-107.64395977373795</v>
      </c>
      <c r="AS531" s="32" t="str">
        <f t="shared" ref="AS531:AS560" si="471">COMPLEX(Adc_ea,0)</f>
        <v>-0.000133283554228113</v>
      </c>
      <c r="AT531" s="32" t="str">
        <f t="shared" ref="AT531:AT560" si="472">COMPLEX(0,2*PI()*O531*wp0_ea)</f>
        <v>0.517870387970044i</v>
      </c>
      <c r="AU531" s="32">
        <f t="shared" si="444"/>
        <v>0.51787038797004403</v>
      </c>
      <c r="AV531" s="32">
        <f t="shared" si="445"/>
        <v>1.5707963267948966</v>
      </c>
      <c r="AW531" s="32" t="str">
        <f t="shared" ref="AW531:AW560" si="473">IMSUM(COMPLEX(1,0),IMDIV(COMPLEX(0,2*PI()*O531),COMPLEX(wp1_ea,0)))</f>
        <v>1+90.5457991659719i</v>
      </c>
      <c r="AX531" s="32">
        <f t="shared" si="446"/>
        <v>90.551321064932665</v>
      </c>
      <c r="AY531" s="32">
        <f t="shared" si="447"/>
        <v>1.5597526411181555</v>
      </c>
      <c r="AZ531" s="32" t="str">
        <f t="shared" ref="AZ531:AZ560" si="474">IMSUM(COMPLEX(1,0),IMDIV(COMPLEX(0,2*PI()*O531),COMPLEX(wz_ea,0)))</f>
        <v>1+1349.35325098558i</v>
      </c>
      <c r="BA531" s="32">
        <f t="shared" si="448"/>
        <v>1349.3536215334191</v>
      </c>
      <c r="BB531" s="32">
        <f t="shared" si="449"/>
        <v>1.570055231150598</v>
      </c>
      <c r="BC531" s="60" t="str">
        <f t="shared" si="450"/>
        <v>-0.0000395116540475326+0.00383498284864607i</v>
      </c>
      <c r="BD531" s="51">
        <f t="shared" si="451"/>
        <v>-48.32427049756356</v>
      </c>
      <c r="BE531" s="63">
        <f t="shared" si="452"/>
        <v>90.590294926912506</v>
      </c>
      <c r="BF531" s="60" t="str">
        <f t="shared" si="453"/>
        <v>-0.0000477497558714563+7.28014795007627E-06i</v>
      </c>
      <c r="BG531" s="66">
        <f t="shared" si="454"/>
        <v>-86.320778635646818</v>
      </c>
      <c r="BH531" s="63">
        <f t="shared" si="455"/>
        <v>171.33118011855831</v>
      </c>
      <c r="BI531" s="60" t="str">
        <f t="shared" si="460"/>
        <v>0.00183434344887676-0.000562694302023459i</v>
      </c>
      <c r="BJ531" s="66">
        <f t="shared" si="456"/>
        <v>-54.339821828881448</v>
      </c>
      <c r="BK531" s="63">
        <f t="shared" si="461"/>
        <v>-17.053664846825487</v>
      </c>
      <c r="BL531" s="51">
        <f t="shared" si="457"/>
        <v>-86.320778635646818</v>
      </c>
      <c r="BM531" s="63">
        <f t="shared" si="458"/>
        <v>171.33118011855831</v>
      </c>
    </row>
    <row r="532" spans="14:65" x14ac:dyDescent="0.35">
      <c r="N532" s="11">
        <v>14</v>
      </c>
      <c r="O532" s="52">
        <f t="shared" si="462"/>
        <v>1380384.2646028849</v>
      </c>
      <c r="P532" s="50" t="str">
        <f t="shared" si="463"/>
        <v>36.531007751938</v>
      </c>
      <c r="Q532" s="18" t="str">
        <f t="shared" si="464"/>
        <v>1+4235.75378423045i</v>
      </c>
      <c r="R532" s="18">
        <f t="shared" ref="R532:R560" si="475">IMABS(Q532)</f>
        <v>4235.7539022731926</v>
      </c>
      <c r="S532" s="18">
        <f t="shared" ref="S532:S560" si="476">IMARGUMENT(Q532)</f>
        <v>1.5705602413110935</v>
      </c>
      <c r="T532" s="18" t="str">
        <f t="shared" si="465"/>
        <v>1+1.73464202592295i</v>
      </c>
      <c r="U532" s="18">
        <f t="shared" ref="U532:U560" si="477">IMABS(T532)</f>
        <v>2.0022444801017873</v>
      </c>
      <c r="V532" s="18">
        <f t="shared" ref="V532:V560" si="478">IMARGUMENT(T532)</f>
        <v>1.0478446296529633</v>
      </c>
      <c r="W532" s="32" t="str">
        <f t="shared" si="466"/>
        <v>1-28.7396311987234i</v>
      </c>
      <c r="X532" s="18">
        <f t="shared" ref="X532:X560" si="479">IMABS(W532)</f>
        <v>28.757023514936932</v>
      </c>
      <c r="Y532" s="18">
        <f t="shared" ref="Y532:Y560" si="480">IMARGUMENT(W532)</f>
        <v>-1.5360152010967751</v>
      </c>
      <c r="Z532" s="32" t="str">
        <f t="shared" si="467"/>
        <v>-38.3690230984142+13.0595641269837i</v>
      </c>
      <c r="AA532" s="18">
        <f t="shared" ref="AA532:AA560" si="481">IMABS(Z532)</f>
        <v>40.530656899604303</v>
      </c>
      <c r="AB532" s="18">
        <f t="shared" ref="AB532:AB560" si="482">IMARGUMENT(Z532)</f>
        <v>2.8135248659922696</v>
      </c>
      <c r="AC532" s="68" t="str">
        <f t="shared" ref="AC532:AC560" si="483">(IMDIV(IMPRODUCT(P532,T532,W532),IMPRODUCT(Q532,Z532)))</f>
        <v>0.00195036031740119+0.0120958060939976i</v>
      </c>
      <c r="AD532" s="66">
        <f t="shared" ref="AD532:AD560" si="484">20*LOG(IMABS(AC532))</f>
        <v>-38.235833434383359</v>
      </c>
      <c r="AE532" s="63">
        <f t="shared" ref="AE532:AE560" si="485">(180/PI())*IMARGUMENT(AC532)</f>
        <v>80.840312899138581</v>
      </c>
      <c r="AF532" s="51" t="str">
        <f t="shared" ref="AF532:AF560" si="486">COMPLEX($B$68,0)</f>
        <v>42.1703962805665</v>
      </c>
      <c r="AG532" s="51" t="str">
        <f t="shared" si="468"/>
        <v>1+765.283246730715i</v>
      </c>
      <c r="AH532" s="51">
        <f t="shared" ref="AH532:AH560" si="487">IMABS(AG532)</f>
        <v>765.28390008329882</v>
      </c>
      <c r="AI532" s="51">
        <f t="shared" ref="AI532:AI560" si="488">IMARGUMENT(AG532)</f>
        <v>1.5694896218132932</v>
      </c>
      <c r="AJ532" s="51" t="str">
        <f t="shared" si="469"/>
        <v>1+1.73464202592295i</v>
      </c>
      <c r="AK532" s="51">
        <f t="shared" ref="AK532:AK560" si="489">IMABS(AJ532)</f>
        <v>2.0022444801017873</v>
      </c>
      <c r="AL532" s="51">
        <f t="shared" ref="AL532:AL560" si="490">IMARGUMENT(AJ532)</f>
        <v>1.0478446296529633</v>
      </c>
      <c r="AM532" s="51" t="str">
        <f t="shared" si="470"/>
        <v>1-4.4980592896162i</v>
      </c>
      <c r="AN532" s="51">
        <f t="shared" ref="AN532:AN560" si="491">IMABS(AM532)</f>
        <v>4.6078777515145291</v>
      </c>
      <c r="AO532" s="51">
        <f t="shared" ref="AO532:AO560" si="492">IMARGUMENT(AM532)</f>
        <v>-1.3520360158250602</v>
      </c>
      <c r="AP532" s="60" t="str">
        <f t="shared" ref="AP532:AP560" si="493">(IMDIV(IMPRODUCT(AF532,AJ532,AM532),IMPRODUCT(AG532)))</f>
        <v>-0.151642083643614-0.485254986707653i</v>
      </c>
      <c r="AQ532" s="51">
        <f t="shared" ref="AQ532:AQ560" si="494">20*LOG(IMABS(AP532))</f>
        <v>-5.8759368202108178</v>
      </c>
      <c r="AR532" s="63">
        <f t="shared" ref="AR532:AR560" si="495">(180/PI())*IMARGUMENT(AP532)</f>
        <v>-107.35401391138076</v>
      </c>
      <c r="AS532" s="32" t="str">
        <f t="shared" si="471"/>
        <v>-0.000133283554228113</v>
      </c>
      <c r="AT532" s="32" t="str">
        <f t="shared" si="472"/>
        <v>0.529933138919461i</v>
      </c>
      <c r="AU532" s="32">
        <f t="shared" ref="AU532:AU560" si="496">IMABS(AT532)</f>
        <v>0.52993313891946103</v>
      </c>
      <c r="AV532" s="32">
        <f t="shared" ref="AV532:AV560" si="497">IMARGUMENT(AT532)</f>
        <v>1.5707963267948966</v>
      </c>
      <c r="AW532" s="32" t="str">
        <f t="shared" si="473"/>
        <v>1+92.6548817669994i</v>
      </c>
      <c r="AX532" s="32">
        <f t="shared" ref="AX532:AX560" si="498">IMABS(AW532)</f>
        <v>92.660277979599428</v>
      </c>
      <c r="AY532" s="32">
        <f t="shared" ref="AY532:AY560" si="499">IMARGUMENT(AW532)</f>
        <v>1.5600040063482927</v>
      </c>
      <c r="AZ532" s="32" t="str">
        <f t="shared" si="474"/>
        <v>1+1380.7837258448i</v>
      </c>
      <c r="BA532" s="32">
        <f t="shared" ref="BA532:BA560" si="500">IMABS(AZ532)</f>
        <v>1380.7840879579428</v>
      </c>
      <c r="BB532" s="32">
        <f t="shared" ref="BB532:BB560" si="501">IMARGUMENT(AZ532)</f>
        <v>1.5700721005410323</v>
      </c>
      <c r="BC532" s="60" t="str">
        <f t="shared" ref="BC532:BC560" si="502">IMPRODUCT(AS532,IMDIV(AZ532,IMPRODUCT(AT532,AW532)))</f>
        <v>-0.0000377335437968551+0.0037477071721048i</v>
      </c>
      <c r="BD532" s="51">
        <f t="shared" ref="BD532:BD560" si="503">20*LOG(IMABS(BC532))</f>
        <v>-48.52424676635912</v>
      </c>
      <c r="BE532" s="63">
        <f t="shared" ref="BE532:BE560" si="504">(180/PI())*IMARGUMENT(BC532)</f>
        <v>90.57685930498414</v>
      </c>
      <c r="BF532" s="60" t="str">
        <f t="shared" ref="BF532:BF560" si="505">IMPRODUCT(AC532,BC532)</f>
        <v>-0.0000454051332573201+6.85296172070691E-06i</v>
      </c>
      <c r="BG532" s="66">
        <f t="shared" ref="BG532:BG560" si="506">20*LOG(IMABS(BF532))</f>
        <v>-86.760080200742479</v>
      </c>
      <c r="BH532" s="63">
        <f t="shared" ref="BH532:BH560" si="507">(180/PI())*IMARGUMENT(BF532)</f>
        <v>171.41717220412275</v>
      </c>
      <c r="BI532" s="60" t="str">
        <f t="shared" si="460"/>
        <v>0.0018243155871885-0.000549999734170513i</v>
      </c>
      <c r="BJ532" s="66">
        <f t="shared" ref="BJ532:BJ560" si="508">20*LOG(IMABS(BI532))</f>
        <v>-54.400183586569959</v>
      </c>
      <c r="BK532" s="63">
        <f t="shared" si="461"/>
        <v>-16.77715460639665</v>
      </c>
      <c r="BL532" s="51">
        <f t="shared" ref="BL532:BL560" si="509">IF($B$31=0,BJ532,BG532)</f>
        <v>-86.760080200742479</v>
      </c>
      <c r="BM532" s="63">
        <f t="shared" ref="BM532:BM560" si="510">IF($B$31=0,BK532,BH532)</f>
        <v>171.41717220412275</v>
      </c>
    </row>
    <row r="533" spans="14:65" x14ac:dyDescent="0.35">
      <c r="N533" s="11">
        <v>15</v>
      </c>
      <c r="O533" s="52">
        <f t="shared" si="462"/>
        <v>1412537.5446227565</v>
      </c>
      <c r="P533" s="50" t="str">
        <f t="shared" si="463"/>
        <v>36.531007751938</v>
      </c>
      <c r="Q533" s="18" t="str">
        <f t="shared" si="464"/>
        <v>1+4334.41716442971i</v>
      </c>
      <c r="R533" s="18">
        <f t="shared" si="475"/>
        <v>4334.4172797854717</v>
      </c>
      <c r="S533" s="18">
        <f t="shared" si="476"/>
        <v>1.570565615272604</v>
      </c>
      <c r="T533" s="18" t="str">
        <f t="shared" si="465"/>
        <v>1+1.77504702924265i</v>
      </c>
      <c r="U533" s="18">
        <f t="shared" si="477"/>
        <v>2.0373492474348027</v>
      </c>
      <c r="V533" s="18">
        <f t="shared" si="478"/>
        <v>1.0577497477991857</v>
      </c>
      <c r="W533" s="32" t="str">
        <f t="shared" si="466"/>
        <v>1-29.4090632063871i</v>
      </c>
      <c r="X533" s="18">
        <f t="shared" si="479"/>
        <v>29.426059856482173</v>
      </c>
      <c r="Y533" s="18">
        <f t="shared" si="480"/>
        <v>-1.5368062994349592</v>
      </c>
      <c r="Z533" s="32" t="str">
        <f t="shared" si="467"/>
        <v>-40.2244279952249+13.3637604533836i</v>
      </c>
      <c r="AA533" s="18">
        <f t="shared" si="481"/>
        <v>42.386256038938512</v>
      </c>
      <c r="AB533" s="18">
        <f t="shared" si="482"/>
        <v>2.8208354558568765</v>
      </c>
      <c r="AC533" s="68" t="str">
        <f t="shared" si="483"/>
        <v>0.00187645936242743+0.011772132827686i</v>
      </c>
      <c r="AD533" s="66">
        <f t="shared" si="484"/>
        <v>-38.473930521967937</v>
      </c>
      <c r="AE533" s="63">
        <f t="shared" si="485"/>
        <v>80.943333918231033</v>
      </c>
      <c r="AF533" s="51" t="str">
        <f t="shared" si="486"/>
        <v>42.1703962805665</v>
      </c>
      <c r="AG533" s="51" t="str">
        <f t="shared" si="468"/>
        <v>1+783.108983489405i</v>
      </c>
      <c r="AH533" s="51">
        <f t="shared" si="487"/>
        <v>783.10962196988055</v>
      </c>
      <c r="AI533" s="51">
        <f t="shared" si="488"/>
        <v>1.5695193660173543</v>
      </c>
      <c r="AJ533" s="51" t="str">
        <f t="shared" si="469"/>
        <v>1+1.77504702924265i</v>
      </c>
      <c r="AK533" s="51">
        <f t="shared" si="489"/>
        <v>2.0373492474348027</v>
      </c>
      <c r="AL533" s="51">
        <f t="shared" si="490"/>
        <v>1.0577497477991857</v>
      </c>
      <c r="AM533" s="51" t="str">
        <f t="shared" si="470"/>
        <v>1-4.60283254992761i</v>
      </c>
      <c r="AN533" s="51">
        <f t="shared" si="491"/>
        <v>4.710208857648789</v>
      </c>
      <c r="AO533" s="51">
        <f t="shared" si="492"/>
        <v>-1.3568633907670111</v>
      </c>
      <c r="AP533" s="60" t="str">
        <f t="shared" si="493"/>
        <v>-0.151645336055327-0.494011034536987i</v>
      </c>
      <c r="AQ533" s="51">
        <f t="shared" si="494"/>
        <v>-5.7341845987343376</v>
      </c>
      <c r="AR533" s="63">
        <f t="shared" si="495"/>
        <v>-107.0647848736825</v>
      </c>
      <c r="AS533" s="32" t="str">
        <f t="shared" si="471"/>
        <v>-0.000133283554228113</v>
      </c>
      <c r="AT533" s="32" t="str">
        <f t="shared" si="472"/>
        <v>0.542276867433629i</v>
      </c>
      <c r="AU533" s="32">
        <f t="shared" si="496"/>
        <v>0.54227686743362902</v>
      </c>
      <c r="AV533" s="32">
        <f t="shared" si="497"/>
        <v>1.5707963267948966</v>
      </c>
      <c r="AW533" s="32" t="str">
        <f t="shared" si="473"/>
        <v>1+94.8130912127725i</v>
      </c>
      <c r="AX533" s="32">
        <f t="shared" si="498"/>
        <v>94.818364599488419</v>
      </c>
      <c r="AY533" s="32">
        <f t="shared" si="499"/>
        <v>1.5602496511251296</v>
      </c>
      <c r="AZ533" s="32" t="str">
        <f t="shared" si="474"/>
        <v>1+1412.94631051229i</v>
      </c>
      <c r="BA533" s="32">
        <f t="shared" si="500"/>
        <v>1412.9466643827334</v>
      </c>
      <c r="BB533" s="32">
        <f t="shared" si="501"/>
        <v>1.5700885859376579</v>
      </c>
      <c r="BC533" s="60" t="str">
        <f t="shared" si="502"/>
        <v>-0.0000360354434680389+0.00366241685180131i</v>
      </c>
      <c r="BD533" s="51">
        <f t="shared" si="503"/>
        <v>-48.724224103112796</v>
      </c>
      <c r="BE533" s="63">
        <f t="shared" si="504"/>
        <v>90.563729439662211</v>
      </c>
      <c r="BF533" s="60" t="str">
        <f t="shared" si="505"/>
        <v>-0.0000431820766950354+6.44816236366424E-06i</v>
      </c>
      <c r="BG533" s="66">
        <f t="shared" si="506"/>
        <v>-87.198154625080747</v>
      </c>
      <c r="BH533" s="63">
        <f t="shared" si="507"/>
        <v>171.50706335789323</v>
      </c>
      <c r="BI533" s="60" t="str">
        <f t="shared" si="460"/>
        <v>0.00181473894479867-0.000537586527558457i</v>
      </c>
      <c r="BJ533" s="66">
        <f t="shared" si="508"/>
        <v>-54.458408701847148</v>
      </c>
      <c r="BK533" s="63">
        <f t="shared" si="461"/>
        <v>-16.501055434020312</v>
      </c>
      <c r="BL533" s="51">
        <f t="shared" si="509"/>
        <v>-87.198154625080747</v>
      </c>
      <c r="BM533" s="63">
        <f t="shared" si="510"/>
        <v>171.50706335789323</v>
      </c>
    </row>
    <row r="534" spans="14:65" x14ac:dyDescent="0.35">
      <c r="N534" s="11">
        <v>16</v>
      </c>
      <c r="O534" s="52">
        <f t="shared" si="462"/>
        <v>1445439.7707459298</v>
      </c>
      <c r="P534" s="50" t="str">
        <f t="shared" si="463"/>
        <v>36.531007751938</v>
      </c>
      <c r="Q534" s="18" t="str">
        <f t="shared" si="464"/>
        <v>1+4435.37870998235i</v>
      </c>
      <c r="R534" s="18">
        <f t="shared" si="475"/>
        <v>4435.378822712295</v>
      </c>
      <c r="S534" s="18">
        <f t="shared" si="476"/>
        <v>1.5705708669078287</v>
      </c>
      <c r="T534" s="18" t="str">
        <f t="shared" si="465"/>
        <v>1+1.81639318599277i</v>
      </c>
      <c r="U534" s="18">
        <f t="shared" si="477"/>
        <v>2.0734715349193884</v>
      </c>
      <c r="V534" s="18">
        <f t="shared" si="478"/>
        <v>1.0675373998088891</v>
      </c>
      <c r="W534" s="32" t="str">
        <f t="shared" si="466"/>
        <v>1-30.0940882886377i</v>
      </c>
      <c r="X534" s="18">
        <f t="shared" si="479"/>
        <v>30.110698263645773</v>
      </c>
      <c r="Y534" s="18">
        <f t="shared" si="480"/>
        <v>-1.5375794313045268</v>
      </c>
      <c r="Z534" s="32" t="str">
        <f t="shared" si="467"/>
        <v>-42.1672754308687+13.6750424224661i</v>
      </c>
      <c r="AA534" s="18">
        <f t="shared" si="481"/>
        <v>44.329289442974279</v>
      </c>
      <c r="AB534" s="18">
        <f t="shared" si="482"/>
        <v>2.8279898264167489</v>
      </c>
      <c r="AC534" s="68" t="str">
        <f t="shared" si="483"/>
        <v>0.00180472296029239+0.0114587802168062i</v>
      </c>
      <c r="AD534" s="66">
        <f t="shared" si="484"/>
        <v>-38.710818622775946</v>
      </c>
      <c r="AE534" s="63">
        <f t="shared" si="485"/>
        <v>81.049611741909217</v>
      </c>
      <c r="AF534" s="51" t="str">
        <f t="shared" si="486"/>
        <v>42.1703962805665</v>
      </c>
      <c r="AG534" s="51" t="str">
        <f t="shared" si="468"/>
        <v>1+801.349934996814i</v>
      </c>
      <c r="AH534" s="51">
        <f t="shared" si="487"/>
        <v>801.35055894371089</v>
      </c>
      <c r="AI534" s="51">
        <f t="shared" si="488"/>
        <v>1.5695484331628538</v>
      </c>
      <c r="AJ534" s="51" t="str">
        <f t="shared" si="469"/>
        <v>1+1.81639318599277i</v>
      </c>
      <c r="AK534" s="51">
        <f t="shared" si="489"/>
        <v>2.0734715349193884</v>
      </c>
      <c r="AL534" s="51">
        <f t="shared" si="490"/>
        <v>1.0675373998088891</v>
      </c>
      <c r="AM534" s="51" t="str">
        <f t="shared" si="470"/>
        <v>1-4.71004629298269i</v>
      </c>
      <c r="AN534" s="51">
        <f t="shared" si="491"/>
        <v>4.8150323033225835</v>
      </c>
      <c r="AO534" s="51">
        <f t="shared" si="492"/>
        <v>-1.3615906857820894</v>
      </c>
      <c r="AP534" s="60" t="str">
        <f t="shared" si="493"/>
        <v>-0.151648442084866-0.503029013181892i</v>
      </c>
      <c r="AQ534" s="51">
        <f t="shared" si="494"/>
        <v>-5.5903515859150552</v>
      </c>
      <c r="AR534" s="63">
        <f t="shared" si="495"/>
        <v>-106.77651319982054</v>
      </c>
      <c r="AS534" s="32" t="str">
        <f t="shared" si="471"/>
        <v>-0.000133283554228113</v>
      </c>
      <c r="AT534" s="32" t="str">
        <f t="shared" si="472"/>
        <v>0.554908118320792i</v>
      </c>
      <c r="AU534" s="32">
        <f t="shared" si="496"/>
        <v>0.55490811832079201</v>
      </c>
      <c r="AV534" s="32">
        <f t="shared" si="497"/>
        <v>1.5707963267948966</v>
      </c>
      <c r="AW534" s="32" t="str">
        <f t="shared" si="473"/>
        <v>1+97.0215718145061i</v>
      </c>
      <c r="AX534" s="32">
        <f t="shared" si="498"/>
        <v>97.026725170735133</v>
      </c>
      <c r="AY534" s="32">
        <f t="shared" si="499"/>
        <v>1.5604897055741294</v>
      </c>
      <c r="AZ534" s="32" t="str">
        <f t="shared" si="474"/>
        <v>1+1445.85805801618i</v>
      </c>
      <c r="BA534" s="32">
        <f t="shared" si="500"/>
        <v>1445.8584038315505</v>
      </c>
      <c r="BB534" s="32">
        <f t="shared" si="501"/>
        <v>1.5701046960812144</v>
      </c>
      <c r="BC534" s="60" t="str">
        <f t="shared" si="502"/>
        <v>-0.0000344137536245126+0.00357906678097086i</v>
      </c>
      <c r="BD534" s="51">
        <f t="shared" si="503"/>
        <v>-48.924202459769084</v>
      </c>
      <c r="BE534" s="63">
        <f t="shared" si="504"/>
        <v>90.550898376114304</v>
      </c>
      <c r="BF534" s="60" t="str">
        <f t="shared" si="505"/>
        <v>-0.0000410738469157331+6.06488435681928E-06i</v>
      </c>
      <c r="BG534" s="66">
        <f t="shared" si="506"/>
        <v>-87.635021082545052</v>
      </c>
      <c r="BH534" s="63">
        <f t="shared" si="507"/>
        <v>171.60051011802352</v>
      </c>
      <c r="BI534" s="60" t="str">
        <f t="shared" si="460"/>
        <v>0.00180559322306731-0.000525448784926304i</v>
      </c>
      <c r="BJ534" s="66">
        <f t="shared" si="508"/>
        <v>-54.51455404568415</v>
      </c>
      <c r="BK534" s="63">
        <f t="shared" si="461"/>
        <v>-16.225614823706248</v>
      </c>
      <c r="BL534" s="51">
        <f t="shared" si="509"/>
        <v>-87.635021082545052</v>
      </c>
      <c r="BM534" s="63">
        <f t="shared" si="510"/>
        <v>171.60051011802352</v>
      </c>
    </row>
    <row r="535" spans="14:65" x14ac:dyDescent="0.35">
      <c r="N535" s="11">
        <v>17</v>
      </c>
      <c r="O535" s="52">
        <f t="shared" si="462"/>
        <v>1479108.3881682095</v>
      </c>
      <c r="P535" s="50" t="str">
        <f t="shared" si="463"/>
        <v>36.531007751938</v>
      </c>
      <c r="Q535" s="18" t="str">
        <f t="shared" si="464"/>
        <v>1+4538.69195203618i</v>
      </c>
      <c r="R535" s="18">
        <f t="shared" si="475"/>
        <v>4538.692062200078</v>
      </c>
      <c r="S535" s="18">
        <f t="shared" si="476"/>
        <v>1.5705759990012533</v>
      </c>
      <c r="T535" s="18" t="str">
        <f t="shared" si="465"/>
        <v>1+1.85870241845291i</v>
      </c>
      <c r="U535" s="18">
        <f t="shared" si="477"/>
        <v>2.1106337153477615</v>
      </c>
      <c r="V535" s="18">
        <f t="shared" si="478"/>
        <v>1.0772052733994419</v>
      </c>
      <c r="W535" s="32" t="str">
        <f t="shared" si="466"/>
        <v>1-30.7950696548412i</v>
      </c>
      <c r="X535" s="18">
        <f t="shared" si="479"/>
        <v>30.811301742161454</v>
      </c>
      <c r="Y535" s="18">
        <f t="shared" si="480"/>
        <v>-1.5383350029311058</v>
      </c>
      <c r="Z535" s="32" t="str">
        <f t="shared" si="467"/>
        <v>-44.2016864452388+13.9935750800516i</v>
      </c>
      <c r="AA535" s="18">
        <f t="shared" si="481"/>
        <v>46.363878484486698</v>
      </c>
      <c r="AB535" s="18">
        <f t="shared" si="482"/>
        <v>2.8349908849808325</v>
      </c>
      <c r="AC535" s="68" t="str">
        <f t="shared" si="483"/>
        <v>0.0017351484944163+0.0111553444525509i</v>
      </c>
      <c r="AD535" s="66">
        <f t="shared" si="484"/>
        <v>-38.946518112140637</v>
      </c>
      <c r="AE535" s="63">
        <f t="shared" si="485"/>
        <v>81.158823875051638</v>
      </c>
      <c r="AF535" s="51" t="str">
        <f t="shared" si="486"/>
        <v>42.1703962805665</v>
      </c>
      <c r="AG535" s="51" t="str">
        <f t="shared" si="468"/>
        <v>1+820.015772846876i</v>
      </c>
      <c r="AH535" s="51">
        <f t="shared" si="487"/>
        <v>820.01638259101833</v>
      </c>
      <c r="AI535" s="51">
        <f t="shared" si="488"/>
        <v>1.5695768386613804</v>
      </c>
      <c r="AJ535" s="51" t="str">
        <f t="shared" si="469"/>
        <v>1+1.85870241845291i</v>
      </c>
      <c r="AK535" s="51">
        <f t="shared" si="489"/>
        <v>2.1106337153477615</v>
      </c>
      <c r="AL535" s="51">
        <f t="shared" si="490"/>
        <v>1.0772052733994419</v>
      </c>
      <c r="AM535" s="51" t="str">
        <f t="shared" si="470"/>
        <v>1-4.81975736492712i</v>
      </c>
      <c r="AN535" s="51">
        <f t="shared" si="491"/>
        <v>4.9224039916253544</v>
      </c>
      <c r="AO535" s="51">
        <f t="shared" si="492"/>
        <v>-1.3662195618147339</v>
      </c>
      <c r="AP535" s="60" t="str">
        <f t="shared" si="493"/>
        <v>-0.151651408320473-0.512313704118973i</v>
      </c>
      <c r="AQ535" s="51">
        <f t="shared" si="494"/>
        <v>-5.444494425236023</v>
      </c>
      <c r="AR535" s="63">
        <f t="shared" si="495"/>
        <v>-106.48942742195617</v>
      </c>
      <c r="AS535" s="32" t="str">
        <f t="shared" si="471"/>
        <v>-0.000133283554228113</v>
      </c>
      <c r="AT535" s="32" t="str">
        <f t="shared" si="472"/>
        <v>0.567833588837365i</v>
      </c>
      <c r="AU535" s="32">
        <f t="shared" si="496"/>
        <v>0.56783358883736501</v>
      </c>
      <c r="AV535" s="32">
        <f t="shared" si="497"/>
        <v>1.5707963267948966</v>
      </c>
      <c r="AW535" s="32" t="str">
        <f t="shared" si="473"/>
        <v>1+99.2814945378479i</v>
      </c>
      <c r="AX535" s="32">
        <f t="shared" si="498"/>
        <v>99.286530595387035</v>
      </c>
      <c r="AY535" s="32">
        <f t="shared" si="499"/>
        <v>1.560724296864608</v>
      </c>
      <c r="AZ535" s="32" t="str">
        <f t="shared" si="474"/>
        <v>1+1479.53641860061i</v>
      </c>
      <c r="BA535" s="32">
        <f t="shared" si="500"/>
        <v>1479.5367565442637</v>
      </c>
      <c r="BB535" s="32">
        <f t="shared" si="501"/>
        <v>1.5701204395134796</v>
      </c>
      <c r="BC535" s="60" t="str">
        <f t="shared" si="502"/>
        <v>-0.0000328650366900121+0.00349761287390203i</v>
      </c>
      <c r="BD535" s="51">
        <f t="shared" si="503"/>
        <v>-49.124181790434747</v>
      </c>
      <c r="BE535" s="63">
        <f t="shared" si="504"/>
        <v>90.538359317483213</v>
      </c>
      <c r="BF535" s="60" t="str">
        <f t="shared" si="505"/>
        <v>-0.0000390741020889852+5.70225690747937E-06i</v>
      </c>
      <c r="BG535" s="66">
        <f t="shared" si="506"/>
        <v>-88.070699902575399</v>
      </c>
      <c r="BH535" s="63">
        <f t="shared" si="507"/>
        <v>171.69718319253485</v>
      </c>
      <c r="BI535" s="60" t="str">
        <f t="shared" si="460"/>
        <v>0.0017968590361015-0.000513580709404394i</v>
      </c>
      <c r="BJ535" s="66">
        <f t="shared" si="508"/>
        <v>-54.56867621567077</v>
      </c>
      <c r="BK535" s="63">
        <f t="shared" si="461"/>
        <v>-15.951068104472951</v>
      </c>
      <c r="BL535" s="51">
        <f t="shared" si="509"/>
        <v>-88.070699902575399</v>
      </c>
      <c r="BM535" s="63">
        <f t="shared" si="510"/>
        <v>171.69718319253485</v>
      </c>
    </row>
    <row r="536" spans="14:65" x14ac:dyDescent="0.35">
      <c r="N536" s="11">
        <v>18</v>
      </c>
      <c r="O536" s="52">
        <f t="shared" si="462"/>
        <v>1513561.2484362102</v>
      </c>
      <c r="P536" s="50" t="str">
        <f t="shared" si="463"/>
        <v>36.531007751938</v>
      </c>
      <c r="Q536" s="18" t="str">
        <f t="shared" si="464"/>
        <v>1+4644.41166863968i</v>
      </c>
      <c r="R536" s="18">
        <f t="shared" si="475"/>
        <v>4644.4117762959404</v>
      </c>
      <c r="S536" s="18">
        <f t="shared" si="476"/>
        <v>1.5705810142739804</v>
      </c>
      <c r="T536" s="18" t="str">
        <f t="shared" si="465"/>
        <v>1+1.90199715953816i</v>
      </c>
      <c r="U536" s="18">
        <f t="shared" si="477"/>
        <v>2.1488585795466459</v>
      </c>
      <c r="V536" s="18">
        <f t="shared" si="478"/>
        <v>1.0867512647546118</v>
      </c>
      <c r="W536" s="32" t="str">
        <f t="shared" si="466"/>
        <v>1-31.5123789745967i</v>
      </c>
      <c r="X536" s="18">
        <f t="shared" si="479"/>
        <v>31.528241762562718</v>
      </c>
      <c r="Y536" s="18">
        <f t="shared" si="480"/>
        <v>-1.5390734114760238</v>
      </c>
      <c r="Z536" s="32" t="str">
        <f t="shared" si="467"/>
        <v>-46.3319762968549+14.3195273163714i</v>
      </c>
      <c r="AA536" s="18">
        <f t="shared" si="481"/>
        <v>48.494338743162899</v>
      </c>
      <c r="AB536" s="18">
        <f t="shared" si="482"/>
        <v>2.8418415127010155</v>
      </c>
      <c r="AC536" s="68" t="str">
        <f t="shared" si="483"/>
        <v>0.0016677260288939+0.0108614393390023i</v>
      </c>
      <c r="AD536" s="66">
        <f t="shared" si="484"/>
        <v>-39.181050393097756</v>
      </c>
      <c r="AE536" s="63">
        <f t="shared" si="485"/>
        <v>81.270661788448905</v>
      </c>
      <c r="AF536" s="51" t="str">
        <f t="shared" si="486"/>
        <v>42.1703962805665</v>
      </c>
      <c r="AG536" s="51" t="str">
        <f t="shared" si="468"/>
        <v>1+839.116393913896i</v>
      </c>
      <c r="AH536" s="51">
        <f t="shared" si="487"/>
        <v>839.11698977857714</v>
      </c>
      <c r="AI536" s="51">
        <f t="shared" si="488"/>
        <v>1.5696045975737221</v>
      </c>
      <c r="AJ536" s="51" t="str">
        <f t="shared" si="469"/>
        <v>1+1.90199715953816i</v>
      </c>
      <c r="AK536" s="51">
        <f t="shared" si="489"/>
        <v>2.1488585795466459</v>
      </c>
      <c r="AL536" s="51">
        <f t="shared" si="490"/>
        <v>1.0867512647546118</v>
      </c>
      <c r="AM536" s="51" t="str">
        <f t="shared" si="470"/>
        <v>1-4.93202393602348i</v>
      </c>
      <c r="AN536" s="51">
        <f t="shared" si="491"/>
        <v>5.0323811566204464</v>
      </c>
      <c r="AO536" s="51">
        <f t="shared" si="492"/>
        <v>-1.3707516793408754</v>
      </c>
      <c r="AP536" s="60" t="str">
        <f t="shared" si="493"/>
        <v>-0.151654241053874-0.521870030237558i</v>
      </c>
      <c r="AQ536" s="51">
        <f t="shared" si="494"/>
        <v>-5.2966694017972307</v>
      </c>
      <c r="AR536" s="63">
        <f t="shared" si="495"/>
        <v>-106.20374408106279</v>
      </c>
      <c r="AS536" s="32" t="str">
        <f t="shared" si="471"/>
        <v>-0.000133283554228113</v>
      </c>
      <c r="AT536" s="32" t="str">
        <f t="shared" si="472"/>
        <v>0.581060132238907i</v>
      </c>
      <c r="AU536" s="32">
        <f t="shared" si="496"/>
        <v>0.58106013223890696</v>
      </c>
      <c r="AV536" s="32">
        <f t="shared" si="497"/>
        <v>1.5707963267948966</v>
      </c>
      <c r="AW536" s="32" t="str">
        <f t="shared" si="473"/>
        <v>1+101.59405762374i</v>
      </c>
      <c r="AX536" s="32">
        <f t="shared" si="498"/>
        <v>101.59897905223164</v>
      </c>
      <c r="AY536" s="32">
        <f t="shared" si="499"/>
        <v>1.5609535492766309</v>
      </c>
      <c r="AZ536" s="32" t="str">
        <f t="shared" si="474"/>
        <v>1+1513.99924897817i</v>
      </c>
      <c r="BA536" s="32">
        <f t="shared" si="500"/>
        <v>1513.9995792292884</v>
      </c>
      <c r="BB536" s="32">
        <f t="shared" si="501"/>
        <v>1.5701358245817985</v>
      </c>
      <c r="BC536" s="60" t="str">
        <f t="shared" si="502"/>
        <v>-0.0000313860096760743+0.00341801204307526i</v>
      </c>
      <c r="BD536" s="51">
        <f t="shared" si="503"/>
        <v>-49.324162051281036</v>
      </c>
      <c r="BE536" s="63">
        <f t="shared" si="504"/>
        <v>90.526105621313306</v>
      </c>
      <c r="BF536" s="60" t="str">
        <f t="shared" si="505"/>
        <v>-0.0000371768737311212+5.35941041111941E-06i</v>
      </c>
      <c r="BG536" s="66">
        <f t="shared" si="506"/>
        <v>-88.505212444378785</v>
      </c>
      <c r="BH536" s="63">
        <f t="shared" si="507"/>
        <v>171.79676740976223</v>
      </c>
      <c r="BI536" s="60" t="str">
        <f t="shared" si="460"/>
        <v>0.00178851786974916-0.000501976604486891i</v>
      </c>
      <c r="BJ536" s="66">
        <f t="shared" si="508"/>
        <v>-54.62083145307826</v>
      </c>
      <c r="BK536" s="63">
        <f t="shared" si="461"/>
        <v>-15.677638459749481</v>
      </c>
      <c r="BL536" s="51">
        <f t="shared" si="509"/>
        <v>-88.505212444378785</v>
      </c>
      <c r="BM536" s="63">
        <f t="shared" si="510"/>
        <v>171.79676740976223</v>
      </c>
    </row>
    <row r="537" spans="14:65" x14ac:dyDescent="0.35">
      <c r="N537" s="11">
        <v>19</v>
      </c>
      <c r="O537" s="52">
        <f t="shared" si="462"/>
        <v>1548816.6189124861</v>
      </c>
      <c r="P537" s="50" t="str">
        <f t="shared" si="463"/>
        <v>36.531007751938</v>
      </c>
      <c r="Q537" s="18" t="str">
        <f t="shared" si="464"/>
        <v>1+4752.59391378596i</v>
      </c>
      <c r="R537" s="18">
        <f t="shared" si="475"/>
        <v>4752.5940189916646</v>
      </c>
      <c r="S537" s="18">
        <f t="shared" si="476"/>
        <v>1.5705859153851733</v>
      </c>
      <c r="T537" s="18" t="str">
        <f t="shared" si="465"/>
        <v>1+1.9463003646933i</v>
      </c>
      <c r="U537" s="18">
        <f t="shared" si="477"/>
        <v>2.1881693512169647</v>
      </c>
      <c r="V537" s="18">
        <f t="shared" si="478"/>
        <v>1.0961734753591088</v>
      </c>
      <c r="W537" s="32" t="str">
        <f t="shared" si="466"/>
        <v>1-32.2463965748003i</v>
      </c>
      <c r="X537" s="18">
        <f t="shared" si="479"/>
        <v>32.261898457147446</v>
      </c>
      <c r="Y537" s="18">
        <f t="shared" si="480"/>
        <v>-1.5397950452305027</v>
      </c>
      <c r="Z537" s="32" t="str">
        <f t="shared" si="467"/>
        <v>-48.5626636161055+14.6530719556157i</v>
      </c>
      <c r="AA537" s="18">
        <f t="shared" si="481"/>
        <v>50.725189159109782</v>
      </c>
      <c r="AB537" s="18">
        <f t="shared" si="482"/>
        <v>2.8485445628314694</v>
      </c>
      <c r="AC537" s="68" t="str">
        <f t="shared" si="483"/>
        <v>0.00160243918360123+0.0105766956096096i</v>
      </c>
      <c r="AD537" s="66">
        <f t="shared" si="484"/>
        <v>-39.414437774963893</v>
      </c>
      <c r="AE537" s="63">
        <f t="shared" si="485"/>
        <v>81.384830825958275</v>
      </c>
      <c r="AF537" s="51" t="str">
        <f t="shared" si="486"/>
        <v>42.1703962805665</v>
      </c>
      <c r="AG537" s="51" t="str">
        <f t="shared" si="468"/>
        <v>1+858.661925599988i</v>
      </c>
      <c r="AH537" s="51">
        <f t="shared" si="487"/>
        <v>858.66250790114225</v>
      </c>
      <c r="AI537" s="51">
        <f t="shared" si="488"/>
        <v>1.5696317246178504</v>
      </c>
      <c r="AJ537" s="51" t="str">
        <f t="shared" si="469"/>
        <v>1+1.9463003646933i</v>
      </c>
      <c r="AK537" s="51">
        <f t="shared" si="489"/>
        <v>2.1881693512169647</v>
      </c>
      <c r="AL537" s="51">
        <f t="shared" si="490"/>
        <v>1.0961734753591088</v>
      </c>
      <c r="AM537" s="51" t="str">
        <f t="shared" si="470"/>
        <v>1-5.04690553149378i</v>
      </c>
      <c r="AN537" s="51">
        <f t="shared" si="491"/>
        <v>5.145022394880562</v>
      </c>
      <c r="AO537" s="51">
        <f t="shared" si="492"/>
        <v>-1.3751886962771296</v>
      </c>
      <c r="AP537" s="60" t="str">
        <f t="shared" si="493"/>
        <v>-0.151656946293625-0.531703058449985i</v>
      </c>
      <c r="AQ537" s="51">
        <f t="shared" si="494"/>
        <v>-5.1469323634528399</v>
      </c>
      <c r="AR537" s="63">
        <f t="shared" si="495"/>
        <v>-105.91966778895632</v>
      </c>
      <c r="AS537" s="32" t="str">
        <f t="shared" si="471"/>
        <v>-0.000133283554228113</v>
      </c>
      <c r="AT537" s="32" t="str">
        <f t="shared" si="472"/>
        <v>0.594594761413803i</v>
      </c>
      <c r="AU537" s="32">
        <f t="shared" si="496"/>
        <v>0.59459476141380296</v>
      </c>
      <c r="AV537" s="32">
        <f t="shared" si="497"/>
        <v>1.5707963267948966</v>
      </c>
      <c r="AW537" s="32" t="str">
        <f t="shared" si="473"/>
        <v>1+103.96048722374i</v>
      </c>
      <c r="AX537" s="32">
        <f t="shared" si="498"/>
        <v>103.96529663208493</v>
      </c>
      <c r="AY537" s="32">
        <f t="shared" si="499"/>
        <v>1.5611775842664166</v>
      </c>
      <c r="AZ537" s="32" t="str">
        <f t="shared" si="474"/>
        <v>1+1549.26482179769i</v>
      </c>
      <c r="BA537" s="32">
        <f t="shared" si="500"/>
        <v>1549.265144531377</v>
      </c>
      <c r="BB537" s="32">
        <f t="shared" si="501"/>
        <v>1.570150859443509</v>
      </c>
      <c r="BC537" s="60" t="str">
        <f t="shared" si="502"/>
        <v>-0.0000299735372357528+0.00334022217679611i</v>
      </c>
      <c r="BD537" s="51">
        <f t="shared" si="503"/>
        <v>-49.52414320045105</v>
      </c>
      <c r="BE537" s="63">
        <f t="shared" si="504"/>
        <v>90.514130796056904</v>
      </c>
      <c r="BF537" s="60" t="str">
        <f t="shared" si="505"/>
        <v>-0.0000353765440029777+5.03548191834602E-06i</v>
      </c>
      <c r="BG537" s="66">
        <f t="shared" si="506"/>
        <v>-88.938580975414951</v>
      </c>
      <c r="BH537" s="63">
        <f t="shared" si="507"/>
        <v>171.89896162201515</v>
      </c>
      <c r="BI537" s="60" t="str">
        <f t="shared" si="460"/>
        <v>0.00178055204243175-0.000490630873854329i</v>
      </c>
      <c r="BJ537" s="66">
        <f t="shared" si="508"/>
        <v>-54.671075563903898</v>
      </c>
      <c r="BK537" s="63">
        <f t="shared" si="461"/>
        <v>-15.405536992899435</v>
      </c>
      <c r="BL537" s="51">
        <f t="shared" si="509"/>
        <v>-88.938580975414951</v>
      </c>
      <c r="BM537" s="63">
        <f t="shared" si="510"/>
        <v>171.89896162201515</v>
      </c>
    </row>
    <row r="538" spans="14:65" x14ac:dyDescent="0.35">
      <c r="N538" s="11">
        <v>20</v>
      </c>
      <c r="O538" s="52">
        <f t="shared" si="462"/>
        <v>1584893.1924611153</v>
      </c>
      <c r="P538" s="50" t="str">
        <f t="shared" si="463"/>
        <v>36.531007751938</v>
      </c>
      <c r="Q538" s="18" t="str">
        <f t="shared" si="464"/>
        <v>1+4863.29604713333i</v>
      </c>
      <c r="R538" s="18">
        <f t="shared" si="475"/>
        <v>4863.2961499442599</v>
      </c>
      <c r="S538" s="18">
        <f t="shared" si="476"/>
        <v>1.5705907049334646</v>
      </c>
      <c r="T538" s="18" t="str">
        <f t="shared" si="465"/>
        <v>1+1.99163552406413i</v>
      </c>
      <c r="U538" s="18">
        <f t="shared" si="477"/>
        <v>2.2285897021915453</v>
      </c>
      <c r="V538" s="18">
        <f t="shared" si="478"/>
        <v>1.1054702082368655</v>
      </c>
      <c r="W538" s="32" t="str">
        <f t="shared" si="466"/>
        <v>1-32.9975116412992i</v>
      </c>
      <c r="X538" s="18">
        <f t="shared" si="479"/>
        <v>33.01266082153446</v>
      </c>
      <c r="Y538" s="18">
        <f t="shared" si="480"/>
        <v>-1.5405002838062343</v>
      </c>
      <c r="Z538" s="32" t="str">
        <f t="shared" si="467"/>
        <v>-50.8984799898675+14.9943858475672i</v>
      </c>
      <c r="AA538" s="18">
        <f t="shared" si="481"/>
        <v>53.061161617746983</v>
      </c>
      <c r="AB538" s="18">
        <f t="shared" si="482"/>
        <v>2.8551028591500347</v>
      </c>
      <c r="AC538" s="68" t="str">
        <f t="shared" si="483"/>
        <v>0.00153926593465069+0.010300760251937i</v>
      </c>
      <c r="AD538" s="66">
        <f t="shared" si="484"/>
        <v>-39.646703356518671</v>
      </c>
      <c r="AE538" s="63">
        <f t="shared" si="485"/>
        <v>81.501050068422288</v>
      </c>
      <c r="AF538" s="51" t="str">
        <f t="shared" si="486"/>
        <v>42.1703962805665</v>
      </c>
      <c r="AG538" s="51" t="str">
        <f t="shared" si="468"/>
        <v>1+878.662731204764i</v>
      </c>
      <c r="AH538" s="51">
        <f t="shared" si="487"/>
        <v>878.66330025113461</v>
      </c>
      <c r="AI538" s="51">
        <f t="shared" si="488"/>
        <v>1.5696582341767231</v>
      </c>
      <c r="AJ538" s="51" t="str">
        <f t="shared" si="469"/>
        <v>1+1.99163552406413i</v>
      </c>
      <c r="AK538" s="51">
        <f t="shared" si="489"/>
        <v>2.2285897021915453</v>
      </c>
      <c r="AL538" s="51">
        <f t="shared" si="490"/>
        <v>1.1054702082368655</v>
      </c>
      <c r="AM538" s="51" t="str">
        <f t="shared" si="470"/>
        <v>1-5.16446306308055i</v>
      </c>
      <c r="AN538" s="51">
        <f t="shared" si="491"/>
        <v>5.2603876976819244</v>
      </c>
      <c r="AO538" s="51">
        <f t="shared" si="492"/>
        <v>-1.3795322660393257</v>
      </c>
      <c r="AP538" s="60" t="str">
        <f t="shared" si="493"/>
        <v>-0.151659529777853-0.541818002378253i</v>
      </c>
      <c r="AQ538" s="51">
        <f t="shared" si="494"/>
        <v>-4.995338646160393</v>
      </c>
      <c r="AR538" s="63">
        <f t="shared" si="495"/>
        <v>-105.63739133303503</v>
      </c>
      <c r="AS538" s="32" t="str">
        <f t="shared" si="471"/>
        <v>-0.000133283554228113</v>
      </c>
      <c r="AT538" s="32" t="str">
        <f t="shared" si="472"/>
        <v>0.60844465260159i</v>
      </c>
      <c r="AU538" s="32">
        <f t="shared" si="496"/>
        <v>0.60844465260158997</v>
      </c>
      <c r="AV538" s="32">
        <f t="shared" si="497"/>
        <v>1.5707963267948966</v>
      </c>
      <c r="AW538" s="32" t="str">
        <f t="shared" si="473"/>
        <v>1+106.382038050146i</v>
      </c>
      <c r="AX538" s="32">
        <f t="shared" si="498"/>
        <v>106.38673798788415</v>
      </c>
      <c r="AY538" s="32">
        <f t="shared" si="499"/>
        <v>1.5613965205302724</v>
      </c>
      <c r="AZ538" s="32" t="str">
        <f t="shared" si="474"/>
        <v>1+1585.35183533266i</v>
      </c>
      <c r="BA538" s="32">
        <f t="shared" si="500"/>
        <v>1585.3521507200326</v>
      </c>
      <c r="BB538" s="32">
        <f t="shared" si="501"/>
        <v>1.5701655520702662</v>
      </c>
      <c r="BC538" s="60" t="str">
        <f t="shared" si="502"/>
        <v>-0.0000286246250289718+0.00326420211731406i</v>
      </c>
      <c r="BD538" s="51">
        <f t="shared" si="503"/>
        <v>-49.724125197971119</v>
      </c>
      <c r="BE538" s="63">
        <f t="shared" si="504"/>
        <v>90.502428497658727</v>
      </c>
      <c r="BF538" s="60" t="str">
        <f t="shared" si="505"/>
        <v>-0.0000336678243345165+4.72961972327115E-06i</v>
      </c>
      <c r="BG538" s="66">
        <f t="shared" si="506"/>
        <v>-89.37082855448979</v>
      </c>
      <c r="BH538" s="63">
        <f t="shared" si="507"/>
        <v>172.00347856608101</v>
      </c>
      <c r="BI538" s="60" t="str">
        <f t="shared" si="460"/>
        <v>0.00177294466773393-0.000479538021059698i</v>
      </c>
      <c r="BJ538" s="66">
        <f t="shared" si="508"/>
        <v>-54.719463844131511</v>
      </c>
      <c r="BK538" s="63">
        <f t="shared" si="461"/>
        <v>-15.134962835376264</v>
      </c>
      <c r="BL538" s="51">
        <f t="shared" si="509"/>
        <v>-89.37082855448979</v>
      </c>
      <c r="BM538" s="63">
        <f t="shared" si="510"/>
        <v>172.00347856608101</v>
      </c>
    </row>
    <row r="539" spans="14:65" x14ac:dyDescent="0.35">
      <c r="N539" s="11">
        <v>21</v>
      </c>
      <c r="O539" s="52">
        <f t="shared" si="462"/>
        <v>1621810.0973589318</v>
      </c>
      <c r="P539" s="50" t="str">
        <f t="shared" si="463"/>
        <v>36.531007751938</v>
      </c>
      <c r="Q539" s="18" t="str">
        <f t="shared" si="464"/>
        <v>1+4976.57676441821i</v>
      </c>
      <c r="R539" s="18">
        <f t="shared" si="475"/>
        <v>4976.5768648888779</v>
      </c>
      <c r="S539" s="18">
        <f t="shared" si="476"/>
        <v>1.5705953854583357</v>
      </c>
      <c r="T539" s="18" t="str">
        <f t="shared" si="465"/>
        <v>1+2.03802667495222i</v>
      </c>
      <c r="U539" s="18">
        <f t="shared" si="477"/>
        <v>2.2701437680941714</v>
      </c>
      <c r="V539" s="18">
        <f t="shared" si="478"/>
        <v>1.1146399636482349</v>
      </c>
      <c r="W539" s="32" t="str">
        <f t="shared" si="466"/>
        <v>1-33.7661224252439i</v>
      </c>
      <c r="X539" s="18">
        <f t="shared" si="479"/>
        <v>33.780926920920315</v>
      </c>
      <c r="Y539" s="18">
        <f t="shared" si="480"/>
        <v>-1.541189498322374</v>
      </c>
      <c r="Z539" s="32" t="str">
        <f t="shared" si="467"/>
        <v>-53.3443799978382+15.3436499613692i</v>
      </c>
      <c r="AA539" s="18">
        <f t="shared" si="481"/>
        <v>55.507210986418556</v>
      </c>
      <c r="AB539" s="18">
        <f t="shared" si="482"/>
        <v>2.861519194533054</v>
      </c>
      <c r="AC539" s="68" t="str">
        <f t="shared" si="483"/>
        <v>0.00147817934521372+0.0100332958432454i</v>
      </c>
      <c r="AD539" s="66">
        <f t="shared" si="484"/>
        <v>-39.877870914072858</v>
      </c>
      <c r="AE539" s="63">
        <f t="shared" si="485"/>
        <v>81.619052157998496</v>
      </c>
      <c r="AF539" s="51" t="str">
        <f t="shared" si="486"/>
        <v>42.1703962805665</v>
      </c>
      <c r="AG539" s="51" t="str">
        <f t="shared" si="468"/>
        <v>1+899.1294154201i</v>
      </c>
      <c r="AH539" s="51">
        <f t="shared" si="487"/>
        <v>899.12997151340187</v>
      </c>
      <c r="AI539" s="51">
        <f t="shared" si="488"/>
        <v>1.5696841403059103</v>
      </c>
      <c r="AJ539" s="51" t="str">
        <f t="shared" si="469"/>
        <v>1+2.03802667495222i</v>
      </c>
      <c r="AK539" s="51">
        <f t="shared" si="489"/>
        <v>2.2701437680941714</v>
      </c>
      <c r="AL539" s="51">
        <f t="shared" si="490"/>
        <v>1.1146399636482349</v>
      </c>
      <c r="AM539" s="51" t="str">
        <f t="shared" si="470"/>
        <v>1-5.2847588613431i</v>
      </c>
      <c r="AN539" s="51">
        <f t="shared" si="491"/>
        <v>5.378538483876862</v>
      </c>
      <c r="AO539" s="51">
        <f t="shared" si="492"/>
        <v>-1.3837840357438187</v>
      </c>
      <c r="AP539" s="60" t="str">
        <f t="shared" si="493"/>
        <v>-0.151661996986432-0.552220225118452i</v>
      </c>
      <c r="AQ539" s="51">
        <f t="shared" si="494"/>
        <v>-4.8419430037314886</v>
      </c>
      <c r="AR539" s="63">
        <f t="shared" si="495"/>
        <v>-105.35709582019138</v>
      </c>
      <c r="AS539" s="32" t="str">
        <f t="shared" si="471"/>
        <v>-0.000133283554228113</v>
      </c>
      <c r="AT539" s="32" t="str">
        <f t="shared" si="472"/>
        <v>0.622617149197905i</v>
      </c>
      <c r="AU539" s="32">
        <f t="shared" si="496"/>
        <v>0.62261714919790501</v>
      </c>
      <c r="AV539" s="32">
        <f t="shared" si="497"/>
        <v>1.5707963267948966</v>
      </c>
      <c r="AW539" s="32" t="str">
        <f t="shared" si="473"/>
        <v>1+108.859994041259i</v>
      </c>
      <c r="AX539" s="32">
        <f t="shared" si="498"/>
        <v>108.86458699991906</v>
      </c>
      <c r="AY539" s="32">
        <f t="shared" si="499"/>
        <v>1.5616104740671015</v>
      </c>
      <c r="AZ539" s="32" t="str">
        <f t="shared" si="474"/>
        <v>1+1622.27942339534i</v>
      </c>
      <c r="BA539" s="32">
        <f t="shared" si="500"/>
        <v>1622.279731603621</v>
      </c>
      <c r="BB539" s="32">
        <f t="shared" si="501"/>
        <v>1.57017991025227</v>
      </c>
      <c r="BC539" s="60" t="str">
        <f t="shared" si="502"/>
        <v>-0.0000273364133855837+0.00318991163941735i</v>
      </c>
      <c r="BD539" s="51">
        <f t="shared" si="503"/>
        <v>-49.924108005665957</v>
      </c>
      <c r="BE539" s="63">
        <f t="shared" si="504"/>
        <v>90.490992526216843</v>
      </c>
      <c r="BF539" s="60" t="str">
        <f t="shared" si="505"/>
        <v>-0.000032045735313725+4.44098717565275E-06i</v>
      </c>
      <c r="BG539" s="66">
        <f t="shared" si="506"/>
        <v>-89.801978919738815</v>
      </c>
      <c r="BH539" s="63">
        <f t="shared" si="507"/>
        <v>172.11004468421532</v>
      </c>
      <c r="BI539" s="60" t="str">
        <f t="shared" si="460"/>
        <v>0.00176567961867152-0.00046869264909058i</v>
      </c>
      <c r="BJ539" s="66">
        <f t="shared" si="508"/>
        <v>-54.766051009397458</v>
      </c>
      <c r="BK539" s="63">
        <f t="shared" si="461"/>
        <v>-14.866103293974549</v>
      </c>
      <c r="BL539" s="51">
        <f t="shared" si="509"/>
        <v>-89.801978919738815</v>
      </c>
      <c r="BM539" s="63">
        <f t="shared" si="510"/>
        <v>172.11004468421532</v>
      </c>
    </row>
    <row r="540" spans="14:65" x14ac:dyDescent="0.35">
      <c r="N540" s="11">
        <v>22</v>
      </c>
      <c r="O540" s="52">
        <f t="shared" si="462"/>
        <v>1659586.9074375622</v>
      </c>
      <c r="P540" s="50" t="str">
        <f t="shared" si="463"/>
        <v>36.531007751938</v>
      </c>
      <c r="Q540" s="18" t="str">
        <f t="shared" si="464"/>
        <v>1+5092.4961285764i</v>
      </c>
      <c r="R540" s="18">
        <f t="shared" si="475"/>
        <v>5092.4962267600777</v>
      </c>
      <c r="S540" s="18">
        <f t="shared" si="476"/>
        <v>1.5705999594414617</v>
      </c>
      <c r="T540" s="18" t="str">
        <f t="shared" si="465"/>
        <v>1+2.08549841455986i</v>
      </c>
      <c r="U540" s="18">
        <f t="shared" si="477"/>
        <v>2.3128561643845669</v>
      </c>
      <c r="V540" s="18">
        <f t="shared" si="478"/>
        <v>1.1236814343015831</v>
      </c>
      <c r="W540" s="32" t="str">
        <f t="shared" si="466"/>
        <v>1-34.5526364542462i</v>
      </c>
      <c r="X540" s="18">
        <f t="shared" si="479"/>
        <v>34.56710410114367</v>
      </c>
      <c r="Y540" s="18">
        <f t="shared" si="480"/>
        <v>-1.5418630515889755</v>
      </c>
      <c r="Z540" s="32" t="str">
        <f t="shared" si="467"/>
        <v>-55.9055517218629+15.701049481478i</v>
      </c>
      <c r="AA540" s="18">
        <f t="shared" si="481"/>
        <v>58.068525624004856</v>
      </c>
      <c r="AB540" s="18">
        <f t="shared" si="482"/>
        <v>2.8677963296752114</v>
      </c>
      <c r="AC540" s="68" t="str">
        <f t="shared" si="483"/>
        <v>0.00141914823151112+0.00977397989906371i</v>
      </c>
      <c r="AD540" s="66">
        <f t="shared" si="484"/>
        <v>-40.107964794645653</v>
      </c>
      <c r="AE540" s="63">
        <f t="shared" si="485"/>
        <v>81.738583086565754</v>
      </c>
      <c r="AF540" s="51" t="str">
        <f t="shared" si="486"/>
        <v>42.1703962805665</v>
      </c>
      <c r="AG540" s="51" t="str">
        <f t="shared" si="468"/>
        <v>1+920.072829952882i</v>
      </c>
      <c r="AH540" s="51">
        <f t="shared" si="487"/>
        <v>920.07337338796231</v>
      </c>
      <c r="AI540" s="51">
        <f t="shared" si="488"/>
        <v>1.5697094567410455</v>
      </c>
      <c r="AJ540" s="51" t="str">
        <f t="shared" si="469"/>
        <v>1+2.08549841455986i</v>
      </c>
      <c r="AK540" s="51">
        <f t="shared" si="489"/>
        <v>2.3128561643845669</v>
      </c>
      <c r="AL540" s="51">
        <f t="shared" si="490"/>
        <v>1.1236814343015831</v>
      </c>
      <c r="AM540" s="51" t="str">
        <f t="shared" si="470"/>
        <v>1-5.40785670870603i</v>
      </c>
      <c r="AN540" s="51">
        <f t="shared" si="491"/>
        <v>5.4995376334649082</v>
      </c>
      <c r="AO540" s="51">
        <f t="shared" si="492"/>
        <v>-1.3879456445450686</v>
      </c>
      <c r="AP540" s="60" t="str">
        <f t="shared" si="493"/>
        <v>-0.151664353152601-0.562915242084448i</v>
      </c>
      <c r="AQ540" s="51">
        <f t="shared" si="494"/>
        <v>-4.6867995421288553</v>
      </c>
      <c r="AR540" s="63">
        <f t="shared" si="495"/>
        <v>-105.07895085634478</v>
      </c>
      <c r="AS540" s="32" t="str">
        <f t="shared" si="471"/>
        <v>-0.000133283554228113</v>
      </c>
      <c r="AT540" s="32" t="str">
        <f t="shared" si="472"/>
        <v>0.637119765648037i</v>
      </c>
      <c r="AU540" s="32">
        <f t="shared" si="496"/>
        <v>0.63711976564803696</v>
      </c>
      <c r="AV540" s="32">
        <f t="shared" si="497"/>
        <v>1.5707963267948966</v>
      </c>
      <c r="AW540" s="32" t="str">
        <f t="shared" si="473"/>
        <v>1+111.395669042145i</v>
      </c>
      <c r="AX540" s="32">
        <f t="shared" si="498"/>
        <v>111.40015745656333</v>
      </c>
      <c r="AY540" s="32">
        <f t="shared" si="499"/>
        <v>1.5618195582395038</v>
      </c>
      <c r="AZ540" s="32" t="str">
        <f t="shared" si="474"/>
        <v>1+1660.06716548172i</v>
      </c>
      <c r="BA540" s="32">
        <f t="shared" si="500"/>
        <v>1660.067466674325</v>
      </c>
      <c r="BB540" s="32">
        <f t="shared" si="501"/>
        <v>1.5701939416023951</v>
      </c>
      <c r="BC540" s="60" t="str">
        <f t="shared" si="502"/>
        <v>-0.000026106171252807+0.00311731142949435i</v>
      </c>
      <c r="BD540" s="51">
        <f t="shared" si="503"/>
        <v>-50.124091587077871</v>
      </c>
      <c r="BE540" s="63">
        <f t="shared" si="504"/>
        <v>90.479816822718249</v>
      </c>
      <c r="BF540" s="60" t="str">
        <f t="shared" si="505"/>
        <v>-0.0000305055877777643+4.16876580916986E-06i</v>
      </c>
      <c r="BG540" s="66">
        <f t="shared" si="506"/>
        <v>-90.23205638172351</v>
      </c>
      <c r="BH540" s="63">
        <f t="shared" si="507"/>
        <v>172.21839990928399</v>
      </c>
      <c r="BI540" s="60" t="str">
        <f t="shared" si="460"/>
        <v>0.00175874149356278-0.000458089459818799i</v>
      </c>
      <c r="BJ540" s="66">
        <f t="shared" si="508"/>
        <v>-54.810891129206709</v>
      </c>
      <c r="BK540" s="63">
        <f t="shared" si="461"/>
        <v>-14.599134033626525</v>
      </c>
      <c r="BL540" s="51">
        <f t="shared" si="509"/>
        <v>-90.23205638172351</v>
      </c>
      <c r="BM540" s="63">
        <f t="shared" si="510"/>
        <v>172.21839990928399</v>
      </c>
    </row>
    <row r="541" spans="14:65" x14ac:dyDescent="0.35">
      <c r="N541" s="11">
        <v>23</v>
      </c>
      <c r="O541" s="52">
        <f t="shared" si="462"/>
        <v>1698243.6524617488</v>
      </c>
      <c r="P541" s="50" t="str">
        <f t="shared" si="463"/>
        <v>36.531007751938</v>
      </c>
      <c r="Q541" s="18" t="str">
        <f t="shared" si="464"/>
        <v>1+5211.11560158913i</v>
      </c>
      <c r="R541" s="18">
        <f t="shared" si="475"/>
        <v>5211.1156975378735</v>
      </c>
      <c r="S541" s="18">
        <f t="shared" si="476"/>
        <v>1.5706044293080283</v>
      </c>
      <c r="T541" s="18" t="str">
        <f t="shared" si="465"/>
        <v>1+2.13407591303174i</v>
      </c>
      <c r="U541" s="18">
        <f t="shared" si="477"/>
        <v>2.3567520027746354</v>
      </c>
      <c r="V541" s="18">
        <f t="shared" si="478"/>
        <v>1.132593500134311</v>
      </c>
      <c r="W541" s="32" t="str">
        <f t="shared" si="466"/>
        <v>1-35.3574707484549i</v>
      </c>
      <c r="X541" s="18">
        <f t="shared" si="479"/>
        <v>35.371609204669269</v>
      </c>
      <c r="Y541" s="18">
        <f t="shared" si="480"/>
        <v>-1.542521298286909</v>
      </c>
      <c r="Z541" s="32" t="str">
        <f t="shared" si="467"/>
        <v>-58.5874277505503+16.0667739058499i</v>
      </c>
      <c r="AA541" s="18">
        <f t="shared" si="481"/>
        <v>60.750538385825436</v>
      </c>
      <c r="AB541" s="18">
        <f t="shared" si="482"/>
        <v>2.8739369919462447</v>
      </c>
      <c r="AC541" s="68" t="str">
        <f t="shared" si="483"/>
        <v>0.00136213776855189+0.00952250423653296i</v>
      </c>
      <c r="AD541" s="66">
        <f t="shared" si="484"/>
        <v>-40.337009814422331</v>
      </c>
      <c r="AE541" s="63">
        <f t="shared" si="485"/>
        <v>81.859401951819038</v>
      </c>
      <c r="AF541" s="51" t="str">
        <f t="shared" si="486"/>
        <v>42.1703962805665</v>
      </c>
      <c r="AG541" s="51" t="str">
        <f t="shared" si="468"/>
        <v>1+941.504079278712i</v>
      </c>
      <c r="AH541" s="51">
        <f t="shared" si="487"/>
        <v>941.50461034370676</v>
      </c>
      <c r="AI541" s="51">
        <f t="shared" si="488"/>
        <v>1.5697341969051077</v>
      </c>
      <c r="AJ541" s="51" t="str">
        <f t="shared" si="469"/>
        <v>1+2.13407591303174i</v>
      </c>
      <c r="AK541" s="51">
        <f t="shared" si="489"/>
        <v>2.3567520027746354</v>
      </c>
      <c r="AL541" s="51">
        <f t="shared" si="490"/>
        <v>1.132593500134311</v>
      </c>
      <c r="AM541" s="51" t="str">
        <f t="shared" si="470"/>
        <v>1-5.53382187327738i</v>
      </c>
      <c r="AN541" s="51">
        <f t="shared" si="491"/>
        <v>5.6234495218827361</v>
      </c>
      <c r="AO541" s="51">
        <f t="shared" si="492"/>
        <v>-1.3920187221030444</v>
      </c>
      <c r="AP541" s="60" t="str">
        <f t="shared" si="493"/>
        <v>-0.151666603274069-0.573908723932287i</v>
      </c>
      <c r="AQ541" s="51">
        <f t="shared" si="494"/>
        <v>-4.529961658412418</v>
      </c>
      <c r="AR541" s="63">
        <f t="shared" si="495"/>
        <v>-104.80311475807343</v>
      </c>
      <c r="AS541" s="32" t="str">
        <f t="shared" si="471"/>
        <v>-0.000133283554228113</v>
      </c>
      <c r="AT541" s="32" t="str">
        <f t="shared" si="472"/>
        <v>0.651960191431194i</v>
      </c>
      <c r="AU541" s="32">
        <f t="shared" si="496"/>
        <v>0.65196019143119399</v>
      </c>
      <c r="AV541" s="32">
        <f t="shared" si="497"/>
        <v>1.5707963267948966</v>
      </c>
      <c r="AW541" s="32" t="str">
        <f t="shared" si="473"/>
        <v>1+113.990407501254i</v>
      </c>
      <c r="AX541" s="32">
        <f t="shared" si="498"/>
        <v>113.99479375086366</v>
      </c>
      <c r="AY541" s="32">
        <f t="shared" si="499"/>
        <v>1.5620238838335108</v>
      </c>
      <c r="AZ541" s="32" t="str">
        <f t="shared" si="474"/>
        <v>1+1698.73509715283i</v>
      </c>
      <c r="BA541" s="32">
        <f t="shared" si="500"/>
        <v>1698.7353914894557</v>
      </c>
      <c r="BB541" s="32">
        <f t="shared" si="501"/>
        <v>1.570207653560227</v>
      </c>
      <c r="BC541" s="60" t="str">
        <f t="shared" si="502"/>
        <v>-0.0000249312904143176+0.00304636306505237i</v>
      </c>
      <c r="BD541" s="51">
        <f t="shared" si="503"/>
        <v>-50.324075907389542</v>
      </c>
      <c r="BE541" s="63">
        <f t="shared" si="504"/>
        <v>90.468895465847766</v>
      </c>
      <c r="BF541" s="60" t="str">
        <f t="shared" si="505"/>
        <v>-0.0000290429650452708+3.91215786903676E-06i</v>
      </c>
      <c r="BG541" s="66">
        <f t="shared" si="506"/>
        <v>-90.661085721811872</v>
      </c>
      <c r="BH541" s="63">
        <f t="shared" si="507"/>
        <v>172.32829741766682</v>
      </c>
      <c r="BI541" s="60" t="str">
        <f t="shared" si="460"/>
        <v>0.00175211558343104-0.000447723253348408i</v>
      </c>
      <c r="BJ541" s="66">
        <f t="shared" si="508"/>
        <v>-54.854037565801931</v>
      </c>
      <c r="BK541" s="63">
        <f t="shared" si="461"/>
        <v>-14.334219292225614</v>
      </c>
      <c r="BL541" s="51">
        <f t="shared" si="509"/>
        <v>-90.661085721811872</v>
      </c>
      <c r="BM541" s="63">
        <f t="shared" si="510"/>
        <v>172.32829741766682</v>
      </c>
    </row>
    <row r="542" spans="14:65" x14ac:dyDescent="0.35">
      <c r="N542" s="11">
        <v>24</v>
      </c>
      <c r="O542" s="52">
        <f t="shared" si="462"/>
        <v>1737800.8287493798</v>
      </c>
      <c r="P542" s="50" t="str">
        <f t="shared" si="463"/>
        <v>36.531007751938</v>
      </c>
      <c r="Q542" s="18" t="str">
        <f t="shared" si="464"/>
        <v>1+5332.49807707103i</v>
      </c>
      <c r="R542" s="18">
        <f t="shared" si="475"/>
        <v>5332.4981708357127</v>
      </c>
      <c r="S542" s="18">
        <f t="shared" si="476"/>
        <v>1.5706087974280174</v>
      </c>
      <c r="T542" s="18" t="str">
        <f t="shared" si="465"/>
        <v>1+2.18378492680052i</v>
      </c>
      <c r="U542" s="18">
        <f t="shared" si="477"/>
        <v>2.4018569080028795</v>
      </c>
      <c r="V542" s="18">
        <f t="shared" si="478"/>
        <v>1.1413752227175846</v>
      </c>
      <c r="W542" s="32" t="str">
        <f t="shared" si="466"/>
        <v>1-36.1810520416655i</v>
      </c>
      <c r="X542" s="18">
        <f t="shared" si="479"/>
        <v>36.194868791607838</v>
      </c>
      <c r="Y542" s="18">
        <f t="shared" si="480"/>
        <v>-1.543164585144293</v>
      </c>
      <c r="Z542" s="32" t="str">
        <f t="shared" si="467"/>
        <v>-61.3956967025213+16.4410171464154i</v>
      </c>
      <c r="AA542" s="18">
        <f t="shared" si="481"/>
        <v>63.558938147177308</v>
      </c>
      <c r="AB542" s="18">
        <f t="shared" si="482"/>
        <v>2.8799438743766546</v>
      </c>
      <c r="AC542" s="68" t="str">
        <f t="shared" si="483"/>
        <v>0.0013071100399717+0.00927857435397268i</v>
      </c>
      <c r="AD542" s="66">
        <f t="shared" si="484"/>
        <v>-40.565031162615725</v>
      </c>
      <c r="AE542" s="63">
        <f t="shared" si="485"/>
        <v>81.981280684617488</v>
      </c>
      <c r="AF542" s="51" t="str">
        <f t="shared" si="486"/>
        <v>42.1703962805665</v>
      </c>
      <c r="AG542" s="51" t="str">
        <f t="shared" si="468"/>
        <v>1+963.434526529644i</v>
      </c>
      <c r="AH542" s="51">
        <f t="shared" si="487"/>
        <v>963.43504550613034</v>
      </c>
      <c r="AI542" s="51">
        <f t="shared" si="488"/>
        <v>1.5697583739155383</v>
      </c>
      <c r="AJ542" s="51" t="str">
        <f t="shared" si="469"/>
        <v>1+2.18378492680052i</v>
      </c>
      <c r="AK542" s="51">
        <f t="shared" si="489"/>
        <v>2.4018569080028795</v>
      </c>
      <c r="AL542" s="51">
        <f t="shared" si="490"/>
        <v>1.1413752227175846</v>
      </c>
      <c r="AM542" s="51" t="str">
        <f t="shared" si="470"/>
        <v>1-5.66272114345467i</v>
      </c>
      <c r="AN542" s="51">
        <f t="shared" si="491"/>
        <v>5.7503400550340125</v>
      </c>
      <c r="AO542" s="51">
        <f t="shared" si="492"/>
        <v>-1.3960048871741184</v>
      </c>
      <c r="AP542" s="60" t="str">
        <f t="shared" si="493"/>
        <v>-0.151668752123611-0.585206499566944i</v>
      </c>
      <c r="AQ542" s="51">
        <f t="shared" si="494"/>
        <v>-4.3714819843948014</v>
      </c>
      <c r="AR542" s="63">
        <f t="shared" si="495"/>
        <v>-104.52973479287098</v>
      </c>
      <c r="AS542" s="32" t="str">
        <f t="shared" si="471"/>
        <v>-0.000133283554228113</v>
      </c>
      <c r="AT542" s="32" t="str">
        <f t="shared" si="472"/>
        <v>0.66714629513756i</v>
      </c>
      <c r="AU542" s="32">
        <f t="shared" si="496"/>
        <v>0.66714629513755996</v>
      </c>
      <c r="AV542" s="32">
        <f t="shared" si="497"/>
        <v>1.5707963267948966</v>
      </c>
      <c r="AW542" s="32" t="str">
        <f t="shared" si="473"/>
        <v>1+116.64558518326i</v>
      </c>
      <c r="AX542" s="32">
        <f t="shared" si="498"/>
        <v>116.64987159335051</v>
      </c>
      <c r="AY542" s="32">
        <f t="shared" si="499"/>
        <v>1.562223559116974</v>
      </c>
      <c r="AZ542" s="32" t="str">
        <f t="shared" si="474"/>
        <v>1+1738.30372065785i</v>
      </c>
      <c r="BA542" s="32">
        <f t="shared" si="500"/>
        <v>1738.3040082945572</v>
      </c>
      <c r="BB542" s="32">
        <f t="shared" si="501"/>
        <v>1.5702210533960062</v>
      </c>
      <c r="BC542" s="60" t="str">
        <f t="shared" si="502"/>
        <v>-0.0000238092799688406+0.00297702899468472i</v>
      </c>
      <c r="BD542" s="51">
        <f t="shared" si="503"/>
        <v>-50.524060933350114</v>
      </c>
      <c r="BE542" s="63">
        <f t="shared" si="504"/>
        <v>90.458222668868558</v>
      </c>
      <c r="BF542" s="60" t="str">
        <f t="shared" si="505"/>
        <v>-0.0000276537062300065+3.67038831373381E-06i</v>
      </c>
      <c r="BG542" s="66">
        <f t="shared" si="506"/>
        <v>-91.089092095965825</v>
      </c>
      <c r="BH542" s="63">
        <f t="shared" si="507"/>
        <v>172.43950335348606</v>
      </c>
      <c r="BI542" s="60" t="str">
        <f t="shared" si="460"/>
        <v>0.00174578784087058-0.000437588927271865i</v>
      </c>
      <c r="BJ542" s="66">
        <f t="shared" si="508"/>
        <v>-54.895542917744905</v>
      </c>
      <c r="BK542" s="63">
        <f t="shared" si="461"/>
        <v>-14.071512124002409</v>
      </c>
      <c r="BL542" s="51">
        <f t="shared" si="509"/>
        <v>-91.089092095965825</v>
      </c>
      <c r="BM542" s="63">
        <f t="shared" si="510"/>
        <v>172.43950335348606</v>
      </c>
    </row>
    <row r="543" spans="14:65" x14ac:dyDescent="0.35">
      <c r="N543" s="11">
        <v>25</v>
      </c>
      <c r="O543" s="52">
        <f t="shared" si="462"/>
        <v>1778279.4100389241</v>
      </c>
      <c r="P543" s="50" t="str">
        <f t="shared" si="463"/>
        <v>36.531007751938</v>
      </c>
      <c r="Q543" s="18" t="str">
        <f t="shared" si="464"/>
        <v>1+5456.70791361735i</v>
      </c>
      <c r="R543" s="18">
        <f t="shared" si="475"/>
        <v>5456.7080052476895</v>
      </c>
      <c r="S543" s="18">
        <f t="shared" si="476"/>
        <v>1.5706130661174633</v>
      </c>
      <c r="T543" s="18" t="str">
        <f t="shared" si="465"/>
        <v>1+2.2346518122433i</v>
      </c>
      <c r="U543" s="18">
        <f t="shared" si="477"/>
        <v>2.448197034954962</v>
      </c>
      <c r="V543" s="18">
        <f t="shared" si="478"/>
        <v>1.150025839337681</v>
      </c>
      <c r="W543" s="32" t="str">
        <f t="shared" si="466"/>
        <v>1-37.0238170075813i</v>
      </c>
      <c r="X543" s="18">
        <f t="shared" si="479"/>
        <v>37.037319365889132</v>
      </c>
      <c r="Y543" s="18">
        <f t="shared" si="480"/>
        <v>-1.5437932511094861</v>
      </c>
      <c r="Z543" s="32" t="str">
        <f t="shared" si="467"/>
        <v>-64.3363152927348+16.8239776318945i</v>
      </c>
      <c r="AA543" s="18">
        <f t="shared" si="481"/>
        <v>66.499681869950834</v>
      </c>
      <c r="AB543" s="18">
        <f t="shared" si="482"/>
        <v>2.8858196347647707</v>
      </c>
      <c r="AC543" s="68" t="str">
        <f t="shared" si="483"/>
        <v>0.00125402453609779+0.0090419088278253i</v>
      </c>
      <c r="AD543" s="66">
        <f t="shared" si="484"/>
        <v>-40.792054310806293</v>
      </c>
      <c r="AE543" s="63">
        <f t="shared" si="485"/>
        <v>82.104003751047202</v>
      </c>
      <c r="AF543" s="51" t="str">
        <f t="shared" si="486"/>
        <v>42.1703962805665</v>
      </c>
      <c r="AG543" s="51" t="str">
        <f t="shared" si="468"/>
        <v>1+985.875799519106i</v>
      </c>
      <c r="AH543" s="51">
        <f t="shared" si="487"/>
        <v>985.8763066822512</v>
      </c>
      <c r="AI543" s="51">
        <f t="shared" si="488"/>
        <v>1.5697820005911951</v>
      </c>
      <c r="AJ543" s="51" t="str">
        <f t="shared" si="469"/>
        <v>1+2.2346518122433i</v>
      </c>
      <c r="AK543" s="51">
        <f t="shared" si="489"/>
        <v>2.448197034954962</v>
      </c>
      <c r="AL543" s="51">
        <f t="shared" si="490"/>
        <v>1.150025839337681</v>
      </c>
      <c r="AM543" s="51" t="str">
        <f t="shared" si="470"/>
        <v>1-5.79462286333719i</v>
      </c>
      <c r="AN543" s="51">
        <f t="shared" si="491"/>
        <v>5.8802767050803055</v>
      </c>
      <c r="AO543" s="51">
        <f t="shared" si="492"/>
        <v>-1.3999057463192224</v>
      </c>
      <c r="AP543" s="60" t="str">
        <f t="shared" si="493"/>
        <v>-0.151670804259196-0.596814559232971i</v>
      </c>
      <c r="AQ543" s="51">
        <f t="shared" si="494"/>
        <v>-4.2114123350301762</v>
      </c>
      <c r="AR543" s="63">
        <f t="shared" si="495"/>
        <v>-104.25894744464225</v>
      </c>
      <c r="AS543" s="32" t="str">
        <f t="shared" si="471"/>
        <v>-0.000133283554228113</v>
      </c>
      <c r="AT543" s="32" t="str">
        <f t="shared" si="472"/>
        <v>0.682686128640331i</v>
      </c>
      <c r="AU543" s="32">
        <f t="shared" si="496"/>
        <v>0.68268612864033096</v>
      </c>
      <c r="AV543" s="32">
        <f t="shared" si="497"/>
        <v>1.5707963267948966</v>
      </c>
      <c r="AW543" s="32" t="str">
        <f t="shared" si="473"/>
        <v>1+119.362609898517i</v>
      </c>
      <c r="AX543" s="32">
        <f t="shared" si="498"/>
        <v>119.36679874146557</v>
      </c>
      <c r="AY543" s="32">
        <f t="shared" si="499"/>
        <v>1.562418689896647</v>
      </c>
      <c r="AZ543" s="32" t="str">
        <f t="shared" si="474"/>
        <v>1+1778.79401580473i</v>
      </c>
      <c r="BA543" s="32">
        <f t="shared" si="500"/>
        <v>1778.7942968940276</v>
      </c>
      <c r="BB543" s="32">
        <f t="shared" si="501"/>
        <v>1.5702341482144839</v>
      </c>
      <c r="BC543" s="60" t="str">
        <f t="shared" si="502"/>
        <v>-0.0000227377610566112+0.00290927251847697i</v>
      </c>
      <c r="BD543" s="51">
        <f t="shared" si="503"/>
        <v>-50.724046633204793</v>
      </c>
      <c r="BE543" s="63">
        <f t="shared" si="504"/>
        <v>90.44779277657247</v>
      </c>
      <c r="BF543" s="60" t="str">
        <f t="shared" si="505"/>
        <v>-0.0000263338905776274+3.44270635794238E-06i</v>
      </c>
      <c r="BG543" s="66">
        <f t="shared" si="506"/>
        <v>-91.516100944011072</v>
      </c>
      <c r="BH543" s="63">
        <f t="shared" si="507"/>
        <v>172.55179652761967</v>
      </c>
      <c r="BI543" s="60" t="str">
        <f t="shared" si="460"/>
        <v>0.00173974485030994-0.000427681475843633i</v>
      </c>
      <c r="BJ543" s="66">
        <f t="shared" si="508"/>
        <v>-54.935458968234954</v>
      </c>
      <c r="BK543" s="63">
        <f t="shared" si="461"/>
        <v>-13.811154668069767</v>
      </c>
      <c r="BL543" s="51">
        <f t="shared" si="509"/>
        <v>-91.516100944011072</v>
      </c>
      <c r="BM543" s="63">
        <f t="shared" si="510"/>
        <v>172.55179652761967</v>
      </c>
    </row>
    <row r="544" spans="14:65" x14ac:dyDescent="0.35">
      <c r="N544" s="11">
        <v>26</v>
      </c>
      <c r="O544" s="52">
        <f t="shared" si="462"/>
        <v>1819700.8586099846</v>
      </c>
      <c r="P544" s="50" t="str">
        <f t="shared" si="463"/>
        <v>36.531007751938</v>
      </c>
      <c r="Q544" s="18" t="str">
        <f t="shared" si="464"/>
        <v>1+5583.81096892758i</v>
      </c>
      <c r="R544" s="18">
        <f t="shared" si="475"/>
        <v>5583.8110584721571</v>
      </c>
      <c r="S544" s="18">
        <f t="shared" si="476"/>
        <v>1.570617237639681</v>
      </c>
      <c r="T544" s="18" t="str">
        <f t="shared" si="465"/>
        <v>1+2.28670353965606i</v>
      </c>
      <c r="U544" s="18">
        <f t="shared" si="477"/>
        <v>2.4957990861196246</v>
      </c>
      <c r="V544" s="18">
        <f t="shared" si="478"/>
        <v>1.1585447568051497</v>
      </c>
      <c r="W544" s="32" t="str">
        <f t="shared" si="466"/>
        <v>1-37.886212491343i</v>
      </c>
      <c r="X544" s="18">
        <f t="shared" si="479"/>
        <v>37.899407606705338</v>
      </c>
      <c r="Y544" s="18">
        <f t="shared" si="480"/>
        <v>-1.5444076275206715</v>
      </c>
      <c r="Z544" s="32" t="str">
        <f t="shared" si="467"/>
        <v>-67.4155209674773+17.2158584130058i</v>
      </c>
      <c r="AA544" s="18">
        <f t="shared" si="481"/>
        <v>69.579007237909295</v>
      </c>
      <c r="AB544" s="18">
        <f t="shared" si="482"/>
        <v>2.8915668948978515</v>
      </c>
      <c r="AC544" s="68" t="str">
        <f t="shared" si="483"/>
        <v>0.00120283860413983+0.00881223872787161i</v>
      </c>
      <c r="AD544" s="66">
        <f t="shared" si="484"/>
        <v>-41.018104927792436</v>
      </c>
      <c r="AE544" s="63">
        <f t="shared" si="485"/>
        <v>82.227367832553512</v>
      </c>
      <c r="AF544" s="51" t="str">
        <f t="shared" si="486"/>
        <v>42.1703962805665</v>
      </c>
      <c r="AG544" s="51" t="str">
        <f t="shared" si="468"/>
        <v>1+1008.83979690709i</v>
      </c>
      <c r="AH544" s="51">
        <f t="shared" si="487"/>
        <v>1008.8402925257984</v>
      </c>
      <c r="AI544" s="51">
        <f t="shared" si="488"/>
        <v>1.5698050894591484</v>
      </c>
      <c r="AJ544" s="51" t="str">
        <f t="shared" si="469"/>
        <v>1+2.28670353965606i</v>
      </c>
      <c r="AK544" s="51">
        <f t="shared" si="489"/>
        <v>2.4957990861196246</v>
      </c>
      <c r="AL544" s="51">
        <f t="shared" si="490"/>
        <v>1.1585447568051497</v>
      </c>
      <c r="AM544" s="51" t="str">
        <f t="shared" si="470"/>
        <v>1-5.92959696896279i</v>
      </c>
      <c r="AN544" s="51">
        <f t="shared" si="491"/>
        <v>6.0133285470139342</v>
      </c>
      <c r="AO544" s="51">
        <f t="shared" si="492"/>
        <v>-1.4037228927231677</v>
      </c>
      <c r="AP544" s="60" t="str">
        <f t="shared" si="493"/>
        <v>-0.151672764033652-0.608739057690664i</v>
      </c>
      <c r="AQ544" s="51">
        <f t="shared" si="494"/>
        <v>-4.0498036615246766</v>
      </c>
      <c r="AR544" s="63">
        <f t="shared" si="495"/>
        <v>-103.99087870115316</v>
      </c>
      <c r="AS544" s="32" t="str">
        <f t="shared" si="471"/>
        <v>-0.000133283554228113</v>
      </c>
      <c r="AT544" s="32" t="str">
        <f t="shared" si="472"/>
        <v>0.698587931364928i</v>
      </c>
      <c r="AU544" s="32">
        <f t="shared" si="496"/>
        <v>0.69858793136492803</v>
      </c>
      <c r="AV544" s="32">
        <f t="shared" si="497"/>
        <v>1.5707963267948966</v>
      </c>
      <c r="AW544" s="32" t="str">
        <f t="shared" si="473"/>
        <v>1+122.142922249494i</v>
      </c>
      <c r="AX544" s="32">
        <f t="shared" si="498"/>
        <v>122.14701574596876</v>
      </c>
      <c r="AY544" s="32">
        <f t="shared" si="499"/>
        <v>1.5626093795739791</v>
      </c>
      <c r="AZ544" s="32" t="str">
        <f t="shared" si="474"/>
        <v>1+1820.22745108392i</v>
      </c>
      <c r="BA544" s="32">
        <f t="shared" si="500"/>
        <v>1820.2277257748449</v>
      </c>
      <c r="BB544" s="32">
        <f t="shared" si="501"/>
        <v>1.5702469449586884</v>
      </c>
      <c r="BC544" s="60" t="str">
        <f t="shared" si="502"/>
        <v>-0.0000217144618226172+0.00284305776884354i</v>
      </c>
      <c r="BD544" s="51">
        <f t="shared" si="503"/>
        <v>-50.924032976627728</v>
      </c>
      <c r="BE544" s="63">
        <f t="shared" si="504"/>
        <v>90.437600262299043</v>
      </c>
      <c r="BF544" s="60" t="str">
        <f t="shared" si="505"/>
        <v>-0.0000250798227691277+3.22838661673651E-06i</v>
      </c>
      <c r="BG544" s="66">
        <f t="shared" si="506"/>
        <v>-91.94213790442015</v>
      </c>
      <c r="BH544" s="63">
        <f t="shared" si="507"/>
        <v>172.66496809485255</v>
      </c>
      <c r="BI544" s="60" t="str">
        <f t="shared" si="460"/>
        <v>0.00173397379961008-0.000417995989079688i</v>
      </c>
      <c r="BJ544" s="66">
        <f t="shared" si="508"/>
        <v>-54.973836638152392</v>
      </c>
      <c r="BK544" s="63">
        <f t="shared" si="461"/>
        <v>-13.553278438854106</v>
      </c>
      <c r="BL544" s="51">
        <f t="shared" si="509"/>
        <v>-91.94213790442015</v>
      </c>
      <c r="BM544" s="63">
        <f t="shared" si="510"/>
        <v>172.66496809485255</v>
      </c>
    </row>
    <row r="545" spans="14:65" x14ac:dyDescent="0.35">
      <c r="N545" s="11">
        <v>27</v>
      </c>
      <c r="O545" s="52">
        <f t="shared" si="462"/>
        <v>1862087.1366628683</v>
      </c>
      <c r="P545" s="50" t="str">
        <f t="shared" si="463"/>
        <v>36.531007751938</v>
      </c>
      <c r="Q545" s="18" t="str">
        <f t="shared" si="464"/>
        <v>1+5713.874634724i</v>
      </c>
      <c r="R545" s="18">
        <f t="shared" si="475"/>
        <v>5713.8747222302945</v>
      </c>
      <c r="S545" s="18">
        <f t="shared" si="476"/>
        <v>1.5706213142064662</v>
      </c>
      <c r="T545" s="18" t="str">
        <f t="shared" si="465"/>
        <v>1+2.33996770755364i</v>
      </c>
      <c r="U545" s="18">
        <f t="shared" si="477"/>
        <v>2.5446903293709116</v>
      </c>
      <c r="V545" s="18">
        <f t="shared" si="478"/>
        <v>1.1669315450410211</v>
      </c>
      <c r="W545" s="32" t="str">
        <f t="shared" si="466"/>
        <v>1-38.7686957464509i</v>
      </c>
      <c r="X545" s="18">
        <f t="shared" si="479"/>
        <v>38.781590605348825</v>
      </c>
      <c r="Y545" s="18">
        <f t="shared" si="480"/>
        <v>-1.5450080382720797</v>
      </c>
      <c r="Z545" s="32" t="str">
        <f t="shared" si="467"/>
        <v>-70.6398451348202+17.6168672701265i</v>
      </c>
      <c r="AA545" s="18">
        <f t="shared" si="481"/>
        <v>72.803445887434719</v>
      </c>
      <c r="AB545" s="18">
        <f t="shared" si="482"/>
        <v>2.8971882398801445</v>
      </c>
      <c r="AC545" s="68" t="str">
        <f t="shared" si="483"/>
        <v>0.00115350785418348+0.00858930705137733i</v>
      </c>
      <c r="AD545" s="66">
        <f t="shared" si="484"/>
        <v>-41.243208799944505</v>
      </c>
      <c r="AE545" s="63">
        <f t="shared" si="485"/>
        <v>82.351181487364784</v>
      </c>
      <c r="AF545" s="51" t="str">
        <f t="shared" si="486"/>
        <v>42.1703962805665</v>
      </c>
      <c r="AG545" s="51" t="str">
        <f t="shared" si="468"/>
        <v>1+1032.33869450896i</v>
      </c>
      <c r="AH545" s="51">
        <f t="shared" si="487"/>
        <v>1032.3391788460149</v>
      </c>
      <c r="AI545" s="51">
        <f t="shared" si="488"/>
        <v>1.5698276527613235</v>
      </c>
      <c r="AJ545" s="51" t="str">
        <f t="shared" si="469"/>
        <v>1+2.33996770755364i</v>
      </c>
      <c r="AK545" s="51">
        <f t="shared" si="489"/>
        <v>2.5446903293709116</v>
      </c>
      <c r="AL545" s="51">
        <f t="shared" si="490"/>
        <v>1.1669315450410211</v>
      </c>
      <c r="AM545" s="51" t="str">
        <f t="shared" si="470"/>
        <v>1-6.06771502538882i</v>
      </c>
      <c r="AN545" s="51">
        <f t="shared" si="491"/>
        <v>6.1495662960349691</v>
      </c>
      <c r="AO545" s="51">
        <f t="shared" si="492"/>
        <v>-1.4074579051192131</v>
      </c>
      <c r="AP545" s="60" t="str">
        <f t="shared" si="493"/>
        <v>-0.151674635603896-0.62098631747945i</v>
      </c>
      <c r="AQ545" s="51">
        <f t="shared" si="494"/>
        <v>-3.8867060091237371</v>
      </c>
      <c r="AR545" s="63">
        <f t="shared" si="495"/>
        <v>-103.72564436027662</v>
      </c>
      <c r="AS545" s="32" t="str">
        <f t="shared" si="471"/>
        <v>-0.000133283554228113</v>
      </c>
      <c r="AT545" s="32" t="str">
        <f t="shared" si="472"/>
        <v>0.71486013465764i</v>
      </c>
      <c r="AU545" s="32">
        <f t="shared" si="496"/>
        <v>0.71486013465763998</v>
      </c>
      <c r="AV545" s="32">
        <f t="shared" si="497"/>
        <v>1.5707963267948966</v>
      </c>
      <c r="AW545" s="32" t="str">
        <f t="shared" si="473"/>
        <v>1+124.9879963946i</v>
      </c>
      <c r="AX545" s="32">
        <f t="shared" si="498"/>
        <v>124.99199671473588</v>
      </c>
      <c r="AY545" s="32">
        <f t="shared" si="499"/>
        <v>1.5627957291996581</v>
      </c>
      <c r="AZ545" s="32" t="str">
        <f t="shared" si="474"/>
        <v>1+1862.62599505123i</v>
      </c>
      <c r="BA545" s="32">
        <f t="shared" si="500"/>
        <v>1862.6262634894269</v>
      </c>
      <c r="BB545" s="32">
        <f t="shared" si="501"/>
        <v>1.5702594504136058</v>
      </c>
      <c r="BC545" s="60" t="str">
        <f t="shared" si="502"/>
        <v>-0.0000207372126060084+0.00277834969178605i</v>
      </c>
      <c r="BD545" s="51">
        <f t="shared" si="503"/>
        <v>-51.12401993465739</v>
      </c>
      <c r="BE545" s="63">
        <f t="shared" si="504"/>
        <v>90.427639725021464</v>
      </c>
      <c r="BF545" s="60" t="str">
        <f t="shared" si="505"/>
        <v>-0.0000238880191364649+3.02672990468076E-06i</v>
      </c>
      <c r="BG545" s="66">
        <f t="shared" si="506"/>
        <v>-92.367228734601881</v>
      </c>
      <c r="BH545" s="63">
        <f t="shared" si="507"/>
        <v>172.77882121238625</v>
      </c>
      <c r="BI545" s="60" t="str">
        <f t="shared" si="460"/>
        <v>0.00172846245293784-0.000408527651790852i</v>
      </c>
      <c r="BJ545" s="66">
        <f t="shared" si="508"/>
        <v>-55.010725943781139</v>
      </c>
      <c r="BK545" s="63">
        <f t="shared" si="461"/>
        <v>-13.29800463525515</v>
      </c>
      <c r="BL545" s="51">
        <f t="shared" si="509"/>
        <v>-92.367228734601881</v>
      </c>
      <c r="BM545" s="63">
        <f t="shared" si="510"/>
        <v>172.77882121238625</v>
      </c>
    </row>
    <row r="546" spans="14:65" x14ac:dyDescent="0.35">
      <c r="N546" s="11">
        <v>28</v>
      </c>
      <c r="O546" s="52">
        <f t="shared" si="462"/>
        <v>1905460.7179632513</v>
      </c>
      <c r="P546" s="50" t="str">
        <f t="shared" si="463"/>
        <v>36.531007751938</v>
      </c>
      <c r="Q546" s="18" t="str">
        <f t="shared" si="464"/>
        <v>1+5846.96787248387i</v>
      </c>
      <c r="R546" s="18">
        <f t="shared" si="475"/>
        <v>5846.9679579982794</v>
      </c>
      <c r="S546" s="18">
        <f t="shared" si="476"/>
        <v>1.5706252979792679</v>
      </c>
      <c r="T546" s="18" t="str">
        <f t="shared" si="465"/>
        <v>1+2.39447255730292i</v>
      </c>
      <c r="U546" s="18">
        <f t="shared" si="477"/>
        <v>2.5948986160689955</v>
      </c>
      <c r="V546" s="18">
        <f t="shared" si="478"/>
        <v>1.1751859304869707</v>
      </c>
      <c r="W546" s="32" t="str">
        <f t="shared" si="466"/>
        <v>1-39.6717346772082i</v>
      </c>
      <c r="X546" s="18">
        <f t="shared" si="479"/>
        <v>39.684336107572769</v>
      </c>
      <c r="Y546" s="18">
        <f t="shared" si="480"/>
        <v>-1.5455947999768958</v>
      </c>
      <c r="Z546" s="32" t="str">
        <f t="shared" si="467"/>
        <v>-74.0161270186169+18.0272168234608i</v>
      </c>
      <c r="AA546" s="18">
        <f t="shared" si="481"/>
        <v>76.179837261811599</v>
      </c>
      <c r="AB546" s="18">
        <f t="shared" si="482"/>
        <v>2.9026862175611732</v>
      </c>
      <c r="AC546" s="68" t="str">
        <f t="shared" si="483"/>
        <v>0.00110598652444561+0.00837286817662699i</v>
      </c>
      <c r="AD546" s="66">
        <f t="shared" si="484"/>
        <v>-41.467391757019563</v>
      </c>
      <c r="AE546" s="63">
        <f t="shared" si="485"/>
        <v>82.475264796278026</v>
      </c>
      <c r="AF546" s="51" t="str">
        <f t="shared" si="486"/>
        <v>42.1703962805665</v>
      </c>
      <c r="AG546" s="51" t="str">
        <f t="shared" si="468"/>
        <v>1+1056.38495175129i</v>
      </c>
      <c r="AH546" s="51">
        <f t="shared" si="487"/>
        <v>1056.385425063492</v>
      </c>
      <c r="AI546" s="51">
        <f t="shared" si="488"/>
        <v>1.5698497024609899</v>
      </c>
      <c r="AJ546" s="51" t="str">
        <f t="shared" si="469"/>
        <v>1+2.39447255730292i</v>
      </c>
      <c r="AK546" s="51">
        <f t="shared" si="489"/>
        <v>2.5948986160689955</v>
      </c>
      <c r="AL546" s="51">
        <f t="shared" si="490"/>
        <v>1.1751859304869707</v>
      </c>
      <c r="AM546" s="51" t="str">
        <f t="shared" si="470"/>
        <v>1-6.20905026463707i</v>
      </c>
      <c r="AN546" s="51">
        <f t="shared" si="491"/>
        <v>6.2890623457547044</v>
      </c>
      <c r="AO546" s="51">
        <f t="shared" si="492"/>
        <v>-1.4111123468131244</v>
      </c>
      <c r="AP546" s="60" t="str">
        <f t="shared" si="493"/>
        <v>-0.151676422939759-0.633562832270258i</v>
      </c>
      <c r="AQ546" s="51">
        <f t="shared" si="494"/>
        <v>-3.722168479502094</v>
      </c>
      <c r="AR546" s="63">
        <f t="shared" si="495"/>
        <v>-103.46335035201771</v>
      </c>
      <c r="AS546" s="32" t="str">
        <f t="shared" si="471"/>
        <v>-0.000133283554228113</v>
      </c>
      <c r="AT546" s="32" t="str">
        <f t="shared" si="472"/>
        <v>0.73151136625604i</v>
      </c>
      <c r="AU546" s="32">
        <f t="shared" si="496"/>
        <v>0.73151136625603996</v>
      </c>
      <c r="AV546" s="32">
        <f t="shared" si="497"/>
        <v>1.5707963267948966</v>
      </c>
      <c r="AW546" s="32" t="str">
        <f t="shared" si="473"/>
        <v>1+127.899340829807i</v>
      </c>
      <c r="AX546" s="32">
        <f t="shared" si="498"/>
        <v>127.90325009435506</v>
      </c>
      <c r="AY546" s="32">
        <f t="shared" si="499"/>
        <v>1.5629778375269225</v>
      </c>
      <c r="AZ546" s="32" t="str">
        <f t="shared" si="474"/>
        <v>1+1906.01212797591i</v>
      </c>
      <c r="BA546" s="32">
        <f t="shared" si="500"/>
        <v>1906.0123903037088</v>
      </c>
      <c r="BB546" s="32">
        <f t="shared" si="501"/>
        <v>1.5702716712097784</v>
      </c>
      <c r="BC546" s="60" t="str">
        <f t="shared" si="502"/>
        <v>-0.0000198039413455418+0.00271511402856446i</v>
      </c>
      <c r="BD546" s="51">
        <f t="shared" si="503"/>
        <v>-51.324007479635512</v>
      </c>
      <c r="BE546" s="63">
        <f t="shared" si="504"/>
        <v>90.417905886498019</v>
      </c>
      <c r="BF546" s="60" t="str">
        <f t="shared" si="505"/>
        <v>-0.00002275519473794+2.83706373766165E-06i</v>
      </c>
      <c r="BG546" s="66">
        <f t="shared" si="506"/>
        <v>-92.791399236655053</v>
      </c>
      <c r="BH546" s="63">
        <f t="shared" si="507"/>
        <v>172.89317068277606</v>
      </c>
      <c r="BI546" s="60" t="str">
        <f t="shared" si="460"/>
        <v>0.00172319912485741-0.00039927174255722i</v>
      </c>
      <c r="BJ546" s="66">
        <f t="shared" si="508"/>
        <v>-55.046175959137614</v>
      </c>
      <c r="BK546" s="63">
        <f t="shared" si="461"/>
        <v>-13.04544446551969</v>
      </c>
      <c r="BL546" s="51">
        <f t="shared" si="509"/>
        <v>-92.791399236655053</v>
      </c>
      <c r="BM546" s="63">
        <f t="shared" si="510"/>
        <v>172.89317068277606</v>
      </c>
    </row>
    <row r="547" spans="14:65" x14ac:dyDescent="0.35">
      <c r="N547" s="11">
        <v>29</v>
      </c>
      <c r="O547" s="52">
        <f t="shared" si="462"/>
        <v>1949844.5997580495</v>
      </c>
      <c r="P547" s="50" t="str">
        <f t="shared" si="463"/>
        <v>36.531007751938</v>
      </c>
      <c r="Q547" s="18" t="str">
        <f t="shared" si="464"/>
        <v>1+5983.16125000342i</v>
      </c>
      <c r="R547" s="18">
        <f t="shared" si="475"/>
        <v>5983.1613335712827</v>
      </c>
      <c r="S547" s="18">
        <f t="shared" si="476"/>
        <v>1.5706291910703349</v>
      </c>
      <c r="T547" s="18" t="str">
        <f t="shared" si="465"/>
        <v>1+2.45024698809664i</v>
      </c>
      <c r="U547" s="18">
        <f t="shared" si="477"/>
        <v>2.6464523994730484</v>
      </c>
      <c r="V547" s="18">
        <f t="shared" si="478"/>
        <v>1.1833077893837591</v>
      </c>
      <c r="W547" s="32" t="str">
        <f t="shared" si="466"/>
        <v>1-40.5958080868083i</v>
      </c>
      <c r="X547" s="18">
        <f t="shared" si="479"/>
        <v>40.608122761597457</v>
      </c>
      <c r="Y547" s="18">
        <f t="shared" si="480"/>
        <v>-1.5461682221268898</v>
      </c>
      <c r="Z547" s="32" t="str">
        <f t="shared" si="467"/>
        <v>-77.5515281654048+18.447124645773i</v>
      </c>
      <c r="AA547" s="18">
        <f t="shared" si="481"/>
        <v>79.715343118412648</v>
      </c>
      <c r="AB547" s="18">
        <f t="shared" si="482"/>
        <v>2.908063338057723</v>
      </c>
      <c r="AC547" s="68" t="str">
        <f t="shared" si="483"/>
        <v>0.00106022780903763+0.00816268733612549i</v>
      </c>
      <c r="AD547" s="66">
        <f t="shared" si="484"/>
        <v>-41.690679603359968</v>
      </c>
      <c r="AE547" s="63">
        <f t="shared" si="485"/>
        <v>82.59944899571768</v>
      </c>
      <c r="AF547" s="51" t="str">
        <f t="shared" si="486"/>
        <v>42.1703962805665</v>
      </c>
      <c r="AG547" s="51" t="str">
        <f t="shared" si="468"/>
        <v>1+1080.99131827793i</v>
      </c>
      <c r="AH547" s="51">
        <f t="shared" si="487"/>
        <v>1080.9917808162361</v>
      </c>
      <c r="AI547" s="51">
        <f t="shared" si="488"/>
        <v>1.5698712502491039</v>
      </c>
      <c r="AJ547" s="51" t="str">
        <f t="shared" si="469"/>
        <v>1+2.45024698809664i</v>
      </c>
      <c r="AK547" s="51">
        <f t="shared" si="489"/>
        <v>2.6464523994730484</v>
      </c>
      <c r="AL547" s="51">
        <f t="shared" si="490"/>
        <v>1.1833077893837591</v>
      </c>
      <c r="AM547" s="51" t="str">
        <f t="shared" si="470"/>
        <v>1-6.35367762452204i</v>
      </c>
      <c r="AN547" s="51">
        <f t="shared" si="491"/>
        <v>6.4318908072472771</v>
      </c>
      <c r="AO547" s="51">
        <f t="shared" si="492"/>
        <v>-1.4146877648011262</v>
      </c>
      <c r="AP547" s="60" t="str">
        <f t="shared" si="493"/>
        <v>-0.151678129832398-0.646475270308584i</v>
      </c>
      <c r="AQ547" s="51">
        <f t="shared" si="494"/>
        <v>-3.5562391976576251</v>
      </c>
      <c r="AR547" s="63">
        <f t="shared" si="495"/>
        <v>-103.20409307345544</v>
      </c>
      <c r="AS547" s="32" t="str">
        <f t="shared" si="471"/>
        <v>-0.000133283554228113</v>
      </c>
      <c r="AT547" s="32" t="str">
        <f t="shared" si="472"/>
        <v>0.748550454863526i</v>
      </c>
      <c r="AU547" s="32">
        <f t="shared" si="496"/>
        <v>0.748550454863526</v>
      </c>
      <c r="AV547" s="32">
        <f t="shared" si="497"/>
        <v>1.5707963267948966</v>
      </c>
      <c r="AW547" s="32" t="str">
        <f t="shared" si="473"/>
        <v>1+130.878499188469i</v>
      </c>
      <c r="AX547" s="32">
        <f t="shared" si="498"/>
        <v>130.88231946991954</v>
      </c>
      <c r="AY547" s="32">
        <f t="shared" si="499"/>
        <v>1.5631558010636755</v>
      </c>
      <c r="AZ547" s="32" t="str">
        <f t="shared" si="474"/>
        <v>1+1950.40885375986i</v>
      </c>
      <c r="BA547" s="32">
        <f t="shared" si="500"/>
        <v>1950.4091101163494</v>
      </c>
      <c r="BB547" s="32">
        <f t="shared" si="501"/>
        <v>1.5702836138268195</v>
      </c>
      <c r="BC547" s="60" t="str">
        <f t="shared" si="502"/>
        <v>-0.0000189126691913798+0.00265331729777279i</v>
      </c>
      <c r="BD547" s="51">
        <f t="shared" si="503"/>
        <v>-51.523995585148413</v>
      </c>
      <c r="BE547" s="63">
        <f t="shared" si="504"/>
        <v>90.408393588487627</v>
      </c>
      <c r="BF547" s="60" t="str">
        <f t="shared" si="505"/>
        <v>-0.0000216782512430725+2.65874257999848E-06i</v>
      </c>
      <c r="BG547" s="66">
        <f t="shared" si="506"/>
        <v>-93.21467518850838</v>
      </c>
      <c r="BH547" s="63">
        <f t="shared" si="507"/>
        <v>173.00784258420532</v>
      </c>
      <c r="BI547" s="60" t="str">
        <f t="shared" si="460"/>
        <v>0.00171817265558519-0.000390223632650375i</v>
      </c>
      <c r="BJ547" s="66">
        <f t="shared" si="508"/>
        <v>-55.080234782806059</v>
      </c>
      <c r="BK547" s="63">
        <f t="shared" si="461"/>
        <v>-12.795699484967843</v>
      </c>
      <c r="BL547" s="51">
        <f t="shared" si="509"/>
        <v>-93.21467518850838</v>
      </c>
      <c r="BM547" s="63">
        <f t="shared" si="510"/>
        <v>173.00784258420532</v>
      </c>
    </row>
    <row r="548" spans="14:65" x14ac:dyDescent="0.35">
      <c r="N548" s="11">
        <v>30</v>
      </c>
      <c r="O548" s="52">
        <f t="shared" si="462"/>
        <v>1995262.31496888</v>
      </c>
      <c r="P548" s="50" t="str">
        <f t="shared" si="463"/>
        <v>36.531007751938</v>
      </c>
      <c r="Q548" s="18" t="str">
        <f t="shared" si="464"/>
        <v>1+6122.52697881426i</v>
      </c>
      <c r="R548" s="18">
        <f t="shared" si="475"/>
        <v>6122.5270604798852</v>
      </c>
      <c r="S548" s="18">
        <f t="shared" si="476"/>
        <v>1.5706329955438352</v>
      </c>
      <c r="T548" s="18" t="str">
        <f t="shared" si="465"/>
        <v>1+2.50732057227632i</v>
      </c>
      <c r="U548" s="18">
        <f t="shared" si="477"/>
        <v>2.6993807534618108</v>
      </c>
      <c r="V548" s="18">
        <f t="shared" si="478"/>
        <v>1.1912971409597117</v>
      </c>
      <c r="W548" s="32" t="str">
        <f t="shared" si="466"/>
        <v>1-41.5414059312053i</v>
      </c>
      <c r="X548" s="18">
        <f t="shared" si="479"/>
        <v>41.553440371901559</v>
      </c>
      <c r="Y548" s="18">
        <f t="shared" si="480"/>
        <v>-1.5467286072488233</v>
      </c>
      <c r="Z548" s="32" t="str">
        <f t="shared" si="467"/>
        <v>-81.25354763502+18.8768133777491i</v>
      </c>
      <c r="AA548" s="18">
        <f t="shared" si="481"/>
        <v>83.417462719593857</v>
      </c>
      <c r="AB548" s="18">
        <f t="shared" si="482"/>
        <v>2.9133220733633958</v>
      </c>
      <c r="AC548" s="68" t="str">
        <f t="shared" si="483"/>
        <v>0.00101618415127641+0.00795854010958769i</v>
      </c>
      <c r="AD548" s="66">
        <f t="shared" si="484"/>
        <v>-41.913098054374835</v>
      </c>
      <c r="AE548" s="63">
        <f t="shared" si="485"/>
        <v>82.72357610081103</v>
      </c>
      <c r="AF548" s="51" t="str">
        <f t="shared" si="486"/>
        <v>42.1703962805665</v>
      </c>
      <c r="AG548" s="51" t="str">
        <f t="shared" si="468"/>
        <v>1+1106.17084071014i</v>
      </c>
      <c r="AH548" s="51">
        <f t="shared" si="487"/>
        <v>1106.171292719793</v>
      </c>
      <c r="AI548" s="51">
        <f t="shared" si="488"/>
        <v>1.5698923075505085</v>
      </c>
      <c r="AJ548" s="51" t="str">
        <f t="shared" si="469"/>
        <v>1+2.50732057227632i</v>
      </c>
      <c r="AK548" s="51">
        <f t="shared" si="489"/>
        <v>2.6993807534618108</v>
      </c>
      <c r="AL548" s="51">
        <f t="shared" si="490"/>
        <v>1.1912971409597117</v>
      </c>
      <c r="AM548" s="51" t="str">
        <f t="shared" si="470"/>
        <v>1-6.50167378838444i</v>
      </c>
      <c r="AN548" s="51">
        <f t="shared" si="491"/>
        <v>6.5781275489735895</v>
      </c>
      <c r="AO548" s="51">
        <f t="shared" si="492"/>
        <v>-1.4181856889763866</v>
      </c>
      <c r="AP548" s="60" t="str">
        <f t="shared" si="493"/>
        <v>-0.151679759902341-0.659730477950173i</v>
      </c>
      <c r="AQ548" s="51">
        <f t="shared" si="494"/>
        <v>-3.3889652831846773</v>
      </c>
      <c r="AR548" s="63">
        <f t="shared" si="495"/>
        <v>-102.94795973390474</v>
      </c>
      <c r="AS548" s="32" t="str">
        <f t="shared" si="471"/>
        <v>-0.000133283554228113</v>
      </c>
      <c r="AT548" s="32" t="str">
        <f t="shared" si="472"/>
        <v>0.765986434830415i</v>
      </c>
      <c r="AU548" s="32">
        <f t="shared" si="496"/>
        <v>0.76598643483041495</v>
      </c>
      <c r="AV548" s="32">
        <f t="shared" si="497"/>
        <v>1.5707963267948966</v>
      </c>
      <c r="AW548" s="32" t="str">
        <f t="shared" si="473"/>
        <v>1+133.927051059783i</v>
      </c>
      <c r="AX548" s="32">
        <f t="shared" si="498"/>
        <v>133.93078438346325</v>
      </c>
      <c r="AY548" s="32">
        <f t="shared" si="499"/>
        <v>1.5633297141234235</v>
      </c>
      <c r="AZ548" s="32" t="str">
        <f t="shared" si="474"/>
        <v>1+1995.83971213481i</v>
      </c>
      <c r="BA548" s="32">
        <f t="shared" si="500"/>
        <v>1995.8399626559144</v>
      </c>
      <c r="BB548" s="32">
        <f t="shared" si="501"/>
        <v>1.570295284596849</v>
      </c>
      <c r="BC548" s="60" t="str">
        <f t="shared" si="502"/>
        <v>-0.0000180615063139974+0.00259292677781112i</v>
      </c>
      <c r="BD548" s="51">
        <f t="shared" si="503"/>
        <v>-51.723984225970582</v>
      </c>
      <c r="BE548" s="63">
        <f t="shared" si="504"/>
        <v>90.399097790028208</v>
      </c>
      <c r="BF548" s="60" t="str">
        <f t="shared" si="505"/>
        <v>-0.0000206542655788982+2.49114787459235E-06i</v>
      </c>
      <c r="BG548" s="66">
        <f t="shared" si="506"/>
        <v>-93.637082280345425</v>
      </c>
      <c r="BH548" s="63">
        <f t="shared" si="507"/>
        <v>173.12267389083925</v>
      </c>
      <c r="BI548" s="60" t="str">
        <f t="shared" si="460"/>
        <v>0.00171337238735631-0.000381378784909708i</v>
      </c>
      <c r="BJ548" s="66">
        <f t="shared" si="508"/>
        <v>-55.112949509155278</v>
      </c>
      <c r="BK548" s="63">
        <f t="shared" si="461"/>
        <v>-12.548861943876565</v>
      </c>
      <c r="BL548" s="51">
        <f t="shared" si="509"/>
        <v>-93.637082280345425</v>
      </c>
      <c r="BM548" s="63">
        <f t="shared" si="510"/>
        <v>173.12267389083925</v>
      </c>
    </row>
    <row r="549" spans="14:65" x14ac:dyDescent="0.35">
      <c r="N549" s="11">
        <v>31</v>
      </c>
      <c r="O549" s="52">
        <f t="shared" si="462"/>
        <v>2041737.9446695296</v>
      </c>
      <c r="P549" s="50" t="str">
        <f t="shared" si="463"/>
        <v>36.531007751938</v>
      </c>
      <c r="Q549" s="18" t="str">
        <f t="shared" si="464"/>
        <v>1+6265.13895247047i</v>
      </c>
      <c r="R549" s="18">
        <f t="shared" si="475"/>
        <v>6265.1390322771595</v>
      </c>
      <c r="S549" s="18">
        <f t="shared" si="476"/>
        <v>1.5706367134169501</v>
      </c>
      <c r="T549" s="18" t="str">
        <f t="shared" si="465"/>
        <v>1+2.56572357101172i</v>
      </c>
      <c r="U549" s="18">
        <f t="shared" si="477"/>
        <v>2.7537133915578673</v>
      </c>
      <c r="V549" s="18">
        <f t="shared" si="478"/>
        <v>1.1991541405679895</v>
      </c>
      <c r="W549" s="32" t="str">
        <f t="shared" si="466"/>
        <v>1-42.5090295788924i</v>
      </c>
      <c r="X549" s="18">
        <f t="shared" si="479"/>
        <v>42.520790158922843</v>
      </c>
      <c r="Y549" s="18">
        <f t="shared" si="480"/>
        <v>-1.5472762510576701</v>
      </c>
      <c r="Z549" s="32" t="str">
        <f t="shared" si="467"/>
        <v>-85.1300379070935+19.3165108460422i</v>
      </c>
      <c r="AA549" s="18">
        <f t="shared" si="481"/>
        <v>87.294048739467001</v>
      </c>
      <c r="AB549" s="18">
        <f t="shared" si="482"/>
        <v>2.9184648570397367</v>
      </c>
      <c r="AC549" s="68" t="str">
        <f t="shared" si="483"/>
        <v>0.000973807505386524+0.00776021193670974i</v>
      </c>
      <c r="AD549" s="66">
        <f t="shared" si="484"/>
        <v>-42.134672678171356</v>
      </c>
      <c r="AE549" s="63">
        <f t="shared" si="485"/>
        <v>82.847498521036442</v>
      </c>
      <c r="AF549" s="51" t="str">
        <f t="shared" si="486"/>
        <v>42.1703962805665</v>
      </c>
      <c r="AG549" s="51" t="str">
        <f t="shared" si="468"/>
        <v>1+1131.936869564i</v>
      </c>
      <c r="AH549" s="51">
        <f t="shared" si="487"/>
        <v>1131.9373112846613</v>
      </c>
      <c r="AI549" s="51">
        <f t="shared" si="488"/>
        <v>1.5699128855299884</v>
      </c>
      <c r="AJ549" s="51" t="str">
        <f t="shared" si="469"/>
        <v>1+2.56572357101172i</v>
      </c>
      <c r="AK549" s="51">
        <f t="shared" si="489"/>
        <v>2.7537133915578673</v>
      </c>
      <c r="AL549" s="51">
        <f t="shared" si="490"/>
        <v>1.1991541405679895</v>
      </c>
      <c r="AM549" s="51" t="str">
        <f t="shared" si="470"/>
        <v>1-6.65311722574924i</v>
      </c>
      <c r="AN549" s="51">
        <f t="shared" si="491"/>
        <v>6.727850237599025</v>
      </c>
      <c r="AO549" s="51">
        <f t="shared" si="492"/>
        <v>-1.4216076314187935</v>
      </c>
      <c r="AP549" s="60" t="str">
        <f t="shared" si="493"/>
        <v>-0.151681316607167-0.673335483291046i</v>
      </c>
      <c r="AQ549" s="51">
        <f t="shared" si="494"/>
        <v>-3.2203928257861243</v>
      </c>
      <c r="AR549" s="63">
        <f t="shared" si="495"/>
        <v>-102.69502870777615</v>
      </c>
      <c r="AS549" s="32" t="str">
        <f t="shared" si="471"/>
        <v>-0.000133283554228113</v>
      </c>
      <c r="AT549" s="32" t="str">
        <f t="shared" si="472"/>
        <v>0.783828550944083i</v>
      </c>
      <c r="AU549" s="32">
        <f t="shared" si="496"/>
        <v>0.78382855094408299</v>
      </c>
      <c r="AV549" s="32">
        <f t="shared" si="497"/>
        <v>1.5707963267948966</v>
      </c>
      <c r="AW549" s="32" t="str">
        <f t="shared" si="473"/>
        <v>1+137.046612826302i</v>
      </c>
      <c r="AX549" s="32">
        <f t="shared" si="498"/>
        <v>137.05026117144877</v>
      </c>
      <c r="AY549" s="32">
        <f t="shared" si="499"/>
        <v>1.563499668875068</v>
      </c>
      <c r="AZ549" s="32" t="str">
        <f t="shared" si="474"/>
        <v>1+2042.32879114318i</v>
      </c>
      <c r="BA549" s="32">
        <f t="shared" si="500"/>
        <v>2042.3290359617288</v>
      </c>
      <c r="BB549" s="32">
        <f t="shared" si="501"/>
        <v>1.5703066897078508</v>
      </c>
      <c r="BC549" s="60" t="str">
        <f t="shared" si="502"/>
        <v>-0.000017248647901354+0.00253391048974507i</v>
      </c>
      <c r="BD549" s="51">
        <f t="shared" si="503"/>
        <v>-51.9239733780121</v>
      </c>
      <c r="BE549" s="63">
        <f t="shared" si="504"/>
        <v>90.390013564776083</v>
      </c>
      <c r="BF549" s="60" t="str">
        <f t="shared" si="505"/>
        <v>-0.0000196804792918578+0.0000023336878895552i</v>
      </c>
      <c r="BG549" s="66">
        <f t="shared" si="506"/>
        <v>-94.058646056183463</v>
      </c>
      <c r="BH549" s="63">
        <f t="shared" si="507"/>
        <v>173.23751208581254</v>
      </c>
      <c r="BI549" s="60" t="str">
        <f t="shared" si="460"/>
        <v>0.00170878814185212-0.000372732752578468i</v>
      </c>
      <c r="BJ549" s="66">
        <f t="shared" si="508"/>
        <v>-55.144366203798214</v>
      </c>
      <c r="BK549" s="63">
        <f t="shared" si="461"/>
        <v>-12.305015143000045</v>
      </c>
      <c r="BL549" s="51">
        <f t="shared" si="509"/>
        <v>-94.058646056183463</v>
      </c>
      <c r="BM549" s="63">
        <f t="shared" si="510"/>
        <v>173.23751208581254</v>
      </c>
    </row>
    <row r="550" spans="14:65" x14ac:dyDescent="0.35">
      <c r="N550" s="11">
        <v>32</v>
      </c>
      <c r="O550" s="52">
        <f t="shared" si="462"/>
        <v>2089296.1308540432</v>
      </c>
      <c r="P550" s="50" t="str">
        <f t="shared" si="463"/>
        <v>36.531007751938</v>
      </c>
      <c r="Q550" s="18" t="str">
        <f t="shared" si="464"/>
        <v>1+6411.07278572826i</v>
      </c>
      <c r="R550" s="18">
        <f t="shared" si="475"/>
        <v>6411.0728637183274</v>
      </c>
      <c r="S550" s="18">
        <f t="shared" si="476"/>
        <v>1.5706403466609453</v>
      </c>
      <c r="T550" s="18" t="str">
        <f t="shared" si="465"/>
        <v>1+2.62548695034586i</v>
      </c>
      <c r="U550" s="18">
        <f t="shared" si="477"/>
        <v>2.8094806862543842</v>
      </c>
      <c r="V550" s="18">
        <f t="shared" si="478"/>
        <v>1.2068790728087309</v>
      </c>
      <c r="W550" s="32" t="str">
        <f t="shared" si="466"/>
        <v>1-43.4991920767362i</v>
      </c>
      <c r="X550" s="18">
        <f t="shared" si="479"/>
        <v>43.510685024816482</v>
      </c>
      <c r="Y550" s="18">
        <f t="shared" si="480"/>
        <v>-1.5478114426067067</v>
      </c>
      <c r="Z550" s="32" t="str">
        <f t="shared" si="467"/>
        <v>-89.1892215372249+19.7664501840703i</v>
      </c>
      <c r="AA550" s="18">
        <f t="shared" si="481"/>
        <v>91.353323920345204</v>
      </c>
      <c r="AB550" s="18">
        <f t="shared" si="482"/>
        <v>2.9234940839833889</v>
      </c>
      <c r="AC550" s="68" t="str">
        <f t="shared" si="483"/>
        <v>0.000933049569243725+0.00756749764959232i</v>
      </c>
      <c r="AD550" s="66">
        <f t="shared" si="484"/>
        <v>-42.35542884219042</v>
      </c>
      <c r="AE550" s="63">
        <f t="shared" si="485"/>
        <v>82.971078670833094</v>
      </c>
      <c r="AF550" s="51" t="str">
        <f t="shared" si="486"/>
        <v>42.1703962805665</v>
      </c>
      <c r="AG550" s="51" t="str">
        <f t="shared" si="468"/>
        <v>1+1158.30306632906i</v>
      </c>
      <c r="AH550" s="51">
        <f t="shared" si="487"/>
        <v>1158.303497994935</v>
      </c>
      <c r="AI550" s="51">
        <f t="shared" si="488"/>
        <v>1.5699329950981913</v>
      </c>
      <c r="AJ550" s="51" t="str">
        <f t="shared" si="469"/>
        <v>1+2.62548695034586i</v>
      </c>
      <c r="AK550" s="51">
        <f t="shared" si="489"/>
        <v>2.8094806862543842</v>
      </c>
      <c r="AL550" s="51">
        <f t="shared" si="490"/>
        <v>1.2068790728087309</v>
      </c>
      <c r="AM550" s="51" t="str">
        <f t="shared" si="470"/>
        <v>1-6.80808823393161i</v>
      </c>
      <c r="AN550" s="51">
        <f t="shared" si="491"/>
        <v>6.8811383797303494</v>
      </c>
      <c r="AO550" s="51">
        <f t="shared" si="492"/>
        <v>-1.424955085763066</v>
      </c>
      <c r="AP550" s="60" t="str">
        <f t="shared" si="493"/>
        <v>-0.151682803248844-0.687297499893992i</v>
      </c>
      <c r="AQ550" s="51">
        <f t="shared" si="494"/>
        <v>-3.0505668648619455</v>
      </c>
      <c r="AR550" s="63">
        <f t="shared" si="495"/>
        <v>-102.44536989278261</v>
      </c>
      <c r="AS550" s="32" t="str">
        <f t="shared" si="471"/>
        <v>-0.000133283554228113</v>
      </c>
      <c r="AT550" s="32" t="str">
        <f t="shared" si="472"/>
        <v>0.802086263330659i</v>
      </c>
      <c r="AU550" s="32">
        <f t="shared" si="496"/>
        <v>0.80208626333065902</v>
      </c>
      <c r="AV550" s="32">
        <f t="shared" si="497"/>
        <v>1.5707963267948966</v>
      </c>
      <c r="AW550" s="32" t="str">
        <f t="shared" si="473"/>
        <v>1+140.238838520969i</v>
      </c>
      <c r="AX550" s="32">
        <f t="shared" si="498"/>
        <v>140.24240382177717</v>
      </c>
      <c r="AY550" s="32">
        <f t="shared" si="499"/>
        <v>1.5636657553915723</v>
      </c>
      <c r="AZ550" s="32" t="str">
        <f t="shared" si="474"/>
        <v>1+2089.90073991005i</v>
      </c>
      <c r="BA550" s="32">
        <f t="shared" si="500"/>
        <v>2089.9009791558483</v>
      </c>
      <c r="BB550" s="32">
        <f t="shared" si="501"/>
        <v>1.570317835206954</v>
      </c>
      <c r="BC550" s="60" t="str">
        <f t="shared" si="502"/>
        <v>-0.0000164723703358955+0.00247623718054568i</v>
      </c>
      <c r="BD550" s="51">
        <f t="shared" si="503"/>
        <v>-52.123963018266593</v>
      </c>
      <c r="BE550" s="63">
        <f t="shared" si="504"/>
        <v>90.38113609840552</v>
      </c>
      <c r="BF550" s="60" t="str">
        <f t="shared" si="505"/>
        <v>-0.0000187542885816589+2.18579741085334E-06i</v>
      </c>
      <c r="BG550" s="66">
        <f t="shared" si="506"/>
        <v>-94.479391860457</v>
      </c>
      <c r="BH550" s="63">
        <f t="shared" si="507"/>
        <v>173.35221476923863</v>
      </c>
      <c r="BI550" s="60" t="str">
        <f t="shared" si="460"/>
        <v>0.0017044101986423-0.000364281178104994i</v>
      </c>
      <c r="BJ550" s="66">
        <f t="shared" si="508"/>
        <v>-55.174529883128514</v>
      </c>
      <c r="BK550" s="63">
        <f t="shared" si="461"/>
        <v>-12.064233794377069</v>
      </c>
      <c r="BL550" s="51">
        <f t="shared" si="509"/>
        <v>-94.479391860457</v>
      </c>
      <c r="BM550" s="63">
        <f t="shared" si="510"/>
        <v>173.35221476923863</v>
      </c>
    </row>
    <row r="551" spans="14:65" x14ac:dyDescent="0.35">
      <c r="N551" s="11">
        <v>33</v>
      </c>
      <c r="O551" s="52">
        <f t="shared" si="462"/>
        <v>2137962.0895022359</v>
      </c>
      <c r="P551" s="50" t="str">
        <f t="shared" si="463"/>
        <v>36.531007751938</v>
      </c>
      <c r="Q551" s="18" t="str">
        <f t="shared" si="464"/>
        <v>1+6560.40585463756i</v>
      </c>
      <c r="R551" s="18">
        <f t="shared" si="475"/>
        <v>6560.4059308523556</v>
      </c>
      <c r="S551" s="18">
        <f t="shared" si="476"/>
        <v>1.5706438972022141</v>
      </c>
      <c r="T551" s="18" t="str">
        <f t="shared" si="465"/>
        <v>1+2.68664239761348i</v>
      </c>
      <c r="U551" s="18">
        <f t="shared" si="477"/>
        <v>2.866713688643201</v>
      </c>
      <c r="V551" s="18">
        <f t="shared" si="478"/>
        <v>1.2144723446690082</v>
      </c>
      <c r="W551" s="32" t="str">
        <f t="shared" si="466"/>
        <v>1-44.5124184219985i</v>
      </c>
      <c r="X551" s="18">
        <f t="shared" si="479"/>
        <v>44.523649825402579</v>
      </c>
      <c r="Y551" s="18">
        <f t="shared" si="480"/>
        <v>-1.5483344644345138</v>
      </c>
      <c r="Z551" s="32" t="str">
        <f t="shared" si="467"/>
        <v>-93.4397085981149+20.2268699556257i</v>
      </c>
      <c r="AA551" s="18">
        <f t="shared" si="481"/>
        <v>95.603898514142315</v>
      </c>
      <c r="AB551" s="18">
        <f t="shared" si="482"/>
        <v>2.9284121102638463</v>
      </c>
      <c r="AC551" s="68" t="str">
        <f t="shared" si="483"/>
        <v>0.000893861990631126+0.00738020102459618i</v>
      </c>
      <c r="AD551" s="66">
        <f t="shared" si="484"/>
        <v>-42.575391664674484</v>
      </c>
      <c r="AE551" s="63">
        <f t="shared" si="485"/>
        <v>83.094188577361507</v>
      </c>
      <c r="AF551" s="51" t="str">
        <f t="shared" si="486"/>
        <v>42.1703962805665</v>
      </c>
      <c r="AG551" s="51" t="str">
        <f t="shared" si="468"/>
        <v>1+1185.28341071183i</v>
      </c>
      <c r="AH551" s="51">
        <f t="shared" si="487"/>
        <v>1185.2838325517935</v>
      </c>
      <c r="AI551" s="51">
        <f t="shared" si="488"/>
        <v>1.5699526469174112</v>
      </c>
      <c r="AJ551" s="51" t="str">
        <f t="shared" si="469"/>
        <v>1+2.68664239761348i</v>
      </c>
      <c r="AK551" s="51">
        <f t="shared" si="489"/>
        <v>2.866713688643201</v>
      </c>
      <c r="AL551" s="51">
        <f t="shared" si="490"/>
        <v>1.2144723446690082</v>
      </c>
      <c r="AM551" s="51" t="str">
        <f t="shared" si="470"/>
        <v>1-6.96666898061125i</v>
      </c>
      <c r="AN551" s="51">
        <f t="shared" si="491"/>
        <v>7.0380733645942479</v>
      </c>
      <c r="AO551" s="51">
        <f t="shared" si="492"/>
        <v>-1.4282295266403611</v>
      </c>
      <c r="AP551" s="60" t="str">
        <f t="shared" si="493"/>
        <v>-0.15168422298072-0.701623930613275i</v>
      </c>
      <c r="AQ551" s="51">
        <f t="shared" si="494"/>
        <v>-2.879531373003684</v>
      </c>
      <c r="AR551" s="63">
        <f t="shared" si="495"/>
        <v>-102.19904507132843</v>
      </c>
      <c r="AS551" s="32" t="str">
        <f t="shared" si="471"/>
        <v>-0.000133283554228113</v>
      </c>
      <c r="AT551" s="32" t="str">
        <f t="shared" si="472"/>
        <v>0.820769252470919i</v>
      </c>
      <c r="AU551" s="32">
        <f t="shared" si="496"/>
        <v>0.82076925247091903</v>
      </c>
      <c r="AV551" s="32">
        <f t="shared" si="497"/>
        <v>1.5707963267948966</v>
      </c>
      <c r="AW551" s="32" t="str">
        <f t="shared" si="473"/>
        <v>1+143.5054207041i</v>
      </c>
      <c r="AX551" s="32">
        <f t="shared" si="498"/>
        <v>143.50890485074692</v>
      </c>
      <c r="AY551" s="32">
        <f t="shared" si="499"/>
        <v>1.5638280616975335</v>
      </c>
      <c r="AZ551" s="32" t="str">
        <f t="shared" si="474"/>
        <v>1+2138.58078171232i</v>
      </c>
      <c r="BA551" s="32">
        <f t="shared" si="500"/>
        <v>2138.5810155122199</v>
      </c>
      <c r="BB551" s="32">
        <f t="shared" si="501"/>
        <v>1.5703287270036388</v>
      </c>
      <c r="BC551" s="60" t="str">
        <f t="shared" si="502"/>
        <v>-0.0000157310275433182+0.00241987630670062i</v>
      </c>
      <c r="BD551" s="51">
        <f t="shared" si="503"/>
        <v>-52.323953124763236</v>
      </c>
      <c r="BE551" s="63">
        <f t="shared" si="504"/>
        <v>90.372460686066944</v>
      </c>
      <c r="BF551" s="60" t="str">
        <f t="shared" si="505"/>
        <v>-0.0000178732349657025+2.04693730699537E-06i</v>
      </c>
      <c r="BG551" s="66">
        <f t="shared" si="506"/>
        <v>-94.89934478943772</v>
      </c>
      <c r="BH551" s="63">
        <f t="shared" si="507"/>
        <v>173.46664926342842</v>
      </c>
      <c r="BI551" s="60" t="str">
        <f t="shared" si="460"/>
        <v>0.00170022927459482-0.000356019791913809i</v>
      </c>
      <c r="BJ551" s="66">
        <f t="shared" si="508"/>
        <v>-55.203484497766915</v>
      </c>
      <c r="BK551" s="63">
        <f t="shared" si="461"/>
        <v>-11.826584385261473</v>
      </c>
      <c r="BL551" s="51">
        <f t="shared" si="509"/>
        <v>-94.89934478943772</v>
      </c>
      <c r="BM551" s="63">
        <f t="shared" si="510"/>
        <v>173.46664926342842</v>
      </c>
    </row>
    <row r="552" spans="14:65" x14ac:dyDescent="0.35">
      <c r="N552" s="11">
        <v>34</v>
      </c>
      <c r="O552" s="52">
        <f t="shared" si="462"/>
        <v>2187761.6239495561</v>
      </c>
      <c r="P552" s="50" t="str">
        <f t="shared" si="463"/>
        <v>36.531007751938</v>
      </c>
      <c r="Q552" s="18" t="str">
        <f t="shared" si="464"/>
        <v>1+6713.21733756825i</v>
      </c>
      <c r="R552" s="18">
        <f t="shared" si="475"/>
        <v>6713.217412048185</v>
      </c>
      <c r="S552" s="18">
        <f t="shared" si="476"/>
        <v>1.5706473669233001</v>
      </c>
      <c r="T552" s="18" t="str">
        <f t="shared" si="465"/>
        <v>1+2.74922233824224i</v>
      </c>
      <c r="U552" s="18">
        <f t="shared" si="477"/>
        <v>2.9254441483457052</v>
      </c>
      <c r="V552" s="18">
        <f t="shared" si="478"/>
        <v>1.2219344787107935</v>
      </c>
      <c r="W552" s="32" t="str">
        <f t="shared" si="466"/>
        <v>1-45.5492458406999i</v>
      </c>
      <c r="X552" s="18">
        <f t="shared" si="479"/>
        <v>45.56022164845686</v>
      </c>
      <c r="Y552" s="18">
        <f t="shared" si="480"/>
        <v>-1.5488455927089435</v>
      </c>
      <c r="Z552" s="32" t="str">
        <f t="shared" si="467"/>
        <v>-97.890514942694+20.6980142813659i</v>
      </c>
      <c r="AA552" s="18">
        <f t="shared" si="481"/>
        <v>100.05478854576339</v>
      </c>
      <c r="AB552" s="18">
        <f t="shared" si="482"/>
        <v>2.933221253026765</v>
      </c>
      <c r="AC552" s="68" t="str">
        <f t="shared" si="483"/>
        <v>0.000856196549303049+0.00719813435332172i</v>
      </c>
      <c r="AD552" s="66">
        <f t="shared" si="484"/>
        <v>-42.794585970787445</v>
      </c>
      <c r="AE552" s="63">
        <f t="shared" si="485"/>
        <v>83.216709487436546</v>
      </c>
      <c r="AF552" s="51" t="str">
        <f t="shared" si="486"/>
        <v>42.1703962805665</v>
      </c>
      <c r="AG552" s="51" t="str">
        <f t="shared" si="468"/>
        <v>1+1212.89220804805i</v>
      </c>
      <c r="AH552" s="51">
        <f t="shared" si="487"/>
        <v>1212.8926202857672</v>
      </c>
      <c r="AI552" s="51">
        <f t="shared" si="488"/>
        <v>1.5699718514072423</v>
      </c>
      <c r="AJ552" s="51" t="str">
        <f t="shared" si="469"/>
        <v>1+2.74922233824224i</v>
      </c>
      <c r="AK552" s="51">
        <f t="shared" si="489"/>
        <v>2.9254441483457052</v>
      </c>
      <c r="AL552" s="51">
        <f t="shared" si="490"/>
        <v>1.2219344787107935</v>
      </c>
      <c r="AM552" s="51" t="str">
        <f t="shared" si="470"/>
        <v>1-7.1289435473992i</v>
      </c>
      <c r="AN552" s="51">
        <f t="shared" si="491"/>
        <v>7.1987385076834594</v>
      </c>
      <c r="AO552" s="51">
        <f t="shared" si="492"/>
        <v>-1.4314324091888146</v>
      </c>
      <c r="AP552" s="60" t="str">
        <f t="shared" si="493"/>
        <v>-0.151685578814224-0.71632237151981i</v>
      </c>
      <c r="AQ552" s="51">
        <f t="shared" si="494"/>
        <v>-2.7073292432070666</v>
      </c>
      <c r="AR552" s="63">
        <f t="shared" si="495"/>
        <v>-101.95610827309069</v>
      </c>
      <c r="AS552" s="32" t="str">
        <f t="shared" si="471"/>
        <v>-0.000133283554228113</v>
      </c>
      <c r="AT552" s="32" t="str">
        <f t="shared" si="472"/>
        <v>0.839887424333004i</v>
      </c>
      <c r="AU552" s="32">
        <f t="shared" si="496"/>
        <v>0.83988742433300401</v>
      </c>
      <c r="AV552" s="32">
        <f t="shared" si="497"/>
        <v>1.5707963267948966</v>
      </c>
      <c r="AW552" s="32" t="str">
        <f t="shared" si="473"/>
        <v>1+146.848091360807i</v>
      </c>
      <c r="AX552" s="32">
        <f t="shared" si="498"/>
        <v>146.85149620045388</v>
      </c>
      <c r="AY552" s="32">
        <f t="shared" si="499"/>
        <v>1.5639866738156782</v>
      </c>
      <c r="AZ552" s="32" t="str">
        <f t="shared" si="474"/>
        <v>1+2188.39472735251i</v>
      </c>
      <c r="BA552" s="32">
        <f t="shared" si="500"/>
        <v>2188.3949558304753</v>
      </c>
      <c r="BB552" s="32">
        <f t="shared" si="501"/>
        <v>1.5703393708728692</v>
      </c>
      <c r="BC552" s="60" t="str">
        <f t="shared" si="502"/>
        <v>-0.0000150230475053899+0.00236479801818982i</v>
      </c>
      <c r="BD552" s="51">
        <f t="shared" si="503"/>
        <v>-52.5239436765196</v>
      </c>
      <c r="BE552" s="63">
        <f t="shared" si="504"/>
        <v>90.363982729902219</v>
      </c>
      <c r="BF552" s="60" t="str">
        <f t="shared" si="505"/>
        <v>-0.0000170349965348334+1.91659398863268E-06i</v>
      </c>
      <c r="BG552" s="66">
        <f t="shared" si="506"/>
        <v>-95.318529647307045</v>
      </c>
      <c r="BH552" s="63">
        <f t="shared" si="507"/>
        <v>173.58069221733879</v>
      </c>
      <c r="BI552" s="60" t="str">
        <f t="shared" si="460"/>
        <v>0.00169623650421149-0.000347944411151337i</v>
      </c>
      <c r="BJ552" s="66">
        <f t="shared" si="508"/>
        <v>-55.231272919726649</v>
      </c>
      <c r="BK552" s="63">
        <f t="shared" si="461"/>
        <v>-11.592125543188452</v>
      </c>
      <c r="BL552" s="51">
        <f t="shared" si="509"/>
        <v>-95.318529647307045</v>
      </c>
      <c r="BM552" s="63">
        <f t="shared" si="510"/>
        <v>173.58069221733879</v>
      </c>
    </row>
    <row r="553" spans="14:65" x14ac:dyDescent="0.35">
      <c r="N553" s="11">
        <v>35</v>
      </c>
      <c r="O553" s="52">
        <f t="shared" si="462"/>
        <v>2238721.1385683389</v>
      </c>
      <c r="P553" s="50" t="str">
        <f t="shared" si="463"/>
        <v>36.531007751938</v>
      </c>
      <c r="Q553" s="18" t="str">
        <f t="shared" si="464"/>
        <v>1+6869.58825719122i</v>
      </c>
      <c r="R553" s="18">
        <f t="shared" si="475"/>
        <v>6869.5883299757852</v>
      </c>
      <c r="S553" s="18">
        <f t="shared" si="476"/>
        <v>1.5706507576638953</v>
      </c>
      <c r="T553" s="18" t="str">
        <f t="shared" si="465"/>
        <v>1+2.81325995294498i</v>
      </c>
      <c r="U553" s="18">
        <f t="shared" si="477"/>
        <v>2.9857045337481058</v>
      </c>
      <c r="V553" s="18">
        <f t="shared" si="478"/>
        <v>1.2292661063340626</v>
      </c>
      <c r="W553" s="32" t="str">
        <f t="shared" si="466"/>
        <v>1-46.6102240724612i</v>
      </c>
      <c r="X553" s="18">
        <f t="shared" si="479"/>
        <v>46.620950098480847</v>
      </c>
      <c r="Y553" s="18">
        <f t="shared" si="480"/>
        <v>-1.5493450973680929</v>
      </c>
      <c r="Z553" s="32" t="str">
        <f t="shared" si="467"/>
        <v>-102.551081327948+21.1801329682486i</v>
      </c>
      <c r="AA553" s="18">
        <f t="shared" si="481"/>
        <v>104.7154349371863</v>
      </c>
      <c r="AB553" s="18">
        <f t="shared" si="482"/>
        <v>2.9379237904579667</v>
      </c>
      <c r="AC553" s="68" t="str">
        <f t="shared" si="483"/>
        <v>0.000820005316989342+0.00702111803233948i</v>
      </c>
      <c r="AD553" s="66">
        <f t="shared" si="484"/>
        <v>-43.013036253190052</v>
      </c>
      <c r="AE553" s="63">
        <f t="shared" si="485"/>
        <v>83.338531475459334</v>
      </c>
      <c r="AF553" s="51" t="str">
        <f t="shared" si="486"/>
        <v>42.1703962805665</v>
      </c>
      <c r="AG553" s="51" t="str">
        <f t="shared" si="468"/>
        <v>1+1241.14409688749i</v>
      </c>
      <c r="AH553" s="51">
        <f t="shared" si="487"/>
        <v>1241.1444997415342</v>
      </c>
      <c r="AI553" s="51">
        <f t="shared" si="488"/>
        <v>1.569990618750102</v>
      </c>
      <c r="AJ553" s="51" t="str">
        <f t="shared" si="469"/>
        <v>1+2.81325995294498i</v>
      </c>
      <c r="AK553" s="51">
        <f t="shared" si="489"/>
        <v>2.9857045337481058</v>
      </c>
      <c r="AL553" s="51">
        <f t="shared" si="490"/>
        <v>1.2292661063340626</v>
      </c>
      <c r="AM553" s="51" t="str">
        <f t="shared" si="470"/>
        <v>1-7.29499797441867i</v>
      </c>
      <c r="AN553" s="51">
        <f t="shared" si="491"/>
        <v>7.3632190953938403</v>
      </c>
      <c r="AO553" s="51">
        <f t="shared" si="492"/>
        <v>-1.4345651686285787</v>
      </c>
      <c r="AP553" s="60" t="str">
        <f t="shared" si="493"/>
        <v>-0.151686873625251-0.731400615928723i</v>
      </c>
      <c r="AQ553" s="51">
        <f>20*LOG(IMABS(AP553))</f>
        <v>-2.5340022796117232</v>
      </c>
      <c r="AR553" s="63">
        <f t="shared" si="495"/>
        <v>-101.71660613698269</v>
      </c>
      <c r="AS553" s="32" t="str">
        <f t="shared" si="471"/>
        <v>-0.000133283554228113</v>
      </c>
      <c r="AT553" s="32" t="str">
        <f t="shared" si="472"/>
        <v>0.859450915624694i</v>
      </c>
      <c r="AU553" s="32">
        <f t="shared" si="496"/>
        <v>0.859450915624694</v>
      </c>
      <c r="AV553" s="32">
        <f t="shared" si="497"/>
        <v>1.5707963267948966</v>
      </c>
      <c r="AW553" s="32" t="str">
        <f t="shared" si="473"/>
        <v>1+150.268622819317i</v>
      </c>
      <c r="AX553" s="32">
        <f t="shared" si="498"/>
        <v>150.27195015708739</v>
      </c>
      <c r="AY553" s="32">
        <f t="shared" si="499"/>
        <v>1.5641416758123099</v>
      </c>
      <c r="AZ553" s="32" t="str">
        <f t="shared" si="474"/>
        <v>1+2239.36898884397i</v>
      </c>
      <c r="BA553" s="32">
        <f t="shared" si="500"/>
        <v>2239.369212121142</v>
      </c>
      <c r="BB553" s="32">
        <f t="shared" si="501"/>
        <v>1.5703497724581565</v>
      </c>
      <c r="BC553" s="60" t="str">
        <f t="shared" si="502"/>
        <v>-0.000014346928929471+0.0023109731428172i</v>
      </c>
      <c r="BD553" s="51">
        <f t="shared" si="503"/>
        <v>-52.723934653497587</v>
      </c>
      <c r="BE553" s="63">
        <f t="shared" si="504"/>
        <v>90.355697736616321</v>
      </c>
      <c r="BF553" s="60" t="str">
        <f t="shared" si="505"/>
        <v>-0.0000162373797632907+1.79427878311427E-06i</v>
      </c>
      <c r="BG553" s="66">
        <f t="shared" si="506"/>
        <v>-95.73697090668766</v>
      </c>
      <c r="BH553" s="63">
        <f t="shared" si="507"/>
        <v>173.69422921207567</v>
      </c>
      <c r="BI553" s="60" t="str">
        <f t="shared" si="460"/>
        <v>0.00169242342084667-0.000340050938410161i</v>
      </c>
      <c r="BJ553" s="66">
        <f t="shared" si="508"/>
        <v>-55.25793693310932</v>
      </c>
      <c r="BK553" s="63">
        <f t="shared" si="461"/>
        <v>-11.360908400366368</v>
      </c>
      <c r="BL553" s="51">
        <f t="shared" si="509"/>
        <v>-95.73697090668766</v>
      </c>
      <c r="BM553" s="63">
        <f t="shared" si="510"/>
        <v>173.69422921207567</v>
      </c>
    </row>
    <row r="554" spans="14:65" x14ac:dyDescent="0.35">
      <c r="N554" s="11">
        <v>36</v>
      </c>
      <c r="O554" s="52">
        <f t="shared" si="462"/>
        <v>2290867.6527677765</v>
      </c>
      <c r="P554" s="50" t="str">
        <f t="shared" si="463"/>
        <v>36.531007751938</v>
      </c>
      <c r="Q554" s="18" t="str">
        <f t="shared" si="464"/>
        <v>1+7029.60152343798i</v>
      </c>
      <c r="R554" s="18">
        <f t="shared" si="475"/>
        <v>7029.6015945657673</v>
      </c>
      <c r="S554" s="18">
        <f t="shared" si="476"/>
        <v>1.5706540712218147</v>
      </c>
      <c r="T554" s="18" t="str">
        <f t="shared" si="465"/>
        <v>1+2.8787891953127i</v>
      </c>
      <c r="U554" s="18">
        <f t="shared" si="477"/>
        <v>3.047528052545069</v>
      </c>
      <c r="V554" s="18">
        <f t="shared" si="478"/>
        <v>1.2364679611394764</v>
      </c>
      <c r="W554" s="32" t="str">
        <f t="shared" si="466"/>
        <v>1-47.6959156619856i</v>
      </c>
      <c r="X554" s="18">
        <f t="shared" si="479"/>
        <v>47.706397588114356</v>
      </c>
      <c r="Y554" s="18">
        <f t="shared" si="480"/>
        <v>-1.5498332422583423</v>
      </c>
      <c r="Z554" s="32" t="str">
        <f t="shared" si="467"/>
        <v>-107.431293440037+21.6734816419835i</v>
      </c>
      <c r="AA554" s="18">
        <f t="shared" si="481"/>
        <v>109.59572353283102</v>
      </c>
      <c r="AB554" s="18">
        <f t="shared" si="482"/>
        <v>2.942521961803588</v>
      </c>
      <c r="AC554" s="68" t="str">
        <f t="shared" si="483"/>
        <v>0.000785240797315394+0.00684898017124018i</v>
      </c>
      <c r="AD554" s="66">
        <f t="shared" si="484"/>
        <v>-43.230766636867422</v>
      </c>
      <c r="AE554" s="63">
        <f t="shared" si="485"/>
        <v>83.459553054007415</v>
      </c>
      <c r="AF554" s="51" t="str">
        <f t="shared" si="486"/>
        <v>42.1703962805665</v>
      </c>
      <c r="AG554" s="51" t="str">
        <f t="shared" si="468"/>
        <v>1+1270.05405675561i</v>
      </c>
      <c r="AH554" s="51">
        <f t="shared" si="487"/>
        <v>1270.0544504395793</v>
      </c>
      <c r="AI554" s="51">
        <f t="shared" si="488"/>
        <v>1.5700089588966317</v>
      </c>
      <c r="AJ554" s="51" t="str">
        <f t="shared" si="469"/>
        <v>1+2.8787891953127i</v>
      </c>
      <c r="AK554" s="51">
        <f t="shared" si="489"/>
        <v>3.047528052545069</v>
      </c>
      <c r="AL554" s="51">
        <f t="shared" si="490"/>
        <v>1.2364679611394764</v>
      </c>
      <c r="AM554" s="51" t="str">
        <f t="shared" si="470"/>
        <v>1-7.46492030592497i</v>
      </c>
      <c r="AN554" s="51">
        <f t="shared" si="491"/>
        <v>7.531602430679075</v>
      </c>
      <c r="AO554" s="51">
        <f t="shared" si="492"/>
        <v>-1.4376292198971881</v>
      </c>
      <c r="AP554" s="60" t="str">
        <f t="shared" si="493"/>
        <v>-0.151688110160254-0.746866658531501i</v>
      </c>
      <c r="AQ554" s="51">
        <f t="shared" si="494"/>
        <v>-2.3595911915675742</v>
      </c>
      <c r="AR554" s="63">
        <f t="shared" si="495"/>
        <v>-101.48057827086129</v>
      </c>
      <c r="AS554" s="32" t="str">
        <f t="shared" si="471"/>
        <v>-0.000133283554228113</v>
      </c>
      <c r="AT554" s="32" t="str">
        <f t="shared" si="472"/>
        <v>0.879470099168029i</v>
      </c>
      <c r="AU554" s="32">
        <f t="shared" si="496"/>
        <v>0.87947009916802898</v>
      </c>
      <c r="AV554" s="32">
        <f t="shared" si="497"/>
        <v>1.5707963267948966</v>
      </c>
      <c r="AW554" s="32" t="str">
        <f t="shared" si="473"/>
        <v>1+153.768828690688i</v>
      </c>
      <c r="AX554" s="32">
        <f t="shared" si="498"/>
        <v>153.7720802906241</v>
      </c>
      <c r="AY554" s="32">
        <f t="shared" si="499"/>
        <v>1.5642931498417296</v>
      </c>
      <c r="AZ554" s="32" t="str">
        <f t="shared" si="474"/>
        <v>1+2291.53059341488i</v>
      </c>
      <c r="BA554" s="32">
        <f t="shared" si="500"/>
        <v>2291.5308116096435</v>
      </c>
      <c r="BB554" s="32">
        <f t="shared" si="501"/>
        <v>1.5703599372745494</v>
      </c>
      <c r="BC554" s="60" t="str">
        <f t="shared" si="502"/>
        <v>-0.0000137012380677036+0.00225837317089132i</v>
      </c>
      <c r="BD554" s="51">
        <f t="shared" si="503"/>
        <v>-52.923926036560843</v>
      </c>
      <c r="BE554" s="63">
        <f t="shared" si="504"/>
        <v>90.34760131510356</v>
      </c>
      <c r="BF554" s="60" t="str">
        <f t="shared" si="505"/>
        <v>-0.0000154783118378+1.67952724149925E-06i</v>
      </c>
      <c r="BG554" s="66">
        <f t="shared" si="506"/>
        <v>-96.154692673428244</v>
      </c>
      <c r="BH554" s="63">
        <f t="shared" si="507"/>
        <v>173.807154369111</v>
      </c>
      <c r="BI554" s="60" t="str">
        <f t="shared" si="460"/>
        <v>0.00168878193877014-0.000332335360435754i</v>
      </c>
      <c r="BJ554" s="66">
        <f t="shared" si="508"/>
        <v>-55.283517228128403</v>
      </c>
      <c r="BK554" s="63">
        <f t="shared" si="461"/>
        <v>-11.13297695575768</v>
      </c>
      <c r="BL554" s="51">
        <f t="shared" si="509"/>
        <v>-96.154692673428244</v>
      </c>
      <c r="BM554" s="63">
        <f t="shared" si="510"/>
        <v>173.807154369111</v>
      </c>
    </row>
    <row r="555" spans="14:65" x14ac:dyDescent="0.35">
      <c r="N555" s="11">
        <v>37</v>
      </c>
      <c r="O555" s="52">
        <f t="shared" si="462"/>
        <v>2344228.8153199251</v>
      </c>
      <c r="P555" s="50" t="str">
        <f t="shared" si="463"/>
        <v>36.531007751938</v>
      </c>
      <c r="Q555" s="18" t="str">
        <f t="shared" si="464"/>
        <v>1+7193.34197746021i</v>
      </c>
      <c r="R555" s="18">
        <f t="shared" si="475"/>
        <v>7193.3420469689299</v>
      </c>
      <c r="S555" s="18">
        <f t="shared" si="476"/>
        <v>1.5706573093539504</v>
      </c>
      <c r="T555" s="18" t="str">
        <f t="shared" si="465"/>
        <v>1+2.94584480981704i</v>
      </c>
      <c r="U555" s="18">
        <f t="shared" si="477"/>
        <v>3.1109486725958684</v>
      </c>
      <c r="V555" s="18">
        <f t="shared" si="478"/>
        <v>1.2435408724121892</v>
      </c>
      <c r="W555" s="32" t="str">
        <f t="shared" si="466"/>
        <v>1-48.8068962573238i</v>
      </c>
      <c r="X555" s="18">
        <f t="shared" si="479"/>
        <v>48.817139636332314</v>
      </c>
      <c r="Y555" s="18">
        <f t="shared" si="480"/>
        <v>-1.5503102852694972</v>
      </c>
      <c r="Z555" s="32" t="str">
        <f t="shared" si="467"/>
        <v>-112.541502863147+22.1783218825673i</v>
      </c>
      <c r="AA555" s="18">
        <f t="shared" si="481"/>
        <v>114.70600606865575</v>
      </c>
      <c r="AB555" s="18">
        <f t="shared" si="482"/>
        <v>2.9470179674420081</v>
      </c>
      <c r="AC555" s="68" t="str">
        <f t="shared" si="483"/>
        <v>0.000751856047466564+0.0066815562185277i</v>
      </c>
      <c r="AD555" s="66">
        <f t="shared" si="484"/>
        <v>-43.44780084799779</v>
      </c>
      <c r="AE555" s="63">
        <f t="shared" si="485"/>
        <v>83.579680788565554</v>
      </c>
      <c r="AF555" s="51" t="str">
        <f t="shared" si="486"/>
        <v>42.1703962805665</v>
      </c>
      <c r="AG555" s="51" t="str">
        <f t="shared" si="468"/>
        <v>1+1299.63741609576i</v>
      </c>
      <c r="AH555" s="51">
        <f t="shared" si="487"/>
        <v>1299.637800818391</v>
      </c>
      <c r="AI555" s="51">
        <f t="shared" si="488"/>
        <v>1.5700268815709699</v>
      </c>
      <c r="AJ555" s="51" t="str">
        <f t="shared" si="469"/>
        <v>1+2.94584480981704i</v>
      </c>
      <c r="AK555" s="51">
        <f t="shared" si="489"/>
        <v>3.1109486725958684</v>
      </c>
      <c r="AL555" s="51">
        <f t="shared" si="490"/>
        <v>1.2435408724121892</v>
      </c>
      <c r="AM555" s="51" t="str">
        <f t="shared" si="470"/>
        <v>1-7.63880063698733i</v>
      </c>
      <c r="AN555" s="51">
        <f t="shared" si="491"/>
        <v>7.703977879747451</v>
      </c>
      <c r="AO555" s="51">
        <f t="shared" si="492"/>
        <v>-1.4406259573412203</v>
      </c>
      <c r="AP555" s="60" t="str">
        <f t="shared" si="493"/>
        <v>-0.151689291042083-0.762728699634921i</v>
      </c>
      <c r="AQ555" s="51">
        <f t="shared" si="494"/>
        <v>-2.1841355908245772</v>
      </c>
      <c r="AR555" s="63">
        <f t="shared" si="495"/>
        <v>-101.2480576075134</v>
      </c>
      <c r="AS555" s="32" t="str">
        <f t="shared" si="471"/>
        <v>-0.000133283554228113</v>
      </c>
      <c r="AT555" s="32" t="str">
        <f t="shared" si="472"/>
        <v>0.899955589399103i</v>
      </c>
      <c r="AU555" s="32">
        <f t="shared" si="496"/>
        <v>0.89995558939910303</v>
      </c>
      <c r="AV555" s="32">
        <f t="shared" si="497"/>
        <v>1.5707963267948966</v>
      </c>
      <c r="AW555" s="32" t="str">
        <f t="shared" si="473"/>
        <v>1+157.350564830401i</v>
      </c>
      <c r="AX555" s="32">
        <f t="shared" si="498"/>
        <v>157.35374241639829</v>
      </c>
      <c r="AY555" s="32">
        <f t="shared" si="499"/>
        <v>1.5644411761896531</v>
      </c>
      <c r="AZ555" s="32" t="str">
        <f t="shared" si="474"/>
        <v>1+2344.90719783841i</v>
      </c>
      <c r="BA555" s="32">
        <f t="shared" si="500"/>
        <v>2344.9074110664546</v>
      </c>
      <c r="BB555" s="32">
        <f t="shared" si="501"/>
        <v>1.5703698707115599</v>
      </c>
      <c r="BC555" s="60" t="str">
        <f t="shared" si="502"/>
        <v>-0.0000130846056791538+0.00220697024024746i</v>
      </c>
      <c r="BD555" s="51">
        <f t="shared" si="503"/>
        <v>-53.123917807433983</v>
      </c>
      <c r="BE555" s="63">
        <f t="shared" si="504"/>
        <v>90.339689174127585</v>
      </c>
      <c r="BF555" s="60" t="str">
        <f t="shared" si="505"/>
        <v>-0.0000147558334727396+1.57189839326626E-06i</v>
      </c>
      <c r="BG555" s="66">
        <f t="shared" si="506"/>
        <v>-96.571718655431766</v>
      </c>
      <c r="BH555" s="63">
        <f t="shared" si="507"/>
        <v>173.91936996269314</v>
      </c>
      <c r="BI555" s="60" t="str">
        <f t="shared" si="460"/>
        <v>0.00168530433603595-0.000324793746819216i</v>
      </c>
      <c r="BJ555" s="66">
        <f t="shared" si="508"/>
        <v>-55.308053398258565</v>
      </c>
      <c r="BK555" s="63">
        <f t="shared" si="461"/>
        <v>-10.908368433385803</v>
      </c>
      <c r="BL555" s="51">
        <f t="shared" si="509"/>
        <v>-96.571718655431766</v>
      </c>
      <c r="BM555" s="63">
        <f t="shared" si="510"/>
        <v>173.91936996269314</v>
      </c>
    </row>
    <row r="556" spans="14:65" x14ac:dyDescent="0.35">
      <c r="N556" s="11">
        <v>38</v>
      </c>
      <c r="O556" s="52">
        <f t="shared" si="462"/>
        <v>2398832.9190194933</v>
      </c>
      <c r="P556" s="50" t="str">
        <f t="shared" si="463"/>
        <v>36.531007751938</v>
      </c>
      <c r="Q556" s="18" t="str">
        <f t="shared" si="464"/>
        <v>1+7360.89643661399i</v>
      </c>
      <c r="R556" s="18">
        <f t="shared" si="475"/>
        <v>7360.8965045404984</v>
      </c>
      <c r="S556" s="18">
        <f t="shared" si="476"/>
        <v>1.5706604737772025</v>
      </c>
      <c r="T556" s="18" t="str">
        <f t="shared" si="465"/>
        <v>1+3.0144623502324i</v>
      </c>
      <c r="U556" s="18">
        <f t="shared" si="477"/>
        <v>3.1760011430993917</v>
      </c>
      <c r="V556" s="18">
        <f t="shared" si="478"/>
        <v>1.2504857587458091</v>
      </c>
      <c r="W556" s="32" t="str">
        <f t="shared" si="466"/>
        <v>1-49.9437549150931i</v>
      </c>
      <c r="X556" s="18">
        <f t="shared" si="479"/>
        <v>49.953765173597141</v>
      </c>
      <c r="Y556" s="18">
        <f t="shared" si="480"/>
        <v>-1.5507764784670932</v>
      </c>
      <c r="Z556" s="32" t="str">
        <f t="shared" si="467"/>
        <v>-117.892549036603+22.694921362978i</v>
      </c>
      <c r="AA556" s="18">
        <f t="shared" si="481"/>
        <v>120.05712212950799</v>
      </c>
      <c r="AB556" s="18">
        <f t="shared" si="482"/>
        <v>2.9514139690035255</v>
      </c>
      <c r="AC556" s="68" t="str">
        <f t="shared" si="483"/>
        <v>0.00071980478328662+0.00651868860484105i</v>
      </c>
      <c r="AD556" s="66">
        <f t="shared" si="484"/>
        <v>-43.664162186649435</v>
      </c>
      <c r="AE556" s="63">
        <f t="shared" si="485"/>
        <v>83.69882891771536</v>
      </c>
      <c r="AF556" s="51" t="str">
        <f t="shared" si="486"/>
        <v>42.1703962805665</v>
      </c>
      <c r="AG556" s="51" t="str">
        <f t="shared" si="468"/>
        <v>1+1329.90986039665i</v>
      </c>
      <c r="AH556" s="51">
        <f t="shared" si="487"/>
        <v>1329.9102363619272</v>
      </c>
      <c r="AI556" s="51">
        <f t="shared" si="488"/>
        <v>1.5700443962759101</v>
      </c>
      <c r="AJ556" s="51" t="str">
        <f t="shared" si="469"/>
        <v>1+3.0144623502324i</v>
      </c>
      <c r="AK556" s="51">
        <f t="shared" si="489"/>
        <v>3.1760011430993917</v>
      </c>
      <c r="AL556" s="51">
        <f t="shared" si="490"/>
        <v>1.2504857587458091</v>
      </c>
      <c r="AM556" s="51" t="str">
        <f t="shared" si="470"/>
        <v>1-7.81673116125888i</v>
      </c>
      <c r="AN556" s="51">
        <f t="shared" si="491"/>
        <v>7.8804369198284681</v>
      </c>
      <c r="AO556" s="51">
        <f t="shared" si="492"/>
        <v>-1.4435567544604693</v>
      </c>
      <c r="AP556" s="60" t="str">
        <f t="shared" si="493"/>
        <v>-0.151690418775536-0.77899514950898i</v>
      </c>
      <c r="AQ556" s="51">
        <f t="shared" si="494"/>
        <v>-2.0076739916409734</v>
      </c>
      <c r="AR556" s="63">
        <f t="shared" si="495"/>
        <v>-101.01907075561344</v>
      </c>
      <c r="AS556" s="32" t="str">
        <f t="shared" si="471"/>
        <v>-0.000133283554228113</v>
      </c>
      <c r="AT556" s="32" t="str">
        <f t="shared" si="472"/>
        <v>0.920918247995998i</v>
      </c>
      <c r="AU556" s="32">
        <f t="shared" si="496"/>
        <v>0.92091824799599797</v>
      </c>
      <c r="AV556" s="32">
        <f t="shared" si="497"/>
        <v>1.5707963267948966</v>
      </c>
      <c r="AW556" s="32" t="str">
        <f t="shared" si="473"/>
        <v>1+161.015730322367i</v>
      </c>
      <c r="AX556" s="32">
        <f t="shared" si="498"/>
        <v>161.01883557908749</v>
      </c>
      <c r="AY556" s="32">
        <f t="shared" si="499"/>
        <v>1.5645858333156459</v>
      </c>
      <c r="AZ556" s="32" t="str">
        <f t="shared" si="474"/>
        <v>1+2399.52710309674i</v>
      </c>
      <c r="BA556" s="32">
        <f t="shared" si="500"/>
        <v>2399.5273114711226</v>
      </c>
      <c r="BB556" s="32">
        <f t="shared" si="501"/>
        <v>1.5703795780360199</v>
      </c>
      <c r="BC556" s="60" t="str">
        <f t="shared" si="502"/>
        <v>-0.0000124957241284864+0.00215673712160366i</v>
      </c>
      <c r="BD556" s="51">
        <f t="shared" si="503"/>
        <v>-53.323909948664188</v>
      </c>
      <c r="BE556" s="63">
        <f t="shared" si="504"/>
        <v>90.33195712005363</v>
      </c>
      <c r="BF556" s="60" t="str">
        <f t="shared" si="505"/>
        <v>-0.0000140680921802338+1.47097396193653E-06i</v>
      </c>
      <c r="BG556" s="66">
        <f t="shared" si="506"/>
        <v>-96.988072135313601</v>
      </c>
      <c r="BH556" s="63">
        <f t="shared" si="507"/>
        <v>174.03078603776899</v>
      </c>
      <c r="BI556" s="60" t="str">
        <f t="shared" si="460"/>
        <v>0.00168198323812116-0.00031742224867911i</v>
      </c>
      <c r="BJ556" s="66">
        <f t="shared" si="508"/>
        <v>-55.33158394030518</v>
      </c>
      <c r="BK556" s="63">
        <f t="shared" si="461"/>
        <v>-10.68711363555984</v>
      </c>
      <c r="BL556" s="51">
        <f t="shared" si="509"/>
        <v>-96.988072135313601</v>
      </c>
      <c r="BM556" s="63">
        <f t="shared" si="510"/>
        <v>174.03078603776899</v>
      </c>
    </row>
    <row r="557" spans="14:65" x14ac:dyDescent="0.35">
      <c r="N557" s="11">
        <v>39</v>
      </c>
      <c r="O557" s="52">
        <f t="shared" si="462"/>
        <v>2454708.915685033</v>
      </c>
      <c r="P557" s="50" t="str">
        <f t="shared" si="463"/>
        <v>36.531007751938</v>
      </c>
      <c r="Q557" s="18" t="str">
        <f t="shared" si="464"/>
        <v>1+7532.35374049145i</v>
      </c>
      <c r="R557" s="18">
        <f t="shared" si="475"/>
        <v>7532.3538068717626</v>
      </c>
      <c r="S557" s="18">
        <f t="shared" si="476"/>
        <v>1.57066356616939</v>
      </c>
      <c r="T557" s="18" t="str">
        <f t="shared" si="465"/>
        <v>1+3.08467819848698i</v>
      </c>
      <c r="U557" s="18">
        <f t="shared" si="477"/>
        <v>3.2427210160944897</v>
      </c>
      <c r="V557" s="18">
        <f t="shared" si="478"/>
        <v>1.2573036218228733</v>
      </c>
      <c r="W557" s="32" t="str">
        <f t="shared" si="466"/>
        <v>1-51.1070944128021i</v>
      </c>
      <c r="X557" s="18">
        <f t="shared" si="479"/>
        <v>51.116876854118033</v>
      </c>
      <c r="Y557" s="18">
        <f t="shared" si="480"/>
        <v>-1.5512320682219047</v>
      </c>
      <c r="Z557" s="32" t="str">
        <f t="shared" si="467"/>
        <v>-123.495782246768+23.2235539910981i</v>
      </c>
      <c r="AA557" s="18">
        <f t="shared" si="481"/>
        <v>125.66042214125569</v>
      </c>
      <c r="AB557" s="18">
        <f t="shared" si="482"/>
        <v>2.9557120895338538</v>
      </c>
      <c r="AC557" s="68" t="str">
        <f t="shared" si="483"/>
        <v>0.000689041469369836+0.00636022640296633i</v>
      </c>
      <c r="AD557" s="66">
        <f t="shared" si="484"/>
        <v>-43.879873503086998</v>
      </c>
      <c r="AE557" s="63">
        <f t="shared" si="485"/>
        <v>83.816918979941789</v>
      </c>
      <c r="AF557" s="51" t="str">
        <f t="shared" si="486"/>
        <v>42.1703962805665</v>
      </c>
      <c r="AG557" s="51" t="str">
        <f t="shared" si="468"/>
        <v>1+1360.88744050897i</v>
      </c>
      <c r="AH557" s="51">
        <f t="shared" si="487"/>
        <v>1360.887807916235</v>
      </c>
      <c r="AI557" s="51">
        <f t="shared" si="488"/>
        <v>1.5700615122979373</v>
      </c>
      <c r="AJ557" s="51" t="str">
        <f t="shared" si="469"/>
        <v>1+3.08467819848698i</v>
      </c>
      <c r="AK557" s="51">
        <f t="shared" si="489"/>
        <v>3.2427210160944897</v>
      </c>
      <c r="AL557" s="51">
        <f t="shared" si="490"/>
        <v>1.2573036218228733</v>
      </c>
      <c r="AM557" s="51" t="str">
        <f t="shared" si="470"/>
        <v>1-7.99880621985879i</v>
      </c>
      <c r="AN557" s="51">
        <f t="shared" si="491"/>
        <v>8.0610731880346833</v>
      </c>
      <c r="AO557" s="51">
        <f t="shared" si="492"/>
        <v>-1.4464229637009793</v>
      </c>
      <c r="AP557" s="60" t="str">
        <f t="shared" si="493"/>
        <v>-0.151691495752678-0.79567463284618i</v>
      </c>
      <c r="AQ557" s="51">
        <f t="shared" si="494"/>
        <v>-1.8302438136041486</v>
      </c>
      <c r="AR557" s="63">
        <f t="shared" si="495"/>
        <v>-100.79363834450639</v>
      </c>
      <c r="AS557" s="32" t="str">
        <f t="shared" si="471"/>
        <v>-0.000133283554228113</v>
      </c>
      <c r="AT557" s="32" t="str">
        <f t="shared" si="472"/>
        <v>0.942369189637774i</v>
      </c>
      <c r="AU557" s="32">
        <f t="shared" si="496"/>
        <v>0.94236918963777405</v>
      </c>
      <c r="AV557" s="32">
        <f t="shared" si="497"/>
        <v>1.5707963267948966</v>
      </c>
      <c r="AW557" s="32" t="str">
        <f t="shared" si="473"/>
        <v>1+164.766268485846i</v>
      </c>
      <c r="AX557" s="32">
        <f t="shared" si="498"/>
        <v>164.76930305961085</v>
      </c>
      <c r="AY557" s="32">
        <f t="shared" si="499"/>
        <v>1.5647271978946009</v>
      </c>
      <c r="AZ557" s="32" t="str">
        <f t="shared" si="474"/>
        <v>1+2455.41926938663i</v>
      </c>
      <c r="BA557" s="32">
        <f t="shared" si="500"/>
        <v>2455.4194730178328</v>
      </c>
      <c r="BB557" s="32">
        <f t="shared" si="501"/>
        <v>1.5703890643948739</v>
      </c>
      <c r="BC557" s="60" t="str">
        <f t="shared" si="502"/>
        <v>-0.0000119333446150523+0.00210764720424385i</v>
      </c>
      <c r="BD557" s="51">
        <f t="shared" si="503"/>
        <v>-53.52390244358395</v>
      </c>
      <c r="BE557" s="63">
        <f t="shared" si="504"/>
        <v>90.324401054632133</v>
      </c>
      <c r="BF557" s="60" t="str">
        <f t="shared" si="505"/>
        <v>-0.000013413335965878+1.37635755302906E-06i</v>
      </c>
      <c r="BG557" s="66">
        <f t="shared" si="506"/>
        <v>-97.403775946670919</v>
      </c>
      <c r="BH557" s="63">
        <f t="shared" si="507"/>
        <v>174.14132003457394</v>
      </c>
      <c r="BI557" s="60" t="str">
        <f t="shared" si="460"/>
        <v>0.00167881160229999-0.000310217097335491i</v>
      </c>
      <c r="BJ557" s="66">
        <f t="shared" si="508"/>
        <v>-55.354146257188113</v>
      </c>
      <c r="BK557" s="63">
        <f t="shared" si="461"/>
        <v>-10.469237289874261</v>
      </c>
      <c r="BL557" s="51">
        <f t="shared" si="509"/>
        <v>-97.403775946670919</v>
      </c>
      <c r="BM557" s="63">
        <f t="shared" si="510"/>
        <v>174.14132003457394</v>
      </c>
    </row>
    <row r="558" spans="14:65" x14ac:dyDescent="0.35">
      <c r="N558" s="11">
        <v>40</v>
      </c>
      <c r="O558" s="52">
        <f t="shared" si="462"/>
        <v>2511886.431509587</v>
      </c>
      <c r="P558" s="50" t="str">
        <f t="shared" si="463"/>
        <v>36.531007751938</v>
      </c>
      <c r="Q558" s="18" t="str">
        <f t="shared" si="464"/>
        <v>1+7707.80479802466i</v>
      </c>
      <c r="R558" s="18">
        <f t="shared" si="475"/>
        <v>7707.8048628939723</v>
      </c>
      <c r="S558" s="18">
        <f t="shared" si="476"/>
        <v>1.5706665881701398</v>
      </c>
      <c r="T558" s="18" t="str">
        <f t="shared" si="465"/>
        <v>1+3.15652958395296i</v>
      </c>
      <c r="U558" s="18">
        <f t="shared" si="477"/>
        <v>3.311144668293768</v>
      </c>
      <c r="V558" s="18">
        <f t="shared" si="478"/>
        <v>1.2639955403658796</v>
      </c>
      <c r="W558" s="32" t="str">
        <f t="shared" si="466"/>
        <v>1-52.2975315684515i</v>
      </c>
      <c r="X558" s="18">
        <f t="shared" si="479"/>
        <v>52.307091375387913</v>
      </c>
      <c r="Y558" s="18">
        <f t="shared" si="480"/>
        <v>-1.5516772953367115</v>
      </c>
      <c r="Z558" s="32" t="str">
        <f t="shared" si="467"/>
        <v>-129.36308770252+23.7645000549445i</v>
      </c>
      <c r="AA558" s="18">
        <f t="shared" si="481"/>
        <v>131.52779144648989</v>
      </c>
      <c r="AB558" s="18">
        <f t="shared" si="482"/>
        <v>2.9599144136978337</v>
      </c>
      <c r="AC558" s="68" t="str">
        <f t="shared" si="483"/>
        <v>0.000659521395583432+0.00620602500407694i</v>
      </c>
      <c r="AD558" s="66">
        <f t="shared" si="484"/>
        <v>-44.094957177471336</v>
      </c>
      <c r="AE558" s="63">
        <f t="shared" si="485"/>
        <v>83.933879448067586</v>
      </c>
      <c r="AF558" s="51" t="str">
        <f t="shared" si="486"/>
        <v>42.1703962805665</v>
      </c>
      <c r="AG558" s="51" t="str">
        <f t="shared" si="468"/>
        <v>1+1392.58658115572i</v>
      </c>
      <c r="AH558" s="51">
        <f t="shared" si="487"/>
        <v>1392.5869401997768</v>
      </c>
      <c r="AI558" s="51">
        <f t="shared" si="488"/>
        <v>1.570078238712153</v>
      </c>
      <c r="AJ558" s="51" t="str">
        <f t="shared" si="469"/>
        <v>1+3.15652958395296i</v>
      </c>
      <c r="AK558" s="51">
        <f t="shared" si="489"/>
        <v>3.311144668293768</v>
      </c>
      <c r="AL558" s="51">
        <f t="shared" si="490"/>
        <v>1.2639955403658796</v>
      </c>
      <c r="AM558" s="51" t="str">
        <f t="shared" si="470"/>
        <v>1-8.18512235139324i</v>
      </c>
      <c r="AN558" s="51">
        <f t="shared" si="491"/>
        <v>8.2459825313468382</v>
      </c>
      <c r="AO558" s="51">
        <f t="shared" si="492"/>
        <v>-1.4492259162935199</v>
      </c>
      <c r="AP558" s="60" t="str">
        <f t="shared" si="493"/>
        <v>-0.151692524257916-0.812775993334466i</v>
      </c>
      <c r="AQ558" s="51">
        <f t="shared" si="494"/>
        <v>-1.6518813869611602</v>
      </c>
      <c r="AR558" s="63">
        <f t="shared" si="495"/>
        <v>-100.57177536181555</v>
      </c>
      <c r="AS558" s="32" t="str">
        <f t="shared" si="471"/>
        <v>-0.000133283554228113</v>
      </c>
      <c r="AT558" s="32" t="str">
        <f t="shared" si="472"/>
        <v>0.964319787897629i</v>
      </c>
      <c r="AU558" s="32">
        <f t="shared" si="496"/>
        <v>0.96431978789762895</v>
      </c>
      <c r="AV558" s="32">
        <f t="shared" si="497"/>
        <v>1.5707963267948966</v>
      </c>
      <c r="AW558" s="32" t="str">
        <f t="shared" si="473"/>
        <v>1+168.604167905816i</v>
      </c>
      <c r="AX558" s="32">
        <f t="shared" si="498"/>
        <v>168.60713340547781</v>
      </c>
      <c r="AY558" s="32">
        <f t="shared" si="499"/>
        <v>1.5648653448572762</v>
      </c>
      <c r="AZ558" s="32" t="str">
        <f t="shared" si="474"/>
        <v>1+2512.61333147447i</v>
      </c>
      <c r="BA558" s="32">
        <f t="shared" si="500"/>
        <v>2512.6135304704617</v>
      </c>
      <c r="BB558" s="32">
        <f t="shared" si="501"/>
        <v>1.5703983348179082</v>
      </c>
      <c r="BC558" s="60" t="str">
        <f t="shared" si="502"/>
        <v>-0.0000113962745265279+0.00205967448202089i</v>
      </c>
      <c r="BD558" s="51">
        <f t="shared" si="503"/>
        <v>-53.723895276275698</v>
      </c>
      <c r="BE558" s="63">
        <f t="shared" si="504"/>
        <v>90.317016972832462</v>
      </c>
      <c r="BF558" s="60" t="str">
        <f t="shared" si="505"/>
        <v>-0.000012789907422561+1.28767382416504E-06i</v>
      </c>
      <c r="BG558" s="66">
        <f t="shared" si="506"/>
        <v>-97.81885245374707</v>
      </c>
      <c r="BH558" s="63">
        <f t="shared" si="507"/>
        <v>174.25089642090003</v>
      </c>
      <c r="BI558" s="60" t="str">
        <f t="shared" si="460"/>
        <v>0.00167578270272025-0.000303174602978753i</v>
      </c>
      <c r="BJ558" s="66">
        <f t="shared" si="508"/>
        <v>-55.375776663236842</v>
      </c>
      <c r="BK558" s="63">
        <f t="shared" si="461"/>
        <v>-10.254758388983044</v>
      </c>
      <c r="BL558" s="51">
        <f t="shared" si="509"/>
        <v>-97.81885245374707</v>
      </c>
      <c r="BM558" s="63">
        <f t="shared" si="510"/>
        <v>174.25089642090003</v>
      </c>
    </row>
    <row r="559" spans="14:65" x14ac:dyDescent="0.35">
      <c r="N559" s="11">
        <v>41</v>
      </c>
      <c r="O559" s="52">
        <f t="shared" si="462"/>
        <v>2570395.782768866</v>
      </c>
      <c r="P559" s="50" t="str">
        <f t="shared" si="463"/>
        <v>36.531007751938</v>
      </c>
      <c r="Q559" s="18" t="str">
        <f t="shared" si="464"/>
        <v>1+7887.34263568659i</v>
      </c>
      <c r="R559" s="18">
        <f t="shared" si="475"/>
        <v>7887.3426990792977</v>
      </c>
      <c r="S559" s="18">
        <f t="shared" si="476"/>
        <v>1.5706695413817566</v>
      </c>
      <c r="T559" s="18" t="str">
        <f t="shared" si="465"/>
        <v>1+3.23005460318594i</v>
      </c>
      <c r="U559" s="18">
        <f t="shared" si="477"/>
        <v>3.3813093232596572</v>
      </c>
      <c r="V559" s="18">
        <f t="shared" si="478"/>
        <v>1.2705626642706074</v>
      </c>
      <c r="W559" s="32" t="str">
        <f t="shared" si="466"/>
        <v>1-53.5156975675778i</v>
      </c>
      <c r="X559" s="18">
        <f t="shared" si="479"/>
        <v>53.525039805164575</v>
      </c>
      <c r="Y559" s="18">
        <f t="shared" si="480"/>
        <v>-1.552112395170369</v>
      </c>
      <c r="Z559" s="32" t="str">
        <f t="shared" si="467"/>
        <v>-135.506910745371+24.3180463712803i</v>
      </c>
      <c r="AA559" s="18">
        <f t="shared" si="481"/>
        <v>137.67167551486281</v>
      </c>
      <c r="AB559" s="18">
        <f t="shared" si="482"/>
        <v>2.9640229880199223</v>
      </c>
      <c r="AC559" s="68" t="str">
        <f t="shared" si="483"/>
        <v>0.00063120074134314+0.0060559458096272i</v>
      </c>
      <c r="AD559" s="66">
        <f t="shared" si="484"/>
        <v>-44.309435102737716</v>
      </c>
      <c r="AE559" s="63">
        <f t="shared" si="485"/>
        <v>84.049645372179398</v>
      </c>
      <c r="AF559" s="51" t="str">
        <f t="shared" si="486"/>
        <v>42.1703962805665</v>
      </c>
      <c r="AG559" s="51" t="str">
        <f t="shared" si="468"/>
        <v>1+1425.02408964086i</v>
      </c>
      <c r="AH559" s="51">
        <f t="shared" si="487"/>
        <v>1425.0244405120782</v>
      </c>
      <c r="AI559" s="51">
        <f t="shared" si="488"/>
        <v>1.5700945843870862</v>
      </c>
      <c r="AJ559" s="51" t="str">
        <f t="shared" si="469"/>
        <v>1+3.23005460318594i</v>
      </c>
      <c r="AK559" s="51">
        <f t="shared" si="489"/>
        <v>3.3813093232596572</v>
      </c>
      <c r="AL559" s="51">
        <f t="shared" si="490"/>
        <v>1.2705626642706074</v>
      </c>
      <c r="AM559" s="51" t="str">
        <f t="shared" si="470"/>
        <v>1-8.37577834314125i</v>
      </c>
      <c r="AN559" s="51">
        <f t="shared" si="491"/>
        <v>8.4352630577495304</v>
      </c>
      <c r="AO559" s="51">
        <f t="shared" si="492"/>
        <v>-1.4519669221342251</v>
      </c>
      <c r="AP559" s="60" t="str">
        <f t="shared" si="493"/>
        <v>-0.151693506472839-0.830308298346269i</v>
      </c>
      <c r="AQ559" s="51">
        <f t="shared" si="494"/>
        <v>-1.4726219602579671</v>
      </c>
      <c r="AR559" s="63">
        <f t="shared" si="495"/>
        <v>-100.35349148301526</v>
      </c>
      <c r="AS559" s="32" t="str">
        <f t="shared" si="471"/>
        <v>-0.000133283554228113</v>
      </c>
      <c r="AT559" s="32" t="str">
        <f t="shared" si="472"/>
        <v>0.986781681273305i</v>
      </c>
      <c r="AU559" s="32">
        <f t="shared" si="496"/>
        <v>0.98678168127330501</v>
      </c>
      <c r="AV559" s="32">
        <f t="shared" si="497"/>
        <v>1.5707963267948966</v>
      </c>
      <c r="AW559" s="32" t="str">
        <f t="shared" si="473"/>
        <v>1+172.531463487349i</v>
      </c>
      <c r="AX559" s="32">
        <f t="shared" si="498"/>
        <v>172.53436148514427</v>
      </c>
      <c r="AY559" s="32">
        <f t="shared" si="499"/>
        <v>1.5650003474299157</v>
      </c>
      <c r="AZ559" s="32" t="str">
        <f t="shared" si="474"/>
        <v>1+2571.13961440902i</v>
      </c>
      <c r="BA559" s="32">
        <f t="shared" si="500"/>
        <v>2571.1398088753099</v>
      </c>
      <c r="BB559" s="32">
        <f t="shared" si="501"/>
        <v>1.5704073942204175</v>
      </c>
      <c r="BC559" s="60" t="str">
        <f t="shared" si="502"/>
        <v>-0.000010883374911515+0.00201279353967256i</v>
      </c>
      <c r="BD559" s="51">
        <f t="shared" si="503"/>
        <v>-53.923888431538359</v>
      </c>
      <c r="BE559" s="63">
        <f t="shared" si="504"/>
        <v>90.309800960725511</v>
      </c>
      <c r="BF559" s="60" t="str">
        <f t="shared" si="505"/>
        <v>-0.0000121962381965372+1.20456764572201E-06i</v>
      </c>
      <c r="BG559" s="66">
        <f t="shared" si="506"/>
        <v>-98.233323534276082</v>
      </c>
      <c r="BH559" s="63">
        <f t="shared" si="507"/>
        <v>174.35944633290492</v>
      </c>
      <c r="BI559" s="60" t="str">
        <f t="shared" si="460"/>
        <v>0.00167289011615047-0.000296291153335763i</v>
      </c>
      <c r="BJ559" s="66">
        <f t="shared" si="508"/>
        <v>-55.39651039179634</v>
      </c>
      <c r="BK559" s="63">
        <f t="shared" si="461"/>
        <v>-10.043690522289744</v>
      </c>
      <c r="BL559" s="51">
        <f t="shared" si="509"/>
        <v>-98.233323534276082</v>
      </c>
      <c r="BM559" s="63">
        <f t="shared" si="510"/>
        <v>174.35944633290492</v>
      </c>
    </row>
    <row r="560" spans="14:65" ht="15" thickBot="1" x14ac:dyDescent="0.4">
      <c r="N560" s="11">
        <v>42</v>
      </c>
      <c r="O560" s="52">
        <f t="shared" si="462"/>
        <v>2630267.9918953842</v>
      </c>
      <c r="P560" s="50" t="str">
        <f t="shared" si="463"/>
        <v>36.531007751938</v>
      </c>
      <c r="Q560" s="18" t="str">
        <f t="shared" si="464"/>
        <v>1+8071.06244681529i</v>
      </c>
      <c r="R560" s="18">
        <f t="shared" si="475"/>
        <v>8071.0625087650023</v>
      </c>
      <c r="S560" s="18">
        <f t="shared" si="476"/>
        <v>1.5706724273700721</v>
      </c>
      <c r="T560" s="18" t="str">
        <f t="shared" si="465"/>
        <v>1+3.30529224012436i</v>
      </c>
      <c r="U560" s="18">
        <f t="shared" si="477"/>
        <v>3.4532530739327965</v>
      </c>
      <c r="V560" s="18">
        <f t="shared" si="478"/>
        <v>1.2770062089313754</v>
      </c>
      <c r="W560" s="32" t="str">
        <f t="shared" si="466"/>
        <v>1-54.7622382979184i</v>
      </c>
      <c r="X560" s="18">
        <f t="shared" si="479"/>
        <v>54.771367916074553</v>
      </c>
      <c r="Y560" s="18">
        <f t="shared" si="480"/>
        <v>-1.5525375977592339</v>
      </c>
      <c r="Z560" s="32" t="str">
        <f t="shared" si="467"/>
        <v>-141.940283247714+24.8844864376895i</v>
      </c>
      <c r="AA560" s="18">
        <f t="shared" si="481"/>
        <v>144.10510634154792</v>
      </c>
      <c r="AB560" s="18">
        <f t="shared" si="482"/>
        <v>2.968039821158249</v>
      </c>
      <c r="AC560" s="61" t="str">
        <f t="shared" si="483"/>
        <v>0.000604036628857198+0.00590985593831618i</v>
      </c>
      <c r="AD560" s="67">
        <f t="shared" si="484"/>
        <v>-44.523328670440215</v>
      </c>
      <c r="AE560" s="65">
        <f t="shared" si="485"/>
        <v>84.164158031780886</v>
      </c>
      <c r="AF560" s="51" t="str">
        <f t="shared" si="486"/>
        <v>42.1703962805665</v>
      </c>
      <c r="AG560" s="51" t="str">
        <f t="shared" si="468"/>
        <v>1+1458.21716476075i</v>
      </c>
      <c r="AH560" s="51">
        <f t="shared" si="487"/>
        <v>1458.2175076451658</v>
      </c>
      <c r="AI560" s="51">
        <f t="shared" si="488"/>
        <v>1.5701105579893948</v>
      </c>
      <c r="AJ560" s="51" t="str">
        <f t="shared" si="469"/>
        <v>1+3.30529224012436i</v>
      </c>
      <c r="AK560" s="51">
        <f t="shared" si="489"/>
        <v>3.4532530739327965</v>
      </c>
      <c r="AL560" s="51">
        <f t="shared" si="490"/>
        <v>1.2770062089313754</v>
      </c>
      <c r="AM560" s="51" t="str">
        <f t="shared" si="470"/>
        <v>1-8.57087528343334i</v>
      </c>
      <c r="AN560" s="51">
        <f t="shared" si="491"/>
        <v>8.6290151885466368</v>
      </c>
      <c r="AO560" s="51">
        <f t="shared" si="492"/>
        <v>-1.4546472697043267</v>
      </c>
      <c r="AP560" s="64" t="str">
        <f t="shared" si="493"/>
        <v>-0.151694444480852-0.848280843746235i</v>
      </c>
      <c r="AQ560" s="57">
        <f t="shared" si="494"/>
        <v>-1.2924997100898725</v>
      </c>
      <c r="AR560" s="65">
        <f t="shared" si="495"/>
        <v>-100.13879139224005</v>
      </c>
      <c r="AS560" s="32" t="str">
        <f t="shared" si="471"/>
        <v>-0.000133283554228113</v>
      </c>
      <c r="AT560" s="32" t="str">
        <f t="shared" si="472"/>
        <v>1.00976677935799i</v>
      </c>
      <c r="AU560" s="32">
        <f t="shared" si="496"/>
        <v>1.0097667793579901</v>
      </c>
      <c r="AV560" s="32">
        <f t="shared" si="497"/>
        <v>1.5707963267948966</v>
      </c>
      <c r="AW560" s="32" t="str">
        <f t="shared" si="473"/>
        <v>1+176.550237534546i</v>
      </c>
      <c r="AX560" s="32">
        <f t="shared" si="498"/>
        <v>176.55306956692829</v>
      </c>
      <c r="AY560" s="32">
        <f t="shared" si="499"/>
        <v>1.5651322771729748</v>
      </c>
      <c r="AZ560" s="32" t="str">
        <f t="shared" si="474"/>
        <v>1+2631.02914960019i</v>
      </c>
      <c r="BA560" s="32">
        <f t="shared" si="500"/>
        <v>2631.029339639887</v>
      </c>
      <c r="BB560" s="32">
        <f t="shared" si="501"/>
        <v>1.570416247405811</v>
      </c>
      <c r="BC560" s="64" t="str">
        <f t="shared" si="502"/>
        <v>-0.0000103935580657634+0.00196697953944403i</v>
      </c>
      <c r="BD560" s="57">
        <f t="shared" si="503"/>
        <v>-54.123881894854662</v>
      </c>
      <c r="BE560" s="65">
        <f t="shared" si="504"/>
        <v>90.302749193414272</v>
      </c>
      <c r="BF560" s="64" t="str">
        <f t="shared" si="505"/>
        <v>-0.0000116308438015056+1.12670325918167E-06i</v>
      </c>
      <c r="BG560" s="67">
        <f t="shared" si="506"/>
        <v>-98.647210565294884</v>
      </c>
      <c r="BH560" s="65">
        <f t="shared" si="507"/>
        <v>174.46690722519514</v>
      </c>
      <c r="BI560" s="64" t="str">
        <f t="shared" si="460"/>
        <v>0.00167012770836813-0.000289563212335613i</v>
      </c>
      <c r="BJ560" s="67">
        <f t="shared" si="508"/>
        <v>-55.416381604944533</v>
      </c>
      <c r="BK560" s="65">
        <f t="shared" si="461"/>
        <v>-9.8360421988257762</v>
      </c>
      <c r="BL560" s="57">
        <f t="shared" si="509"/>
        <v>-98.647210565294884</v>
      </c>
      <c r="BM560" s="65">
        <f t="shared" si="510"/>
        <v>174.46690722519514</v>
      </c>
    </row>
    <row r="561" spans="14:31" x14ac:dyDescent="0.35">
      <c r="N561" s="11"/>
      <c r="P561" s="50"/>
      <c r="Q561" s="18"/>
      <c r="R561" s="18"/>
      <c r="S561" s="18"/>
      <c r="T561" s="18"/>
      <c r="U561" s="18"/>
      <c r="V561" s="18"/>
      <c r="W561" s="32"/>
      <c r="X561" s="18"/>
      <c r="Y561" s="18"/>
      <c r="Z561" s="32"/>
      <c r="AA561" s="18"/>
      <c r="AB561" s="18"/>
      <c r="AC561" s="18"/>
      <c r="AD561" s="33"/>
      <c r="AE561" s="32"/>
    </row>
    <row r="562" spans="14:31" x14ac:dyDescent="0.35">
      <c r="N562" s="11"/>
      <c r="P562" s="50"/>
      <c r="Q562" s="18"/>
      <c r="R562" s="18"/>
      <c r="S562" s="18"/>
      <c r="T562" s="18"/>
      <c r="U562" s="18"/>
      <c r="V562" s="18"/>
      <c r="W562" s="32"/>
      <c r="X562" s="18"/>
      <c r="Y562" s="18"/>
      <c r="Z562" s="32"/>
      <c r="AA562" s="18"/>
      <c r="AB562" s="18"/>
      <c r="AC562" s="18"/>
      <c r="AD562" s="33"/>
      <c r="AE562" s="32"/>
    </row>
    <row r="563" spans="14:31" x14ac:dyDescent="0.35">
      <c r="N563" s="11"/>
      <c r="P563" s="50"/>
      <c r="Q563" s="18"/>
      <c r="R563" s="18"/>
      <c r="S563" s="18"/>
      <c r="T563" s="18"/>
      <c r="U563" s="18"/>
      <c r="V563" s="18"/>
      <c r="W563" s="32"/>
      <c r="X563" s="18"/>
      <c r="Y563" s="18"/>
      <c r="Z563" s="32"/>
      <c r="AA563" s="18"/>
      <c r="AB563" s="18"/>
      <c r="AC563" s="18"/>
      <c r="AD563" s="33"/>
      <c r="AE563" s="32"/>
    </row>
    <row r="564" spans="14:31" x14ac:dyDescent="0.35">
      <c r="N564" s="11"/>
      <c r="P564" s="50"/>
      <c r="Q564" s="18"/>
      <c r="R564" s="18"/>
      <c r="S564" s="18"/>
      <c r="T564" s="18"/>
      <c r="U564" s="18"/>
      <c r="V564" s="18"/>
      <c r="W564" s="32"/>
      <c r="X564" s="18"/>
      <c r="Y564" s="18"/>
      <c r="Z564" s="32"/>
      <c r="AA564" s="18"/>
      <c r="AB564" s="18"/>
      <c r="AC564" s="18"/>
      <c r="AD564" s="33"/>
      <c r="AE564" s="32"/>
    </row>
    <row r="565" spans="14:31" x14ac:dyDescent="0.35">
      <c r="N565" s="11"/>
      <c r="P565" s="50"/>
      <c r="Q565" s="18"/>
      <c r="R565" s="18"/>
      <c r="S565" s="18"/>
      <c r="T565" s="18"/>
      <c r="U565" s="18"/>
      <c r="V565" s="18"/>
      <c r="W565" s="32"/>
      <c r="X565" s="18"/>
      <c r="Y565" s="18"/>
      <c r="Z565" s="32"/>
      <c r="AA565" s="18"/>
      <c r="AB565" s="18"/>
      <c r="AC565" s="18"/>
      <c r="AD565" s="33"/>
      <c r="AE565" s="32"/>
    </row>
    <row r="566" spans="14:31" x14ac:dyDescent="0.35">
      <c r="N566" s="11"/>
      <c r="P566" s="50"/>
      <c r="Q566" s="18"/>
      <c r="R566" s="18"/>
      <c r="S566" s="18"/>
      <c r="T566" s="18"/>
      <c r="U566" s="18"/>
      <c r="V566" s="18"/>
      <c r="W566" s="32"/>
      <c r="X566" s="18"/>
      <c r="Y566" s="18"/>
      <c r="Z566" s="32"/>
      <c r="AA566" s="18"/>
      <c r="AB566" s="18"/>
      <c r="AC566" s="18"/>
      <c r="AD566" s="33"/>
      <c r="AE566" s="32"/>
    </row>
    <row r="567" spans="14:31" x14ac:dyDescent="0.35">
      <c r="N567" s="11"/>
      <c r="P567" s="50"/>
      <c r="Q567" s="18"/>
      <c r="R567" s="18"/>
      <c r="S567" s="18"/>
      <c r="T567" s="18"/>
      <c r="U567" s="18"/>
      <c r="V567" s="18"/>
      <c r="W567" s="32"/>
      <c r="X567" s="18"/>
      <c r="Y567" s="18"/>
      <c r="Z567" s="32"/>
      <c r="AA567" s="18"/>
      <c r="AB567" s="18"/>
      <c r="AC567" s="18"/>
      <c r="AD567" s="33"/>
      <c r="AE567" s="32"/>
    </row>
    <row r="568" spans="14:31" x14ac:dyDescent="0.35">
      <c r="N568" s="11"/>
      <c r="P568" s="50"/>
      <c r="Q568" s="18"/>
      <c r="R568" s="18"/>
      <c r="S568" s="18"/>
      <c r="T568" s="18"/>
      <c r="U568" s="18"/>
      <c r="V568" s="18"/>
      <c r="W568" s="32"/>
      <c r="X568" s="18"/>
      <c r="Y568" s="18"/>
      <c r="Z568" s="32"/>
      <c r="AA568" s="18"/>
      <c r="AB568" s="18"/>
      <c r="AC568" s="18"/>
      <c r="AD568" s="33"/>
      <c r="AE568" s="32"/>
    </row>
    <row r="569" spans="14:31" x14ac:dyDescent="0.35">
      <c r="N569" s="11"/>
      <c r="P569" s="50"/>
      <c r="Q569" s="18"/>
      <c r="R569" s="18"/>
      <c r="S569" s="18"/>
      <c r="T569" s="18"/>
      <c r="U569" s="18"/>
      <c r="V569" s="18"/>
      <c r="W569" s="32"/>
      <c r="X569" s="18"/>
      <c r="Y569" s="18"/>
      <c r="Z569" s="32"/>
      <c r="AA569" s="18"/>
      <c r="AB569" s="18"/>
      <c r="AC569" s="18"/>
      <c r="AD569" s="33"/>
      <c r="AE569" s="32"/>
    </row>
    <row r="570" spans="14:31" x14ac:dyDescent="0.35">
      <c r="N570" s="11"/>
      <c r="P570" s="50"/>
      <c r="Q570" s="18"/>
      <c r="R570" s="18"/>
      <c r="S570" s="18"/>
      <c r="T570" s="18"/>
      <c r="U570" s="18"/>
      <c r="V570" s="18"/>
      <c r="W570" s="32"/>
      <c r="X570" s="18"/>
      <c r="Y570" s="18"/>
      <c r="Z570" s="32"/>
      <c r="AA570" s="18"/>
      <c r="AB570" s="18"/>
      <c r="AC570" s="18"/>
      <c r="AD570" s="33"/>
      <c r="AE570" s="32"/>
    </row>
    <row r="571" spans="14:31" x14ac:dyDescent="0.35">
      <c r="N571" s="11"/>
      <c r="P571" s="50"/>
      <c r="Q571" s="18"/>
      <c r="R571" s="18"/>
      <c r="S571" s="18"/>
      <c r="T571" s="18"/>
      <c r="U571" s="18"/>
      <c r="V571" s="18"/>
      <c r="W571" s="32"/>
      <c r="X571" s="18"/>
      <c r="Y571" s="18"/>
      <c r="Z571" s="32"/>
      <c r="AA571" s="18"/>
      <c r="AB571" s="18"/>
      <c r="AC571" s="18"/>
      <c r="AD571" s="33"/>
      <c r="AE571" s="32"/>
    </row>
    <row r="572" spans="14:31" x14ac:dyDescent="0.35">
      <c r="N572" s="11"/>
      <c r="P572" s="50"/>
      <c r="Q572" s="18"/>
      <c r="R572" s="18"/>
      <c r="S572" s="18"/>
      <c r="T572" s="18"/>
      <c r="U572" s="18"/>
      <c r="V572" s="18"/>
      <c r="W572" s="32"/>
      <c r="X572" s="18"/>
      <c r="Y572" s="18"/>
      <c r="Z572" s="32"/>
      <c r="AA572" s="18"/>
      <c r="AB572" s="18"/>
      <c r="AC572" s="18"/>
      <c r="AD572" s="33"/>
      <c r="AE572" s="32"/>
    </row>
    <row r="573" spans="14:31" x14ac:dyDescent="0.35">
      <c r="N573" s="11"/>
      <c r="P573" s="50"/>
      <c r="Q573" s="18"/>
      <c r="R573" s="18"/>
      <c r="S573" s="18"/>
      <c r="T573" s="18"/>
      <c r="U573" s="18"/>
      <c r="V573" s="18"/>
      <c r="W573" s="32"/>
      <c r="X573" s="18"/>
      <c r="Y573" s="18"/>
      <c r="Z573" s="32"/>
      <c r="AA573" s="18"/>
      <c r="AB573" s="18"/>
      <c r="AC573" s="18"/>
      <c r="AD573" s="33"/>
      <c r="AE573" s="32"/>
    </row>
    <row r="574" spans="14:31" x14ac:dyDescent="0.35">
      <c r="N574" s="11"/>
      <c r="P574" s="50"/>
      <c r="Q574" s="18"/>
      <c r="R574" s="18"/>
      <c r="S574" s="18"/>
      <c r="T574" s="18"/>
      <c r="U574" s="18"/>
      <c r="V574" s="18"/>
      <c r="W574" s="32"/>
      <c r="X574" s="18"/>
      <c r="Y574" s="18"/>
      <c r="Z574" s="32"/>
      <c r="AA574" s="18"/>
      <c r="AB574" s="18"/>
      <c r="AC574" s="18"/>
      <c r="AD574" s="33"/>
      <c r="AE574" s="32"/>
    </row>
    <row r="575" spans="14:31" x14ac:dyDescent="0.35">
      <c r="N575" s="11"/>
      <c r="P575" s="50"/>
      <c r="Q575" s="18"/>
      <c r="R575" s="18"/>
      <c r="S575" s="18"/>
      <c r="T575" s="18"/>
      <c r="U575" s="18"/>
      <c r="V575" s="18"/>
      <c r="W575" s="32"/>
      <c r="X575" s="18"/>
      <c r="Y575" s="18"/>
      <c r="Z575" s="32"/>
      <c r="AA575" s="18"/>
      <c r="AB575" s="18"/>
      <c r="AC575" s="18"/>
      <c r="AD575" s="33"/>
      <c r="AE575" s="32"/>
    </row>
    <row r="576" spans="14:31" x14ac:dyDescent="0.35">
      <c r="N576" s="11"/>
      <c r="P576" s="50"/>
      <c r="Q576" s="18"/>
      <c r="R576" s="18"/>
      <c r="S576" s="18"/>
      <c r="T576" s="18"/>
      <c r="U576" s="18"/>
      <c r="V576" s="18"/>
      <c r="W576" s="32"/>
      <c r="X576" s="18"/>
      <c r="Y576" s="18"/>
      <c r="Z576" s="32"/>
      <c r="AA576" s="18"/>
      <c r="AB576" s="18"/>
      <c r="AC576" s="18"/>
      <c r="AD576" s="33"/>
      <c r="AE576" s="32"/>
    </row>
    <row r="577" spans="14:31" x14ac:dyDescent="0.35">
      <c r="N577" s="11"/>
      <c r="P577" s="50"/>
      <c r="Q577" s="18"/>
      <c r="R577" s="18"/>
      <c r="S577" s="18"/>
      <c r="T577" s="18"/>
      <c r="U577" s="18"/>
      <c r="V577" s="18"/>
      <c r="W577" s="32"/>
      <c r="X577" s="18"/>
      <c r="Y577" s="18"/>
      <c r="Z577" s="32"/>
      <c r="AA577" s="18"/>
      <c r="AB577" s="18"/>
      <c r="AC577" s="18"/>
      <c r="AD577" s="33"/>
      <c r="AE577" s="32"/>
    </row>
    <row r="578" spans="14:31" x14ac:dyDescent="0.35">
      <c r="N578" s="11"/>
      <c r="P578" s="50"/>
      <c r="Q578" s="18"/>
      <c r="R578" s="18"/>
      <c r="S578" s="18"/>
      <c r="T578" s="18"/>
      <c r="U578" s="18"/>
      <c r="V578" s="18"/>
      <c r="W578" s="32"/>
      <c r="X578" s="18"/>
      <c r="Y578" s="18"/>
      <c r="Z578" s="32"/>
      <c r="AA578" s="18"/>
      <c r="AB578" s="18"/>
      <c r="AC578" s="18"/>
      <c r="AD578" s="33"/>
      <c r="AE578" s="32"/>
    </row>
    <row r="579" spans="14:31" x14ac:dyDescent="0.35">
      <c r="N579" s="11"/>
      <c r="P579" s="50"/>
      <c r="Q579" s="18"/>
      <c r="R579" s="18"/>
      <c r="S579" s="18"/>
      <c r="T579" s="18"/>
      <c r="U579" s="18"/>
      <c r="V579" s="18"/>
      <c r="W579" s="32"/>
      <c r="X579" s="18"/>
      <c r="Y579" s="18"/>
      <c r="Z579" s="32"/>
      <c r="AA579" s="18"/>
      <c r="AB579" s="18"/>
      <c r="AC579" s="18"/>
      <c r="AD579" s="33"/>
      <c r="AE579" s="32"/>
    </row>
    <row r="580" spans="14:31" x14ac:dyDescent="0.35">
      <c r="N580" s="11"/>
      <c r="P580" s="50"/>
      <c r="Q580" s="18"/>
      <c r="R580" s="18"/>
      <c r="S580" s="18"/>
      <c r="T580" s="18"/>
      <c r="U580" s="18"/>
      <c r="V580" s="18"/>
      <c r="W580" s="32"/>
      <c r="X580" s="18"/>
      <c r="Y580" s="18"/>
      <c r="Z580" s="32"/>
      <c r="AA580" s="18"/>
      <c r="AB580" s="18"/>
      <c r="AC580" s="18"/>
      <c r="AD580" s="33"/>
      <c r="AE580" s="32"/>
    </row>
    <row r="581" spans="14:31" x14ac:dyDescent="0.35">
      <c r="N581" s="11"/>
      <c r="P581" s="50"/>
      <c r="Q581" s="18"/>
      <c r="R581" s="18"/>
      <c r="S581" s="18"/>
      <c r="T581" s="18"/>
      <c r="U581" s="18"/>
      <c r="V581" s="18"/>
      <c r="W581" s="32"/>
      <c r="X581" s="18"/>
      <c r="Y581" s="18"/>
      <c r="Z581" s="32"/>
      <c r="AA581" s="18"/>
      <c r="AB581" s="18"/>
      <c r="AC581" s="18"/>
      <c r="AD581" s="33"/>
      <c r="AE581" s="32"/>
    </row>
    <row r="582" spans="14:31" x14ac:dyDescent="0.35">
      <c r="N582" s="11"/>
      <c r="P582" s="50"/>
      <c r="Q582" s="18"/>
      <c r="R582" s="18"/>
      <c r="S582" s="18"/>
      <c r="T582" s="18"/>
      <c r="U582" s="18"/>
      <c r="V582" s="18"/>
      <c r="W582" s="32"/>
      <c r="X582" s="18"/>
      <c r="Y582" s="18"/>
      <c r="Z582" s="32"/>
      <c r="AA582" s="18"/>
      <c r="AB582" s="18"/>
      <c r="AC582" s="18"/>
      <c r="AD582" s="33"/>
      <c r="AE582" s="32"/>
    </row>
    <row r="583" spans="14:31" x14ac:dyDescent="0.35">
      <c r="N583" s="11"/>
      <c r="P583" s="50"/>
      <c r="Q583" s="18"/>
      <c r="R583" s="18"/>
      <c r="S583" s="18"/>
      <c r="T583" s="18"/>
      <c r="U583" s="18"/>
      <c r="V583" s="18"/>
      <c r="W583" s="32"/>
      <c r="X583" s="18"/>
      <c r="Y583" s="18"/>
      <c r="Z583" s="32"/>
      <c r="AA583" s="18"/>
      <c r="AB583" s="18"/>
      <c r="AC583" s="18"/>
      <c r="AD583" s="33"/>
      <c r="AE583" s="32"/>
    </row>
    <row r="584" spans="14:31" x14ac:dyDescent="0.35">
      <c r="N584" s="11"/>
      <c r="P584" s="50"/>
      <c r="Q584" s="18"/>
      <c r="R584" s="18"/>
      <c r="S584" s="18"/>
      <c r="T584" s="18"/>
      <c r="U584" s="18"/>
      <c r="V584" s="18"/>
      <c r="W584" s="32"/>
      <c r="X584" s="18"/>
      <c r="Y584" s="18"/>
      <c r="Z584" s="32"/>
      <c r="AA584" s="18"/>
      <c r="AB584" s="18"/>
      <c r="AC584" s="18"/>
      <c r="AD584" s="33"/>
      <c r="AE584" s="32"/>
    </row>
    <row r="585" spans="14:31" x14ac:dyDescent="0.35">
      <c r="N585" s="11"/>
      <c r="P585" s="50"/>
      <c r="Q585" s="18"/>
      <c r="R585" s="18"/>
      <c r="S585" s="18"/>
      <c r="T585" s="18"/>
      <c r="U585" s="18"/>
      <c r="V585" s="18"/>
      <c r="W585" s="32"/>
      <c r="X585" s="18"/>
      <c r="Y585" s="18"/>
      <c r="Z585" s="32"/>
      <c r="AA585" s="18"/>
      <c r="AB585" s="18"/>
      <c r="AC585" s="18"/>
      <c r="AD585" s="33"/>
      <c r="AE585" s="32"/>
    </row>
    <row r="586" spans="14:31" x14ac:dyDescent="0.35">
      <c r="N586" s="11"/>
      <c r="P586" s="50"/>
      <c r="Q586" s="18"/>
      <c r="R586" s="18"/>
      <c r="S586" s="18"/>
      <c r="T586" s="18"/>
      <c r="U586" s="18"/>
      <c r="V586" s="18"/>
      <c r="W586" s="32"/>
      <c r="X586" s="18"/>
      <c r="Y586" s="18"/>
      <c r="Z586" s="32"/>
      <c r="AA586" s="18"/>
      <c r="AB586" s="18"/>
      <c r="AC586" s="18"/>
      <c r="AD586" s="33"/>
      <c r="AE586" s="32"/>
    </row>
    <row r="587" spans="14:31" x14ac:dyDescent="0.35">
      <c r="N587" s="11"/>
      <c r="P587" s="50"/>
      <c r="Q587" s="18"/>
      <c r="R587" s="18"/>
      <c r="S587" s="18"/>
      <c r="T587" s="18"/>
      <c r="U587" s="18"/>
      <c r="V587" s="18"/>
      <c r="W587" s="32"/>
      <c r="X587" s="18"/>
      <c r="Y587" s="18"/>
      <c r="Z587" s="32"/>
      <c r="AA587" s="18"/>
      <c r="AB587" s="18"/>
      <c r="AC587" s="18"/>
      <c r="AD587" s="33"/>
      <c r="AE587" s="32"/>
    </row>
    <row r="588" spans="14:31" x14ac:dyDescent="0.35">
      <c r="N588" s="11"/>
      <c r="P588" s="50"/>
      <c r="Q588" s="18"/>
      <c r="R588" s="18"/>
      <c r="S588" s="18"/>
      <c r="T588" s="18"/>
      <c r="U588" s="18"/>
      <c r="V588" s="18"/>
      <c r="W588" s="32"/>
      <c r="X588" s="18"/>
      <c r="Y588" s="18"/>
      <c r="Z588" s="32"/>
      <c r="AA588" s="18"/>
      <c r="AB588" s="18"/>
      <c r="AC588" s="18"/>
      <c r="AD588" s="33"/>
      <c r="AE588" s="32"/>
    </row>
    <row r="589" spans="14:31" x14ac:dyDescent="0.35">
      <c r="N589" s="11"/>
      <c r="P589" s="50"/>
      <c r="Q589" s="18"/>
      <c r="R589" s="18"/>
      <c r="S589" s="18"/>
      <c r="T589" s="18"/>
      <c r="U589" s="18"/>
      <c r="V589" s="18"/>
      <c r="W589" s="32"/>
      <c r="X589" s="18"/>
      <c r="Y589" s="18"/>
      <c r="Z589" s="32"/>
      <c r="AA589" s="18"/>
      <c r="AB589" s="18"/>
      <c r="AC589" s="18"/>
      <c r="AD589" s="33"/>
      <c r="AE589" s="32"/>
    </row>
    <row r="590" spans="14:31" x14ac:dyDescent="0.35">
      <c r="N590" s="11"/>
      <c r="P590" s="50"/>
      <c r="Q590" s="18"/>
      <c r="R590" s="18"/>
      <c r="S590" s="18"/>
      <c r="T590" s="18"/>
      <c r="U590" s="18"/>
      <c r="V590" s="18"/>
      <c r="W590" s="32"/>
      <c r="X590" s="18"/>
      <c r="Y590" s="18"/>
      <c r="Z590" s="32"/>
      <c r="AA590" s="18"/>
      <c r="AB590" s="18"/>
      <c r="AC590" s="18"/>
      <c r="AD590" s="33"/>
      <c r="AE590" s="32"/>
    </row>
    <row r="591" spans="14:31" x14ac:dyDescent="0.35">
      <c r="N591" s="11"/>
      <c r="P591" s="50"/>
      <c r="Q591" s="18"/>
      <c r="R591" s="18"/>
      <c r="S591" s="18"/>
      <c r="T591" s="18"/>
      <c r="U591" s="18"/>
      <c r="V591" s="18"/>
      <c r="W591" s="32"/>
      <c r="X591" s="18"/>
      <c r="Y591" s="18"/>
      <c r="Z591" s="32"/>
      <c r="AA591" s="18"/>
      <c r="AB591" s="18"/>
      <c r="AC591" s="18"/>
      <c r="AD591" s="33"/>
      <c r="AE591" s="32"/>
    </row>
    <row r="592" spans="14:31" x14ac:dyDescent="0.35">
      <c r="N592" s="11"/>
      <c r="P592" s="50"/>
      <c r="Q592" s="18"/>
      <c r="R592" s="18"/>
      <c r="S592" s="18"/>
      <c r="T592" s="18"/>
      <c r="U592" s="18"/>
      <c r="V592" s="18"/>
      <c r="W592" s="32"/>
      <c r="X592" s="18"/>
      <c r="Y592" s="18"/>
      <c r="Z592" s="32"/>
      <c r="AA592" s="18"/>
      <c r="AB592" s="18"/>
      <c r="AC592" s="18"/>
      <c r="AD592" s="33"/>
      <c r="AE592" s="32"/>
    </row>
    <row r="593" spans="14:31" x14ac:dyDescent="0.35">
      <c r="N593" s="11"/>
      <c r="P593" s="50"/>
      <c r="Q593" s="18"/>
      <c r="R593" s="18"/>
      <c r="S593" s="18"/>
      <c r="T593" s="18"/>
      <c r="U593" s="18"/>
      <c r="V593" s="18"/>
      <c r="W593" s="32"/>
      <c r="X593" s="18"/>
      <c r="Y593" s="18"/>
      <c r="Z593" s="32"/>
      <c r="AA593" s="18"/>
      <c r="AB593" s="18"/>
      <c r="AC593" s="18"/>
      <c r="AD593" s="33"/>
      <c r="AE593" s="32"/>
    </row>
    <row r="594" spans="14:31" x14ac:dyDescent="0.35">
      <c r="N594" s="11"/>
      <c r="P594" s="50"/>
      <c r="Q594" s="18"/>
      <c r="R594" s="18"/>
      <c r="S594" s="18"/>
      <c r="T594" s="18"/>
      <c r="U594" s="18"/>
      <c r="V594" s="18"/>
      <c r="W594" s="32"/>
      <c r="X594" s="18"/>
      <c r="Y594" s="18"/>
      <c r="Z594" s="32"/>
      <c r="AA594" s="18"/>
      <c r="AB594" s="18"/>
      <c r="AC594" s="18"/>
      <c r="AD594" s="33"/>
      <c r="AE594" s="32"/>
    </row>
    <row r="595" spans="14:31" x14ac:dyDescent="0.35">
      <c r="N595" s="11"/>
      <c r="P595" s="50"/>
      <c r="Q595" s="18"/>
      <c r="R595" s="18"/>
      <c r="S595" s="18"/>
      <c r="T595" s="18"/>
      <c r="U595" s="18"/>
      <c r="V595" s="18"/>
      <c r="W595" s="32"/>
      <c r="X595" s="18"/>
      <c r="Y595" s="18"/>
      <c r="Z595" s="32"/>
      <c r="AA595" s="18"/>
      <c r="AB595" s="18"/>
      <c r="AC595" s="18"/>
      <c r="AD595" s="33"/>
      <c r="AE595" s="32"/>
    </row>
    <row r="596" spans="14:31" x14ac:dyDescent="0.35">
      <c r="N596" s="11"/>
      <c r="P596" s="50"/>
      <c r="Q596" s="18"/>
      <c r="R596" s="18"/>
      <c r="S596" s="18"/>
      <c r="T596" s="18"/>
      <c r="U596" s="18"/>
      <c r="V596" s="18"/>
      <c r="W596" s="32"/>
      <c r="X596" s="18"/>
      <c r="Y596" s="18"/>
      <c r="Z596" s="32"/>
      <c r="AA596" s="18"/>
      <c r="AB596" s="18"/>
      <c r="AC596" s="18"/>
      <c r="AD596" s="33"/>
      <c r="AE596" s="32"/>
    </row>
    <row r="597" spans="14:31" x14ac:dyDescent="0.35">
      <c r="N597" s="11"/>
      <c r="P597" s="50"/>
      <c r="Q597" s="18"/>
      <c r="R597" s="18"/>
      <c r="S597" s="18"/>
      <c r="T597" s="18"/>
      <c r="U597" s="18"/>
      <c r="V597" s="18"/>
      <c r="W597" s="32"/>
      <c r="X597" s="18"/>
      <c r="Y597" s="18"/>
      <c r="Z597" s="32"/>
      <c r="AA597" s="18"/>
      <c r="AB597" s="18"/>
      <c r="AC597" s="18"/>
      <c r="AD597" s="33"/>
      <c r="AE597" s="32"/>
    </row>
    <row r="598" spans="14:31" x14ac:dyDescent="0.35">
      <c r="N598" s="11"/>
      <c r="P598" s="50"/>
      <c r="Q598" s="18"/>
      <c r="R598" s="18"/>
      <c r="S598" s="18"/>
      <c r="T598" s="18"/>
      <c r="U598" s="18"/>
      <c r="V598" s="18"/>
      <c r="W598" s="32"/>
      <c r="X598" s="18"/>
      <c r="Y598" s="18"/>
      <c r="Z598" s="32"/>
      <c r="AA598" s="18"/>
      <c r="AB598" s="18"/>
      <c r="AC598" s="18"/>
      <c r="AD598" s="33"/>
      <c r="AE598" s="32"/>
    </row>
    <row r="599" spans="14:31" x14ac:dyDescent="0.35">
      <c r="N599" s="11"/>
      <c r="P599" s="50"/>
      <c r="Q599" s="18"/>
      <c r="R599" s="18"/>
      <c r="S599" s="18"/>
      <c r="T599" s="18"/>
      <c r="U599" s="18"/>
      <c r="V599" s="18"/>
      <c r="W599" s="32"/>
      <c r="X599" s="18"/>
      <c r="Y599" s="18"/>
      <c r="Z599" s="32"/>
      <c r="AA599" s="18"/>
      <c r="AB599" s="18"/>
      <c r="AC599" s="18"/>
      <c r="AD599" s="33"/>
      <c r="AE599" s="32"/>
    </row>
    <row r="600" spans="14:31" x14ac:dyDescent="0.35">
      <c r="N600" s="11"/>
      <c r="P600" s="50"/>
      <c r="Q600" s="18"/>
      <c r="R600" s="18"/>
      <c r="S600" s="18"/>
      <c r="T600" s="18"/>
      <c r="U600" s="18"/>
      <c r="V600" s="18"/>
      <c r="W600" s="32"/>
      <c r="X600" s="18"/>
      <c r="Y600" s="18"/>
      <c r="Z600" s="32"/>
      <c r="AA600" s="18"/>
      <c r="AB600" s="18"/>
      <c r="AC600" s="18"/>
      <c r="AD600" s="33"/>
      <c r="AE600" s="32"/>
    </row>
    <row r="601" spans="14:31" x14ac:dyDescent="0.35">
      <c r="N601" s="11"/>
      <c r="P601" s="50"/>
      <c r="Q601" s="18"/>
      <c r="R601" s="18"/>
      <c r="S601" s="18"/>
      <c r="T601" s="18"/>
      <c r="U601" s="18"/>
      <c r="V601" s="18"/>
      <c r="W601" s="32"/>
      <c r="X601" s="18"/>
      <c r="Y601" s="18"/>
      <c r="Z601" s="32"/>
      <c r="AA601" s="18"/>
      <c r="AB601" s="18"/>
      <c r="AC601" s="18"/>
      <c r="AD601" s="33"/>
      <c r="AE601" s="32"/>
    </row>
    <row r="602" spans="14:31" x14ac:dyDescent="0.35">
      <c r="N602" s="11"/>
      <c r="P602" s="50"/>
      <c r="Q602" s="18"/>
      <c r="R602" s="18"/>
      <c r="S602" s="18"/>
      <c r="T602" s="18"/>
      <c r="U602" s="18"/>
      <c r="V602" s="18"/>
      <c r="W602" s="32"/>
      <c r="X602" s="18"/>
      <c r="Y602" s="18"/>
      <c r="Z602" s="32"/>
      <c r="AA602" s="18"/>
      <c r="AB602" s="18"/>
      <c r="AC602" s="18"/>
      <c r="AD602" s="33"/>
      <c r="AE602" s="32"/>
    </row>
    <row r="603" spans="14:31" x14ac:dyDescent="0.35">
      <c r="N603" s="11"/>
      <c r="P603" s="50"/>
      <c r="Q603" s="18"/>
      <c r="R603" s="18"/>
      <c r="S603" s="18"/>
      <c r="T603" s="18"/>
      <c r="U603" s="18"/>
      <c r="V603" s="18"/>
      <c r="W603" s="32"/>
      <c r="X603" s="18"/>
      <c r="Y603" s="18"/>
      <c r="Z603" s="32"/>
      <c r="AA603" s="18"/>
      <c r="AB603" s="18"/>
      <c r="AC603" s="18"/>
      <c r="AD603" s="33"/>
      <c r="AE603" s="32"/>
    </row>
    <row r="604" spans="14:31" x14ac:dyDescent="0.35">
      <c r="N604" s="11"/>
      <c r="P604" s="50"/>
      <c r="Q604" s="18"/>
      <c r="R604" s="18"/>
      <c r="S604" s="18"/>
      <c r="T604" s="18"/>
      <c r="U604" s="18"/>
      <c r="V604" s="18"/>
      <c r="W604" s="32"/>
      <c r="X604" s="18"/>
      <c r="Y604" s="18"/>
      <c r="Z604" s="32"/>
      <c r="AA604" s="18"/>
      <c r="AB604" s="18"/>
      <c r="AC604" s="18"/>
      <c r="AD604" s="33"/>
      <c r="AE604" s="32"/>
    </row>
    <row r="605" spans="14:31" x14ac:dyDescent="0.35">
      <c r="N605" s="11"/>
      <c r="P605" s="50"/>
      <c r="Q605" s="18"/>
      <c r="R605" s="18"/>
      <c r="S605" s="18"/>
      <c r="T605" s="18"/>
      <c r="U605" s="18"/>
      <c r="V605" s="18"/>
      <c r="W605" s="32"/>
      <c r="X605" s="18"/>
      <c r="Y605" s="18"/>
      <c r="Z605" s="32"/>
      <c r="AA605" s="18"/>
      <c r="AB605" s="18"/>
      <c r="AC605" s="18"/>
      <c r="AD605" s="33"/>
      <c r="AE605" s="32"/>
    </row>
    <row r="606" spans="14:31" x14ac:dyDescent="0.35">
      <c r="N606" s="11"/>
      <c r="P606" s="50"/>
      <c r="Q606" s="18"/>
      <c r="R606" s="18"/>
      <c r="S606" s="18"/>
      <c r="T606" s="18"/>
      <c r="U606" s="18"/>
      <c r="V606" s="18"/>
      <c r="W606" s="32"/>
      <c r="X606" s="18"/>
      <c r="Y606" s="18"/>
      <c r="Z606" s="32"/>
      <c r="AA606" s="18"/>
      <c r="AB606" s="18"/>
      <c r="AC606" s="18"/>
      <c r="AD606" s="33"/>
      <c r="AE606" s="32"/>
    </row>
    <row r="607" spans="14:31" x14ac:dyDescent="0.35">
      <c r="N607" s="11"/>
      <c r="P607" s="50"/>
      <c r="Q607" s="18"/>
      <c r="R607" s="18"/>
      <c r="S607" s="18"/>
      <c r="T607" s="18"/>
      <c r="U607" s="18"/>
      <c r="V607" s="18"/>
      <c r="W607" s="32"/>
      <c r="X607" s="18"/>
      <c r="Y607" s="18"/>
      <c r="Z607" s="32"/>
      <c r="AA607" s="18"/>
      <c r="AB607" s="18"/>
      <c r="AC607" s="18"/>
      <c r="AD607" s="33"/>
      <c r="AE607" s="32"/>
    </row>
    <row r="608" spans="14:31" x14ac:dyDescent="0.35">
      <c r="N608" s="11"/>
      <c r="P608" s="50"/>
      <c r="Q608" s="18"/>
      <c r="R608" s="18"/>
      <c r="S608" s="18"/>
      <c r="T608" s="18"/>
      <c r="U608" s="18"/>
      <c r="V608" s="18"/>
      <c r="W608" s="32"/>
      <c r="X608" s="18"/>
      <c r="Y608" s="18"/>
      <c r="Z608" s="32"/>
      <c r="AA608" s="18"/>
      <c r="AB608" s="18"/>
      <c r="AC608" s="18"/>
      <c r="AD608" s="33"/>
      <c r="AE608" s="32"/>
    </row>
    <row r="609" spans="14:31" x14ac:dyDescent="0.35">
      <c r="N609" s="11"/>
      <c r="P609" s="50"/>
      <c r="Q609" s="18"/>
      <c r="R609" s="18"/>
      <c r="S609" s="18"/>
      <c r="T609" s="18"/>
      <c r="U609" s="18"/>
      <c r="V609" s="18"/>
      <c r="W609" s="32"/>
      <c r="X609" s="18"/>
      <c r="Y609" s="18"/>
      <c r="Z609" s="32"/>
      <c r="AA609" s="18"/>
      <c r="AB609" s="18"/>
      <c r="AC609" s="18"/>
      <c r="AD609" s="33"/>
      <c r="AE609" s="32"/>
    </row>
    <row r="610" spans="14:31" x14ac:dyDescent="0.35">
      <c r="N610" s="11"/>
      <c r="P610" s="50"/>
      <c r="Q610" s="18"/>
      <c r="R610" s="18"/>
      <c r="S610" s="18"/>
      <c r="T610" s="18"/>
      <c r="U610" s="18"/>
      <c r="V610" s="18"/>
      <c r="W610" s="32"/>
      <c r="X610" s="18"/>
      <c r="Y610" s="18"/>
      <c r="Z610" s="32"/>
      <c r="AA610" s="18"/>
      <c r="AB610" s="18"/>
      <c r="AC610" s="18"/>
      <c r="AD610" s="33"/>
      <c r="AE610" s="32"/>
    </row>
    <row r="611" spans="14:31" x14ac:dyDescent="0.35">
      <c r="N611" s="11"/>
      <c r="P611" s="50"/>
      <c r="Q611" s="18"/>
      <c r="R611" s="18"/>
      <c r="S611" s="18"/>
      <c r="T611" s="18"/>
      <c r="U611" s="18"/>
      <c r="V611" s="18"/>
      <c r="W611" s="32"/>
      <c r="X611" s="18"/>
      <c r="Y611" s="18"/>
      <c r="Z611" s="32"/>
      <c r="AA611" s="18"/>
      <c r="AB611" s="18"/>
      <c r="AC611" s="18"/>
      <c r="AD611" s="33"/>
      <c r="AE611" s="32"/>
    </row>
    <row r="612" spans="14:31" x14ac:dyDescent="0.35">
      <c r="N612" s="11"/>
      <c r="P612" s="50"/>
      <c r="Q612" s="18"/>
      <c r="R612" s="18"/>
      <c r="S612" s="18"/>
      <c r="T612" s="18"/>
      <c r="U612" s="18"/>
      <c r="V612" s="18"/>
      <c r="W612" s="32"/>
      <c r="X612" s="18"/>
      <c r="Y612" s="18"/>
      <c r="Z612" s="32"/>
      <c r="AA612" s="18"/>
      <c r="AB612" s="18"/>
      <c r="AC612" s="18"/>
      <c r="AD612" s="33"/>
      <c r="AE612" s="32"/>
    </row>
    <row r="613" spans="14:31" x14ac:dyDescent="0.35">
      <c r="N613" s="11"/>
      <c r="P613" s="50"/>
      <c r="Q613" s="18"/>
      <c r="R613" s="18"/>
      <c r="S613" s="18"/>
      <c r="T613" s="18"/>
      <c r="U613" s="18"/>
      <c r="V613" s="18"/>
      <c r="W613" s="32"/>
      <c r="X613" s="18"/>
      <c r="Y613" s="18"/>
      <c r="Z613" s="32"/>
      <c r="AA613" s="18"/>
      <c r="AB613" s="18"/>
      <c r="AC613" s="18"/>
      <c r="AD613" s="33"/>
      <c r="AE613" s="32"/>
    </row>
    <row r="614" spans="14:31" x14ac:dyDescent="0.35">
      <c r="N614" s="11"/>
      <c r="P614" s="50"/>
      <c r="Q614" s="18"/>
      <c r="R614" s="18"/>
      <c r="S614" s="18"/>
      <c r="T614" s="18"/>
      <c r="U614" s="18"/>
      <c r="V614" s="18"/>
      <c r="W614" s="32"/>
      <c r="X614" s="18"/>
      <c r="Y614" s="18"/>
      <c r="Z614" s="32"/>
      <c r="AA614" s="18"/>
      <c r="AB614" s="18"/>
      <c r="AC614" s="18"/>
      <c r="AD614" s="33"/>
      <c r="AE614" s="32"/>
    </row>
    <row r="615" spans="14:31" x14ac:dyDescent="0.35">
      <c r="N615" s="11"/>
      <c r="P615" s="50"/>
      <c r="Q615" s="18"/>
      <c r="R615" s="18"/>
      <c r="S615" s="18"/>
      <c r="T615" s="18"/>
      <c r="U615" s="18"/>
      <c r="V615" s="18"/>
      <c r="W615" s="32"/>
      <c r="X615" s="18"/>
      <c r="Y615" s="18"/>
      <c r="Z615" s="32"/>
      <c r="AA615" s="18"/>
      <c r="AB615" s="18"/>
      <c r="AC615" s="18"/>
      <c r="AD615" s="33"/>
      <c r="AE615" s="32"/>
    </row>
    <row r="616" spans="14:31" x14ac:dyDescent="0.35">
      <c r="N616" s="11"/>
      <c r="P616" s="50"/>
      <c r="Q616" s="18"/>
      <c r="R616" s="18"/>
      <c r="S616" s="18"/>
      <c r="T616" s="18"/>
      <c r="U616" s="18"/>
      <c r="V616" s="18"/>
      <c r="W616" s="32"/>
      <c r="X616" s="18"/>
      <c r="Y616" s="18"/>
      <c r="Z616" s="32"/>
      <c r="AA616" s="18"/>
      <c r="AB616" s="18"/>
      <c r="AC616" s="18"/>
      <c r="AD616" s="33"/>
      <c r="AE616" s="32"/>
    </row>
    <row r="617" spans="14:31" x14ac:dyDescent="0.35">
      <c r="N617" s="11"/>
      <c r="P617" s="50"/>
      <c r="Q617" s="18"/>
      <c r="R617" s="18"/>
      <c r="S617" s="18"/>
      <c r="T617" s="18"/>
      <c r="U617" s="18"/>
      <c r="V617" s="18"/>
      <c r="W617" s="32"/>
      <c r="X617" s="18"/>
      <c r="Y617" s="18"/>
      <c r="Z617" s="32"/>
      <c r="AA617" s="18"/>
      <c r="AB617" s="18"/>
      <c r="AC617" s="18"/>
      <c r="AD617" s="33"/>
      <c r="AE617" s="32"/>
    </row>
    <row r="618" spans="14:31" x14ac:dyDescent="0.35">
      <c r="N618" s="11"/>
      <c r="P618" s="50"/>
      <c r="Q618" s="18"/>
      <c r="R618" s="18"/>
      <c r="S618" s="18"/>
      <c r="T618" s="18"/>
      <c r="U618" s="18"/>
      <c r="V618" s="18"/>
      <c r="W618" s="32"/>
      <c r="X618" s="18"/>
      <c r="Y618" s="18"/>
      <c r="Z618" s="32"/>
      <c r="AA618" s="18"/>
      <c r="AB618" s="18"/>
      <c r="AC618" s="18"/>
      <c r="AD618" s="33"/>
      <c r="AE618" s="32"/>
    </row>
    <row r="619" spans="14:31" x14ac:dyDescent="0.35">
      <c r="N619" s="11"/>
      <c r="P619" s="50"/>
      <c r="Q619" s="18"/>
      <c r="R619" s="18"/>
      <c r="S619" s="18"/>
      <c r="T619" s="18"/>
      <c r="U619" s="18"/>
      <c r="V619" s="18"/>
      <c r="W619" s="32"/>
      <c r="X619" s="18"/>
      <c r="Y619" s="18"/>
      <c r="Z619" s="32"/>
      <c r="AA619" s="18"/>
      <c r="AB619" s="18"/>
      <c r="AC619" s="18"/>
      <c r="AD619" s="33"/>
      <c r="AE619" s="32"/>
    </row>
    <row r="620" spans="14:31" x14ac:dyDescent="0.35">
      <c r="N620" s="11"/>
      <c r="P620" s="50"/>
      <c r="Q620" s="18"/>
      <c r="R620" s="18"/>
      <c r="S620" s="18"/>
      <c r="T620" s="18"/>
      <c r="U620" s="18"/>
      <c r="V620" s="18"/>
      <c r="W620" s="32"/>
      <c r="X620" s="18"/>
      <c r="Y620" s="18"/>
      <c r="Z620" s="32"/>
      <c r="AA620" s="18"/>
      <c r="AB620" s="18"/>
      <c r="AC620" s="18"/>
      <c r="AD620" s="33"/>
      <c r="AE620" s="32"/>
    </row>
    <row r="621" spans="14:31" x14ac:dyDescent="0.35">
      <c r="N621" s="11"/>
      <c r="P621" s="50"/>
      <c r="Q621" s="18"/>
      <c r="R621" s="18"/>
      <c r="S621" s="18"/>
      <c r="T621" s="18"/>
      <c r="U621" s="18"/>
      <c r="V621" s="18"/>
      <c r="W621" s="32"/>
      <c r="X621" s="18"/>
      <c r="Y621" s="18"/>
      <c r="Z621" s="32"/>
      <c r="AA621" s="18"/>
      <c r="AB621" s="18"/>
      <c r="AC621" s="18"/>
      <c r="AD621" s="33"/>
      <c r="AE621" s="32"/>
    </row>
    <row r="622" spans="14:31" x14ac:dyDescent="0.35">
      <c r="N622" s="11"/>
      <c r="P622" s="50"/>
      <c r="Q622" s="18"/>
      <c r="R622" s="18"/>
      <c r="S622" s="18"/>
      <c r="T622" s="18"/>
      <c r="U622" s="18"/>
      <c r="V622" s="18"/>
      <c r="W622" s="32"/>
      <c r="X622" s="18"/>
      <c r="Y622" s="18"/>
      <c r="Z622" s="32"/>
      <c r="AA622" s="18"/>
      <c r="AB622" s="18"/>
      <c r="AC622" s="18"/>
      <c r="AD622" s="33"/>
      <c r="AE622" s="32"/>
    </row>
    <row r="623" spans="14:31" x14ac:dyDescent="0.35">
      <c r="N623" s="11"/>
      <c r="P623" s="50"/>
      <c r="Q623" s="18"/>
      <c r="R623" s="18"/>
      <c r="S623" s="18"/>
      <c r="T623" s="18"/>
      <c r="U623" s="18"/>
      <c r="V623" s="18"/>
      <c r="W623" s="32"/>
      <c r="X623" s="18"/>
      <c r="Y623" s="18"/>
      <c r="Z623" s="32"/>
      <c r="AA623" s="18"/>
      <c r="AB623" s="18"/>
      <c r="AC623" s="18"/>
      <c r="AD623" s="33"/>
      <c r="AE623" s="32"/>
    </row>
    <row r="624" spans="14:31" x14ac:dyDescent="0.35">
      <c r="N624" s="11"/>
      <c r="P624" s="50"/>
      <c r="Q624" s="18"/>
      <c r="R624" s="18"/>
      <c r="S624" s="18"/>
      <c r="T624" s="18"/>
      <c r="U624" s="18"/>
      <c r="V624" s="18"/>
      <c r="W624" s="32"/>
      <c r="X624" s="18"/>
      <c r="Y624" s="18"/>
      <c r="Z624" s="32"/>
      <c r="AA624" s="18"/>
      <c r="AB624" s="18"/>
      <c r="AC624" s="18"/>
      <c r="AD624" s="33"/>
      <c r="AE624" s="32"/>
    </row>
    <row r="625" spans="14:31" x14ac:dyDescent="0.35">
      <c r="N625" s="11"/>
      <c r="P625" s="50"/>
      <c r="Q625" s="18"/>
      <c r="R625" s="18"/>
      <c r="S625" s="18"/>
      <c r="T625" s="18"/>
      <c r="U625" s="18"/>
      <c r="V625" s="18"/>
      <c r="W625" s="32"/>
      <c r="X625" s="18"/>
      <c r="Y625" s="18"/>
      <c r="Z625" s="32"/>
      <c r="AA625" s="18"/>
      <c r="AB625" s="18"/>
      <c r="AC625" s="18"/>
      <c r="AD625" s="33"/>
      <c r="AE625" s="32"/>
    </row>
    <row r="626" spans="14:31" x14ac:dyDescent="0.35">
      <c r="N626" s="11"/>
      <c r="P626" s="50"/>
      <c r="Q626" s="18"/>
      <c r="R626" s="18"/>
      <c r="S626" s="18"/>
      <c r="T626" s="18"/>
      <c r="U626" s="18"/>
      <c r="V626" s="18"/>
      <c r="W626" s="32"/>
      <c r="X626" s="18"/>
      <c r="Y626" s="18"/>
      <c r="Z626" s="32"/>
      <c r="AA626" s="18"/>
      <c r="AB626" s="18"/>
      <c r="AC626" s="18"/>
      <c r="AD626" s="33"/>
      <c r="AE626" s="32"/>
    </row>
    <row r="627" spans="14:31" x14ac:dyDescent="0.35">
      <c r="N627" s="11"/>
      <c r="P627" s="50"/>
      <c r="Q627" s="18"/>
      <c r="R627" s="18"/>
      <c r="S627" s="18"/>
      <c r="T627" s="18"/>
      <c r="U627" s="18"/>
      <c r="V627" s="18"/>
      <c r="W627" s="32"/>
      <c r="X627" s="18"/>
      <c r="Y627" s="18"/>
      <c r="Z627" s="32"/>
      <c r="AA627" s="18"/>
      <c r="AB627" s="18"/>
      <c r="AC627" s="18"/>
      <c r="AD627" s="33"/>
      <c r="AE627" s="32"/>
    </row>
    <row r="628" spans="14:31" x14ac:dyDescent="0.35">
      <c r="N628" s="11"/>
      <c r="P628" s="50"/>
      <c r="Q628" s="18"/>
      <c r="R628" s="18"/>
      <c r="S628" s="18"/>
      <c r="T628" s="18"/>
      <c r="U628" s="18"/>
      <c r="V628" s="18"/>
      <c r="W628" s="32"/>
      <c r="X628" s="18"/>
      <c r="Y628" s="18"/>
      <c r="Z628" s="32"/>
      <c r="AA628" s="18"/>
      <c r="AB628" s="18"/>
      <c r="AC628" s="18"/>
      <c r="AD628" s="33"/>
      <c r="AE628" s="32"/>
    </row>
    <row r="629" spans="14:31" x14ac:dyDescent="0.35">
      <c r="N629" s="11"/>
      <c r="P629" s="50"/>
      <c r="Q629" s="18"/>
      <c r="R629" s="18"/>
      <c r="S629" s="18"/>
      <c r="T629" s="18"/>
      <c r="U629" s="18"/>
      <c r="V629" s="18"/>
      <c r="W629" s="32"/>
      <c r="X629" s="18"/>
      <c r="Y629" s="18"/>
      <c r="Z629" s="32"/>
      <c r="AA629" s="18"/>
      <c r="AB629" s="18"/>
      <c r="AC629" s="18"/>
      <c r="AD629" s="33"/>
      <c r="AE629" s="32"/>
    </row>
    <row r="630" spans="14:31" x14ac:dyDescent="0.35">
      <c r="N630" s="11"/>
      <c r="P630" s="50"/>
      <c r="Q630" s="18"/>
      <c r="R630" s="18"/>
      <c r="S630" s="18"/>
      <c r="T630" s="18"/>
      <c r="U630" s="18"/>
      <c r="V630" s="18"/>
      <c r="W630" s="32"/>
      <c r="X630" s="18"/>
      <c r="Y630" s="18"/>
      <c r="Z630" s="32"/>
      <c r="AA630" s="18"/>
      <c r="AB630" s="18"/>
      <c r="AC630" s="18"/>
      <c r="AD630" s="33"/>
      <c r="AE630" s="32"/>
    </row>
    <row r="631" spans="14:31" x14ac:dyDescent="0.35">
      <c r="N631" s="11"/>
      <c r="P631" s="50"/>
      <c r="Q631" s="18"/>
      <c r="R631" s="18"/>
      <c r="S631" s="18"/>
      <c r="T631" s="18"/>
      <c r="U631" s="18"/>
      <c r="V631" s="18"/>
      <c r="W631" s="32"/>
      <c r="X631" s="18"/>
      <c r="Y631" s="18"/>
      <c r="Z631" s="32"/>
      <c r="AA631" s="18"/>
      <c r="AB631" s="18"/>
      <c r="AC631" s="18"/>
      <c r="AD631" s="33"/>
      <c r="AE631" s="32"/>
    </row>
    <row r="632" spans="14:31" x14ac:dyDescent="0.35">
      <c r="N632" s="11"/>
      <c r="P632" s="50"/>
      <c r="Q632" s="18"/>
      <c r="R632" s="18"/>
      <c r="S632" s="18"/>
      <c r="T632" s="18"/>
      <c r="U632" s="18"/>
      <c r="V632" s="18"/>
      <c r="W632" s="32"/>
      <c r="X632" s="18"/>
      <c r="Y632" s="18"/>
      <c r="Z632" s="32"/>
      <c r="AA632" s="18"/>
      <c r="AB632" s="18"/>
      <c r="AC632" s="18"/>
      <c r="AD632" s="33"/>
      <c r="AE632" s="32"/>
    </row>
    <row r="633" spans="14:31" x14ac:dyDescent="0.35">
      <c r="N633" s="11"/>
      <c r="P633" s="50"/>
      <c r="Q633" s="18"/>
      <c r="R633" s="18"/>
      <c r="S633" s="18"/>
      <c r="T633" s="18"/>
      <c r="U633" s="18"/>
      <c r="V633" s="18"/>
      <c r="W633" s="32"/>
      <c r="X633" s="18"/>
      <c r="Y633" s="18"/>
      <c r="Z633" s="32"/>
      <c r="AA633" s="18"/>
      <c r="AB633" s="18"/>
      <c r="AC633" s="18"/>
      <c r="AD633" s="33"/>
      <c r="AE633" s="32"/>
    </row>
    <row r="634" spans="14:31" x14ac:dyDescent="0.35">
      <c r="N634" s="11"/>
      <c r="P634" s="50"/>
      <c r="Q634" s="18"/>
      <c r="R634" s="18"/>
      <c r="S634" s="18"/>
      <c r="T634" s="18"/>
      <c r="U634" s="18"/>
      <c r="V634" s="18"/>
      <c r="W634" s="32"/>
      <c r="X634" s="18"/>
      <c r="Y634" s="18"/>
      <c r="Z634" s="32"/>
      <c r="AA634" s="18"/>
      <c r="AB634" s="18"/>
      <c r="AC634" s="18"/>
      <c r="AD634" s="33"/>
      <c r="AE634" s="32"/>
    </row>
    <row r="635" spans="14:31" x14ac:dyDescent="0.35">
      <c r="N635" s="11"/>
      <c r="P635" s="50"/>
      <c r="Q635" s="18"/>
      <c r="R635" s="18"/>
      <c r="S635" s="18"/>
      <c r="T635" s="18"/>
      <c r="U635" s="18"/>
      <c r="V635" s="18"/>
      <c r="W635" s="32"/>
      <c r="X635" s="18"/>
      <c r="Y635" s="18"/>
      <c r="Z635" s="32"/>
      <c r="AA635" s="18"/>
      <c r="AB635" s="18"/>
      <c r="AC635" s="18"/>
      <c r="AD635" s="33"/>
      <c r="AE635" s="32"/>
    </row>
    <row r="636" spans="14:31" x14ac:dyDescent="0.35">
      <c r="N636" s="11"/>
      <c r="P636" s="50"/>
      <c r="Q636" s="18"/>
      <c r="R636" s="18"/>
      <c r="S636" s="18"/>
      <c r="T636" s="18"/>
      <c r="U636" s="18"/>
      <c r="V636" s="18"/>
      <c r="W636" s="32"/>
      <c r="X636" s="18"/>
      <c r="Y636" s="18"/>
      <c r="Z636" s="32"/>
      <c r="AA636" s="18"/>
      <c r="AB636" s="18"/>
      <c r="AC636" s="18"/>
      <c r="AD636" s="33"/>
      <c r="AE636" s="32"/>
    </row>
    <row r="637" spans="14:31" x14ac:dyDescent="0.35">
      <c r="N637" s="11"/>
      <c r="P637" s="50"/>
      <c r="Q637" s="18"/>
      <c r="R637" s="18"/>
      <c r="S637" s="18"/>
      <c r="T637" s="18"/>
      <c r="U637" s="18"/>
      <c r="V637" s="18"/>
      <c r="W637" s="32"/>
      <c r="X637" s="18"/>
      <c r="Y637" s="18"/>
      <c r="Z637" s="32"/>
      <c r="AA637" s="18"/>
      <c r="AB637" s="18"/>
      <c r="AC637" s="18"/>
      <c r="AD637" s="33"/>
      <c r="AE637" s="32"/>
    </row>
    <row r="638" spans="14:31" x14ac:dyDescent="0.35">
      <c r="N638" s="11"/>
      <c r="P638" s="50"/>
      <c r="Q638" s="18"/>
      <c r="R638" s="18"/>
      <c r="S638" s="18"/>
      <c r="T638" s="18"/>
      <c r="U638" s="18"/>
      <c r="V638" s="18"/>
      <c r="W638" s="32"/>
      <c r="X638" s="18"/>
      <c r="Y638" s="18"/>
      <c r="Z638" s="32"/>
      <c r="AA638" s="18"/>
      <c r="AB638" s="18"/>
      <c r="AC638" s="18"/>
      <c r="AD638" s="33"/>
      <c r="AE638" s="32"/>
    </row>
    <row r="639" spans="14:31" x14ac:dyDescent="0.35">
      <c r="N639" s="11"/>
      <c r="P639" s="50"/>
      <c r="Q639" s="18"/>
      <c r="R639" s="18"/>
      <c r="S639" s="18"/>
      <c r="T639" s="18"/>
      <c r="U639" s="18"/>
      <c r="V639" s="18"/>
      <c r="W639" s="32"/>
      <c r="X639" s="18"/>
      <c r="Y639" s="18"/>
      <c r="Z639" s="32"/>
      <c r="AA639" s="18"/>
      <c r="AB639" s="18"/>
      <c r="AC639" s="18"/>
      <c r="AD639" s="33"/>
      <c r="AE639" s="32"/>
    </row>
    <row r="640" spans="14:31" x14ac:dyDescent="0.35">
      <c r="N640" s="11"/>
      <c r="P640" s="50"/>
      <c r="Q640" s="18"/>
      <c r="R640" s="18"/>
      <c r="S640" s="18"/>
      <c r="T640" s="18"/>
      <c r="U640" s="18"/>
      <c r="V640" s="18"/>
      <c r="W640" s="32"/>
      <c r="X640" s="18"/>
      <c r="Y640" s="18"/>
      <c r="Z640" s="32"/>
      <c r="AA640" s="18"/>
      <c r="AB640" s="18"/>
      <c r="AC640" s="18"/>
      <c r="AD640" s="33"/>
      <c r="AE640" s="32"/>
    </row>
    <row r="641" spans="14:31" x14ac:dyDescent="0.35">
      <c r="N641" s="11"/>
      <c r="P641" s="50"/>
      <c r="Q641" s="18"/>
      <c r="R641" s="18"/>
      <c r="S641" s="18"/>
      <c r="T641" s="18"/>
      <c r="U641" s="18"/>
      <c r="V641" s="18"/>
      <c r="W641" s="32"/>
      <c r="X641" s="18"/>
      <c r="Y641" s="18"/>
      <c r="Z641" s="32"/>
      <c r="AA641" s="18"/>
      <c r="AB641" s="18"/>
      <c r="AC641" s="18"/>
      <c r="AD641" s="33"/>
      <c r="AE641" s="32"/>
    </row>
    <row r="642" spans="14:31" x14ac:dyDescent="0.35">
      <c r="N642" s="11"/>
      <c r="P642" s="50"/>
      <c r="Q642" s="18"/>
      <c r="R642" s="18"/>
      <c r="S642" s="18"/>
      <c r="T642" s="18"/>
      <c r="U642" s="18"/>
      <c r="V642" s="18"/>
      <c r="W642" s="32"/>
      <c r="X642" s="18"/>
      <c r="Y642" s="18"/>
      <c r="Z642" s="32"/>
      <c r="AA642" s="18"/>
      <c r="AB642" s="18"/>
      <c r="AC642" s="18"/>
      <c r="AD642" s="33"/>
      <c r="AE642" s="32"/>
    </row>
    <row r="643" spans="14:31" x14ac:dyDescent="0.35">
      <c r="N643" s="11"/>
      <c r="P643" s="50"/>
      <c r="Q643" s="18"/>
      <c r="R643" s="18"/>
      <c r="S643" s="18"/>
      <c r="T643" s="18"/>
      <c r="U643" s="18"/>
      <c r="V643" s="18"/>
      <c r="W643" s="32"/>
      <c r="X643" s="18"/>
      <c r="Y643" s="18"/>
      <c r="Z643" s="32"/>
      <c r="AA643" s="18"/>
      <c r="AB643" s="18"/>
      <c r="AC643" s="18"/>
      <c r="AD643" s="33"/>
      <c r="AE643" s="32"/>
    </row>
    <row r="644" spans="14:31" x14ac:dyDescent="0.35">
      <c r="N644" s="11"/>
      <c r="P644" s="50"/>
      <c r="Q644" s="18"/>
      <c r="R644" s="18"/>
      <c r="S644" s="18"/>
      <c r="T644" s="18"/>
      <c r="U644" s="18"/>
      <c r="V644" s="18"/>
      <c r="W644" s="32"/>
      <c r="X644" s="18"/>
      <c r="Y644" s="18"/>
      <c r="Z644" s="32"/>
      <c r="AA644" s="18"/>
      <c r="AB644" s="18"/>
      <c r="AC644" s="18"/>
      <c r="AD644" s="33"/>
      <c r="AE644" s="32"/>
    </row>
    <row r="645" spans="14:31" x14ac:dyDescent="0.35">
      <c r="N645" s="11"/>
      <c r="P645" s="50"/>
      <c r="Q645" s="18"/>
      <c r="R645" s="18"/>
      <c r="S645" s="18"/>
      <c r="T645" s="18"/>
      <c r="U645" s="18"/>
      <c r="V645" s="18"/>
      <c r="W645" s="32"/>
      <c r="X645" s="18"/>
      <c r="Y645" s="18"/>
      <c r="Z645" s="32"/>
      <c r="AA645" s="18"/>
      <c r="AB645" s="18"/>
      <c r="AC645" s="18"/>
      <c r="AD645" s="33"/>
      <c r="AE645" s="32"/>
    </row>
    <row r="646" spans="14:31" x14ac:dyDescent="0.35">
      <c r="N646" s="11"/>
      <c r="P646" s="50"/>
      <c r="Q646" s="18"/>
      <c r="R646" s="18"/>
      <c r="S646" s="18"/>
      <c r="T646" s="18"/>
      <c r="U646" s="18"/>
      <c r="V646" s="18"/>
      <c r="W646" s="32"/>
      <c r="X646" s="18"/>
      <c r="Y646" s="18"/>
      <c r="Z646" s="32"/>
      <c r="AA646" s="18"/>
      <c r="AB646" s="18"/>
      <c r="AC646" s="18"/>
      <c r="AD646" s="33"/>
      <c r="AE646" s="32"/>
    </row>
    <row r="647" spans="14:31" x14ac:dyDescent="0.35">
      <c r="N647" s="11"/>
      <c r="P647" s="50"/>
      <c r="Q647" s="18"/>
      <c r="R647" s="18"/>
      <c r="S647" s="18"/>
      <c r="T647" s="18"/>
      <c r="U647" s="18"/>
      <c r="V647" s="18"/>
      <c r="W647" s="32"/>
      <c r="X647" s="18"/>
      <c r="Y647" s="18"/>
      <c r="Z647" s="32"/>
      <c r="AA647" s="18"/>
      <c r="AB647" s="18"/>
      <c r="AC647" s="18"/>
      <c r="AD647" s="33"/>
      <c r="AE647" s="32"/>
    </row>
    <row r="648" spans="14:31" x14ac:dyDescent="0.35">
      <c r="N648" s="11"/>
      <c r="P648" s="50"/>
      <c r="Q648" s="18"/>
      <c r="R648" s="18"/>
      <c r="S648" s="18"/>
      <c r="T648" s="18"/>
      <c r="U648" s="18"/>
      <c r="V648" s="18"/>
      <c r="W648" s="32"/>
      <c r="X648" s="18"/>
      <c r="Y648" s="18"/>
      <c r="Z648" s="32"/>
      <c r="AA648" s="18"/>
      <c r="AB648" s="18"/>
      <c r="AC648" s="18"/>
      <c r="AD648" s="33"/>
      <c r="AE648" s="32"/>
    </row>
    <row r="649" spans="14:31" x14ac:dyDescent="0.35">
      <c r="N649" s="11"/>
      <c r="P649" s="50"/>
      <c r="Q649" s="18"/>
      <c r="R649" s="18"/>
      <c r="S649" s="18"/>
      <c r="T649" s="18"/>
      <c r="U649" s="18"/>
      <c r="V649" s="18"/>
      <c r="W649" s="32"/>
      <c r="X649" s="18"/>
      <c r="Y649" s="18"/>
      <c r="Z649" s="32"/>
      <c r="AA649" s="18"/>
      <c r="AB649" s="18"/>
      <c r="AC649" s="18"/>
      <c r="AD649" s="33"/>
      <c r="AE649" s="32"/>
    </row>
    <row r="650" spans="14:31" x14ac:dyDescent="0.35">
      <c r="N650" s="11"/>
      <c r="P650" s="50"/>
      <c r="Q650" s="18"/>
      <c r="R650" s="18"/>
      <c r="S650" s="18"/>
      <c r="T650" s="18"/>
      <c r="U650" s="18"/>
      <c r="V650" s="18"/>
      <c r="W650" s="32"/>
      <c r="X650" s="18"/>
      <c r="Y650" s="18"/>
      <c r="Z650" s="32"/>
      <c r="AA650" s="18"/>
      <c r="AB650" s="18"/>
      <c r="AC650" s="18"/>
      <c r="AD650" s="33"/>
      <c r="AE650" s="32"/>
    </row>
    <row r="651" spans="14:31" x14ac:dyDescent="0.35">
      <c r="N651" s="11"/>
      <c r="P651" s="50"/>
      <c r="Q651" s="18"/>
      <c r="R651" s="18"/>
      <c r="S651" s="18"/>
      <c r="T651" s="18"/>
      <c r="U651" s="18"/>
      <c r="V651" s="18"/>
      <c r="W651" s="32"/>
      <c r="X651" s="18"/>
      <c r="Y651" s="18"/>
      <c r="Z651" s="32"/>
      <c r="AA651" s="18"/>
      <c r="AB651" s="18"/>
      <c r="AC651" s="18"/>
      <c r="AD651" s="33"/>
      <c r="AE651" s="32"/>
    </row>
    <row r="652" spans="14:31" x14ac:dyDescent="0.35">
      <c r="N652" s="11"/>
      <c r="P652" s="50"/>
      <c r="Q652" s="18"/>
      <c r="R652" s="18"/>
      <c r="S652" s="18"/>
      <c r="T652" s="18"/>
      <c r="U652" s="18"/>
      <c r="V652" s="18"/>
      <c r="W652" s="32"/>
      <c r="X652" s="18"/>
      <c r="Y652" s="18"/>
      <c r="Z652" s="32"/>
      <c r="AA652" s="18"/>
      <c r="AB652" s="18"/>
      <c r="AC652" s="18"/>
      <c r="AD652" s="33"/>
      <c r="AE652" s="32"/>
    </row>
    <row r="653" spans="14:31" x14ac:dyDescent="0.35">
      <c r="N653" s="11"/>
      <c r="P653" s="50"/>
      <c r="Q653" s="18"/>
      <c r="R653" s="18"/>
      <c r="S653" s="18"/>
      <c r="T653" s="18"/>
      <c r="U653" s="18"/>
      <c r="V653" s="18"/>
      <c r="W653" s="32"/>
      <c r="X653" s="18"/>
      <c r="Y653" s="18"/>
      <c r="Z653" s="32"/>
      <c r="AA653" s="18"/>
      <c r="AB653" s="18"/>
      <c r="AC653" s="18"/>
      <c r="AD653" s="33"/>
      <c r="AE653" s="32"/>
    </row>
    <row r="654" spans="14:31" x14ac:dyDescent="0.35">
      <c r="N654" s="11"/>
      <c r="P654" s="50"/>
      <c r="Q654" s="18"/>
      <c r="R654" s="18"/>
      <c r="S654" s="18"/>
      <c r="T654" s="18"/>
      <c r="U654" s="18"/>
      <c r="V654" s="18"/>
      <c r="W654" s="32"/>
      <c r="X654" s="18"/>
      <c r="Y654" s="18"/>
      <c r="Z654" s="32"/>
      <c r="AA654" s="18"/>
      <c r="AB654" s="18"/>
      <c r="AC654" s="18"/>
      <c r="AD654" s="33"/>
      <c r="AE654" s="32"/>
    </row>
    <row r="655" spans="14:31" x14ac:dyDescent="0.35">
      <c r="N655" s="11"/>
      <c r="P655" s="50"/>
      <c r="Q655" s="18"/>
      <c r="R655" s="18"/>
      <c r="S655" s="18"/>
      <c r="T655" s="18"/>
      <c r="U655" s="18"/>
      <c r="V655" s="18"/>
      <c r="W655" s="32"/>
      <c r="X655" s="18"/>
      <c r="Y655" s="18"/>
      <c r="Z655" s="32"/>
      <c r="AA655" s="18"/>
      <c r="AB655" s="18"/>
      <c r="AC655" s="18"/>
      <c r="AD655" s="33"/>
      <c r="AE655" s="32"/>
    </row>
    <row r="656" spans="14:31" x14ac:dyDescent="0.35">
      <c r="N656" s="11"/>
      <c r="P656" s="50"/>
      <c r="Q656" s="18"/>
      <c r="R656" s="18"/>
      <c r="S656" s="18"/>
      <c r="T656" s="18"/>
      <c r="U656" s="18"/>
      <c r="V656" s="18"/>
      <c r="W656" s="32"/>
      <c r="X656" s="18"/>
      <c r="Y656" s="18"/>
      <c r="Z656" s="32"/>
      <c r="AA656" s="18"/>
      <c r="AB656" s="18"/>
      <c r="AC656" s="18"/>
      <c r="AD656" s="33"/>
      <c r="AE656" s="32"/>
    </row>
    <row r="657" spans="14:31" x14ac:dyDescent="0.35">
      <c r="N657" s="11"/>
      <c r="P657" s="50"/>
      <c r="Q657" s="18"/>
      <c r="R657" s="18"/>
      <c r="S657" s="18"/>
      <c r="T657" s="18"/>
      <c r="U657" s="18"/>
      <c r="V657" s="18"/>
      <c r="W657" s="32"/>
      <c r="X657" s="18"/>
      <c r="Y657" s="18"/>
      <c r="Z657" s="32"/>
      <c r="AA657" s="18"/>
      <c r="AB657" s="18"/>
      <c r="AC657" s="18"/>
      <c r="AD657" s="33"/>
      <c r="AE657" s="32"/>
    </row>
    <row r="658" spans="14:31" x14ac:dyDescent="0.35">
      <c r="N658" s="11"/>
      <c r="P658" s="50"/>
      <c r="Q658" s="18"/>
      <c r="R658" s="18"/>
      <c r="S658" s="18"/>
      <c r="T658" s="18"/>
      <c r="U658" s="18"/>
      <c r="V658" s="18"/>
      <c r="W658" s="32"/>
      <c r="X658" s="18"/>
      <c r="Y658" s="18"/>
      <c r="Z658" s="32"/>
      <c r="AA658" s="18"/>
      <c r="AB658" s="18"/>
      <c r="AC658" s="18"/>
      <c r="AD658" s="33"/>
      <c r="AE658" s="32"/>
    </row>
    <row r="659" spans="14:31" x14ac:dyDescent="0.35">
      <c r="N659" s="11"/>
      <c r="P659" s="50"/>
      <c r="Q659" s="18"/>
      <c r="R659" s="18"/>
      <c r="S659" s="18"/>
      <c r="T659" s="18"/>
      <c r="U659" s="18"/>
      <c r="V659" s="18"/>
      <c r="W659" s="32"/>
      <c r="X659" s="18"/>
      <c r="Y659" s="18"/>
      <c r="Z659" s="32"/>
      <c r="AA659" s="18"/>
      <c r="AB659" s="18"/>
      <c r="AC659" s="18"/>
      <c r="AD659" s="33"/>
      <c r="AE659" s="32"/>
    </row>
    <row r="660" spans="14:31" x14ac:dyDescent="0.35">
      <c r="N660" s="11"/>
      <c r="P660" s="50"/>
      <c r="Q660" s="18"/>
      <c r="R660" s="18"/>
      <c r="S660" s="18"/>
      <c r="T660" s="18"/>
      <c r="U660" s="18"/>
      <c r="V660" s="18"/>
      <c r="W660" s="32"/>
      <c r="X660" s="18"/>
      <c r="Y660" s="18"/>
      <c r="Z660" s="32"/>
      <c r="AA660" s="18"/>
      <c r="AB660" s="18"/>
      <c r="AC660" s="18"/>
      <c r="AD660" s="33"/>
      <c r="AE660" s="32"/>
    </row>
    <row r="661" spans="14:31" x14ac:dyDescent="0.35">
      <c r="N661" s="11"/>
      <c r="P661" s="50"/>
      <c r="Q661" s="18"/>
      <c r="R661" s="18"/>
      <c r="S661" s="18"/>
      <c r="T661" s="18"/>
      <c r="U661" s="18"/>
      <c r="V661" s="18"/>
      <c r="W661" s="32"/>
      <c r="X661" s="18"/>
      <c r="Y661" s="18"/>
      <c r="Z661" s="32"/>
      <c r="AA661" s="18"/>
      <c r="AB661" s="18"/>
      <c r="AC661" s="18"/>
      <c r="AD661" s="33"/>
      <c r="AE661" s="32"/>
    </row>
    <row r="662" spans="14:31" x14ac:dyDescent="0.35">
      <c r="N662" s="11"/>
      <c r="P662" s="50"/>
      <c r="Q662" s="18"/>
      <c r="R662" s="18"/>
      <c r="S662" s="18"/>
      <c r="T662" s="18"/>
      <c r="U662" s="18"/>
      <c r="V662" s="18"/>
      <c r="W662" s="32"/>
      <c r="X662" s="18"/>
      <c r="Y662" s="18"/>
      <c r="Z662" s="32"/>
      <c r="AA662" s="18"/>
      <c r="AB662" s="18"/>
      <c r="AC662" s="18"/>
      <c r="AD662" s="33"/>
      <c r="AE662" s="32"/>
    </row>
    <row r="663" spans="14:31" x14ac:dyDescent="0.35">
      <c r="N663" s="11"/>
      <c r="P663" s="50"/>
      <c r="Q663" s="18"/>
      <c r="R663" s="18"/>
      <c r="S663" s="18"/>
      <c r="T663" s="18"/>
      <c r="U663" s="18"/>
      <c r="V663" s="18"/>
      <c r="W663" s="32"/>
      <c r="X663" s="18"/>
      <c r="Y663" s="18"/>
      <c r="Z663" s="32"/>
      <c r="AA663" s="18"/>
      <c r="AB663" s="18"/>
      <c r="AC663" s="18"/>
      <c r="AD663" s="33"/>
      <c r="AE663" s="32"/>
    </row>
    <row r="664" spans="14:31" x14ac:dyDescent="0.35">
      <c r="N664" s="11"/>
      <c r="P664" s="50"/>
      <c r="Q664" s="18"/>
      <c r="R664" s="18"/>
      <c r="S664" s="18"/>
      <c r="T664" s="18"/>
      <c r="U664" s="18"/>
      <c r="V664" s="18"/>
      <c r="W664" s="32"/>
      <c r="X664" s="18"/>
      <c r="Y664" s="18"/>
      <c r="Z664" s="32"/>
      <c r="AA664" s="18"/>
      <c r="AB664" s="18"/>
      <c r="AC664" s="18"/>
      <c r="AD664" s="33"/>
      <c r="AE664" s="32"/>
    </row>
    <row r="665" spans="14:31" x14ac:dyDescent="0.35">
      <c r="N665" s="11"/>
      <c r="P665" s="50"/>
      <c r="Q665" s="18"/>
      <c r="R665" s="18"/>
      <c r="S665" s="18"/>
      <c r="T665" s="18"/>
      <c r="U665" s="18"/>
      <c r="V665" s="18"/>
      <c r="W665" s="32"/>
      <c r="X665" s="18"/>
      <c r="Y665" s="18"/>
      <c r="Z665" s="32"/>
      <c r="AA665" s="18"/>
      <c r="AB665" s="18"/>
      <c r="AC665" s="18"/>
      <c r="AD665" s="33"/>
      <c r="AE665" s="32"/>
    </row>
    <row r="666" spans="14:31" x14ac:dyDescent="0.35">
      <c r="N666" s="11"/>
      <c r="P666" s="50"/>
      <c r="Q666" s="18"/>
      <c r="R666" s="18"/>
      <c r="S666" s="18"/>
      <c r="T666" s="18"/>
      <c r="U666" s="18"/>
      <c r="V666" s="18"/>
      <c r="W666" s="32"/>
      <c r="X666" s="18"/>
      <c r="Y666" s="18"/>
      <c r="Z666" s="32"/>
      <c r="AA666" s="18"/>
      <c r="AB666" s="18"/>
      <c r="AC666" s="18"/>
      <c r="AD666" s="33"/>
      <c r="AE666" s="32"/>
    </row>
    <row r="667" spans="14:31" x14ac:dyDescent="0.35">
      <c r="N667" s="11"/>
      <c r="P667" s="50"/>
      <c r="Q667" s="18"/>
      <c r="R667" s="18"/>
      <c r="S667" s="18"/>
      <c r="T667" s="18"/>
      <c r="U667" s="18"/>
      <c r="V667" s="18"/>
      <c r="W667" s="32"/>
      <c r="X667" s="18"/>
      <c r="Y667" s="18"/>
      <c r="Z667" s="32"/>
      <c r="AA667" s="18"/>
      <c r="AB667" s="18"/>
      <c r="AC667" s="18"/>
      <c r="AD667" s="33"/>
      <c r="AE667" s="32"/>
    </row>
    <row r="668" spans="14:31" x14ac:dyDescent="0.35">
      <c r="N668" s="11"/>
      <c r="P668" s="50"/>
      <c r="Q668" s="18"/>
      <c r="R668" s="18"/>
      <c r="S668" s="18"/>
      <c r="T668" s="18"/>
      <c r="U668" s="18"/>
      <c r="V668" s="18"/>
      <c r="W668" s="32"/>
      <c r="X668" s="18"/>
      <c r="Y668" s="18"/>
      <c r="Z668" s="32"/>
      <c r="AA668" s="18"/>
      <c r="AB668" s="18"/>
      <c r="AC668" s="18"/>
      <c r="AD668" s="33"/>
      <c r="AE668" s="32"/>
    </row>
    <row r="669" spans="14:31" x14ac:dyDescent="0.35">
      <c r="N669" s="11"/>
      <c r="P669" s="50"/>
      <c r="Q669" s="18"/>
      <c r="R669" s="18"/>
      <c r="S669" s="18"/>
      <c r="T669" s="18"/>
      <c r="U669" s="18"/>
      <c r="V669" s="18"/>
      <c r="W669" s="32"/>
      <c r="X669" s="18"/>
      <c r="Y669" s="18"/>
      <c r="Z669" s="32"/>
      <c r="AA669" s="18"/>
      <c r="AB669" s="18"/>
      <c r="AC669" s="18"/>
      <c r="AD669" s="33"/>
      <c r="AE669" s="32"/>
    </row>
    <row r="670" spans="14:31" x14ac:dyDescent="0.35">
      <c r="N670" s="11"/>
      <c r="P670" s="50"/>
      <c r="Q670" s="18"/>
      <c r="R670" s="18"/>
      <c r="S670" s="18"/>
      <c r="T670" s="18"/>
      <c r="U670" s="18"/>
      <c r="V670" s="18"/>
      <c r="W670" s="32"/>
      <c r="X670" s="18"/>
      <c r="Y670" s="18"/>
      <c r="Z670" s="32"/>
      <c r="AA670" s="18"/>
      <c r="AB670" s="18"/>
      <c r="AC670" s="18"/>
      <c r="AD670" s="33"/>
      <c r="AE670" s="32"/>
    </row>
    <row r="671" spans="14:31" x14ac:dyDescent="0.35">
      <c r="N671" s="11"/>
      <c r="P671" s="50"/>
      <c r="Q671" s="18"/>
      <c r="R671" s="18"/>
      <c r="S671" s="18"/>
      <c r="T671" s="18"/>
      <c r="U671" s="18"/>
      <c r="V671" s="18"/>
      <c r="W671" s="32"/>
      <c r="X671" s="18"/>
      <c r="Y671" s="18"/>
      <c r="Z671" s="32"/>
      <c r="AA671" s="18"/>
      <c r="AB671" s="18"/>
      <c r="AC671" s="18"/>
      <c r="AD671" s="33"/>
      <c r="AE671" s="32"/>
    </row>
    <row r="672" spans="14:31" x14ac:dyDescent="0.35">
      <c r="N672" s="11"/>
      <c r="P672" s="50"/>
      <c r="Q672" s="18"/>
      <c r="R672" s="18"/>
      <c r="S672" s="18"/>
      <c r="T672" s="18"/>
      <c r="U672" s="18"/>
      <c r="V672" s="18"/>
      <c r="W672" s="32"/>
      <c r="X672" s="18"/>
      <c r="Y672" s="18"/>
      <c r="Z672" s="32"/>
      <c r="AA672" s="18"/>
      <c r="AB672" s="18"/>
      <c r="AC672" s="18"/>
      <c r="AD672" s="33"/>
      <c r="AE672" s="32"/>
    </row>
    <row r="673" spans="14:31" x14ac:dyDescent="0.35">
      <c r="N673" s="11"/>
      <c r="P673" s="50"/>
      <c r="Q673" s="18"/>
      <c r="R673" s="18"/>
      <c r="S673" s="18"/>
      <c r="T673" s="18"/>
      <c r="U673" s="18"/>
      <c r="V673" s="18"/>
      <c r="W673" s="32"/>
      <c r="X673" s="18"/>
      <c r="Y673" s="18"/>
      <c r="Z673" s="32"/>
      <c r="AA673" s="18"/>
      <c r="AB673" s="18"/>
      <c r="AC673" s="18"/>
      <c r="AD673" s="33"/>
      <c r="AE673" s="32"/>
    </row>
    <row r="674" spans="14:31" x14ac:dyDescent="0.35">
      <c r="N674" s="11"/>
      <c r="P674" s="50"/>
      <c r="Q674" s="18"/>
      <c r="R674" s="18"/>
      <c r="S674" s="18"/>
      <c r="T674" s="18"/>
      <c r="U674" s="18"/>
      <c r="V674" s="18"/>
      <c r="W674" s="32"/>
      <c r="X674" s="18"/>
      <c r="Y674" s="18"/>
      <c r="Z674" s="32"/>
      <c r="AA674" s="18"/>
      <c r="AB674" s="18"/>
      <c r="AC674" s="18"/>
      <c r="AD674" s="33"/>
      <c r="AE674" s="32"/>
    </row>
    <row r="675" spans="14:31" x14ac:dyDescent="0.35">
      <c r="N675" s="11"/>
      <c r="P675" s="50"/>
      <c r="Q675" s="18"/>
      <c r="R675" s="18"/>
      <c r="S675" s="18"/>
      <c r="T675" s="18"/>
      <c r="U675" s="18"/>
      <c r="V675" s="18"/>
      <c r="W675" s="32"/>
      <c r="X675" s="18"/>
      <c r="Y675" s="18"/>
      <c r="Z675" s="32"/>
      <c r="AA675" s="18"/>
      <c r="AB675" s="18"/>
      <c r="AC675" s="18"/>
      <c r="AD675" s="33"/>
      <c r="AE675" s="32"/>
    </row>
    <row r="676" spans="14:31" x14ac:dyDescent="0.35">
      <c r="N676" s="11"/>
      <c r="P676" s="50"/>
      <c r="Q676" s="18"/>
      <c r="R676" s="18"/>
      <c r="S676" s="18"/>
      <c r="T676" s="18"/>
      <c r="U676" s="18"/>
      <c r="V676" s="18"/>
      <c r="W676" s="32"/>
      <c r="X676" s="18"/>
      <c r="Y676" s="18"/>
      <c r="Z676" s="32"/>
      <c r="AA676" s="18"/>
      <c r="AB676" s="18"/>
      <c r="AC676" s="18"/>
      <c r="AD676" s="33"/>
      <c r="AE676" s="32"/>
    </row>
    <row r="677" spans="14:31" x14ac:dyDescent="0.35">
      <c r="N677" s="11"/>
      <c r="P677" s="50"/>
      <c r="Q677" s="18"/>
      <c r="R677" s="18"/>
      <c r="S677" s="18"/>
      <c r="T677" s="18"/>
      <c r="U677" s="18"/>
      <c r="V677" s="18"/>
      <c r="W677" s="32"/>
      <c r="X677" s="18"/>
      <c r="Y677" s="18"/>
      <c r="Z677" s="32"/>
      <c r="AA677" s="18"/>
      <c r="AB677" s="18"/>
      <c r="AC677" s="18"/>
      <c r="AD677" s="33"/>
      <c r="AE677" s="32"/>
    </row>
    <row r="678" spans="14:31" x14ac:dyDescent="0.35">
      <c r="N678" s="11"/>
      <c r="P678" s="50"/>
      <c r="Q678" s="18"/>
      <c r="R678" s="18"/>
      <c r="S678" s="18"/>
      <c r="T678" s="18"/>
      <c r="U678" s="18"/>
      <c r="V678" s="18"/>
      <c r="W678" s="32"/>
      <c r="X678" s="18"/>
      <c r="Y678" s="18"/>
      <c r="Z678" s="32"/>
      <c r="AA678" s="18"/>
      <c r="AB678" s="18"/>
      <c r="AC678" s="18"/>
      <c r="AD678" s="33"/>
      <c r="AE678" s="32"/>
    </row>
    <row r="679" spans="14:31" x14ac:dyDescent="0.35">
      <c r="N679" s="11"/>
      <c r="P679" s="50"/>
      <c r="Q679" s="18"/>
      <c r="R679" s="18"/>
      <c r="S679" s="18"/>
      <c r="T679" s="18"/>
      <c r="U679" s="18"/>
      <c r="V679" s="18"/>
      <c r="W679" s="32"/>
      <c r="X679" s="18"/>
      <c r="Y679" s="18"/>
      <c r="Z679" s="32"/>
      <c r="AA679" s="18"/>
      <c r="AB679" s="18"/>
      <c r="AC679" s="18"/>
      <c r="AD679" s="33"/>
      <c r="AE679" s="32"/>
    </row>
    <row r="680" spans="14:31" x14ac:dyDescent="0.35">
      <c r="N680" s="11"/>
      <c r="P680" s="50"/>
      <c r="Q680" s="18"/>
      <c r="R680" s="18"/>
      <c r="S680" s="18"/>
      <c r="T680" s="18"/>
      <c r="U680" s="18"/>
      <c r="V680" s="18"/>
      <c r="W680" s="32"/>
      <c r="X680" s="18"/>
      <c r="Y680" s="18"/>
      <c r="Z680" s="32"/>
      <c r="AA680" s="18"/>
      <c r="AB680" s="18"/>
      <c r="AC680" s="18"/>
      <c r="AD680" s="33"/>
      <c r="AE680" s="32"/>
    </row>
    <row r="681" spans="14:31" x14ac:dyDescent="0.35">
      <c r="N681" s="11"/>
      <c r="P681" s="50"/>
      <c r="Q681" s="18"/>
      <c r="R681" s="18"/>
      <c r="S681" s="18"/>
      <c r="T681" s="18"/>
      <c r="U681" s="18"/>
      <c r="V681" s="18"/>
      <c r="W681" s="32"/>
      <c r="X681" s="18"/>
      <c r="Y681" s="18"/>
      <c r="Z681" s="32"/>
      <c r="AA681" s="18"/>
      <c r="AB681" s="18"/>
      <c r="AC681" s="18"/>
      <c r="AD681" s="33"/>
      <c r="AE681" s="32"/>
    </row>
    <row r="682" spans="14:31" x14ac:dyDescent="0.35">
      <c r="N682" s="11"/>
      <c r="P682" s="50"/>
      <c r="Q682" s="18"/>
      <c r="R682" s="18"/>
      <c r="S682" s="18"/>
      <c r="T682" s="18"/>
      <c r="U682" s="18"/>
      <c r="V682" s="18"/>
      <c r="W682" s="32"/>
      <c r="X682" s="18"/>
      <c r="Y682" s="18"/>
      <c r="Z682" s="32"/>
      <c r="AA682" s="18"/>
      <c r="AB682" s="18"/>
      <c r="AC682" s="18"/>
      <c r="AD682" s="33"/>
      <c r="AE682" s="32"/>
    </row>
    <row r="683" spans="14:31" x14ac:dyDescent="0.35">
      <c r="N683" s="11"/>
      <c r="P683" s="50"/>
      <c r="Q683" s="18"/>
      <c r="R683" s="18"/>
      <c r="S683" s="18"/>
      <c r="T683" s="18"/>
      <c r="U683" s="18"/>
      <c r="V683" s="18"/>
      <c r="W683" s="32"/>
      <c r="X683" s="18"/>
      <c r="Y683" s="18"/>
      <c r="Z683" s="32"/>
      <c r="AA683" s="18"/>
      <c r="AB683" s="18"/>
      <c r="AC683" s="18"/>
      <c r="AD683" s="33"/>
      <c r="AE683" s="32"/>
    </row>
    <row r="684" spans="14:31" x14ac:dyDescent="0.35">
      <c r="N684" s="11"/>
      <c r="P684" s="50"/>
      <c r="Q684" s="18"/>
      <c r="R684" s="18"/>
      <c r="S684" s="18"/>
      <c r="T684" s="18"/>
      <c r="U684" s="18"/>
      <c r="V684" s="18"/>
      <c r="W684" s="32"/>
      <c r="X684" s="18"/>
      <c r="Y684" s="18"/>
      <c r="Z684" s="32"/>
      <c r="AA684" s="18"/>
      <c r="AB684" s="18"/>
      <c r="AC684" s="18"/>
      <c r="AD684" s="33"/>
      <c r="AE684" s="32"/>
    </row>
    <row r="685" spans="14:31" x14ac:dyDescent="0.35">
      <c r="N685" s="11"/>
      <c r="P685" s="50"/>
      <c r="Q685" s="18"/>
      <c r="R685" s="18"/>
      <c r="S685" s="18"/>
      <c r="T685" s="18"/>
      <c r="U685" s="18"/>
      <c r="V685" s="18"/>
      <c r="W685" s="32"/>
      <c r="X685" s="18"/>
      <c r="Y685" s="18"/>
      <c r="Z685" s="32"/>
      <c r="AA685" s="18"/>
      <c r="AB685" s="18"/>
      <c r="AC685" s="18"/>
      <c r="AD685" s="33"/>
      <c r="AE685" s="32"/>
    </row>
    <row r="686" spans="14:31" x14ac:dyDescent="0.35">
      <c r="N686" s="11"/>
      <c r="P686" s="50"/>
      <c r="Q686" s="18"/>
      <c r="R686" s="18"/>
      <c r="S686" s="18"/>
      <c r="T686" s="18"/>
      <c r="U686" s="18"/>
      <c r="V686" s="18"/>
      <c r="W686" s="32"/>
      <c r="X686" s="18"/>
      <c r="Y686" s="18"/>
      <c r="Z686" s="32"/>
      <c r="AA686" s="18"/>
      <c r="AB686" s="18"/>
      <c r="AC686" s="18"/>
      <c r="AD686" s="33"/>
      <c r="AE686" s="32"/>
    </row>
    <row r="687" spans="14:31" x14ac:dyDescent="0.35">
      <c r="N687" s="11"/>
      <c r="P687" s="50"/>
      <c r="Q687" s="18"/>
      <c r="R687" s="18"/>
      <c r="S687" s="18"/>
      <c r="T687" s="18"/>
      <c r="U687" s="18"/>
      <c r="V687" s="18"/>
      <c r="W687" s="32"/>
      <c r="X687" s="18"/>
      <c r="Y687" s="18"/>
      <c r="Z687" s="32"/>
      <c r="AA687" s="18"/>
      <c r="AB687" s="18"/>
      <c r="AC687" s="18"/>
      <c r="AD687" s="33"/>
      <c r="AE687" s="32"/>
    </row>
    <row r="688" spans="14:31" x14ac:dyDescent="0.35">
      <c r="N688" s="11"/>
      <c r="P688" s="50"/>
      <c r="Q688" s="18"/>
      <c r="R688" s="18"/>
      <c r="S688" s="18"/>
      <c r="T688" s="18"/>
      <c r="U688" s="18"/>
      <c r="V688" s="18"/>
      <c r="W688" s="32"/>
      <c r="X688" s="18"/>
      <c r="Y688" s="18"/>
      <c r="Z688" s="32"/>
      <c r="AA688" s="18"/>
      <c r="AB688" s="18"/>
      <c r="AC688" s="18"/>
      <c r="AD688" s="33"/>
      <c r="AE688" s="32"/>
    </row>
    <row r="689" spans="14:31" x14ac:dyDescent="0.35">
      <c r="N689" s="11"/>
      <c r="P689" s="50"/>
      <c r="Q689" s="18"/>
      <c r="R689" s="18"/>
      <c r="S689" s="18"/>
      <c r="T689" s="18"/>
      <c r="U689" s="18"/>
      <c r="V689" s="18"/>
      <c r="W689" s="32"/>
      <c r="X689" s="18"/>
      <c r="Y689" s="18"/>
      <c r="Z689" s="32"/>
      <c r="AA689" s="18"/>
      <c r="AB689" s="18"/>
      <c r="AC689" s="18"/>
      <c r="AD689" s="33"/>
      <c r="AE689" s="32"/>
    </row>
    <row r="690" spans="14:31" x14ac:dyDescent="0.35">
      <c r="N690" s="11"/>
      <c r="P690" s="50"/>
      <c r="Q690" s="18"/>
      <c r="R690" s="18"/>
      <c r="S690" s="18"/>
      <c r="T690" s="18"/>
      <c r="U690" s="18"/>
      <c r="V690" s="18"/>
      <c r="W690" s="32"/>
      <c r="X690" s="18"/>
      <c r="Y690" s="18"/>
      <c r="Z690" s="32"/>
      <c r="AA690" s="18"/>
      <c r="AB690" s="18"/>
      <c r="AC690" s="18"/>
      <c r="AD690" s="33"/>
      <c r="AE690" s="32"/>
    </row>
    <row r="691" spans="14:31" x14ac:dyDescent="0.35">
      <c r="N691" s="11"/>
      <c r="P691" s="50"/>
      <c r="Q691" s="18"/>
      <c r="R691" s="18"/>
      <c r="S691" s="18"/>
      <c r="T691" s="18"/>
      <c r="U691" s="18"/>
      <c r="V691" s="18"/>
      <c r="W691" s="32"/>
      <c r="X691" s="18"/>
      <c r="Y691" s="18"/>
      <c r="Z691" s="32"/>
      <c r="AA691" s="18"/>
      <c r="AB691" s="18"/>
      <c r="AC691" s="18"/>
      <c r="AD691" s="33"/>
      <c r="AE691" s="32"/>
    </row>
    <row r="692" spans="14:31" x14ac:dyDescent="0.35">
      <c r="N692" s="11"/>
      <c r="P692" s="50"/>
      <c r="Q692" s="18"/>
      <c r="R692" s="18"/>
      <c r="S692" s="18"/>
      <c r="T692" s="18"/>
      <c r="U692" s="18"/>
      <c r="V692" s="18"/>
      <c r="W692" s="32"/>
      <c r="X692" s="18"/>
      <c r="Y692" s="18"/>
      <c r="Z692" s="32"/>
      <c r="AA692" s="18"/>
      <c r="AB692" s="18"/>
      <c r="AC692" s="18"/>
      <c r="AD692" s="33"/>
      <c r="AE692" s="32"/>
    </row>
    <row r="693" spans="14:31" x14ac:dyDescent="0.35">
      <c r="N693" s="11"/>
      <c r="P693" s="50"/>
      <c r="Q693" s="18"/>
      <c r="R693" s="18"/>
      <c r="S693" s="18"/>
      <c r="T693" s="18"/>
      <c r="U693" s="18"/>
      <c r="V693" s="18"/>
      <c r="W693" s="32"/>
      <c r="X693" s="18"/>
      <c r="Y693" s="18"/>
      <c r="Z693" s="32"/>
      <c r="AA693" s="18"/>
      <c r="AB693" s="18"/>
      <c r="AC693" s="18"/>
      <c r="AD693" s="33"/>
      <c r="AE693" s="32"/>
    </row>
    <row r="694" spans="14:31" x14ac:dyDescent="0.35">
      <c r="N694" s="11"/>
      <c r="P694" s="50"/>
      <c r="Q694" s="18"/>
      <c r="R694" s="18"/>
      <c r="S694" s="18"/>
      <c r="T694" s="18"/>
      <c r="U694" s="18"/>
      <c r="V694" s="18"/>
      <c r="W694" s="32"/>
      <c r="X694" s="18"/>
      <c r="Y694" s="18"/>
      <c r="Z694" s="32"/>
      <c r="AA694" s="18"/>
      <c r="AB694" s="18"/>
      <c r="AC694" s="18"/>
      <c r="AD694" s="33"/>
      <c r="AE694" s="32"/>
    </row>
    <row r="695" spans="14:31" x14ac:dyDescent="0.35">
      <c r="N695" s="11"/>
      <c r="P695" s="50"/>
      <c r="Q695" s="18"/>
      <c r="R695" s="18"/>
      <c r="S695" s="18"/>
      <c r="T695" s="18"/>
      <c r="U695" s="18"/>
      <c r="V695" s="18"/>
      <c r="W695" s="32"/>
      <c r="X695" s="18"/>
      <c r="Y695" s="18"/>
      <c r="Z695" s="32"/>
      <c r="AA695" s="18"/>
      <c r="AB695" s="18"/>
      <c r="AC695" s="18"/>
      <c r="AD695" s="33"/>
      <c r="AE695" s="32"/>
    </row>
    <row r="696" spans="14:31" x14ac:dyDescent="0.35">
      <c r="N696" s="11"/>
      <c r="P696" s="50"/>
      <c r="Q696" s="18"/>
      <c r="R696" s="18"/>
      <c r="S696" s="18"/>
      <c r="T696" s="18"/>
      <c r="U696" s="18"/>
      <c r="V696" s="18"/>
      <c r="W696" s="32"/>
      <c r="X696" s="18"/>
      <c r="Y696" s="18"/>
      <c r="Z696" s="32"/>
      <c r="AA696" s="18"/>
      <c r="AB696" s="18"/>
      <c r="AC696" s="18"/>
      <c r="AD696" s="33"/>
      <c r="AE696" s="32"/>
    </row>
    <row r="697" spans="14:31" x14ac:dyDescent="0.35">
      <c r="N697" s="11"/>
      <c r="P697" s="50"/>
      <c r="Q697" s="18"/>
      <c r="R697" s="18"/>
      <c r="S697" s="18"/>
      <c r="T697" s="18"/>
      <c r="U697" s="18"/>
      <c r="V697" s="18"/>
      <c r="W697" s="32"/>
      <c r="X697" s="18"/>
      <c r="Y697" s="18"/>
      <c r="Z697" s="32"/>
      <c r="AA697" s="18"/>
      <c r="AB697" s="18"/>
      <c r="AC697" s="18"/>
      <c r="AD697" s="33"/>
      <c r="AE697" s="32"/>
    </row>
    <row r="698" spans="14:31" x14ac:dyDescent="0.35">
      <c r="N698" s="11"/>
      <c r="P698" s="50"/>
      <c r="Q698" s="18"/>
      <c r="R698" s="18"/>
      <c r="S698" s="18"/>
      <c r="T698" s="18"/>
      <c r="U698" s="18"/>
      <c r="V698" s="18"/>
      <c r="W698" s="32"/>
      <c r="X698" s="18"/>
      <c r="Y698" s="18"/>
      <c r="Z698" s="32"/>
      <c r="AA698" s="18"/>
      <c r="AB698" s="18"/>
      <c r="AC698" s="18"/>
      <c r="AD698" s="33"/>
      <c r="AE698" s="32"/>
    </row>
    <row r="699" spans="14:31" x14ac:dyDescent="0.35">
      <c r="N699" s="11"/>
      <c r="P699" s="50"/>
      <c r="Q699" s="18"/>
      <c r="R699" s="18"/>
      <c r="S699" s="18"/>
      <c r="T699" s="18"/>
      <c r="U699" s="18"/>
      <c r="V699" s="18"/>
      <c r="W699" s="32"/>
      <c r="X699" s="18"/>
      <c r="Y699" s="18"/>
      <c r="Z699" s="32"/>
      <c r="AA699" s="18"/>
      <c r="AB699" s="18"/>
      <c r="AC699" s="18"/>
      <c r="AD699" s="33"/>
      <c r="AE699" s="32"/>
    </row>
    <row r="700" spans="14:31" x14ac:dyDescent="0.35">
      <c r="N700" s="11"/>
      <c r="P700" s="50"/>
      <c r="Q700" s="18"/>
      <c r="R700" s="18"/>
      <c r="S700" s="18"/>
      <c r="T700" s="18"/>
      <c r="U700" s="18"/>
      <c r="V700" s="18"/>
      <c r="W700" s="32"/>
      <c r="X700" s="18"/>
      <c r="Y700" s="18"/>
      <c r="Z700" s="32"/>
      <c r="AA700" s="18"/>
      <c r="AB700" s="18"/>
      <c r="AC700" s="18"/>
      <c r="AD700" s="33"/>
      <c r="AE700" s="32"/>
    </row>
    <row r="701" spans="14:31" x14ac:dyDescent="0.35">
      <c r="N701" s="11"/>
      <c r="P701" s="50"/>
      <c r="Q701" s="18"/>
      <c r="R701" s="18"/>
      <c r="S701" s="18"/>
      <c r="T701" s="18"/>
      <c r="U701" s="18"/>
      <c r="V701" s="18"/>
      <c r="W701" s="32"/>
      <c r="X701" s="18"/>
      <c r="Y701" s="18"/>
      <c r="Z701" s="32"/>
      <c r="AA701" s="18"/>
      <c r="AB701" s="18"/>
      <c r="AC701" s="18"/>
      <c r="AD701" s="33"/>
      <c r="AE701" s="32"/>
    </row>
    <row r="702" spans="14:31" x14ac:dyDescent="0.35">
      <c r="N702" s="11"/>
      <c r="P702" s="50"/>
      <c r="Q702" s="18"/>
      <c r="R702" s="18"/>
      <c r="S702" s="18"/>
      <c r="T702" s="18"/>
      <c r="U702" s="18"/>
      <c r="V702" s="18"/>
      <c r="W702" s="32"/>
      <c r="X702" s="18"/>
      <c r="Y702" s="18"/>
      <c r="Z702" s="32"/>
      <c r="AA702" s="18"/>
      <c r="AB702" s="18"/>
      <c r="AC702" s="18"/>
      <c r="AD702" s="33"/>
      <c r="AE702" s="32"/>
    </row>
    <row r="703" spans="14:31" x14ac:dyDescent="0.35">
      <c r="N703" s="11"/>
      <c r="P703" s="50"/>
      <c r="Q703" s="18"/>
      <c r="R703" s="18"/>
      <c r="S703" s="18"/>
      <c r="T703" s="18"/>
      <c r="U703" s="18"/>
      <c r="V703" s="18"/>
      <c r="W703" s="32"/>
      <c r="X703" s="18"/>
      <c r="Y703" s="18"/>
      <c r="Z703" s="32"/>
      <c r="AA703" s="18"/>
      <c r="AB703" s="18"/>
      <c r="AC703" s="18"/>
      <c r="AD703" s="33"/>
      <c r="AE703" s="32"/>
    </row>
    <row r="704" spans="14:31" x14ac:dyDescent="0.35">
      <c r="N704" s="11"/>
      <c r="P704" s="50"/>
      <c r="Q704" s="18"/>
      <c r="R704" s="18"/>
      <c r="S704" s="18"/>
      <c r="T704" s="18"/>
      <c r="U704" s="18"/>
      <c r="V704" s="18"/>
      <c r="W704" s="32"/>
      <c r="X704" s="18"/>
      <c r="Y704" s="18"/>
      <c r="Z704" s="32"/>
      <c r="AA704" s="18"/>
      <c r="AB704" s="18"/>
      <c r="AC704" s="18"/>
      <c r="AD704" s="33"/>
      <c r="AE704" s="32"/>
    </row>
    <row r="705" spans="14:31" x14ac:dyDescent="0.35">
      <c r="N705" s="11"/>
      <c r="P705" s="50"/>
      <c r="Q705" s="18"/>
      <c r="R705" s="18"/>
      <c r="S705" s="18"/>
      <c r="T705" s="18"/>
      <c r="U705" s="18"/>
      <c r="V705" s="18"/>
      <c r="W705" s="32"/>
      <c r="X705" s="18"/>
      <c r="Y705" s="18"/>
      <c r="Z705" s="32"/>
      <c r="AA705" s="18"/>
      <c r="AB705" s="18"/>
      <c r="AC705" s="18"/>
      <c r="AD705" s="33"/>
      <c r="AE705" s="32"/>
    </row>
    <row r="706" spans="14:31" x14ac:dyDescent="0.35">
      <c r="N706" s="11"/>
      <c r="P706" s="50"/>
      <c r="Q706" s="18"/>
      <c r="R706" s="18"/>
      <c r="S706" s="18"/>
      <c r="T706" s="18"/>
      <c r="U706" s="18"/>
      <c r="V706" s="18"/>
      <c r="W706" s="32"/>
      <c r="X706" s="18"/>
      <c r="Y706" s="18"/>
      <c r="Z706" s="32"/>
      <c r="AA706" s="18"/>
      <c r="AB706" s="18"/>
      <c r="AC706" s="18"/>
      <c r="AD706" s="33"/>
      <c r="AE706" s="32"/>
    </row>
    <row r="707" spans="14:31" x14ac:dyDescent="0.35">
      <c r="N707" s="11"/>
      <c r="P707" s="50"/>
      <c r="Q707" s="18"/>
      <c r="R707" s="18"/>
      <c r="S707" s="18"/>
      <c r="T707" s="18"/>
      <c r="U707" s="18"/>
      <c r="V707" s="18"/>
      <c r="W707" s="32"/>
      <c r="X707" s="18"/>
      <c r="Y707" s="18"/>
      <c r="Z707" s="32"/>
      <c r="AA707" s="18"/>
      <c r="AB707" s="18"/>
      <c r="AC707" s="18"/>
      <c r="AD707" s="33"/>
      <c r="AE707" s="32"/>
    </row>
    <row r="708" spans="14:31" x14ac:dyDescent="0.35">
      <c r="N708" s="11"/>
      <c r="P708" s="50"/>
      <c r="Q708" s="18"/>
      <c r="R708" s="18"/>
      <c r="S708" s="18"/>
      <c r="T708" s="18"/>
      <c r="U708" s="18"/>
      <c r="V708" s="18"/>
      <c r="W708" s="32"/>
      <c r="X708" s="18"/>
      <c r="Y708" s="18"/>
      <c r="Z708" s="32"/>
      <c r="AA708" s="18"/>
      <c r="AB708" s="18"/>
      <c r="AC708" s="18"/>
      <c r="AD708" s="33"/>
      <c r="AE708" s="32"/>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2"/>
  <sheetViews>
    <sheetView zoomScale="85" zoomScaleNormal="85" workbookViewId="0">
      <selection activeCell="B19" sqref="B19"/>
    </sheetView>
  </sheetViews>
  <sheetFormatPr defaultRowHeight="14.5" x14ac:dyDescent="0.35"/>
  <cols>
    <col min="1" max="1" width="26.81640625" customWidth="1"/>
    <col min="2" max="2" width="25.54296875" customWidth="1"/>
    <col min="3" max="3" width="10.1796875" customWidth="1"/>
  </cols>
  <sheetData>
    <row r="1" spans="1:9" ht="27.75" x14ac:dyDescent="0.4">
      <c r="A1" s="235" t="s">
        <v>77</v>
      </c>
      <c r="B1" s="235"/>
      <c r="C1" s="235"/>
      <c r="D1" s="235"/>
      <c r="E1" s="235"/>
      <c r="F1" s="235"/>
      <c r="G1" s="235"/>
      <c r="H1" s="235"/>
      <c r="I1" s="235"/>
    </row>
    <row r="2" spans="1:9" ht="15" x14ac:dyDescent="0.25">
      <c r="A2" s="12"/>
      <c r="B2" s="12" t="s">
        <v>16</v>
      </c>
      <c r="C2" s="13"/>
      <c r="D2" s="18"/>
      <c r="E2" s="12"/>
      <c r="F2" s="12"/>
      <c r="G2" s="12"/>
      <c r="H2" s="12"/>
      <c r="I2" s="12"/>
    </row>
    <row r="3" spans="1:9" x14ac:dyDescent="0.35">
      <c r="A3" s="12"/>
      <c r="B3" s="12" t="s">
        <v>17</v>
      </c>
      <c r="C3" s="14"/>
      <c r="D3" s="18"/>
      <c r="E3" s="12"/>
      <c r="F3" s="12"/>
      <c r="G3" s="12"/>
      <c r="H3" s="12"/>
      <c r="I3" s="12"/>
    </row>
    <row r="4" spans="1:9" x14ac:dyDescent="0.35">
      <c r="A4" s="12"/>
      <c r="B4" s="12" t="s">
        <v>18</v>
      </c>
      <c r="C4" s="15"/>
      <c r="D4" s="18"/>
      <c r="E4" s="12"/>
      <c r="F4" s="12"/>
      <c r="G4" s="12"/>
      <c r="H4" s="12"/>
      <c r="I4" s="12"/>
    </row>
    <row r="5" spans="1:9" x14ac:dyDescent="0.35">
      <c r="A5" s="11" t="s">
        <v>19</v>
      </c>
      <c r="B5" s="11" t="s">
        <v>20</v>
      </c>
      <c r="C5" s="11" t="s">
        <v>21</v>
      </c>
      <c r="D5" s="18"/>
      <c r="E5" s="236" t="s">
        <v>22</v>
      </c>
      <c r="F5" s="236"/>
      <c r="G5" s="236"/>
      <c r="H5" s="236"/>
      <c r="I5" s="11"/>
    </row>
    <row r="6" spans="1:9" s="4" customFormat="1" x14ac:dyDescent="0.35">
      <c r="A6" s="11"/>
      <c r="B6" s="11"/>
      <c r="C6" s="11"/>
      <c r="D6" s="18"/>
      <c r="E6" s="20"/>
      <c r="F6" s="20"/>
      <c r="G6" s="20"/>
      <c r="H6" s="20"/>
      <c r="I6" s="11"/>
    </row>
    <row r="7" spans="1:9" s="4" customFormat="1" x14ac:dyDescent="0.35">
      <c r="A7" s="11" t="s">
        <v>56</v>
      </c>
      <c r="B7" s="11"/>
      <c r="C7" s="11"/>
      <c r="D7" s="18"/>
      <c r="E7" s="20"/>
      <c r="F7" s="20"/>
      <c r="G7" s="20"/>
      <c r="H7" s="20"/>
      <c r="I7" s="11"/>
    </row>
    <row r="8" spans="1:9" s="4" customFormat="1" x14ac:dyDescent="0.35">
      <c r="A8" s="11"/>
      <c r="B8" s="11"/>
      <c r="C8" s="11"/>
      <c r="D8" s="18"/>
      <c r="E8" s="20"/>
      <c r="F8" s="20"/>
      <c r="G8" s="20"/>
      <c r="H8" s="20"/>
      <c r="I8" s="11"/>
    </row>
    <row r="9" spans="1:9" x14ac:dyDescent="0.35">
      <c r="A9" t="s">
        <v>45</v>
      </c>
      <c r="B9" s="22">
        <v>0.8</v>
      </c>
      <c r="D9" t="s">
        <v>48</v>
      </c>
    </row>
    <row r="10" spans="1:9" s="4" customFormat="1" x14ac:dyDescent="0.35">
      <c r="A10" s="4" t="s">
        <v>49</v>
      </c>
      <c r="B10" s="23">
        <f>(1-B9)/(2.2*10^6)</f>
        <v>9.0909090909090888E-8</v>
      </c>
      <c r="C10" s="4" t="s">
        <v>52</v>
      </c>
      <c r="D10" s="4" t="s">
        <v>55</v>
      </c>
    </row>
    <row r="11" spans="1:9" x14ac:dyDescent="0.35">
      <c r="A11" s="4" t="s">
        <v>46</v>
      </c>
      <c r="B11" s="22">
        <v>0.85</v>
      </c>
      <c r="D11" s="4" t="s">
        <v>48</v>
      </c>
    </row>
    <row r="12" spans="1:9" s="4" customFormat="1" x14ac:dyDescent="0.35">
      <c r="A12" s="4" t="s">
        <v>50</v>
      </c>
      <c r="B12" s="23">
        <f>(1-B11)/(2.2*10^6)</f>
        <v>6.8181818181818186E-8</v>
      </c>
      <c r="C12" s="4" t="s">
        <v>52</v>
      </c>
      <c r="D12" s="4" t="s">
        <v>54</v>
      </c>
    </row>
    <row r="13" spans="1:9" x14ac:dyDescent="0.35">
      <c r="A13" s="4" t="s">
        <v>47</v>
      </c>
      <c r="B13" s="22">
        <v>0.9</v>
      </c>
      <c r="D13" s="4" t="s">
        <v>48</v>
      </c>
    </row>
    <row r="14" spans="1:9" x14ac:dyDescent="0.35">
      <c r="A14" t="s">
        <v>51</v>
      </c>
      <c r="B14" s="23">
        <f>(1-B13)/(2.2*10^6)</f>
        <v>4.5454545454545444E-8</v>
      </c>
      <c r="C14" t="s">
        <v>52</v>
      </c>
      <c r="D14" t="s">
        <v>53</v>
      </c>
    </row>
    <row r="16" spans="1:9" x14ac:dyDescent="0.35">
      <c r="A16" t="s">
        <v>57</v>
      </c>
      <c r="B16" s="22">
        <v>0.9</v>
      </c>
      <c r="D16" s="4" t="s">
        <v>63</v>
      </c>
    </row>
    <row r="17" spans="1:4" x14ac:dyDescent="0.35">
      <c r="A17" t="s">
        <v>58</v>
      </c>
      <c r="B17" s="22">
        <v>0.93</v>
      </c>
      <c r="D17" t="s">
        <v>60</v>
      </c>
    </row>
    <row r="18" spans="1:4" x14ac:dyDescent="0.35">
      <c r="A18" t="s">
        <v>59</v>
      </c>
      <c r="B18" s="22">
        <v>0.96</v>
      </c>
      <c r="D18" s="4" t="s">
        <v>64</v>
      </c>
    </row>
    <row r="19" spans="1:4" x14ac:dyDescent="0.35">
      <c r="B19" s="4">
        <f>IF(((1-D_limit_min)/Constants!B12)&lt;Fsw,2,1)</f>
        <v>1</v>
      </c>
      <c r="D19" s="4" t="s">
        <v>453</v>
      </c>
    </row>
    <row r="20" spans="1:4" x14ac:dyDescent="0.35">
      <c r="A20" t="s">
        <v>75</v>
      </c>
      <c r="B20" s="1">
        <f>CHOOSE(B19,D_limit_min,(1-Constants!B10*Fsw))</f>
        <v>0.9</v>
      </c>
      <c r="D20" s="4" t="s">
        <v>76</v>
      </c>
    </row>
    <row r="22" spans="1:4" x14ac:dyDescent="0.35">
      <c r="A22" t="s">
        <v>81</v>
      </c>
      <c r="B22" s="22">
        <f>50*10^-9</f>
        <v>5.0000000000000004E-8</v>
      </c>
      <c r="C22" t="s">
        <v>52</v>
      </c>
      <c r="D22" t="s">
        <v>82</v>
      </c>
    </row>
    <row r="23" spans="1:4" s="32" customFormat="1" x14ac:dyDescent="0.35">
      <c r="B23" s="22"/>
    </row>
    <row r="24" spans="1:4" ht="15.5" x14ac:dyDescent="0.35">
      <c r="A24" s="43" t="s">
        <v>139</v>
      </c>
    </row>
    <row r="25" spans="1:4" x14ac:dyDescent="0.35">
      <c r="A25" t="s">
        <v>116</v>
      </c>
      <c r="B25" s="22">
        <f>30*10^-6</f>
        <v>2.9999999999999997E-5</v>
      </c>
      <c r="C25" t="s">
        <v>11</v>
      </c>
      <c r="D25" t="s">
        <v>117</v>
      </c>
    </row>
    <row r="26" spans="1:4" x14ac:dyDescent="0.35">
      <c r="A26" t="s">
        <v>118</v>
      </c>
      <c r="B26" s="22">
        <v>1333</v>
      </c>
      <c r="C26" s="2" t="s">
        <v>36</v>
      </c>
      <c r="D26" t="s">
        <v>119</v>
      </c>
    </row>
    <row r="27" spans="1:4" x14ac:dyDescent="0.35">
      <c r="A27" t="s">
        <v>122</v>
      </c>
      <c r="B27" s="22">
        <f>0.1</f>
        <v>0.1</v>
      </c>
      <c r="C27" s="2" t="s">
        <v>10</v>
      </c>
      <c r="D27" t="s">
        <v>123</v>
      </c>
    </row>
    <row r="29" spans="1:4" x14ac:dyDescent="0.35">
      <c r="A29" t="s">
        <v>198</v>
      </c>
      <c r="B29" s="22">
        <f>0.145</f>
        <v>0.14499999999999999</v>
      </c>
      <c r="C29" t="s">
        <v>147</v>
      </c>
      <c r="D29" t="s">
        <v>200</v>
      </c>
    </row>
    <row r="30" spans="1:4" x14ac:dyDescent="0.35">
      <c r="A30" t="s">
        <v>202</v>
      </c>
      <c r="B30" s="22">
        <v>1</v>
      </c>
      <c r="C30" t="s">
        <v>147</v>
      </c>
      <c r="D30" t="s">
        <v>203</v>
      </c>
    </row>
    <row r="32" spans="1:4" s="32" customFormat="1" x14ac:dyDescent="0.35">
      <c r="A32" s="48" t="s">
        <v>223</v>
      </c>
    </row>
    <row r="33" spans="1:4" s="32" customFormat="1" x14ac:dyDescent="0.35">
      <c r="A33" s="32" t="s">
        <v>242</v>
      </c>
      <c r="B33" s="32">
        <v>1</v>
      </c>
      <c r="C33" s="32" t="s">
        <v>10</v>
      </c>
      <c r="D33" s="32" t="s">
        <v>243</v>
      </c>
    </row>
    <row r="34" spans="1:4" x14ac:dyDescent="0.35">
      <c r="A34" t="s">
        <v>226</v>
      </c>
      <c r="B34">
        <f>(2*10^-3)/1</f>
        <v>2E-3</v>
      </c>
      <c r="C34" t="s">
        <v>228</v>
      </c>
      <c r="D34" t="s">
        <v>227</v>
      </c>
    </row>
    <row r="36" spans="1:4" x14ac:dyDescent="0.35">
      <c r="A36" s="48" t="s">
        <v>277</v>
      </c>
    </row>
    <row r="37" spans="1:4" x14ac:dyDescent="0.35">
      <c r="A37" t="s">
        <v>278</v>
      </c>
      <c r="B37">
        <f>10*10^-6</f>
        <v>9.9999999999999991E-6</v>
      </c>
      <c r="C37" t="s">
        <v>11</v>
      </c>
      <c r="D37" t="s">
        <v>279</v>
      </c>
    </row>
    <row r="39" spans="1:4" x14ac:dyDescent="0.35">
      <c r="A39" s="48" t="s">
        <v>297</v>
      </c>
    </row>
    <row r="40" spans="1:4" x14ac:dyDescent="0.35">
      <c r="A40" t="s">
        <v>298</v>
      </c>
      <c r="B40">
        <v>1.5</v>
      </c>
      <c r="C40" t="s">
        <v>10</v>
      </c>
      <c r="D40" t="s">
        <v>301</v>
      </c>
    </row>
    <row r="41" spans="1:4" x14ac:dyDescent="0.35">
      <c r="A41" t="s">
        <v>299</v>
      </c>
      <c r="B41">
        <v>1.45</v>
      </c>
      <c r="C41" t="s">
        <v>10</v>
      </c>
      <c r="D41" t="s">
        <v>300</v>
      </c>
    </row>
    <row r="42" spans="1:4" x14ac:dyDescent="0.35">
      <c r="A42" t="s">
        <v>304</v>
      </c>
      <c r="B42">
        <f>5*10^-6</f>
        <v>4.9999999999999996E-6</v>
      </c>
      <c r="C42" t="s">
        <v>11</v>
      </c>
      <c r="D42" t="s">
        <v>305</v>
      </c>
    </row>
    <row r="44" spans="1:4" x14ac:dyDescent="0.35">
      <c r="A44" s="48" t="s">
        <v>361</v>
      </c>
    </row>
    <row r="45" spans="1:4" x14ac:dyDescent="0.35">
      <c r="A45" t="s">
        <v>362</v>
      </c>
      <c r="B45">
        <v>6.75</v>
      </c>
      <c r="C45" t="s">
        <v>10</v>
      </c>
      <c r="D45" t="s">
        <v>363</v>
      </c>
    </row>
    <row r="47" spans="1:4" x14ac:dyDescent="0.35">
      <c r="A47" s="48" t="s">
        <v>379</v>
      </c>
    </row>
    <row r="48" spans="1:4" x14ac:dyDescent="0.35">
      <c r="A48" t="s">
        <v>380</v>
      </c>
      <c r="B48">
        <f>450*(10^-6)</f>
        <v>4.4999999999999999E-4</v>
      </c>
      <c r="C48" t="s">
        <v>11</v>
      </c>
      <c r="D48" t="s">
        <v>381</v>
      </c>
    </row>
    <row r="50" spans="1:4" x14ac:dyDescent="0.35">
      <c r="A50" t="s">
        <v>420</v>
      </c>
    </row>
    <row r="51" spans="1:4" x14ac:dyDescent="0.35">
      <c r="A51" t="s">
        <v>421</v>
      </c>
      <c r="B51">
        <v>1.5</v>
      </c>
      <c r="C51" t="s">
        <v>10</v>
      </c>
      <c r="D51" t="s">
        <v>422</v>
      </c>
    </row>
    <row r="52" spans="1:4" x14ac:dyDescent="0.35">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B3"/>
  <sheetViews>
    <sheetView topLeftCell="B1" zoomScale="70" zoomScaleNormal="70" workbookViewId="0">
      <selection activeCell="E3" sqref="E3"/>
    </sheetView>
  </sheetViews>
  <sheetFormatPr defaultRowHeight="14.5" x14ac:dyDescent="0.35"/>
  <cols>
    <col min="3" max="3" width="144.81640625" customWidth="1"/>
  </cols>
  <sheetData>
    <row r="2" spans="2:2" ht="15" x14ac:dyDescent="0.25">
      <c r="B2" t="str">
        <f>"Eff_vs_IOUT"</f>
        <v>Eff_vs_IOUT</v>
      </c>
    </row>
    <row r="3" spans="2:2" ht="379.75"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
  <sheetViews>
    <sheetView workbookViewId="0">
      <selection activeCell="B36" sqref="B36"/>
    </sheetView>
  </sheetViews>
  <sheetFormatPr defaultRowHeight="14.5" x14ac:dyDescent="0.35"/>
  <cols>
    <col min="2" max="2" width="71.26953125" customWidth="1"/>
  </cols>
  <sheetData>
    <row r="2" ht="294.5" customHeight="1"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D5"/>
  <sheetViews>
    <sheetView workbookViewId="0">
      <selection activeCell="B3" sqref="B3"/>
    </sheetView>
  </sheetViews>
  <sheetFormatPr defaultRowHeight="14.5" x14ac:dyDescent="0.35"/>
  <sheetData>
    <row r="2" spans="1:4" ht="14.75" x14ac:dyDescent="0.25">
      <c r="A2" t="s">
        <v>396</v>
      </c>
    </row>
    <row r="3" spans="1:4" ht="14.75" x14ac:dyDescent="0.25">
      <c r="B3">
        <f>VIN_min</f>
        <v>6</v>
      </c>
    </row>
    <row r="4" spans="1:4" x14ac:dyDescent="0.35">
      <c r="B4">
        <f>VIN_nom</f>
        <v>14</v>
      </c>
      <c r="D4">
        <v>2.5</v>
      </c>
    </row>
    <row r="5" spans="1:4" x14ac:dyDescent="0.35">
      <c r="B5">
        <f>VIN_max</f>
        <v>18</v>
      </c>
    </row>
  </sheetData>
  <dataValidations count="3">
    <dataValidation type="list" allowBlank="1" showInputMessage="1" showErrorMessage="1" sqref="D4">
      <formula1>$B$3:$B$5</formula1>
    </dataValidation>
    <dataValidation type="decimal" allowBlank="1" showInputMessage="1" showErrorMessage="1" sqref="F4">
      <formula1>B3</formula1>
      <formula2>B5</formula2>
    </dataValidation>
    <dataValidation type="list" showDropDown="1" showInputMessage="1" showErrorMessage="1" sqref="I15">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election activeCell="C31" sqref="C31"/>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BMC-BCS</cp:lastModifiedBy>
  <cp:lastPrinted>2018-08-09T07:13:51Z</cp:lastPrinted>
  <dcterms:created xsi:type="dcterms:W3CDTF">2018-06-26T09:13:29Z</dcterms:created>
  <dcterms:modified xsi:type="dcterms:W3CDTF">2020-06-09T19:59:57Z</dcterms:modified>
</cp:coreProperties>
</file>