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50" windowHeight="12280" tabRatio="559" activeTab="2"/>
  </bookViews>
  <sheets>
    <sheet name="INSTRUCTIONS READ ME FIRST!" sheetId="4" r:id="rId1"/>
    <sheet name="CALCULATIONS" sheetId="1" r:id="rId2"/>
    <sheet name="SCHEMATIC" sheetId="5" r:id="rId3"/>
    <sheet name="data" sheetId="2" r:id="rId4"/>
  </sheets>
  <definedNames>
    <definedName name="_Rfb1">CALCULATIONS!$C$123</definedName>
    <definedName name="_Rfb2">CALCULATIONS!$C$127</definedName>
    <definedName name="a_1">data!$H$78</definedName>
    <definedName name="a_2">data!$H$88</definedName>
    <definedName name="a_3">data!$H$99</definedName>
    <definedName name="a_4">#REF!</definedName>
    <definedName name="b_1">data!$H$79</definedName>
    <definedName name="b_2">data!$H$89</definedName>
    <definedName name="b_3">data!$H$100</definedName>
    <definedName name="b_4">#REF!</definedName>
    <definedName name="c_1">data!$H$80</definedName>
    <definedName name="c_2">data!$H$90</definedName>
    <definedName name="c_3">#REF!</definedName>
    <definedName name="Cicomp">CALCULATIONS!$C$175</definedName>
    <definedName name="Cin">CALCULATIONS!$C$52</definedName>
    <definedName name="Cisense">CALCULATIONS!$C$105</definedName>
    <definedName name="Coss">CALCULATIONS!$C$84</definedName>
    <definedName name="Cout">CALCULATIONS!$C$113</definedName>
    <definedName name="Cvcomp">CALCULATIONS!$C$265</definedName>
    <definedName name="Cvcomp_p">CALCULATIONS!$C$271</definedName>
    <definedName name="Cvins">CALCULATIONS!$C$334</definedName>
    <definedName name="Cvins_hu">CALCULATIONS!$C$326</definedName>
    <definedName name="Cvsense">CALCULATIONS!$C$139</definedName>
    <definedName name="d_1">data!$H$81</definedName>
    <definedName name="d_2">data!$H$91</definedName>
    <definedName name="delta_Rfb1">CALCULATIONS!$C$124</definedName>
    <definedName name="delta_Rfb2">CALCULATIONS!$C$128</definedName>
    <definedName name="Dmax">CALCULATIONS!$C$56</definedName>
    <definedName name="e_1">data!$H$82</definedName>
    <definedName name="e_2">data!$H$92</definedName>
    <definedName name="eff">CALCULATIONS!$C$16</definedName>
    <definedName name="f_1">data!$H$83</definedName>
    <definedName name="f_2">data!$H$93</definedName>
    <definedName name="f_Iavg">CALCULATIONS!$C$173</definedName>
    <definedName name="f_iavgactual">CALCULATIONS!$C$176</definedName>
    <definedName name="fline_max">CALCULATIONS!$C$26</definedName>
    <definedName name="fline_min">CALCULATIONS!$C$25</definedName>
    <definedName name="fline_nom">CALCULATIONS!$C$27</definedName>
    <definedName name="fpole">CALCULATIONS!$C$269</definedName>
    <definedName name="fPWM_PSpole">CALCULATIONS!$C$261</definedName>
    <definedName name="fsw">data!$C$2</definedName>
    <definedName name="ftyp">#REF!</definedName>
    <definedName name="fv">CALCULATIONS!$C$262</definedName>
    <definedName name="fzero">CALCULATIONS!$C$268</definedName>
    <definedName name="g_1">data!$H$84</definedName>
    <definedName name="g_2">data!$H$94</definedName>
    <definedName name="g_mi">data!$H$72</definedName>
    <definedName name="g_mv">data!$H$71</definedName>
    <definedName name="GVL_dB">CALCULATIONS!$C$263</definedName>
    <definedName name="HU_rqment">CALCULATIONS!$C$320</definedName>
    <definedName name="I_Lpeak">CALCULATIONS!$C$57</definedName>
    <definedName name="Ibridge">CALCULATIONS!$C$41</definedName>
    <definedName name="Icout_2fline">CALCULATIONS!$C$116</definedName>
    <definedName name="Icout_HF">CALCULATIONS!$C$117</definedName>
    <definedName name="Icout_rms">CALCULATIONS!$C$118</definedName>
    <definedName name="Ids_rms">CALCULATIONS!$C$79</definedName>
    <definedName name="Ifuse">CALCULATIONS!$C$34</definedName>
    <definedName name="Iin_avg_max">CALCULATIONS!$C$33</definedName>
    <definedName name="Iin_peak_max">CALCULATIONS!$C$32</definedName>
    <definedName name="Iin_rms_max">CALCULATIONS!$C$31</definedName>
    <definedName name="Iinrush">CALCULATIONS!$C$102</definedName>
    <definedName name="IISENSE">data!$H$18</definedName>
    <definedName name="Il_peak_actual">CALCULATIONS!$C$61</definedName>
    <definedName name="Iout">CALCULATIONS!$C$18</definedName>
    <definedName name="Iout_OC">CALCULATIONS!$C$99</definedName>
    <definedName name="Ipcl">CALCULATIONS!$C$100</definedName>
    <definedName name="Iripple">CALCULATIONS!$C$50</definedName>
    <definedName name="Iripple_actual">CALCULATIONS!$C$60</definedName>
    <definedName name="Isoc">CALCULATIONS!$C$97</definedName>
    <definedName name="Ivins">data!$H$19</definedName>
    <definedName name="K_1">data!$H$68</definedName>
    <definedName name="K_1V2">#REF!</definedName>
    <definedName name="K_1V3">#REF!</definedName>
    <definedName name="K_2V2">#REF!</definedName>
    <definedName name="K_2V3">#REF!</definedName>
    <definedName name="K_3V2">#REF!</definedName>
    <definedName name="K_3V3">#REF!</definedName>
    <definedName name="K_4V2">#REF!</definedName>
    <definedName name="K_4V3">#REF!</definedName>
    <definedName name="K_5V3">#REF!</definedName>
    <definedName name="K_fq">data!$H$69</definedName>
    <definedName name="kHz">data!$C$5</definedName>
    <definedName name="kOhm">data!$C$16</definedName>
    <definedName name="L_I_ripple_factor">CALCULATIONS!$C$48</definedName>
    <definedName name="Lbst">CALCULATIONS!$C$59</definedName>
    <definedName name="M_1">CALCULATIONS!$C$170</definedName>
    <definedName name="M_2">CALCULATIONS!$C$171</definedName>
    <definedName name="M_3">CALCULATIONS!$C$172</definedName>
    <definedName name="M1M2">CALCULATIONS!#REF!</definedName>
    <definedName name="M1M2_calc">CALCULATIONS!$C$168</definedName>
    <definedName name="mA">data!$C$8</definedName>
    <definedName name="MegOhm">data!$C$20</definedName>
    <definedName name="mH">data!$C$21</definedName>
    <definedName name="MHz">data!$C$14</definedName>
    <definedName name="mOhm">data!$C$6</definedName>
    <definedName name="mOhms">#REF!</definedName>
    <definedName name="ms">data!$C$7</definedName>
    <definedName name="mSiemens">data!$C$23</definedName>
    <definedName name="mV">data!$C$3</definedName>
    <definedName name="mW">data!$C$12</definedName>
    <definedName name="nC">data!$C$17</definedName>
    <definedName name="Ndropout">CALCULATIONS!$C$110</definedName>
    <definedName name="nF">data!$C$18</definedName>
    <definedName name="Nibop">CALCULATIONS!$C$333</definedName>
    <definedName name="Ninput_hup">CALCULATIONS!$C$323</definedName>
    <definedName name="ns">data!$C$11</definedName>
    <definedName name="P_FET">CALCULATIONS!$C$90</definedName>
    <definedName name="P_FETcond">CALCULATIONS!$C$88</definedName>
    <definedName name="P_FETgate">CALCULATIONS!$C$87</definedName>
    <definedName name="P_FETsw">CALCULATIONS!$C$89</definedName>
    <definedName name="P_Rsense">CALCULATIONS!$C$98</definedName>
    <definedName name="P_rvins">CALCULATIONS!$C$315</definedName>
    <definedName name="P_rvins1">CALCULATIONS!$C$315</definedName>
    <definedName name="Pbridge">CALCULATIONS!$C$43</definedName>
    <definedName name="Pdiode">CALCULATIONS!$C$72</definedName>
    <definedName name="Pdiode_cond">CALCULATIONS!$C$70</definedName>
    <definedName name="Pdiode_reverse">CALCULATIONS!$C$71</definedName>
    <definedName name="Pdivider">CALCULATIONS!$C$140</definedName>
    <definedName name="PF">CALCULATIONS!$C$15</definedName>
    <definedName name="picoF">data!$C$13</definedName>
    <definedName name="Pin_max">CALCULATIONS!$C$30</definedName>
    <definedName name="Pout">CALCULATIONS!$C$13</definedName>
    <definedName name="_xlnm.Print_Area" localSheetId="1">CALCULATIONS!$A$1:$E$33</definedName>
    <definedName name="Prsense">CALCULATIONS!$C$98</definedName>
    <definedName name="Pvins">CALCULATIONS!$C$315</definedName>
    <definedName name="Qg">CALCULATIONS!$C$81</definedName>
    <definedName name="Qrr">CALCULATIONS!$C$66</definedName>
    <definedName name="Rds_on">CALCULATIONS!$C$80</definedName>
    <definedName name="Rfb1_tempco">CALCULATIONS!$C$125</definedName>
    <definedName name="Rfb2_tempco">CALCULATIONS!$C$129</definedName>
    <definedName name="Risense">CALCULATIONS!$C$103</definedName>
    <definedName name="Risense_actual">CALCULATIONS!$C$104</definedName>
    <definedName name="Rjc_bridge">CALCULATIONS!$C$39</definedName>
    <definedName name="Rsense">CALCULATIONS!$C$96</definedName>
    <definedName name="Rth_case_hs">CALCULATIONS!$C$69</definedName>
    <definedName name="Rth_diode">CALCULATIONS!$C$68</definedName>
    <definedName name="Rth_hs_bridge">CALCULATIONS!$C$44</definedName>
    <definedName name="Rth_hs_diode">CALCULATIONS!$C$73</definedName>
    <definedName name="Rth_hs_FET">CALCULATIONS!$C$91</definedName>
    <definedName name="Rth_jc_FET">CALCULATIONS!$C$86</definedName>
    <definedName name="Rtherm">CALCULATIONS!$C$101</definedName>
    <definedName name="Rvcomp">CALCULATIONS!$C$267</definedName>
    <definedName name="Rvins1">CALCULATIONS!$C$309</definedName>
    <definedName name="Rvins2">CALCULATIONS!$C$311</definedName>
    <definedName name="t_dropout_hu">CALCULATIONS!$C$111</definedName>
    <definedName name="t_RFB2Cvsense">data!$H$11</definedName>
    <definedName name="Tamb">CALCULATIONS!$C$17</definedName>
    <definedName name="tf_FET">CALCULATIONS!$C$83</definedName>
    <definedName name="tinput_hu">CALCULATIONS!$C$324</definedName>
    <definedName name="Tj_bridge">CALCULATIONS!$C$40</definedName>
    <definedName name="Tj_diode">CALCULATIONS!$C$67</definedName>
    <definedName name="Tj_FET">CALCULATIONS!$C$85</definedName>
    <definedName name="tr_FET">CALCULATIONS!$C$82</definedName>
    <definedName name="uA">data!$C$15</definedName>
    <definedName name="uC">data!$C$19</definedName>
    <definedName name="uF">data!$C$4</definedName>
    <definedName name="uH">data!$C$10</definedName>
    <definedName name="us">data!$C$9</definedName>
    <definedName name="uSiemens">data!$C$22</definedName>
    <definedName name="V_ripplefactor">CALCULATIONS!$C$49</definedName>
    <definedName name="Vac_off">CALCULATIONS!$C$327</definedName>
    <definedName name="Vac_on">CALCULATIONS!$C$307</definedName>
    <definedName name="Vacin_max">CALCULATIONS!$C$23</definedName>
    <definedName name="Vacin_min">CALCULATIONS!$C$22</definedName>
    <definedName name="Vacin_nom">#REF!</definedName>
    <definedName name="Vacoff_desired">CALCULATIONS!$C$318</definedName>
    <definedName name="VCC">CALCULATIONS!$C$77</definedName>
    <definedName name="Vcomp">data!$H$105</definedName>
    <definedName name="VCOMP1">data!$H$76</definedName>
    <definedName name="VCOMP2">data!$H$85</definedName>
    <definedName name="VCOMP3">data!$H$95</definedName>
    <definedName name="VCOMP4">data!$H$101</definedName>
    <definedName name="VCOMP5">#REF!</definedName>
    <definedName name="Vf">CALCULATIONS!$C$65</definedName>
    <definedName name="Vf_bridge">CALCULATIONS!$C$38</definedName>
    <definedName name="Vgs">CALCULATIONS!$C$78</definedName>
    <definedName name="Vin_max">CALCULATIONS!$C$23</definedName>
    <definedName name="Vin_min">CALCULATIONS!$C$22</definedName>
    <definedName name="Vin_nom">CALCULATIONS!$C$24</definedName>
    <definedName name="Vin_rect_max">CALCULATIONS!$C$29</definedName>
    <definedName name="Vin_rect_min">CALCULATIONS!$C$28</definedName>
    <definedName name="Vin_ripple">CALCULATIONS!$C$51</definedName>
    <definedName name="VINnom">CALCULATIONS!$C$24</definedName>
    <definedName name="Vins_brnmax">data!$H$16</definedName>
    <definedName name="Vins_brnmin">data!$H$15</definedName>
    <definedName name="Vins_brnnom">data!$H$17</definedName>
    <definedName name="Vins_enmax">data!$H$12</definedName>
    <definedName name="Vins_enmin">data!$H$13</definedName>
    <definedName name="Vins_ennom">data!$H$14</definedName>
    <definedName name="Visense_soc">data!$H$2</definedName>
    <definedName name="Vout">CALCULATIONS!$C$14</definedName>
    <definedName name="Vout_holdup">CALCULATIONS!$C$109</definedName>
    <definedName name="Vout_max">CALCULATIONS!$C$132</definedName>
    <definedName name="Vout_min">CALCULATIONS!$C$131</definedName>
    <definedName name="Vout_nom">CALCULATIONS!$C$130</definedName>
    <definedName name="Vout_ripplepp">CALCULATIONS!$C$114</definedName>
    <definedName name="Vovp">CALCULATIONS!$C$133</definedName>
    <definedName name="Vpcl_max">data!$H$3</definedName>
    <definedName name="Vref">data!$H$4</definedName>
    <definedName name="Vref_ovp">data!$H$5</definedName>
    <definedName name="Vref_ovpmax">data!$H$6</definedName>
    <definedName name="Vref_ovpmin">data!$H$7</definedName>
    <definedName name="Vref_uvd">data!$H$8</definedName>
    <definedName name="Vref_uvdmax">data!$H$9</definedName>
    <definedName name="Vref_uvdmin">data!$H$10</definedName>
    <definedName name="Vuvd">CALCULATIONS!$C$136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<sst xmlns="http://schemas.openxmlformats.org/spreadsheetml/2006/main" count="699" uniqueCount="494">
  <si>
    <t>UCC28019 Design Calculator</t>
  </si>
  <si>
    <t>This spreadsheet guides the User through the design process for a CONTINUOUS CONDUCTION MODE PFC BOOST converter using the UCC28019 controller.</t>
  </si>
  <si>
    <t>1. The Macros must be ENABLED.</t>
  </si>
  <si>
    <t>2. The Analysis ToolPak Add-In must be checked.</t>
  </si>
  <si>
    <t>• This feature can be found in the Tools Menu or in Excel Options</t>
  </si>
  <si>
    <t>• Select Add-Ins</t>
  </si>
  <si>
    <t>3. Enter the desired design parameters in the YELLOW shaded boxes</t>
  </si>
  <si>
    <t>• These parameters include input and output voltages, output power, desired efficiency and power factor, along with part parameters, desired current and voltage ripple factors, etc.</t>
  </si>
  <si>
    <r>
      <rPr>
        <sz val="20"/>
        <rFont val="Arial"/>
        <charset val="134"/>
      </rPr>
      <t>• The User must also iterarate a value for VCOMP that will result in a satisfactory M</t>
    </r>
    <r>
      <rPr>
        <vertAlign val="subscript"/>
        <sz val="20"/>
        <rFont val="Arial"/>
        <charset val="134"/>
      </rPr>
      <t>1</t>
    </r>
    <r>
      <rPr>
        <sz val="20"/>
        <rFont val="Arial"/>
        <charset val="134"/>
      </rPr>
      <t>M</t>
    </r>
    <r>
      <rPr>
        <vertAlign val="subscript"/>
        <sz val="20"/>
        <rFont val="Arial"/>
        <charset val="134"/>
      </rPr>
      <t>2</t>
    </r>
    <r>
      <rPr>
        <sz val="20"/>
        <rFont val="Arial"/>
        <charset val="134"/>
      </rPr>
      <t xml:space="preserve"> product.</t>
    </r>
  </si>
  <si>
    <t>4. The spreadsheet will calculate the ideal values and display the results in red type.</t>
  </si>
  <si>
    <t>5. Actual standard values must be entered for the spreadsheet to calculate the gain-phase plots.</t>
  </si>
  <si>
    <r>
      <rPr>
        <b/>
        <sz val="20"/>
        <color indexed="10"/>
        <rFont val="Arial"/>
        <charset val="134"/>
      </rPr>
      <t>UCC28019 Design Calculator:</t>
    </r>
    <r>
      <rPr>
        <b/>
        <sz val="14"/>
        <rFont val="Arial"/>
        <charset val="134"/>
      </rPr>
      <t xml:space="preserve">  </t>
    </r>
    <r>
      <rPr>
        <b/>
        <sz val="12"/>
        <rFont val="Arial"/>
        <charset val="134"/>
      </rPr>
      <t>This spreadsheet guides the User through the design process of a</t>
    </r>
    <r>
      <rPr>
        <b/>
        <sz val="14"/>
        <rFont val="Arial"/>
        <charset val="134"/>
      </rPr>
      <t xml:space="preserve"> </t>
    </r>
    <r>
      <rPr>
        <b/>
        <sz val="20"/>
        <color indexed="10"/>
        <rFont val="Arial"/>
        <charset val="134"/>
      </rPr>
      <t>CONTINUOUS CONDUCTION MODE PFC</t>
    </r>
    <r>
      <rPr>
        <b/>
        <sz val="14"/>
        <color indexed="10"/>
        <rFont val="Arial"/>
        <charset val="134"/>
      </rPr>
      <t xml:space="preserve"> Boost Converter</t>
    </r>
    <r>
      <rPr>
        <b/>
        <sz val="14"/>
        <rFont val="Arial"/>
        <charset val="134"/>
      </rPr>
      <t xml:space="preserve"> </t>
    </r>
    <r>
      <rPr>
        <b/>
        <sz val="12"/>
        <rFont val="Arial"/>
        <charset val="134"/>
      </rPr>
      <t>using</t>
    </r>
    <r>
      <rPr>
        <b/>
        <sz val="14"/>
        <rFont val="Arial"/>
        <charset val="134"/>
      </rPr>
      <t xml:space="preserve"> </t>
    </r>
    <r>
      <rPr>
        <b/>
        <sz val="12"/>
        <rFont val="Arial"/>
        <charset val="134"/>
      </rPr>
      <t>the</t>
    </r>
    <r>
      <rPr>
        <b/>
        <sz val="14"/>
        <rFont val="Arial"/>
        <charset val="134"/>
      </rPr>
      <t xml:space="preserve"> UCC28019 Controller</t>
    </r>
  </si>
  <si>
    <t>TI Literature Number: SLUC069  Rev E</t>
  </si>
  <si>
    <t>Disclaimer</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</si>
  <si>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</si>
  <si>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t>Please enter design parameters and actual standard component values used into the</t>
  </si>
  <si>
    <t>shaded</t>
  </si>
  <si>
    <t xml:space="preserve">cells; </t>
  </si>
  <si>
    <r>
      <rPr>
        <b/>
        <sz val="12"/>
        <rFont val="Arial"/>
        <charset val="134"/>
      </rPr>
      <t xml:space="preserve">Actual standard values used should be based upon the Calculated results which are shown in </t>
    </r>
    <r>
      <rPr>
        <b/>
        <sz val="12"/>
        <color indexed="10"/>
        <rFont val="Arial"/>
        <charset val="134"/>
      </rPr>
      <t>RED</t>
    </r>
  </si>
  <si>
    <r>
      <rPr>
        <b/>
        <sz val="14"/>
        <rFont val="Arial"/>
        <charset val="134"/>
      </rPr>
      <t>Be sure to have the</t>
    </r>
    <r>
      <rPr>
        <b/>
        <sz val="14"/>
        <color indexed="10"/>
        <rFont val="Arial"/>
        <charset val="134"/>
      </rPr>
      <t xml:space="preserve"> </t>
    </r>
    <r>
      <rPr>
        <b/>
        <i/>
        <sz val="14"/>
        <color indexed="10"/>
        <rFont val="Arial"/>
        <charset val="134"/>
      </rPr>
      <t>Analysis ToolPak</t>
    </r>
    <r>
      <rPr>
        <b/>
        <sz val="14"/>
        <color indexed="10"/>
        <rFont val="Arial"/>
        <charset val="134"/>
      </rPr>
      <t xml:space="preserve"> </t>
    </r>
    <r>
      <rPr>
        <b/>
        <sz val="14"/>
        <rFont val="Arial"/>
        <charset val="134"/>
      </rPr>
      <t>activated</t>
    </r>
  </si>
  <si>
    <t>OUTPUT:</t>
  </si>
  <si>
    <t>Maximum Output Power of PFC Stage:</t>
  </si>
  <si>
    <r>
      <rPr>
        <sz val="10"/>
        <rFont val="Arial"/>
        <charset val="134"/>
      </rPr>
      <t>P</t>
    </r>
    <r>
      <rPr>
        <vertAlign val="subscript"/>
        <sz val="10"/>
        <rFont val="Arial"/>
        <charset val="134"/>
      </rPr>
      <t>OUT(max)</t>
    </r>
  </si>
  <si>
    <t>W</t>
  </si>
  <si>
    <r>
      <rPr>
        <sz val="10"/>
        <rFont val="Arial"/>
        <charset val="134"/>
      </rPr>
      <t>Output Voltage (Note: Must be &gt; V</t>
    </r>
    <r>
      <rPr>
        <vertAlign val="subscript"/>
        <sz val="10"/>
        <rFont val="Arial"/>
        <charset val="134"/>
      </rPr>
      <t>IN_RECTIFIED(max)</t>
    </r>
    <r>
      <rPr>
        <sz val="10"/>
        <rFont val="Arial"/>
        <charset val="134"/>
      </rPr>
      <t>):</t>
    </r>
  </si>
  <si>
    <r>
      <rPr>
        <sz val="10"/>
        <rFont val="Arial"/>
        <charset val="134"/>
      </rPr>
      <t>V</t>
    </r>
    <r>
      <rPr>
        <vertAlign val="subscript"/>
        <sz val="10"/>
        <rFont val="Arial"/>
        <charset val="134"/>
      </rPr>
      <t>OUT</t>
    </r>
  </si>
  <si>
    <t>V</t>
  </si>
  <si>
    <r>
      <rPr>
        <sz val="10"/>
        <rFont val="Arial"/>
        <charset val="134"/>
      </rPr>
      <t>Target Power Factor, V</t>
    </r>
    <r>
      <rPr>
        <vertAlign val="subscript"/>
        <sz val="10"/>
        <rFont val="Arial"/>
        <charset val="134"/>
      </rPr>
      <t>IN(nom)</t>
    </r>
    <r>
      <rPr>
        <sz val="10"/>
        <rFont val="Arial"/>
        <charset val="134"/>
      </rPr>
      <t>, Full Load:</t>
    </r>
  </si>
  <si>
    <t>PF</t>
  </si>
  <si>
    <t>Predicted Efficiency:</t>
  </si>
  <si>
    <t>h</t>
  </si>
  <si>
    <t>Maximum Ambient Temperature:</t>
  </si>
  <si>
    <r>
      <rPr>
        <sz val="10"/>
        <rFont val="Arial"/>
        <charset val="134"/>
      </rPr>
      <t>T</t>
    </r>
    <r>
      <rPr>
        <vertAlign val="subscript"/>
        <sz val="10"/>
        <rFont val="Arial"/>
        <charset val="134"/>
      </rPr>
      <t>AMB(max)</t>
    </r>
  </si>
  <si>
    <r>
      <rPr>
        <sz val="10"/>
        <rFont val="Symbol"/>
        <charset val="2"/>
      </rPr>
      <t>°</t>
    </r>
    <r>
      <rPr>
        <sz val="10"/>
        <rFont val="Arial"/>
        <charset val="134"/>
      </rPr>
      <t>C</t>
    </r>
  </si>
  <si>
    <t>Maximum Output Current of PFC Stage:</t>
  </si>
  <si>
    <r>
      <rPr>
        <sz val="10"/>
        <rFont val="Arial"/>
        <charset val="134"/>
      </rPr>
      <t>I</t>
    </r>
    <r>
      <rPr>
        <vertAlign val="subscript"/>
        <sz val="10"/>
        <rFont val="Arial"/>
        <charset val="134"/>
      </rPr>
      <t>OUT</t>
    </r>
  </si>
  <si>
    <t>A</t>
  </si>
  <si>
    <t>INPUT:</t>
  </si>
  <si>
    <t>Minimum Input Voltage from AC Line:</t>
  </si>
  <si>
    <r>
      <rPr>
        <sz val="10"/>
        <rFont val="Arial"/>
        <charset val="134"/>
      </rPr>
      <t>V</t>
    </r>
    <r>
      <rPr>
        <vertAlign val="subscript"/>
        <sz val="10"/>
        <rFont val="Arial"/>
        <charset val="134"/>
      </rPr>
      <t>IN(min)</t>
    </r>
  </si>
  <si>
    <r>
      <rPr>
        <sz val="10"/>
        <rFont val="Arial"/>
        <charset val="134"/>
      </rPr>
      <t>V</t>
    </r>
    <r>
      <rPr>
        <vertAlign val="subscript"/>
        <sz val="10"/>
        <rFont val="Arial"/>
        <charset val="134"/>
      </rPr>
      <t>RMS</t>
    </r>
  </si>
  <si>
    <t>Maximum Input Voltage from AC Line:</t>
  </si>
  <si>
    <r>
      <rPr>
        <sz val="10"/>
        <rFont val="Arial"/>
        <charset val="134"/>
      </rPr>
      <t>V</t>
    </r>
    <r>
      <rPr>
        <vertAlign val="subscript"/>
        <sz val="10"/>
        <rFont val="Arial"/>
        <charset val="134"/>
      </rPr>
      <t>IN(max)</t>
    </r>
  </si>
  <si>
    <t>Nominal Input Voltage from AC Line  (i.e.115 VRMS):</t>
  </si>
  <si>
    <r>
      <rPr>
        <sz val="10"/>
        <rFont val="Arial"/>
        <charset val="134"/>
      </rPr>
      <t>V</t>
    </r>
    <r>
      <rPr>
        <vertAlign val="subscript"/>
        <sz val="10"/>
        <rFont val="Arial"/>
        <charset val="134"/>
      </rPr>
      <t>IN(nom)</t>
    </r>
  </si>
  <si>
    <t>Input voltage at which the compensation will be optimized</t>
  </si>
  <si>
    <t>Minimum Line Frequency:</t>
  </si>
  <si>
    <r>
      <rPr>
        <sz val="10"/>
        <rFont val="Arial"/>
        <charset val="134"/>
      </rPr>
      <t>f</t>
    </r>
    <r>
      <rPr>
        <vertAlign val="subscript"/>
        <sz val="10"/>
        <rFont val="Arial"/>
        <charset val="134"/>
      </rPr>
      <t>LINE(min):</t>
    </r>
  </si>
  <si>
    <t>Hz</t>
  </si>
  <si>
    <t>Maximum Line Frequency:</t>
  </si>
  <si>
    <r>
      <rPr>
        <sz val="10"/>
        <rFont val="Arial"/>
        <charset val="134"/>
      </rPr>
      <t>f</t>
    </r>
    <r>
      <rPr>
        <vertAlign val="subscript"/>
        <sz val="10"/>
        <rFont val="Arial"/>
        <charset val="134"/>
      </rPr>
      <t>LINE(max):</t>
    </r>
  </si>
  <si>
    <t>Nominal Line Frequency (i.e. 50 Hz):</t>
  </si>
  <si>
    <r>
      <rPr>
        <sz val="10"/>
        <rFont val="Arial"/>
        <charset val="134"/>
      </rPr>
      <t>f</t>
    </r>
    <r>
      <rPr>
        <vertAlign val="subscript"/>
        <sz val="10"/>
        <rFont val="Arial"/>
        <charset val="134"/>
      </rPr>
      <t>LINE(nom)</t>
    </r>
  </si>
  <si>
    <t>HZ</t>
  </si>
  <si>
    <t>Minimum Rectified AC Line Voltage:</t>
  </si>
  <si>
    <r>
      <rPr>
        <sz val="10"/>
        <rFont val="Arial"/>
        <charset val="134"/>
      </rPr>
      <t>V</t>
    </r>
    <r>
      <rPr>
        <vertAlign val="subscript"/>
        <sz val="10"/>
        <rFont val="Arial"/>
        <charset val="134"/>
      </rPr>
      <t>IN_RECTIFIED(min)</t>
    </r>
  </si>
  <si>
    <t>Maximum Rectified AC Line Voltage:</t>
  </si>
  <si>
    <r>
      <rPr>
        <sz val="10"/>
        <rFont val="Arial"/>
        <charset val="134"/>
      </rPr>
      <t>V</t>
    </r>
    <r>
      <rPr>
        <vertAlign val="subscript"/>
        <sz val="10"/>
        <rFont val="Arial"/>
        <charset val="134"/>
      </rPr>
      <t>IN_RECTIFIED(max)</t>
    </r>
  </si>
  <si>
    <t>Maximum Input Power Drawn from the Line:</t>
  </si>
  <si>
    <r>
      <rPr>
        <sz val="10"/>
        <rFont val="Arial"/>
        <charset val="134"/>
      </rPr>
      <t>P</t>
    </r>
    <r>
      <rPr>
        <vertAlign val="subscript"/>
        <sz val="10"/>
        <rFont val="Arial"/>
        <charset val="134"/>
      </rPr>
      <t>IN(max)</t>
    </r>
  </si>
  <si>
    <t>Maximum RMS AC Line Current:</t>
  </si>
  <si>
    <r>
      <rPr>
        <sz val="10"/>
        <rFont val="Arial"/>
        <charset val="134"/>
      </rPr>
      <t>I</t>
    </r>
    <r>
      <rPr>
        <vertAlign val="subscript"/>
        <sz val="10"/>
        <rFont val="Arial"/>
        <charset val="134"/>
      </rPr>
      <t>IN_RMS(max)</t>
    </r>
  </si>
  <si>
    <t>Maximum Peak AC Line Current, assuming sinusoidal:</t>
  </si>
  <si>
    <r>
      <rPr>
        <sz val="10"/>
        <rFont val="Arial"/>
        <charset val="134"/>
      </rPr>
      <t>I</t>
    </r>
    <r>
      <rPr>
        <vertAlign val="subscript"/>
        <sz val="10"/>
        <rFont val="Arial"/>
        <charset val="134"/>
      </rPr>
      <t>IN_PEAK(max)</t>
    </r>
  </si>
  <si>
    <t>Maximum Average AC Line Current, assuming sinusoidal:</t>
  </si>
  <si>
    <r>
      <rPr>
        <sz val="10"/>
        <rFont val="Arial"/>
        <charset val="134"/>
      </rPr>
      <t>I</t>
    </r>
    <r>
      <rPr>
        <vertAlign val="subscript"/>
        <sz val="10"/>
        <rFont val="Arial"/>
        <charset val="134"/>
      </rPr>
      <t>IN_AVG(max)</t>
    </r>
  </si>
  <si>
    <t>Minimum Input Fuse Rating:</t>
  </si>
  <si>
    <r>
      <rPr>
        <sz val="10"/>
        <rFont val="Arial"/>
        <charset val="134"/>
      </rPr>
      <t>I</t>
    </r>
    <r>
      <rPr>
        <vertAlign val="subscript"/>
        <sz val="10"/>
        <rFont val="Arial"/>
        <charset val="134"/>
      </rPr>
      <t>FUSE</t>
    </r>
  </si>
  <si>
    <t>BRIDGE RECTIFIER:</t>
  </si>
  <si>
    <r>
      <rPr>
        <sz val="10"/>
        <rFont val="Arial"/>
        <charset val="134"/>
      </rPr>
      <t>Bridge Rectifier Forward Voltage, at I</t>
    </r>
    <r>
      <rPr>
        <vertAlign val="subscript"/>
        <sz val="10"/>
        <rFont val="Arial"/>
        <charset val="134"/>
      </rPr>
      <t>IN_PEAK(max)</t>
    </r>
    <r>
      <rPr>
        <sz val="10"/>
        <rFont val="Arial"/>
        <charset val="134"/>
      </rPr>
      <t>:</t>
    </r>
  </si>
  <si>
    <r>
      <rPr>
        <sz val="10"/>
        <rFont val="Arial"/>
        <charset val="134"/>
      </rPr>
      <t>V</t>
    </r>
    <r>
      <rPr>
        <vertAlign val="subscript"/>
        <sz val="10"/>
        <rFont val="Arial"/>
        <charset val="134"/>
      </rPr>
      <t>F_BRIDGE</t>
    </r>
  </si>
  <si>
    <t>Bridge Rectifier Thermal Resistance, Junction to Case:</t>
  </si>
  <si>
    <r>
      <rPr>
        <sz val="10"/>
        <rFont val="Arial"/>
        <charset val="134"/>
      </rPr>
      <t>R</t>
    </r>
    <r>
      <rPr>
        <vertAlign val="subscript"/>
        <sz val="10"/>
        <rFont val="Symbol"/>
        <charset val="2"/>
      </rPr>
      <t>q</t>
    </r>
    <r>
      <rPr>
        <vertAlign val="subscript"/>
        <sz val="10"/>
        <rFont val="Arial"/>
        <charset val="134"/>
      </rPr>
      <t>JC(Bridge)</t>
    </r>
  </si>
  <si>
    <r>
      <rPr>
        <sz val="10"/>
        <rFont val="Symbol"/>
        <charset val="2"/>
      </rPr>
      <t>°</t>
    </r>
    <r>
      <rPr>
        <sz val="10"/>
        <rFont val="Arial"/>
        <charset val="134"/>
      </rPr>
      <t>C/W</t>
    </r>
  </si>
  <si>
    <t>Bridge Rectifier Maximum Junction Temperature:</t>
  </si>
  <si>
    <r>
      <rPr>
        <sz val="10"/>
        <rFont val="Arial"/>
        <charset val="134"/>
      </rPr>
      <t>T</t>
    </r>
    <r>
      <rPr>
        <vertAlign val="subscript"/>
        <sz val="10"/>
        <rFont val="Arial"/>
        <charset val="134"/>
      </rPr>
      <t>J(max)</t>
    </r>
  </si>
  <si>
    <t>Bridge Rectifier Minimum Average Current Rating:</t>
  </si>
  <si>
    <r>
      <rPr>
        <sz val="10"/>
        <rFont val="Arial"/>
        <charset val="134"/>
      </rPr>
      <t>I</t>
    </r>
    <r>
      <rPr>
        <vertAlign val="subscript"/>
        <sz val="10"/>
        <rFont val="Arial"/>
        <charset val="134"/>
      </rPr>
      <t>BRIDGE(RATED)</t>
    </r>
  </si>
  <si>
    <t>Bridge Rectifier Minimum DC Blocking Voltage Rating:</t>
  </si>
  <si>
    <r>
      <rPr>
        <sz val="10"/>
        <rFont val="Arial"/>
        <charset val="134"/>
      </rPr>
      <t>V</t>
    </r>
    <r>
      <rPr>
        <vertAlign val="subscript"/>
        <sz val="10"/>
        <rFont val="Arial"/>
        <charset val="134"/>
      </rPr>
      <t>DC_BLOCKING(RATED</t>
    </r>
    <r>
      <rPr>
        <sz val="10"/>
        <rFont val="Arial"/>
        <charset val="134"/>
      </rPr>
      <t>)</t>
    </r>
  </si>
  <si>
    <t>Bridge Rectifier Power Dissipation:</t>
  </si>
  <si>
    <r>
      <rPr>
        <sz val="10"/>
        <rFont val="Arial"/>
        <charset val="134"/>
      </rPr>
      <t>P</t>
    </r>
    <r>
      <rPr>
        <vertAlign val="subscript"/>
        <sz val="10"/>
        <rFont val="Arial"/>
        <charset val="134"/>
      </rPr>
      <t>BRIDGE</t>
    </r>
  </si>
  <si>
    <t>Required Heat Sink Thermal Impedance:</t>
  </si>
  <si>
    <r>
      <rPr>
        <sz val="10"/>
        <rFont val="Arial"/>
        <charset val="134"/>
      </rPr>
      <t>R</t>
    </r>
    <r>
      <rPr>
        <vertAlign val="subscript"/>
        <sz val="10"/>
        <rFont val="Symbol"/>
        <charset val="2"/>
      </rPr>
      <t>q</t>
    </r>
    <r>
      <rPr>
        <vertAlign val="subscript"/>
        <sz val="10"/>
        <rFont val="Arial"/>
        <charset val="134"/>
      </rPr>
      <t>HS_AMB(Bridge)</t>
    </r>
  </si>
  <si>
    <t>INPUT CAPACITOR:</t>
  </si>
  <si>
    <t>Inductor Peak-to-Peak Current Ripple Factor (i.e. 0.2 for 20%, 0.3 for 30%):</t>
  </si>
  <si>
    <r>
      <rPr>
        <sz val="10"/>
        <rFont val="Arial"/>
        <charset val="134"/>
      </rPr>
      <t>L</t>
    </r>
    <r>
      <rPr>
        <vertAlign val="subscript"/>
        <sz val="10"/>
        <rFont val="Arial"/>
        <charset val="134"/>
      </rPr>
      <t>I_ripple_factor</t>
    </r>
  </si>
  <si>
    <t>Maximum High Frequency Voltage Ripple Factor (i.e. 0.03 for 3%, 0.09 for 9%):</t>
  </si>
  <si>
    <r>
      <rPr>
        <sz val="10"/>
        <rFont val="Arial"/>
        <charset val="134"/>
      </rPr>
      <t>V</t>
    </r>
    <r>
      <rPr>
        <vertAlign val="subscript"/>
        <sz val="10"/>
        <rFont val="Arial"/>
        <charset val="134"/>
      </rPr>
      <t>Cin_ripple_factor</t>
    </r>
  </si>
  <si>
    <t>Maximum Allowable Inductor Current Ripple:</t>
  </si>
  <si>
    <r>
      <rPr>
        <sz val="10"/>
        <rFont val="Arial"/>
        <charset val="134"/>
      </rPr>
      <t>I</t>
    </r>
    <r>
      <rPr>
        <vertAlign val="subscript"/>
        <sz val="10"/>
        <rFont val="Arial"/>
        <charset val="134"/>
      </rPr>
      <t>RIPPLE</t>
    </r>
  </si>
  <si>
    <t>Maximum Inductor Voltage Ripple:</t>
  </si>
  <si>
    <r>
      <rPr>
        <sz val="10"/>
        <rFont val="Arial"/>
        <charset val="134"/>
      </rPr>
      <t>V</t>
    </r>
    <r>
      <rPr>
        <vertAlign val="subscript"/>
        <sz val="10"/>
        <rFont val="Arial"/>
        <charset val="134"/>
      </rPr>
      <t>IN_RIPPLE</t>
    </r>
  </si>
  <si>
    <t>Maximum Input Capacitor Value:</t>
  </si>
  <si>
    <r>
      <rPr>
        <b/>
        <sz val="10"/>
        <rFont val="Arial"/>
        <charset val="134"/>
      </rPr>
      <t>C</t>
    </r>
    <r>
      <rPr>
        <b/>
        <vertAlign val="subscript"/>
        <sz val="10"/>
        <rFont val="Arial"/>
        <charset val="134"/>
      </rPr>
      <t>IN</t>
    </r>
  </si>
  <si>
    <r>
      <rPr>
        <b/>
        <sz val="10"/>
        <rFont val="Symbol"/>
        <charset val="2"/>
      </rPr>
      <t>m</t>
    </r>
    <r>
      <rPr>
        <b/>
        <sz val="10"/>
        <rFont val="Arial"/>
        <charset val="134"/>
      </rPr>
      <t>F</t>
    </r>
  </si>
  <si>
    <t>BOOST INDUCTOR DESIGN:</t>
  </si>
  <si>
    <t>Maximum Duty Cycle:</t>
  </si>
  <si>
    <r>
      <rPr>
        <sz val="10"/>
        <rFont val="Arial"/>
        <charset val="134"/>
      </rPr>
      <t>DUTY</t>
    </r>
    <r>
      <rPr>
        <vertAlign val="subscript"/>
        <sz val="10"/>
        <rFont val="Arial"/>
        <charset val="134"/>
      </rPr>
      <t>(max)</t>
    </r>
  </si>
  <si>
    <t>Maximum Inductor Peak Current:</t>
  </si>
  <si>
    <r>
      <rPr>
        <sz val="10"/>
        <rFont val="Arial"/>
        <charset val="134"/>
      </rPr>
      <t>I</t>
    </r>
    <r>
      <rPr>
        <vertAlign val="subscript"/>
        <sz val="10"/>
        <rFont val="Arial"/>
        <charset val="134"/>
      </rPr>
      <t>L_PEAK(max)</t>
    </r>
  </si>
  <si>
    <t>Minimum Boost Inductor Value:</t>
  </si>
  <si>
    <r>
      <rPr>
        <b/>
        <sz val="10"/>
        <rFont val="Arial"/>
        <charset val="134"/>
      </rPr>
      <t>L</t>
    </r>
    <r>
      <rPr>
        <b/>
        <vertAlign val="subscript"/>
        <sz val="10"/>
        <rFont val="Arial"/>
        <charset val="134"/>
      </rPr>
      <t>BST</t>
    </r>
  </si>
  <si>
    <t>mH</t>
  </si>
  <si>
    <t>Actual Boost Inductor Value Used:</t>
  </si>
  <si>
    <r>
      <rPr>
        <sz val="10"/>
        <rFont val="Arial"/>
        <charset val="134"/>
      </rPr>
      <t>L</t>
    </r>
    <r>
      <rPr>
        <vertAlign val="subscript"/>
        <sz val="10"/>
        <rFont val="Arial"/>
        <charset val="134"/>
      </rPr>
      <t>BST(actual)</t>
    </r>
  </si>
  <si>
    <t>Actual Maximum Inductor Ripple Current:</t>
  </si>
  <si>
    <r>
      <rPr>
        <sz val="10"/>
        <rFont val="Arial"/>
        <charset val="134"/>
      </rPr>
      <t>I</t>
    </r>
    <r>
      <rPr>
        <vertAlign val="subscript"/>
        <sz val="10"/>
        <rFont val="Arial"/>
        <charset val="134"/>
      </rPr>
      <t>RIPPLE(actual)</t>
    </r>
  </si>
  <si>
    <t>Actual Maximum Inductor Peak Current:</t>
  </si>
  <si>
    <r>
      <rPr>
        <sz val="10"/>
        <rFont val="Arial"/>
        <charset val="134"/>
      </rPr>
      <t>I</t>
    </r>
    <r>
      <rPr>
        <vertAlign val="subscript"/>
        <sz val="10"/>
        <rFont val="Arial"/>
        <charset val="134"/>
      </rPr>
      <t>L_PEAK(actual)</t>
    </r>
  </si>
  <si>
    <t>BOOST DIODE:</t>
  </si>
  <si>
    <r>
      <rPr>
        <sz val="10"/>
        <rFont val="Arial"/>
        <charset val="134"/>
      </rPr>
      <t>Forward Voltage Drop, at I</t>
    </r>
    <r>
      <rPr>
        <vertAlign val="subscript"/>
        <sz val="10"/>
        <rFont val="Arial"/>
        <charset val="134"/>
      </rPr>
      <t>L_PEAK(max)</t>
    </r>
    <r>
      <rPr>
        <sz val="10"/>
        <rFont val="Arial"/>
        <charset val="134"/>
      </rPr>
      <t>,125</t>
    </r>
    <r>
      <rPr>
        <sz val="10"/>
        <rFont val="Symbol"/>
        <charset val="2"/>
      </rPr>
      <t>°</t>
    </r>
    <r>
      <rPr>
        <sz val="10"/>
        <rFont val="Arial"/>
        <charset val="134"/>
      </rPr>
      <t>C</t>
    </r>
  </si>
  <si>
    <r>
      <rPr>
        <sz val="10"/>
        <rFont val="Arial"/>
        <charset val="134"/>
      </rPr>
      <t>V</t>
    </r>
    <r>
      <rPr>
        <vertAlign val="subscript"/>
        <sz val="10"/>
        <rFont val="Arial"/>
        <charset val="134"/>
      </rPr>
      <t>F</t>
    </r>
  </si>
  <si>
    <t>Reverse Recovery Charge:</t>
  </si>
  <si>
    <r>
      <rPr>
        <sz val="10"/>
        <rFont val="Arial"/>
        <charset val="134"/>
      </rPr>
      <t>Q</t>
    </r>
    <r>
      <rPr>
        <vertAlign val="subscript"/>
        <sz val="10"/>
        <rFont val="Arial"/>
        <charset val="134"/>
      </rPr>
      <t>RR</t>
    </r>
  </si>
  <si>
    <t>nC</t>
  </si>
  <si>
    <t>Boost Diode Maximum Junction Temperature:</t>
  </si>
  <si>
    <t>Boost Diode Thermal Resistance, Junction to Case:</t>
  </si>
  <si>
    <r>
      <rPr>
        <sz val="10"/>
        <rFont val="Arial"/>
        <charset val="134"/>
      </rPr>
      <t>R</t>
    </r>
    <r>
      <rPr>
        <vertAlign val="subscript"/>
        <sz val="10"/>
        <rFont val="Symbol"/>
        <charset val="2"/>
      </rPr>
      <t>q</t>
    </r>
    <r>
      <rPr>
        <vertAlign val="subscript"/>
        <sz val="10"/>
        <rFont val="Arial"/>
        <charset val="134"/>
      </rPr>
      <t>JC(Diode)</t>
    </r>
  </si>
  <si>
    <t>Boost Diode Thermal Resistance, Case to Heatsink:</t>
  </si>
  <si>
    <r>
      <rPr>
        <sz val="10"/>
        <rFont val="Arial"/>
        <charset val="134"/>
      </rPr>
      <t>R</t>
    </r>
    <r>
      <rPr>
        <vertAlign val="subscript"/>
        <sz val="10"/>
        <rFont val="Symbol"/>
        <charset val="2"/>
      </rPr>
      <t>q</t>
    </r>
    <r>
      <rPr>
        <vertAlign val="subscript"/>
        <sz val="10"/>
        <rFont val="Arial"/>
        <charset val="134"/>
      </rPr>
      <t>JC(Case_HS)</t>
    </r>
  </si>
  <si>
    <t>Boost Diode Conduction Losses:</t>
  </si>
  <si>
    <r>
      <rPr>
        <sz val="10"/>
        <rFont val="Arial"/>
        <charset val="134"/>
      </rPr>
      <t>P</t>
    </r>
    <r>
      <rPr>
        <vertAlign val="subscript"/>
        <sz val="10"/>
        <rFont val="Arial"/>
        <charset val="134"/>
      </rPr>
      <t>DIODE(cond)</t>
    </r>
  </si>
  <si>
    <t>Reverse Recovery Losses</t>
  </si>
  <si>
    <r>
      <rPr>
        <sz val="10"/>
        <rFont val="Arial"/>
        <charset val="134"/>
      </rPr>
      <t>P</t>
    </r>
    <r>
      <rPr>
        <vertAlign val="subscript"/>
        <sz val="10"/>
        <rFont val="Arial"/>
        <charset val="134"/>
      </rPr>
      <t>REVERSE</t>
    </r>
  </si>
  <si>
    <t>Total Boost Diode Losses:</t>
  </si>
  <si>
    <r>
      <rPr>
        <sz val="10"/>
        <rFont val="Arial"/>
        <charset val="134"/>
      </rPr>
      <t>P</t>
    </r>
    <r>
      <rPr>
        <vertAlign val="subscript"/>
        <sz val="10"/>
        <rFont val="Arial"/>
        <charset val="134"/>
      </rPr>
      <t>DIODE(total)</t>
    </r>
  </si>
  <si>
    <r>
      <rPr>
        <sz val="10"/>
        <rFont val="Arial"/>
        <charset val="134"/>
      </rPr>
      <t>R</t>
    </r>
    <r>
      <rPr>
        <vertAlign val="subscript"/>
        <sz val="10"/>
        <rFont val="Symbol"/>
        <charset val="2"/>
      </rPr>
      <t>q</t>
    </r>
    <r>
      <rPr>
        <vertAlign val="subscript"/>
        <sz val="10"/>
        <rFont val="Arial"/>
        <charset val="134"/>
      </rPr>
      <t>HS_AMB(Diode)</t>
    </r>
  </si>
  <si>
    <t>SWITCHING ELEMENT:</t>
  </si>
  <si>
    <t>VCC Bias Voltage to the UCC28019:</t>
  </si>
  <si>
    <t>VCC</t>
  </si>
  <si>
    <t>Gate-Source Voltage:</t>
  </si>
  <si>
    <r>
      <rPr>
        <sz val="10"/>
        <rFont val="Arial"/>
        <charset val="134"/>
      </rPr>
      <t>V</t>
    </r>
    <r>
      <rPr>
        <vertAlign val="subscript"/>
        <sz val="10"/>
        <rFont val="Arial"/>
        <charset val="134"/>
      </rPr>
      <t>GS</t>
    </r>
  </si>
  <si>
    <t>Drain-Source RMS Current:</t>
  </si>
  <si>
    <r>
      <rPr>
        <sz val="10"/>
        <rFont val="Arial"/>
        <charset val="134"/>
      </rPr>
      <t>I</t>
    </r>
    <r>
      <rPr>
        <vertAlign val="subscript"/>
        <sz val="10"/>
        <rFont val="Arial"/>
        <charset val="134"/>
      </rPr>
      <t>DS_RMS</t>
    </r>
  </si>
  <si>
    <r>
      <rPr>
        <sz val="10"/>
        <rFont val="Arial"/>
        <charset val="134"/>
      </rPr>
      <t>FET On-Resistance at  T</t>
    </r>
    <r>
      <rPr>
        <vertAlign val="subscript"/>
        <sz val="10"/>
        <rFont val="Arial"/>
        <charset val="134"/>
      </rPr>
      <t>J</t>
    </r>
    <r>
      <rPr>
        <sz val="10"/>
        <rFont val="Arial"/>
        <charset val="134"/>
      </rPr>
      <t xml:space="preserve"> = 125°C: </t>
    </r>
  </si>
  <si>
    <r>
      <rPr>
        <sz val="10"/>
        <rFont val="Arial"/>
        <charset val="134"/>
      </rPr>
      <t>R</t>
    </r>
    <r>
      <rPr>
        <vertAlign val="subscript"/>
        <sz val="10"/>
        <rFont val="Arial"/>
        <charset val="134"/>
      </rPr>
      <t>DSon</t>
    </r>
  </si>
  <si>
    <r>
      <rPr>
        <sz val="10"/>
        <rFont val="Arial"/>
        <charset val="134"/>
      </rPr>
      <t>FET Gate Charge at V</t>
    </r>
    <r>
      <rPr>
        <vertAlign val="subscript"/>
        <sz val="10"/>
        <rFont val="Arial"/>
        <charset val="134"/>
      </rPr>
      <t>GS:</t>
    </r>
  </si>
  <si>
    <r>
      <rPr>
        <sz val="10"/>
        <rFont val="Arial"/>
        <charset val="134"/>
      </rPr>
      <t>Q</t>
    </r>
    <r>
      <rPr>
        <vertAlign val="subscript"/>
        <sz val="10"/>
        <rFont val="Arial"/>
        <charset val="134"/>
      </rPr>
      <t>g</t>
    </r>
  </si>
  <si>
    <t>FET Rise Time:</t>
  </si>
  <si>
    <r>
      <rPr>
        <sz val="10"/>
        <rFont val="Arial"/>
        <charset val="134"/>
      </rPr>
      <t>t</t>
    </r>
    <r>
      <rPr>
        <vertAlign val="subscript"/>
        <sz val="10"/>
        <rFont val="Arial"/>
        <charset val="134"/>
      </rPr>
      <t>r</t>
    </r>
  </si>
  <si>
    <t>ns</t>
  </si>
  <si>
    <t>FET Fall Time:</t>
  </si>
  <si>
    <r>
      <rPr>
        <sz val="10"/>
        <rFont val="Arial"/>
        <charset val="134"/>
      </rPr>
      <t>t</t>
    </r>
    <r>
      <rPr>
        <vertAlign val="subscript"/>
        <sz val="10"/>
        <rFont val="Arial"/>
        <charset val="134"/>
      </rPr>
      <t>f</t>
    </r>
  </si>
  <si>
    <t>FET Output Capacitance:</t>
  </si>
  <si>
    <r>
      <rPr>
        <sz val="10"/>
        <rFont val="Arial"/>
        <charset val="134"/>
      </rPr>
      <t>C</t>
    </r>
    <r>
      <rPr>
        <vertAlign val="subscript"/>
        <sz val="10"/>
        <rFont val="Arial"/>
        <charset val="134"/>
      </rPr>
      <t>OSS</t>
    </r>
  </si>
  <si>
    <t>pF</t>
  </si>
  <si>
    <t>FET Maximum Junction Temperature:</t>
  </si>
  <si>
    <t>FET Thermal Resistance, Junction to Case:</t>
  </si>
  <si>
    <r>
      <rPr>
        <sz val="10"/>
        <rFont val="Arial"/>
        <charset val="134"/>
      </rPr>
      <t>R</t>
    </r>
    <r>
      <rPr>
        <vertAlign val="subscript"/>
        <sz val="10"/>
        <rFont val="Symbol"/>
        <charset val="2"/>
      </rPr>
      <t>q</t>
    </r>
    <r>
      <rPr>
        <vertAlign val="subscript"/>
        <sz val="10"/>
        <rFont val="Arial"/>
        <charset val="134"/>
      </rPr>
      <t>JC(FET)</t>
    </r>
  </si>
  <si>
    <t>Gate Drive Losses (actually dissipated in the gate drive circuitry):</t>
  </si>
  <si>
    <r>
      <rPr>
        <sz val="10"/>
        <rFont val="Arial"/>
        <charset val="134"/>
      </rPr>
      <t>P</t>
    </r>
    <r>
      <rPr>
        <vertAlign val="subscript"/>
        <sz val="10"/>
        <rFont val="Arial"/>
        <charset val="134"/>
      </rPr>
      <t>GATE</t>
    </r>
  </si>
  <si>
    <t>FET Conduction Losses:</t>
  </si>
  <si>
    <r>
      <rPr>
        <sz val="10"/>
        <rFont val="Arial"/>
        <charset val="134"/>
      </rPr>
      <t>P</t>
    </r>
    <r>
      <rPr>
        <vertAlign val="subscript"/>
        <sz val="10"/>
        <rFont val="Arial"/>
        <charset val="134"/>
      </rPr>
      <t>COND</t>
    </r>
  </si>
  <si>
    <t>FET Switching Losses:</t>
  </si>
  <si>
    <r>
      <rPr>
        <sz val="10"/>
        <rFont val="Arial"/>
        <charset val="134"/>
      </rPr>
      <t>P</t>
    </r>
    <r>
      <rPr>
        <vertAlign val="subscript"/>
        <sz val="10"/>
        <rFont val="Arial"/>
        <charset val="134"/>
      </rPr>
      <t>SW</t>
    </r>
  </si>
  <si>
    <t>FET Losses, Total:</t>
  </si>
  <si>
    <r>
      <rPr>
        <sz val="10"/>
        <rFont val="Arial"/>
        <charset val="134"/>
      </rPr>
      <t>P</t>
    </r>
    <r>
      <rPr>
        <vertAlign val="subscript"/>
        <sz val="10"/>
        <rFont val="Arial"/>
        <charset val="134"/>
      </rPr>
      <t>FET</t>
    </r>
  </si>
  <si>
    <r>
      <rPr>
        <sz val="10"/>
        <rFont val="Arial"/>
        <charset val="134"/>
      </rPr>
      <t>R</t>
    </r>
    <r>
      <rPr>
        <vertAlign val="subscript"/>
        <sz val="10"/>
        <rFont val="Symbol"/>
        <charset val="2"/>
      </rPr>
      <t>q</t>
    </r>
    <r>
      <rPr>
        <vertAlign val="subscript"/>
        <sz val="10"/>
        <rFont val="Arial"/>
        <charset val="134"/>
      </rPr>
      <t>HS_AMB(FET)</t>
    </r>
  </si>
  <si>
    <t>CURRENT SENSE RESISTOR:</t>
  </si>
  <si>
    <r>
      <rPr>
        <b/>
        <sz val="10"/>
        <rFont val="Arial"/>
        <charset val="134"/>
      </rPr>
      <t>Ideal Value for R</t>
    </r>
    <r>
      <rPr>
        <b/>
        <vertAlign val="subscript"/>
        <sz val="10"/>
        <rFont val="Arial"/>
        <charset val="134"/>
      </rPr>
      <t>SENSE</t>
    </r>
    <r>
      <rPr>
        <b/>
        <sz val="10"/>
        <rFont val="Arial"/>
        <charset val="134"/>
      </rPr>
      <t>, for 110% Inductor SOC Threshold:</t>
    </r>
  </si>
  <si>
    <r>
      <rPr>
        <b/>
        <sz val="10"/>
        <rFont val="Arial"/>
        <charset val="134"/>
      </rPr>
      <t>R</t>
    </r>
    <r>
      <rPr>
        <b/>
        <vertAlign val="subscript"/>
        <sz val="10"/>
        <rFont val="Arial"/>
        <charset val="134"/>
      </rPr>
      <t>SENSE(ideal)</t>
    </r>
  </si>
  <si>
    <r>
      <rPr>
        <sz val="10"/>
        <rFont val="Arial"/>
        <charset val="134"/>
      </rPr>
      <t>Actual Value for R</t>
    </r>
    <r>
      <rPr>
        <vertAlign val="subscript"/>
        <sz val="10"/>
        <rFont val="Arial"/>
        <charset val="134"/>
      </rPr>
      <t>SENSE</t>
    </r>
    <r>
      <rPr>
        <sz val="10"/>
        <rFont val="Arial"/>
        <charset val="134"/>
      </rPr>
      <t>: Current Sense Resistor</t>
    </r>
  </si>
  <si>
    <r>
      <rPr>
        <sz val="10"/>
        <rFont val="Arial"/>
        <charset val="134"/>
      </rPr>
      <t>R</t>
    </r>
    <r>
      <rPr>
        <vertAlign val="subscript"/>
        <sz val="10"/>
        <rFont val="Arial"/>
        <charset val="134"/>
      </rPr>
      <t>SENSE</t>
    </r>
  </si>
  <si>
    <t>Inductor Current at Soft Overcurrent Threshold:</t>
  </si>
  <si>
    <r>
      <rPr>
        <sz val="10"/>
        <rFont val="Arial"/>
        <charset val="134"/>
      </rPr>
      <t>I</t>
    </r>
    <r>
      <rPr>
        <vertAlign val="subscript"/>
        <sz val="10"/>
        <rFont val="Arial"/>
        <charset val="134"/>
      </rPr>
      <t>OVERCURRENT</t>
    </r>
    <r>
      <rPr>
        <sz val="10"/>
        <rFont val="Arial"/>
        <charset val="134"/>
      </rPr>
      <t>_</t>
    </r>
    <r>
      <rPr>
        <vertAlign val="subscript"/>
        <sz val="10"/>
        <rFont val="Arial"/>
        <charset val="134"/>
      </rPr>
      <t>SOC</t>
    </r>
  </si>
  <si>
    <r>
      <rPr>
        <sz val="10"/>
        <rFont val="Arial"/>
        <charset val="134"/>
      </rPr>
      <t>Power Dissipated in R</t>
    </r>
    <r>
      <rPr>
        <vertAlign val="subscript"/>
        <sz val="10"/>
        <rFont val="Arial"/>
        <charset val="134"/>
      </rPr>
      <t>SENSE</t>
    </r>
    <r>
      <rPr>
        <sz val="10"/>
        <rFont val="Arial"/>
        <charset val="134"/>
      </rPr>
      <t>:</t>
    </r>
  </si>
  <si>
    <r>
      <rPr>
        <sz val="10"/>
        <rFont val="Arial"/>
        <charset val="134"/>
      </rPr>
      <t>P</t>
    </r>
    <r>
      <rPr>
        <vertAlign val="subscript"/>
        <sz val="10"/>
        <rFont val="Arial"/>
        <charset val="134"/>
      </rPr>
      <t>Rsense</t>
    </r>
  </si>
  <si>
    <t>Theoretical Output Overcurrent Inception Point:</t>
  </si>
  <si>
    <r>
      <rPr>
        <sz val="10"/>
        <rFont val="Arial"/>
        <charset val="134"/>
      </rPr>
      <t>I</t>
    </r>
    <r>
      <rPr>
        <vertAlign val="subscript"/>
        <sz val="10"/>
        <rFont val="Arial"/>
        <charset val="134"/>
      </rPr>
      <t>OUT_OVERCURRENT</t>
    </r>
  </si>
  <si>
    <t>ISENSE Peak Current Limit Threshold:</t>
  </si>
  <si>
    <r>
      <rPr>
        <sz val="10"/>
        <rFont val="Arial"/>
        <charset val="134"/>
      </rPr>
      <t>I</t>
    </r>
    <r>
      <rPr>
        <vertAlign val="subscript"/>
        <sz val="10"/>
        <rFont val="Arial"/>
        <charset val="134"/>
      </rPr>
      <t>PCL</t>
    </r>
  </si>
  <si>
    <r>
      <rPr>
        <sz val="10"/>
        <rFont val="Arial"/>
        <charset val="134"/>
      </rPr>
      <t>Resistance of Thermistor at 25</t>
    </r>
    <r>
      <rPr>
        <sz val="10"/>
        <rFont val="Symbol"/>
        <charset val="2"/>
      </rPr>
      <t>°</t>
    </r>
    <r>
      <rPr>
        <sz val="10"/>
        <rFont val="Arial"/>
        <charset val="134"/>
      </rPr>
      <t>C</t>
    </r>
  </si>
  <si>
    <r>
      <rPr>
        <sz val="10"/>
        <rFont val="Arial"/>
        <charset val="134"/>
      </rPr>
      <t>R</t>
    </r>
    <r>
      <rPr>
        <vertAlign val="subscript"/>
        <sz val="10"/>
        <rFont val="Arial"/>
        <charset val="134"/>
      </rPr>
      <t>THERM</t>
    </r>
  </si>
  <si>
    <t>Maximum Inrush Current:</t>
  </si>
  <si>
    <r>
      <rPr>
        <sz val="10"/>
        <rFont val="Arial"/>
        <charset val="134"/>
      </rPr>
      <t>I</t>
    </r>
    <r>
      <rPr>
        <vertAlign val="subscript"/>
        <sz val="10"/>
        <rFont val="Arial"/>
        <charset val="134"/>
      </rPr>
      <t>INRUSH</t>
    </r>
  </si>
  <si>
    <t>ISENSE Series Resistor:</t>
  </si>
  <si>
    <r>
      <rPr>
        <b/>
        <sz val="10"/>
        <rFont val="Arial"/>
        <charset val="134"/>
      </rPr>
      <t>R</t>
    </r>
    <r>
      <rPr>
        <b/>
        <vertAlign val="subscript"/>
        <sz val="10"/>
        <rFont val="Arial"/>
        <charset val="134"/>
      </rPr>
      <t>ISENSE</t>
    </r>
  </si>
  <si>
    <r>
      <rPr>
        <sz val="10"/>
        <rFont val="Arial"/>
        <charset val="134"/>
      </rPr>
      <t>Actual Value for R</t>
    </r>
    <r>
      <rPr>
        <vertAlign val="subscript"/>
        <sz val="10"/>
        <rFont val="Arial"/>
        <charset val="134"/>
      </rPr>
      <t>ISENSE</t>
    </r>
    <r>
      <rPr>
        <sz val="10"/>
        <rFont val="Arial"/>
        <charset val="134"/>
      </rPr>
      <t>:</t>
    </r>
  </si>
  <si>
    <r>
      <rPr>
        <sz val="10"/>
        <rFont val="Arial"/>
        <charset val="134"/>
      </rPr>
      <t>R</t>
    </r>
    <r>
      <rPr>
        <vertAlign val="subscript"/>
        <sz val="10"/>
        <rFont val="Arial"/>
        <charset val="134"/>
      </rPr>
      <t>ISENSE(actual)</t>
    </r>
  </si>
  <si>
    <t>ISENSE Filter Capacitor:</t>
  </si>
  <si>
    <r>
      <rPr>
        <b/>
        <sz val="10"/>
        <rFont val="Arial"/>
        <charset val="134"/>
      </rPr>
      <t>C</t>
    </r>
    <r>
      <rPr>
        <b/>
        <vertAlign val="subscript"/>
        <sz val="10"/>
        <rFont val="Arial"/>
        <charset val="134"/>
      </rPr>
      <t>ISENSE</t>
    </r>
  </si>
  <si>
    <t>OUTPUT CAPACITOR:</t>
  </si>
  <si>
    <t>Required Minimum Output Voltage:</t>
  </si>
  <si>
    <r>
      <rPr>
        <sz val="10"/>
        <rFont val="Arial"/>
        <charset val="134"/>
      </rPr>
      <t>V</t>
    </r>
    <r>
      <rPr>
        <vertAlign val="subscript"/>
        <sz val="10"/>
        <rFont val="Arial"/>
        <charset val="134"/>
      </rPr>
      <t>OUT_HOLDUP(min)</t>
    </r>
  </si>
  <si>
    <t>Desired Number of Line Cycles For Output Holdup Time  (typ one line cycle):</t>
  </si>
  <si>
    <r>
      <rPr>
        <sz val="10"/>
        <rFont val="Arial"/>
        <charset val="134"/>
      </rPr>
      <t>N</t>
    </r>
    <r>
      <rPr>
        <vertAlign val="subscript"/>
        <sz val="10"/>
        <rFont val="Arial"/>
        <charset val="134"/>
      </rPr>
      <t>HOLD_UP</t>
    </r>
  </si>
  <si>
    <t>Minimum Output Voltage Holdup Time</t>
  </si>
  <si>
    <r>
      <rPr>
        <sz val="10"/>
        <rFont val="Arial"/>
        <charset val="134"/>
      </rPr>
      <t>t</t>
    </r>
    <r>
      <rPr>
        <vertAlign val="subscript"/>
        <sz val="10"/>
        <rFont val="Arial"/>
        <charset val="134"/>
      </rPr>
      <t>Hold_UP(min)</t>
    </r>
  </si>
  <si>
    <t>ms</t>
  </si>
  <si>
    <t>Recommended Minimum Output Capacitor Value:</t>
  </si>
  <si>
    <r>
      <rPr>
        <b/>
        <sz val="10"/>
        <rFont val="Arial"/>
        <charset val="134"/>
      </rPr>
      <t>C</t>
    </r>
    <r>
      <rPr>
        <b/>
        <vertAlign val="subscript"/>
        <sz val="10"/>
        <rFont val="Arial"/>
        <charset val="134"/>
      </rPr>
      <t>OUT</t>
    </r>
  </si>
  <si>
    <t>Actual Output Capacitor Value:</t>
  </si>
  <si>
    <r>
      <rPr>
        <sz val="10"/>
        <rFont val="Arial"/>
        <charset val="134"/>
      </rPr>
      <t>C</t>
    </r>
    <r>
      <rPr>
        <vertAlign val="subscript"/>
        <sz val="10"/>
        <rFont val="Arial"/>
        <charset val="134"/>
      </rPr>
      <t>OUT</t>
    </r>
  </si>
  <si>
    <r>
      <rPr>
        <sz val="10"/>
        <rFont val="Symbol"/>
        <charset val="2"/>
      </rPr>
      <t>m</t>
    </r>
    <r>
      <rPr>
        <sz val="10"/>
        <rFont val="Arial"/>
        <charset val="134"/>
      </rPr>
      <t>F</t>
    </r>
  </si>
  <si>
    <t>Output Voltage Peak to Peak Ripple:</t>
  </si>
  <si>
    <r>
      <rPr>
        <sz val="10"/>
        <rFont val="Arial"/>
        <charset val="134"/>
      </rPr>
      <t>V</t>
    </r>
    <r>
      <rPr>
        <vertAlign val="subscript"/>
        <sz val="10"/>
        <rFont val="Arial"/>
        <charset val="134"/>
      </rPr>
      <t>OUT_RIPPLEpp</t>
    </r>
  </si>
  <si>
    <t>Output Capacitor Ripple Current at Twice Line Frequency:</t>
  </si>
  <si>
    <r>
      <rPr>
        <sz val="10"/>
        <rFont val="Arial"/>
        <charset val="134"/>
      </rPr>
      <t>I</t>
    </r>
    <r>
      <rPr>
        <vertAlign val="subscript"/>
        <sz val="10"/>
        <rFont val="Arial"/>
        <charset val="134"/>
      </rPr>
      <t>Cout_2fline</t>
    </r>
  </si>
  <si>
    <r>
      <rPr>
        <sz val="10"/>
        <rFont val="Arial"/>
        <charset val="134"/>
      </rPr>
      <t>A</t>
    </r>
    <r>
      <rPr>
        <vertAlign val="subscript"/>
        <sz val="10"/>
        <rFont val="Arial"/>
        <charset val="134"/>
      </rPr>
      <t>RMS</t>
    </r>
  </si>
  <si>
    <t>Output Capacitor High Frequency Ripple Current:</t>
  </si>
  <si>
    <r>
      <rPr>
        <sz val="10"/>
        <rFont val="Arial"/>
        <charset val="134"/>
      </rPr>
      <t>I</t>
    </r>
    <r>
      <rPr>
        <vertAlign val="subscript"/>
        <sz val="10"/>
        <rFont val="Arial"/>
        <charset val="134"/>
      </rPr>
      <t>Cout_HF</t>
    </r>
  </si>
  <si>
    <t>Total Output Capacitor Ripple Current:</t>
  </si>
  <si>
    <r>
      <rPr>
        <sz val="10"/>
        <rFont val="Arial"/>
        <charset val="134"/>
      </rPr>
      <t>I</t>
    </r>
    <r>
      <rPr>
        <vertAlign val="subscript"/>
        <sz val="10"/>
        <rFont val="Arial"/>
        <charset val="134"/>
      </rPr>
      <t>Cout_RMS(total)</t>
    </r>
  </si>
  <si>
    <t>OUTPUT VOLTAGE SET POINT:</t>
  </si>
  <si>
    <t>Recommended Value for the Top Divider Resistor:</t>
  </si>
  <si>
    <r>
      <rPr>
        <b/>
        <sz val="10"/>
        <rFont val="Arial"/>
        <charset val="134"/>
      </rPr>
      <t>R</t>
    </r>
    <r>
      <rPr>
        <b/>
        <vertAlign val="subscript"/>
        <sz val="10"/>
        <rFont val="Arial"/>
        <charset val="134"/>
      </rPr>
      <t>FB1</t>
    </r>
  </si>
  <si>
    <r>
      <rPr>
        <b/>
        <sz val="10"/>
        <rFont val="Arial"/>
        <charset val="134"/>
      </rPr>
      <t>M</t>
    </r>
    <r>
      <rPr>
        <b/>
        <sz val="10"/>
        <rFont val="Symbol"/>
        <charset val="2"/>
      </rPr>
      <t>W</t>
    </r>
  </si>
  <si>
    <t>Actual Value of the Top Divider Resistor:</t>
  </si>
  <si>
    <r>
      <rPr>
        <sz val="10"/>
        <rFont val="Arial"/>
        <charset val="134"/>
      </rPr>
      <t>R</t>
    </r>
    <r>
      <rPr>
        <vertAlign val="subscript"/>
        <sz val="10"/>
        <rFont val="Arial"/>
        <charset val="134"/>
      </rPr>
      <t>FB1(actual)</t>
    </r>
  </si>
  <si>
    <r>
      <rPr>
        <sz val="10"/>
        <rFont val="Arial"/>
        <charset val="134"/>
      </rPr>
      <t>M</t>
    </r>
    <r>
      <rPr>
        <sz val="10"/>
        <rFont val="Symbol"/>
        <charset val="2"/>
      </rPr>
      <t>W</t>
    </r>
  </si>
  <si>
    <r>
      <rPr>
        <sz val="10"/>
        <rFont val="Arial"/>
        <charset val="134"/>
      </rPr>
      <t>Resistor Tolerance of R</t>
    </r>
    <r>
      <rPr>
        <vertAlign val="subscript"/>
        <sz val="10"/>
        <rFont val="Arial"/>
        <charset val="134"/>
      </rPr>
      <t>FB1(actual)</t>
    </r>
    <r>
      <rPr>
        <sz val="10"/>
        <rFont val="Arial"/>
        <charset val="134"/>
      </rPr>
      <t>:</t>
    </r>
  </si>
  <si>
    <r>
      <rPr>
        <sz val="10"/>
        <rFont val="Symbol"/>
        <charset val="2"/>
      </rPr>
      <t>D</t>
    </r>
    <r>
      <rPr>
        <sz val="10"/>
        <rFont val="Arial"/>
        <charset val="134"/>
      </rPr>
      <t>R</t>
    </r>
    <r>
      <rPr>
        <vertAlign val="subscript"/>
        <sz val="10"/>
        <rFont val="Arial"/>
        <charset val="134"/>
      </rPr>
      <t>FB1(actual)</t>
    </r>
  </si>
  <si>
    <t>%</t>
  </si>
  <si>
    <r>
      <rPr>
        <sz val="10"/>
        <rFont val="Arial"/>
        <charset val="134"/>
      </rPr>
      <t>Temperature Coefficient of R</t>
    </r>
    <r>
      <rPr>
        <vertAlign val="subscript"/>
        <sz val="10"/>
        <rFont val="Arial"/>
        <charset val="134"/>
      </rPr>
      <t>FB1(actual)</t>
    </r>
  </si>
  <si>
    <r>
      <rPr>
        <sz val="10"/>
        <rFont val="Arial"/>
        <charset val="134"/>
      </rPr>
      <t>R</t>
    </r>
    <r>
      <rPr>
        <vertAlign val="subscript"/>
        <sz val="10"/>
        <rFont val="Arial"/>
        <charset val="134"/>
      </rPr>
      <t>FB1_tempco</t>
    </r>
  </si>
  <si>
    <r>
      <rPr>
        <sz val="10"/>
        <rFont val="Arial"/>
        <charset val="134"/>
      </rPr>
      <t>ppm/</t>
    </r>
    <r>
      <rPr>
        <sz val="10"/>
        <rFont val="Symbol"/>
        <charset val="2"/>
      </rPr>
      <t>°</t>
    </r>
    <r>
      <rPr>
        <sz val="10"/>
        <rFont val="Arial"/>
        <charset val="134"/>
      </rPr>
      <t>C</t>
    </r>
  </si>
  <si>
    <t>Recommended Value for the Bottom Divider Resistor:</t>
  </si>
  <si>
    <r>
      <rPr>
        <b/>
        <sz val="10"/>
        <rFont val="Arial"/>
        <charset val="134"/>
      </rPr>
      <t>R</t>
    </r>
    <r>
      <rPr>
        <b/>
        <vertAlign val="subscript"/>
        <sz val="10"/>
        <rFont val="Arial"/>
        <charset val="134"/>
      </rPr>
      <t>FB2</t>
    </r>
  </si>
  <si>
    <r>
      <rPr>
        <b/>
        <sz val="10"/>
        <rFont val="Arial"/>
        <charset val="134"/>
      </rPr>
      <t>k</t>
    </r>
    <r>
      <rPr>
        <b/>
        <sz val="10"/>
        <rFont val="Symbol"/>
        <charset val="2"/>
      </rPr>
      <t>W</t>
    </r>
  </si>
  <si>
    <r>
      <rPr>
        <sz val="10"/>
        <rFont val="Arial"/>
        <charset val="134"/>
      </rPr>
      <t>R</t>
    </r>
    <r>
      <rPr>
        <vertAlign val="subscript"/>
        <sz val="10"/>
        <rFont val="Arial"/>
        <charset val="134"/>
      </rPr>
      <t>FB2(actual)</t>
    </r>
  </si>
  <si>
    <r>
      <rPr>
        <sz val="10"/>
        <rFont val="Arial"/>
        <charset val="134"/>
      </rPr>
      <t>k</t>
    </r>
    <r>
      <rPr>
        <sz val="10"/>
        <rFont val="Symbol"/>
        <charset val="2"/>
      </rPr>
      <t>W</t>
    </r>
  </si>
  <si>
    <r>
      <rPr>
        <sz val="10"/>
        <rFont val="Arial"/>
        <charset val="134"/>
      </rPr>
      <t>Resistor Tolerance of R</t>
    </r>
    <r>
      <rPr>
        <vertAlign val="subscript"/>
        <sz val="10"/>
        <rFont val="Arial"/>
        <charset val="134"/>
      </rPr>
      <t>FB2(actual)</t>
    </r>
    <r>
      <rPr>
        <sz val="10"/>
        <rFont val="Arial"/>
        <charset val="134"/>
      </rPr>
      <t>:</t>
    </r>
  </si>
  <si>
    <r>
      <rPr>
        <sz val="10"/>
        <rFont val="Symbol"/>
        <charset val="2"/>
      </rPr>
      <t>D</t>
    </r>
    <r>
      <rPr>
        <sz val="10"/>
        <rFont val="Arial"/>
        <charset val="134"/>
      </rPr>
      <t>R</t>
    </r>
    <r>
      <rPr>
        <vertAlign val="subscript"/>
        <sz val="10"/>
        <rFont val="Arial"/>
        <charset val="134"/>
      </rPr>
      <t>FB2(actual)</t>
    </r>
  </si>
  <si>
    <r>
      <rPr>
        <sz val="10"/>
        <rFont val="Arial"/>
        <charset val="134"/>
      </rPr>
      <t>Temperature Coefficient of R</t>
    </r>
    <r>
      <rPr>
        <vertAlign val="subscript"/>
        <sz val="10"/>
        <rFont val="Arial"/>
        <charset val="134"/>
      </rPr>
      <t>FB2(actual)</t>
    </r>
  </si>
  <si>
    <r>
      <rPr>
        <sz val="10"/>
        <rFont val="Arial"/>
        <charset val="134"/>
      </rPr>
      <t>R</t>
    </r>
    <r>
      <rPr>
        <vertAlign val="subscript"/>
        <sz val="10"/>
        <rFont val="Arial"/>
        <charset val="134"/>
      </rPr>
      <t>FB2_tempco</t>
    </r>
  </si>
  <si>
    <t>Actual Nominal Output Voltage:</t>
  </si>
  <si>
    <r>
      <rPr>
        <sz val="10"/>
        <rFont val="Arial"/>
        <charset val="134"/>
      </rPr>
      <t>Minimum Output Voltage with respect to V</t>
    </r>
    <r>
      <rPr>
        <vertAlign val="subscript"/>
        <sz val="10"/>
        <rFont val="Arial"/>
        <charset val="134"/>
      </rPr>
      <t xml:space="preserve">REF </t>
    </r>
    <r>
      <rPr>
        <sz val="10"/>
        <rFont val="Arial"/>
        <charset val="134"/>
      </rPr>
      <t xml:space="preserve">and  Resistor Tolerance </t>
    </r>
  </si>
  <si>
    <r>
      <rPr>
        <sz val="10"/>
        <rFont val="Arial"/>
        <charset val="134"/>
      </rPr>
      <t>V</t>
    </r>
    <r>
      <rPr>
        <vertAlign val="subscript"/>
        <sz val="10"/>
        <rFont val="Arial"/>
        <charset val="134"/>
      </rPr>
      <t>OUT(min)</t>
    </r>
  </si>
  <si>
    <r>
      <rPr>
        <sz val="10"/>
        <rFont val="Arial"/>
        <charset val="134"/>
      </rPr>
      <t>Maximum Output Voltage with respect to V</t>
    </r>
    <r>
      <rPr>
        <vertAlign val="subscript"/>
        <sz val="10"/>
        <rFont val="Arial"/>
        <charset val="134"/>
      </rPr>
      <t xml:space="preserve">REF </t>
    </r>
    <r>
      <rPr>
        <sz val="10"/>
        <rFont val="Arial"/>
        <charset val="134"/>
      </rPr>
      <t xml:space="preserve">and  Resistor Tolerance </t>
    </r>
  </si>
  <si>
    <r>
      <rPr>
        <sz val="10"/>
        <rFont val="Arial"/>
        <charset val="134"/>
      </rPr>
      <t>V</t>
    </r>
    <r>
      <rPr>
        <vertAlign val="subscript"/>
        <sz val="10"/>
        <rFont val="Arial"/>
        <charset val="134"/>
      </rPr>
      <t>OUT(max)</t>
    </r>
  </si>
  <si>
    <t>OVP Set Point: Typical DC Output Voltage to Trigger OVP</t>
  </si>
  <si>
    <r>
      <rPr>
        <sz val="10"/>
        <rFont val="Arial"/>
        <charset val="134"/>
      </rPr>
      <t>V</t>
    </r>
    <r>
      <rPr>
        <vertAlign val="subscript"/>
        <sz val="10"/>
        <rFont val="Arial"/>
        <charset val="134"/>
      </rPr>
      <t>OVP</t>
    </r>
  </si>
  <si>
    <t>OVP Set Point: Maximum DC Output Voltage to Trigger OVP</t>
  </si>
  <si>
    <r>
      <rPr>
        <sz val="10"/>
        <rFont val="Arial"/>
        <charset val="134"/>
      </rPr>
      <t>V</t>
    </r>
    <r>
      <rPr>
        <vertAlign val="subscript"/>
        <sz val="10"/>
        <rFont val="Arial"/>
        <charset val="134"/>
      </rPr>
      <t>OVP(max)</t>
    </r>
  </si>
  <si>
    <t>OVP Set Point: Minimum DC Output Voltage to Trigger OVP</t>
  </si>
  <si>
    <r>
      <rPr>
        <sz val="10"/>
        <rFont val="Arial"/>
        <charset val="134"/>
      </rPr>
      <t>V</t>
    </r>
    <r>
      <rPr>
        <vertAlign val="subscript"/>
        <sz val="10"/>
        <rFont val="Arial"/>
        <charset val="134"/>
      </rPr>
      <t>OVP(min)</t>
    </r>
  </si>
  <si>
    <t>UVD Set Point: Typical DC Output Voltage to Trigger UVD</t>
  </si>
  <si>
    <r>
      <rPr>
        <sz val="10"/>
        <rFont val="Arial"/>
        <charset val="134"/>
      </rPr>
      <t>V</t>
    </r>
    <r>
      <rPr>
        <vertAlign val="subscript"/>
        <sz val="10"/>
        <rFont val="Arial"/>
        <charset val="134"/>
      </rPr>
      <t>UVD</t>
    </r>
  </si>
  <si>
    <t>UVD Set Point: Maximum DC Output Voltage to Trigger UVD</t>
  </si>
  <si>
    <r>
      <rPr>
        <sz val="10"/>
        <rFont val="Arial"/>
        <charset val="134"/>
      </rPr>
      <t>V</t>
    </r>
    <r>
      <rPr>
        <vertAlign val="subscript"/>
        <sz val="10"/>
        <rFont val="Arial"/>
        <charset val="134"/>
      </rPr>
      <t>UVD(max)</t>
    </r>
  </si>
  <si>
    <t>UVD Set Point: Minimum DC Output Voltage to Trigger UVD</t>
  </si>
  <si>
    <r>
      <rPr>
        <sz val="10"/>
        <rFont val="Arial"/>
        <charset val="134"/>
      </rPr>
      <t>V</t>
    </r>
    <r>
      <rPr>
        <vertAlign val="subscript"/>
        <sz val="10"/>
        <rFont val="Arial"/>
        <charset val="134"/>
      </rPr>
      <t>UVD(min)</t>
    </r>
  </si>
  <si>
    <t>Recommended Value for Filter Capacitor on VSENSE:</t>
  </si>
  <si>
    <r>
      <rPr>
        <b/>
        <sz val="10"/>
        <rFont val="Arial"/>
        <charset val="134"/>
      </rPr>
      <t>C</t>
    </r>
    <r>
      <rPr>
        <b/>
        <vertAlign val="subscript"/>
        <sz val="10"/>
        <rFont val="Arial"/>
        <charset val="134"/>
      </rPr>
      <t>VSENSE</t>
    </r>
  </si>
  <si>
    <t>Power Dissipated in Voltage Divider:</t>
  </si>
  <si>
    <r>
      <rPr>
        <sz val="10"/>
        <rFont val="Arial"/>
        <charset val="134"/>
      </rPr>
      <t>P</t>
    </r>
    <r>
      <rPr>
        <vertAlign val="subscript"/>
        <sz val="10"/>
        <rFont val="Arial"/>
        <charset val="134"/>
      </rPr>
      <t>RfB1+RFB2</t>
    </r>
  </si>
  <si>
    <t>COMPENSATION:</t>
  </si>
  <si>
    <t xml:space="preserve">Open Loop Transfer Function for Current Loop:  </t>
  </si>
  <si>
    <t>Product of the Voltage Loop Variables, Nominal Line Voltage, Full Load:</t>
  </si>
  <si>
    <t>M1M2</t>
  </si>
  <si>
    <r>
      <rPr>
        <sz val="10"/>
        <rFont val="Arial"/>
        <charset val="134"/>
      </rPr>
      <t>V/</t>
    </r>
    <r>
      <rPr>
        <sz val="10"/>
        <rFont val="Symbol"/>
        <charset val="2"/>
      </rPr>
      <t>m</t>
    </r>
    <r>
      <rPr>
        <sz val="10"/>
        <rFont val="Arial"/>
        <charset val="134"/>
      </rPr>
      <t>s</t>
    </r>
  </si>
  <si>
    <t>VCOMP at Nominal Line Voltage, Full Load:</t>
  </si>
  <si>
    <t>VCOMP</t>
  </si>
  <si>
    <r>
      <rPr>
        <sz val="10"/>
        <rFont val="Arial"/>
        <charset val="134"/>
      </rPr>
      <t>Internal Current Loop Gain Factor M</t>
    </r>
    <r>
      <rPr>
        <vertAlign val="subscript"/>
        <sz val="10"/>
        <rFont val="Arial"/>
        <charset val="134"/>
      </rPr>
      <t>1</t>
    </r>
  </si>
  <si>
    <r>
      <rPr>
        <sz val="10"/>
        <rFont val="Arial"/>
        <charset val="134"/>
      </rPr>
      <t>M</t>
    </r>
    <r>
      <rPr>
        <vertAlign val="subscript"/>
        <sz val="10"/>
        <rFont val="Arial"/>
        <charset val="134"/>
      </rPr>
      <t>1</t>
    </r>
  </si>
  <si>
    <r>
      <rPr>
        <sz val="10"/>
        <rFont val="Arial"/>
        <charset val="134"/>
      </rPr>
      <t>Internal Voltage Loop PWM Ramp Slope M</t>
    </r>
    <r>
      <rPr>
        <vertAlign val="subscript"/>
        <sz val="10"/>
        <rFont val="Arial"/>
        <charset val="134"/>
      </rPr>
      <t>2</t>
    </r>
  </si>
  <si>
    <r>
      <rPr>
        <sz val="10"/>
        <rFont val="Arial"/>
        <charset val="134"/>
      </rPr>
      <t>M</t>
    </r>
    <r>
      <rPr>
        <vertAlign val="subscript"/>
        <sz val="10"/>
        <rFont val="Arial"/>
        <charset val="134"/>
      </rPr>
      <t>2</t>
    </r>
  </si>
  <si>
    <r>
      <rPr>
        <sz val="10"/>
        <rFont val="Arial"/>
        <charset val="134"/>
      </rPr>
      <t>Non-Linear Gain Voltage Loop Variable M</t>
    </r>
    <r>
      <rPr>
        <vertAlign val="subscript"/>
        <sz val="10"/>
        <rFont val="Arial"/>
        <charset val="134"/>
      </rPr>
      <t>3</t>
    </r>
  </si>
  <si>
    <r>
      <rPr>
        <sz val="10"/>
        <rFont val="Arial"/>
        <charset val="134"/>
      </rPr>
      <t>M</t>
    </r>
    <r>
      <rPr>
        <vertAlign val="subscript"/>
        <sz val="10"/>
        <rFont val="Arial"/>
        <charset val="134"/>
      </rPr>
      <t>3</t>
    </r>
  </si>
  <si>
    <r>
      <rPr>
        <sz val="10"/>
        <rFont val="Arial"/>
        <charset val="134"/>
      </rPr>
      <t>Desired Current Averaging Pole Frequency (6.5kHz &lt;f</t>
    </r>
    <r>
      <rPr>
        <vertAlign val="subscript"/>
        <sz val="10"/>
        <rFont val="Arial"/>
        <charset val="134"/>
      </rPr>
      <t>IAVG</t>
    </r>
    <r>
      <rPr>
        <sz val="10"/>
        <rFont val="Arial"/>
        <charset val="134"/>
      </rPr>
      <t xml:space="preserve"> &lt; 13kHz)</t>
    </r>
  </si>
  <si>
    <r>
      <rPr>
        <sz val="10"/>
        <rFont val="Arial"/>
        <charset val="134"/>
      </rPr>
      <t>f</t>
    </r>
    <r>
      <rPr>
        <vertAlign val="subscript"/>
        <sz val="10"/>
        <rFont val="Arial"/>
        <charset val="134"/>
      </rPr>
      <t>IAVG</t>
    </r>
  </si>
  <si>
    <t>kHz</t>
  </si>
  <si>
    <t>Recommended Value for ICOMP Capacitor:</t>
  </si>
  <si>
    <r>
      <rPr>
        <b/>
        <sz val="10"/>
        <rFont val="Arial"/>
        <charset val="134"/>
      </rPr>
      <t>C</t>
    </r>
    <r>
      <rPr>
        <b/>
        <vertAlign val="subscript"/>
        <sz val="10"/>
        <rFont val="Arial"/>
        <charset val="134"/>
      </rPr>
      <t>ICOMP</t>
    </r>
  </si>
  <si>
    <t>Actual Value Used for ICOMP Capacitor:</t>
  </si>
  <si>
    <r>
      <rPr>
        <sz val="10"/>
        <rFont val="Arial"/>
        <charset val="134"/>
      </rPr>
      <t>C</t>
    </r>
    <r>
      <rPr>
        <vertAlign val="subscript"/>
        <sz val="10"/>
        <rFont val="Arial"/>
        <charset val="134"/>
      </rPr>
      <t>ICOMP(actual)</t>
    </r>
  </si>
  <si>
    <t>Resultant Actual Current Averaging Pole Frequency:</t>
  </si>
  <si>
    <r>
      <rPr>
        <sz val="10"/>
        <rFont val="Arial"/>
        <charset val="134"/>
      </rPr>
      <t>f</t>
    </r>
    <r>
      <rPr>
        <vertAlign val="subscript"/>
        <sz val="10"/>
        <rFont val="Arial"/>
        <charset val="134"/>
      </rPr>
      <t>IAVG(actual)</t>
    </r>
  </si>
  <si>
    <t xml:space="preserve">Open Loop Transfer Function for Voltage Loop:  </t>
  </si>
  <si>
    <t>PWM to Power Stage Pole:</t>
  </si>
  <si>
    <r>
      <rPr>
        <sz val="10"/>
        <rFont val="Arial"/>
        <charset val="134"/>
      </rPr>
      <t>f</t>
    </r>
    <r>
      <rPr>
        <vertAlign val="subscript"/>
        <sz val="10"/>
        <rFont val="Arial"/>
        <charset val="134"/>
      </rPr>
      <t>PWM_PS(pole)</t>
    </r>
  </si>
  <si>
    <r>
      <rPr>
        <sz val="10"/>
        <rFont val="Arial"/>
        <charset val="134"/>
      </rPr>
      <t>Desired Voltage Loop Crossover Frequency ( f</t>
    </r>
    <r>
      <rPr>
        <vertAlign val="subscript"/>
        <sz val="10"/>
        <rFont val="Arial"/>
        <charset val="134"/>
      </rPr>
      <t>V</t>
    </r>
    <r>
      <rPr>
        <sz val="10"/>
        <rFont val="Arial"/>
        <charset val="134"/>
      </rPr>
      <t xml:space="preserve"> &lt; 20Hz):</t>
    </r>
  </si>
  <si>
    <r>
      <rPr>
        <sz val="10"/>
        <rFont val="Arial"/>
        <charset val="134"/>
      </rPr>
      <t>f</t>
    </r>
    <r>
      <rPr>
        <vertAlign val="subscript"/>
        <sz val="10"/>
        <rFont val="Arial"/>
        <charset val="134"/>
      </rPr>
      <t>V</t>
    </r>
  </si>
  <si>
    <r>
      <rPr>
        <sz val="10"/>
        <rFont val="Arial"/>
        <charset val="134"/>
      </rPr>
      <t>Open Loop Voltage Gain at Desired f</t>
    </r>
    <r>
      <rPr>
        <vertAlign val="subscript"/>
        <sz val="10"/>
        <rFont val="Arial"/>
        <charset val="134"/>
      </rPr>
      <t>V</t>
    </r>
    <r>
      <rPr>
        <sz val="10"/>
        <rFont val="Arial"/>
        <charset val="134"/>
      </rPr>
      <t>:</t>
    </r>
  </si>
  <si>
    <r>
      <rPr>
        <sz val="10"/>
        <rFont val="Arial"/>
        <charset val="134"/>
      </rPr>
      <t>G</t>
    </r>
    <r>
      <rPr>
        <vertAlign val="subscript"/>
        <sz val="10"/>
        <rFont val="Arial"/>
        <charset val="134"/>
      </rPr>
      <t>VLdB</t>
    </r>
    <r>
      <rPr>
        <sz val="10"/>
        <rFont val="Arial"/>
        <charset val="134"/>
      </rPr>
      <t>(f</t>
    </r>
    <r>
      <rPr>
        <vertAlign val="subscript"/>
        <sz val="10"/>
        <rFont val="Arial"/>
        <charset val="134"/>
      </rPr>
      <t>V</t>
    </r>
    <r>
      <rPr>
        <sz val="10"/>
        <rFont val="Arial"/>
        <charset val="134"/>
      </rPr>
      <t>)</t>
    </r>
  </si>
  <si>
    <t>dB</t>
  </si>
  <si>
    <t>Recommended Value for the Voltage Compensation Capacitor:</t>
  </si>
  <si>
    <r>
      <rPr>
        <b/>
        <sz val="10"/>
        <rFont val="Arial"/>
        <charset val="134"/>
      </rPr>
      <t>C</t>
    </r>
    <r>
      <rPr>
        <b/>
        <vertAlign val="subscript"/>
        <sz val="10"/>
        <rFont val="Arial"/>
        <charset val="134"/>
      </rPr>
      <t>VCOMP</t>
    </r>
  </si>
  <si>
    <r>
      <rPr>
        <sz val="10"/>
        <rFont val="Arial"/>
        <charset val="134"/>
      </rPr>
      <t>Actual Value Used for C</t>
    </r>
    <r>
      <rPr>
        <vertAlign val="subscript"/>
        <sz val="10"/>
        <rFont val="Arial"/>
        <charset val="134"/>
      </rPr>
      <t>VCOMP</t>
    </r>
    <r>
      <rPr>
        <sz val="10"/>
        <rFont val="Arial"/>
        <charset val="134"/>
      </rPr>
      <t xml:space="preserve"> Capacitor:</t>
    </r>
  </si>
  <si>
    <r>
      <rPr>
        <sz val="10"/>
        <rFont val="Arial"/>
        <charset val="134"/>
      </rPr>
      <t>C</t>
    </r>
    <r>
      <rPr>
        <vertAlign val="subscript"/>
        <sz val="10"/>
        <rFont val="Arial"/>
        <charset val="134"/>
      </rPr>
      <t>VCOMP(actual)</t>
    </r>
  </si>
  <si>
    <t>Recommended Value for the Voltage Compensation Resistor:</t>
  </si>
  <si>
    <r>
      <rPr>
        <b/>
        <sz val="10"/>
        <rFont val="Arial"/>
        <charset val="134"/>
      </rPr>
      <t>R</t>
    </r>
    <r>
      <rPr>
        <b/>
        <vertAlign val="subscript"/>
        <sz val="10"/>
        <rFont val="Arial"/>
        <charset val="134"/>
      </rPr>
      <t>VCOMP</t>
    </r>
  </si>
  <si>
    <r>
      <rPr>
        <sz val="10"/>
        <rFont val="Arial"/>
        <charset val="134"/>
      </rPr>
      <t>Actual Value Used for R</t>
    </r>
    <r>
      <rPr>
        <vertAlign val="subscript"/>
        <sz val="10"/>
        <rFont val="Arial"/>
        <charset val="134"/>
      </rPr>
      <t>VCOMP</t>
    </r>
    <r>
      <rPr>
        <sz val="10"/>
        <rFont val="Arial"/>
        <charset val="134"/>
      </rPr>
      <t xml:space="preserve"> Resistor:</t>
    </r>
  </si>
  <si>
    <r>
      <rPr>
        <sz val="10"/>
        <rFont val="Arial"/>
        <charset val="134"/>
      </rPr>
      <t>R</t>
    </r>
    <r>
      <rPr>
        <vertAlign val="subscript"/>
        <sz val="10"/>
        <rFont val="Arial"/>
        <charset val="134"/>
      </rPr>
      <t>VCOMP(actual)</t>
    </r>
  </si>
  <si>
    <t>Resultant Value of Voltage Compensation Zero:</t>
  </si>
  <si>
    <r>
      <rPr>
        <sz val="10"/>
        <rFont val="Arial"/>
        <charset val="134"/>
      </rPr>
      <t>f</t>
    </r>
    <r>
      <rPr>
        <vertAlign val="subscript"/>
        <sz val="10"/>
        <rFont val="Arial"/>
        <charset val="134"/>
      </rPr>
      <t>ZERO</t>
    </r>
  </si>
  <si>
    <r>
      <rPr>
        <sz val="10"/>
        <rFont val="Arial"/>
        <charset val="134"/>
      </rPr>
      <t>Desired Voltage Compensation Pole (f</t>
    </r>
    <r>
      <rPr>
        <vertAlign val="subscript"/>
        <sz val="10"/>
        <rFont val="Arial"/>
        <charset val="134"/>
      </rPr>
      <t>Pole</t>
    </r>
    <r>
      <rPr>
        <sz val="10"/>
        <rFont val="Arial"/>
        <charset val="134"/>
      </rPr>
      <t xml:space="preserve"> &lt; 50Hz)</t>
    </r>
  </si>
  <si>
    <r>
      <rPr>
        <sz val="10"/>
        <rFont val="Arial"/>
        <charset val="134"/>
      </rPr>
      <t>f</t>
    </r>
    <r>
      <rPr>
        <vertAlign val="subscript"/>
        <sz val="10"/>
        <rFont val="Arial"/>
        <charset val="134"/>
      </rPr>
      <t>POLE</t>
    </r>
  </si>
  <si>
    <t>Recommended Value for the Parallel Voltage Compensation Capacitor:</t>
  </si>
  <si>
    <r>
      <rPr>
        <b/>
        <sz val="10"/>
        <rFont val="Arial"/>
        <charset val="134"/>
      </rPr>
      <t>C</t>
    </r>
    <r>
      <rPr>
        <b/>
        <vertAlign val="subscript"/>
        <sz val="10"/>
        <rFont val="Arial"/>
        <charset val="134"/>
      </rPr>
      <t>VCOMP_P</t>
    </r>
  </si>
  <si>
    <t>Actual Value for the Parallel Voltage Compensation Capacitor:</t>
  </si>
  <si>
    <r>
      <rPr>
        <sz val="10"/>
        <rFont val="Arial"/>
        <charset val="134"/>
      </rPr>
      <t>C</t>
    </r>
    <r>
      <rPr>
        <vertAlign val="subscript"/>
        <sz val="10"/>
        <rFont val="Arial"/>
        <charset val="134"/>
      </rPr>
      <t>VCOMP_P(actual)</t>
    </r>
  </si>
  <si>
    <t>TURN-ON THRESHOLD:</t>
  </si>
  <si>
    <t>Desired AC Line Voltage Turn-On Threshold:</t>
  </si>
  <si>
    <r>
      <rPr>
        <sz val="10"/>
        <rFont val="Arial"/>
        <charset val="134"/>
      </rPr>
      <t>V</t>
    </r>
    <r>
      <rPr>
        <vertAlign val="subscript"/>
        <sz val="10"/>
        <rFont val="Arial"/>
        <charset val="134"/>
      </rPr>
      <t>AC(on)</t>
    </r>
  </si>
  <si>
    <t>Recommended Value of VINS Top Divider Resistor:</t>
  </si>
  <si>
    <r>
      <rPr>
        <b/>
        <sz val="10"/>
        <rFont val="Arial"/>
        <charset val="134"/>
      </rPr>
      <t>R</t>
    </r>
    <r>
      <rPr>
        <b/>
        <vertAlign val="subscript"/>
        <sz val="10"/>
        <rFont val="Arial"/>
        <charset val="134"/>
      </rPr>
      <t>VINS1</t>
    </r>
  </si>
  <si>
    <t>Actual Value of VINS Top Divider Resistor:</t>
  </si>
  <si>
    <r>
      <rPr>
        <sz val="10"/>
        <rFont val="Arial"/>
        <charset val="134"/>
      </rPr>
      <t>R</t>
    </r>
    <r>
      <rPr>
        <vertAlign val="subscript"/>
        <sz val="10"/>
        <rFont val="Arial"/>
        <charset val="134"/>
      </rPr>
      <t>VINS1(actual)</t>
    </r>
  </si>
  <si>
    <t>Recommended Value of VINS Bottom Divider Resistor:</t>
  </si>
  <si>
    <r>
      <rPr>
        <b/>
        <sz val="10"/>
        <rFont val="Arial"/>
        <charset val="134"/>
      </rPr>
      <t>R</t>
    </r>
    <r>
      <rPr>
        <b/>
        <vertAlign val="subscript"/>
        <sz val="10"/>
        <rFont val="Arial"/>
        <charset val="134"/>
      </rPr>
      <t>VINS2</t>
    </r>
  </si>
  <si>
    <t>Actual Value of VINS Bottom Divider Resistor:</t>
  </si>
  <si>
    <r>
      <rPr>
        <sz val="10"/>
        <rFont val="Arial"/>
        <charset val="134"/>
      </rPr>
      <t>R</t>
    </r>
    <r>
      <rPr>
        <vertAlign val="subscript"/>
        <sz val="10"/>
        <rFont val="Arial"/>
        <charset val="134"/>
      </rPr>
      <t>VINS2(actual)</t>
    </r>
  </si>
  <si>
    <t>Actual Nominal AC Line Voltage Turn-On Threshold:</t>
  </si>
  <si>
    <r>
      <rPr>
        <sz val="10"/>
        <rFont val="Arial"/>
        <charset val="134"/>
      </rPr>
      <t>V</t>
    </r>
    <r>
      <rPr>
        <vertAlign val="subscript"/>
        <sz val="10"/>
        <rFont val="Arial"/>
        <charset val="134"/>
      </rPr>
      <t>AC(on)nom(actual)</t>
    </r>
  </si>
  <si>
    <t>Actual Maximum AC Line Voltage Turn-On Threshold:</t>
  </si>
  <si>
    <r>
      <rPr>
        <sz val="10"/>
        <rFont val="Arial"/>
        <charset val="134"/>
      </rPr>
      <t>V</t>
    </r>
    <r>
      <rPr>
        <vertAlign val="subscript"/>
        <sz val="10"/>
        <rFont val="Arial"/>
        <charset val="134"/>
      </rPr>
      <t>AC(on)max(actual)</t>
    </r>
  </si>
  <si>
    <t>Actual Minimum AC Line Voltage Turn-On Threshold:</t>
  </si>
  <si>
    <r>
      <rPr>
        <sz val="10"/>
        <rFont val="Arial"/>
        <charset val="134"/>
      </rPr>
      <t>V</t>
    </r>
    <r>
      <rPr>
        <vertAlign val="subscript"/>
        <sz val="10"/>
        <rFont val="Arial"/>
        <charset val="134"/>
      </rPr>
      <t>AC(on)min(actual)</t>
    </r>
  </si>
  <si>
    <t>Maximum VINS Divider Resistor Power Dissipation:</t>
  </si>
  <si>
    <r>
      <rPr>
        <sz val="10"/>
        <rFont val="Arial"/>
        <charset val="134"/>
      </rPr>
      <t>P</t>
    </r>
    <r>
      <rPr>
        <vertAlign val="subscript"/>
        <sz val="10"/>
        <rFont val="Arial"/>
        <charset val="134"/>
      </rPr>
      <t>R_VINS1</t>
    </r>
  </si>
  <si>
    <t>mW</t>
  </si>
  <si>
    <t>BROWN-OUT PROTECTION:</t>
  </si>
  <si>
    <t>AC Line Voltage Turn-Off Threshold:</t>
  </si>
  <si>
    <r>
      <rPr>
        <sz val="10"/>
        <rFont val="Arial"/>
        <charset val="134"/>
      </rPr>
      <t>V</t>
    </r>
    <r>
      <rPr>
        <vertAlign val="subscript"/>
        <sz val="10"/>
        <rFont val="Arial"/>
        <charset val="134"/>
      </rPr>
      <t>AC(off)</t>
    </r>
  </si>
  <si>
    <t>Is Input Hold-Up Required for Line-Dropout Conditions?</t>
  </si>
  <si>
    <t>Hold-up?</t>
  </si>
  <si>
    <t>YES</t>
  </si>
  <si>
    <r>
      <rPr>
        <sz val="10"/>
        <rFont val="Arial"/>
        <charset val="134"/>
      </rPr>
      <t>Desired Number of Half Line Cycles For Line-Drop-Out (N</t>
    </r>
    <r>
      <rPr>
        <vertAlign val="subscript"/>
        <sz val="10"/>
        <rFont val="Arial"/>
        <charset val="134"/>
      </rPr>
      <t>DROPOUT_HOLDUP</t>
    </r>
    <r>
      <rPr>
        <sz val="10"/>
        <rFont val="Arial"/>
        <charset val="134"/>
      </rPr>
      <t xml:space="preserve"> &gt; 2*N</t>
    </r>
    <r>
      <rPr>
        <vertAlign val="subscript"/>
        <sz val="10"/>
        <rFont val="Arial"/>
        <charset val="134"/>
      </rPr>
      <t>HOLD_UP</t>
    </r>
    <r>
      <rPr>
        <sz val="10"/>
        <rFont val="Arial"/>
        <charset val="134"/>
      </rPr>
      <t>)</t>
    </r>
  </si>
  <si>
    <r>
      <rPr>
        <sz val="10"/>
        <rFont val="Arial"/>
        <charset val="134"/>
      </rPr>
      <t>N</t>
    </r>
    <r>
      <rPr>
        <vertAlign val="subscript"/>
        <sz val="10"/>
        <rFont val="Arial"/>
        <charset val="134"/>
      </rPr>
      <t>DROPOUT_HOLDUP</t>
    </r>
  </si>
  <si>
    <t>Hold-Up Time:</t>
  </si>
  <si>
    <r>
      <rPr>
        <sz val="10"/>
        <rFont val="Arial"/>
        <charset val="134"/>
      </rPr>
      <t>t</t>
    </r>
    <r>
      <rPr>
        <vertAlign val="subscript"/>
        <sz val="10"/>
        <rFont val="Arial"/>
        <charset val="134"/>
      </rPr>
      <t>INPUT_HOLDUP</t>
    </r>
  </si>
  <si>
    <t>Required VINS Capacitor:</t>
  </si>
  <si>
    <r>
      <rPr>
        <b/>
        <sz val="10"/>
        <rFont val="Arial"/>
        <charset val="134"/>
      </rPr>
      <t>C</t>
    </r>
    <r>
      <rPr>
        <b/>
        <vertAlign val="subscript"/>
        <sz val="10"/>
        <rFont val="Arial"/>
        <charset val="134"/>
      </rPr>
      <t>VINS</t>
    </r>
  </si>
  <si>
    <t>Actual VINS Capacitor Used:</t>
  </si>
  <si>
    <r>
      <rPr>
        <sz val="10"/>
        <rFont val="Arial"/>
        <charset val="134"/>
      </rPr>
      <t>C</t>
    </r>
    <r>
      <rPr>
        <vertAlign val="subscript"/>
        <sz val="10"/>
        <rFont val="Arial"/>
        <charset val="134"/>
      </rPr>
      <t>VINS_HU(actual)</t>
    </r>
  </si>
  <si>
    <t>Actual Nominal AC Line Voltage Turn-Off Threshold During Line Drop-Out:</t>
  </si>
  <si>
    <r>
      <rPr>
        <sz val="10"/>
        <rFont val="Arial"/>
        <charset val="134"/>
      </rPr>
      <t>V</t>
    </r>
    <r>
      <rPr>
        <vertAlign val="subscript"/>
        <sz val="10"/>
        <rFont val="Arial"/>
        <charset val="134"/>
      </rPr>
      <t>AC(off)actual(nom)_DROPOUT</t>
    </r>
  </si>
  <si>
    <t>Actual Maximum AC Line Voltage Turn-Off Threshold During Line Drop-Out:</t>
  </si>
  <si>
    <r>
      <rPr>
        <sz val="10"/>
        <rFont val="Arial"/>
        <charset val="134"/>
      </rPr>
      <t>V</t>
    </r>
    <r>
      <rPr>
        <vertAlign val="subscript"/>
        <sz val="10"/>
        <rFont val="Arial"/>
        <charset val="134"/>
      </rPr>
      <t>AC(off)actual(max)_DROPOUT</t>
    </r>
  </si>
  <si>
    <t>Actual Minimum AC Line Voltage Turn-Off Threshold During Line Drop-Out:</t>
  </si>
  <si>
    <r>
      <rPr>
        <sz val="10"/>
        <rFont val="Arial"/>
        <charset val="134"/>
      </rPr>
      <t>V</t>
    </r>
    <r>
      <rPr>
        <vertAlign val="subscript"/>
        <sz val="10"/>
        <rFont val="Arial"/>
        <charset val="134"/>
      </rPr>
      <t>AC(off)actual(min)_DROPOUT</t>
    </r>
  </si>
  <si>
    <t>Actual Nominal AC Line Voltage Turn-Off Threshold, Brown-Out, Full Load:</t>
  </si>
  <si>
    <r>
      <rPr>
        <sz val="10"/>
        <rFont val="Arial"/>
        <charset val="134"/>
      </rPr>
      <t>V</t>
    </r>
    <r>
      <rPr>
        <vertAlign val="subscript"/>
        <sz val="10"/>
        <rFont val="Arial"/>
        <charset val="134"/>
      </rPr>
      <t>AC(off)actual(nom)</t>
    </r>
  </si>
  <si>
    <t>Actual Maximum AC Line Voltage Turn-Off  Threshold, Brown-Out, Full Load:</t>
  </si>
  <si>
    <r>
      <rPr>
        <sz val="10"/>
        <rFont val="Arial"/>
        <charset val="134"/>
      </rPr>
      <t>V</t>
    </r>
    <r>
      <rPr>
        <vertAlign val="subscript"/>
        <sz val="10"/>
        <rFont val="Arial"/>
        <charset val="134"/>
      </rPr>
      <t>AC(off)actual(max)</t>
    </r>
  </si>
  <si>
    <t>Actual Minimum AC Line Voltage Turn-Off  Threshold, Brown-Out, Full Load:</t>
  </si>
  <si>
    <r>
      <rPr>
        <sz val="10"/>
        <rFont val="Arial"/>
        <charset val="134"/>
      </rPr>
      <t>V</t>
    </r>
    <r>
      <rPr>
        <vertAlign val="subscript"/>
        <sz val="10"/>
        <rFont val="Arial"/>
        <charset val="134"/>
      </rPr>
      <t>AC(off)actual(min)</t>
    </r>
  </si>
  <si>
    <t>Typical Schematic for a PFC Continuous Conduction Mode Boost Converter Using the UCC28019</t>
  </si>
  <si>
    <t>RECCOMMENDED BILL OF MATERIALS</t>
  </si>
  <si>
    <t>Reference Designator</t>
  </si>
  <si>
    <t>Description/Comments</t>
  </si>
  <si>
    <t>Fuse</t>
  </si>
  <si>
    <t>Type:</t>
  </si>
  <si>
    <t>Fast Acting</t>
  </si>
  <si>
    <t>Voltage Rating:</t>
  </si>
  <si>
    <t>Current Rating:</t>
  </si>
  <si>
    <t>Bridge Rectifier</t>
  </si>
  <si>
    <t>DC Blocking Voltage:</t>
  </si>
  <si>
    <t>Power Dissipation:</t>
  </si>
  <si>
    <t>Cin</t>
  </si>
  <si>
    <t>Film Capacitor, X2</t>
  </si>
  <si>
    <t>Value:</t>
  </si>
  <si>
    <r>
      <rPr>
        <sz val="16"/>
        <rFont val="Symbol"/>
        <charset val="2"/>
      </rPr>
      <t>m</t>
    </r>
    <r>
      <rPr>
        <sz val="16"/>
        <rFont val="Arial"/>
        <charset val="134"/>
      </rPr>
      <t>F</t>
    </r>
  </si>
  <si>
    <t>Volatge Rating:</t>
  </si>
  <si>
    <r>
      <rPr>
        <sz val="16"/>
        <rFont val="Arial"/>
        <charset val="134"/>
      </rPr>
      <t>V</t>
    </r>
    <r>
      <rPr>
        <vertAlign val="subscript"/>
        <sz val="16"/>
        <rFont val="Arial"/>
        <charset val="134"/>
      </rPr>
      <t>RMS</t>
    </r>
  </si>
  <si>
    <t>Lbst</t>
  </si>
  <si>
    <t>Inductor Value:</t>
  </si>
  <si>
    <t>Peak Current Rating:</t>
  </si>
  <si>
    <t>Ripple Current:</t>
  </si>
  <si>
    <t>Boost Diode</t>
  </si>
  <si>
    <t>Diode, Low Reverse Recovery Charge, Schottky</t>
  </si>
  <si>
    <t>Average Current Rating:</t>
  </si>
  <si>
    <t>Switch</t>
  </si>
  <si>
    <t>MOSFET, Nchannel</t>
  </si>
  <si>
    <t>RMS Drain Current Rating:</t>
  </si>
  <si>
    <t>Rsense</t>
  </si>
  <si>
    <t>Resistor, Low Inductance</t>
  </si>
  <si>
    <t>Risense</t>
  </si>
  <si>
    <t>Resistor, Chip, 1/16W</t>
  </si>
  <si>
    <t>Cisense</t>
  </si>
  <si>
    <t>Capacitor, Ceramic, 100V, X7R, ±10%</t>
  </si>
  <si>
    <t>Cout</t>
  </si>
  <si>
    <t xml:space="preserve">Capacitor, Aluminum, ±20% </t>
  </si>
  <si>
    <r>
      <rPr>
        <sz val="16"/>
        <rFont val="Arial"/>
        <charset val="134"/>
      </rPr>
      <t>2 x f</t>
    </r>
    <r>
      <rPr>
        <vertAlign val="subscript"/>
        <sz val="16"/>
        <rFont val="Arial"/>
        <charset val="134"/>
      </rPr>
      <t>LINE</t>
    </r>
    <r>
      <rPr>
        <sz val="16"/>
        <rFont val="Arial"/>
        <charset val="134"/>
      </rPr>
      <t xml:space="preserve"> Ripple Current Rating:</t>
    </r>
  </si>
  <si>
    <r>
      <rPr>
        <sz val="16"/>
        <rFont val="Arial"/>
        <charset val="134"/>
      </rPr>
      <t>A</t>
    </r>
    <r>
      <rPr>
        <vertAlign val="subscript"/>
        <sz val="16"/>
        <rFont val="Arial"/>
        <charset val="134"/>
      </rPr>
      <t>RMS</t>
    </r>
  </si>
  <si>
    <t>HF Ripple Current Rating:</t>
  </si>
  <si>
    <t>Rfb1</t>
  </si>
  <si>
    <t>Resistor, Chip, Total Voltage Rating 400V, ±1%</t>
  </si>
  <si>
    <r>
      <rPr>
        <sz val="16"/>
        <rFont val="Arial"/>
        <charset val="134"/>
      </rPr>
      <t>M</t>
    </r>
    <r>
      <rPr>
        <sz val="16"/>
        <rFont val="Symbol"/>
        <charset val="2"/>
      </rPr>
      <t>W</t>
    </r>
  </si>
  <si>
    <t>Rfb2</t>
  </si>
  <si>
    <t>Resistor, Chip, 1/10W, ±1%</t>
  </si>
  <si>
    <r>
      <rPr>
        <sz val="16"/>
        <rFont val="Arial"/>
        <charset val="134"/>
      </rPr>
      <t>k</t>
    </r>
    <r>
      <rPr>
        <sz val="16"/>
        <rFont val="Symbol"/>
        <charset val="2"/>
      </rPr>
      <t>W</t>
    </r>
  </si>
  <si>
    <t>Cvsense</t>
  </si>
  <si>
    <t>Capacitor, Ceramic, 50V, X7R, ±10%</t>
  </si>
  <si>
    <t>Cicomp</t>
  </si>
  <si>
    <t>Cvcomp</t>
  </si>
  <si>
    <t>Capacitor, Ceramic, 10V, X5R, ±10%</t>
  </si>
  <si>
    <t>Rvcomp</t>
  </si>
  <si>
    <t>Cvcomp_p</t>
  </si>
  <si>
    <t>Rvins1</t>
  </si>
  <si>
    <t>Rvins2</t>
  </si>
  <si>
    <t>Cvins</t>
  </si>
  <si>
    <t>Capacitor, Ceramic, 10V, X5R ±10%</t>
  </si>
  <si>
    <t>VCC Bypass Capacitors:</t>
  </si>
  <si>
    <t>Ceramic, Low ESR/ESL, placed close to the VCC and GND pins with short traces</t>
  </si>
  <si>
    <t>Values:</t>
  </si>
  <si>
    <r>
      <rPr>
        <sz val="11"/>
        <rFont val="Arial"/>
        <charset val="134"/>
      </rPr>
      <t>f</t>
    </r>
    <r>
      <rPr>
        <vertAlign val="subscript"/>
        <sz val="10"/>
        <rFont val="Arial"/>
        <charset val="134"/>
      </rPr>
      <t>SW</t>
    </r>
  </si>
  <si>
    <r>
      <rPr>
        <sz val="10"/>
        <rFont val="Arial"/>
        <charset val="134"/>
      </rPr>
      <t>V</t>
    </r>
    <r>
      <rPr>
        <vertAlign val="subscript"/>
        <sz val="10"/>
        <rFont val="Arial"/>
        <charset val="134"/>
      </rPr>
      <t>ISENSE_SOC</t>
    </r>
  </si>
  <si>
    <t>mV factor</t>
  </si>
  <si>
    <r>
      <rPr>
        <sz val="10"/>
        <rFont val="Arial"/>
        <charset val="134"/>
      </rPr>
      <t>V</t>
    </r>
    <r>
      <rPr>
        <vertAlign val="subscript"/>
        <sz val="10"/>
        <rFont val="Arial"/>
        <charset val="134"/>
      </rPr>
      <t>PCLmax</t>
    </r>
  </si>
  <si>
    <t>uF factor</t>
  </si>
  <si>
    <t>Vref</t>
  </si>
  <si>
    <t>kHz factor</t>
  </si>
  <si>
    <t>Vref_ovp</t>
  </si>
  <si>
    <t>mΩ factor</t>
  </si>
  <si>
    <t>Vref_ovp_max</t>
  </si>
  <si>
    <t>ms factor</t>
  </si>
  <si>
    <t>Vref_ovp_min</t>
  </si>
  <si>
    <t>mA factor</t>
  </si>
  <si>
    <t>Vref_uvd</t>
  </si>
  <si>
    <t>us factor</t>
  </si>
  <si>
    <t>Vref_uvd_max</t>
  </si>
  <si>
    <t>uH factor</t>
  </si>
  <si>
    <t>Vref_uvd_min</t>
  </si>
  <si>
    <t>ns factor</t>
  </si>
  <si>
    <r>
      <rPr>
        <sz val="10"/>
        <rFont val="Arial"/>
        <charset val="134"/>
      </rPr>
      <t>t</t>
    </r>
    <r>
      <rPr>
        <vertAlign val="subscript"/>
        <sz val="10"/>
        <rFont val="Arial"/>
        <charset val="134"/>
      </rPr>
      <t>RFB2Cvsense</t>
    </r>
  </si>
  <si>
    <t>mW factor</t>
  </si>
  <si>
    <r>
      <rPr>
        <sz val="10"/>
        <rFont val="Arial"/>
        <charset val="134"/>
      </rPr>
      <t>V</t>
    </r>
    <r>
      <rPr>
        <vertAlign val="subscript"/>
        <sz val="10"/>
        <rFont val="Arial"/>
        <charset val="134"/>
      </rPr>
      <t>INS_ENmax</t>
    </r>
  </si>
  <si>
    <t>pF factor</t>
  </si>
  <si>
    <r>
      <rPr>
        <sz val="10"/>
        <rFont val="Arial"/>
        <charset val="134"/>
      </rPr>
      <t>V</t>
    </r>
    <r>
      <rPr>
        <vertAlign val="subscript"/>
        <sz val="10"/>
        <rFont val="Arial"/>
        <charset val="134"/>
      </rPr>
      <t>INS_ENmin</t>
    </r>
  </si>
  <si>
    <t>MHz factor</t>
  </si>
  <si>
    <r>
      <rPr>
        <sz val="10"/>
        <rFont val="Arial"/>
        <charset val="134"/>
      </rPr>
      <t>V</t>
    </r>
    <r>
      <rPr>
        <vertAlign val="subscript"/>
        <sz val="10"/>
        <rFont val="Arial"/>
        <charset val="134"/>
      </rPr>
      <t>INS_ENnom</t>
    </r>
  </si>
  <si>
    <t>uA factor</t>
  </si>
  <si>
    <r>
      <rPr>
        <sz val="10"/>
        <rFont val="Arial"/>
        <charset val="134"/>
      </rPr>
      <t>V</t>
    </r>
    <r>
      <rPr>
        <vertAlign val="subscript"/>
        <sz val="10"/>
        <rFont val="Arial"/>
        <charset val="134"/>
      </rPr>
      <t>INS_brnmin</t>
    </r>
  </si>
  <si>
    <r>
      <rPr>
        <sz val="11"/>
        <color theme="1"/>
        <rFont val="Arial"/>
        <charset val="134"/>
      </rPr>
      <t>k</t>
    </r>
    <r>
      <rPr>
        <sz val="11"/>
        <color indexed="8"/>
        <rFont val="Calibri"/>
        <charset val="134"/>
      </rPr>
      <t>Ω</t>
    </r>
    <r>
      <rPr>
        <sz val="11"/>
        <color indexed="8"/>
        <rFont val="Arial"/>
        <charset val="134"/>
      </rPr>
      <t xml:space="preserve"> factor</t>
    </r>
  </si>
  <si>
    <r>
      <rPr>
        <sz val="10"/>
        <rFont val="Arial"/>
        <charset val="134"/>
      </rPr>
      <t>V</t>
    </r>
    <r>
      <rPr>
        <vertAlign val="subscript"/>
        <sz val="10"/>
        <rFont val="Arial"/>
        <charset val="134"/>
      </rPr>
      <t>INS_brnmax</t>
    </r>
  </si>
  <si>
    <t>nC factor</t>
  </si>
  <si>
    <r>
      <rPr>
        <sz val="10"/>
        <rFont val="Arial"/>
        <charset val="134"/>
      </rPr>
      <t>V</t>
    </r>
    <r>
      <rPr>
        <vertAlign val="subscript"/>
        <sz val="10"/>
        <rFont val="Arial"/>
        <charset val="134"/>
      </rPr>
      <t>INS_brnnom</t>
    </r>
  </si>
  <si>
    <t>nF factor</t>
  </si>
  <si>
    <r>
      <rPr>
        <sz val="10"/>
        <rFont val="Arial"/>
        <charset val="134"/>
      </rPr>
      <t>I</t>
    </r>
    <r>
      <rPr>
        <vertAlign val="subscript"/>
        <sz val="10"/>
        <rFont val="Arial"/>
        <charset val="134"/>
      </rPr>
      <t>ISENSE</t>
    </r>
  </si>
  <si>
    <t>uC factor</t>
  </si>
  <si>
    <r>
      <rPr>
        <sz val="10"/>
        <rFont val="Arial"/>
        <charset val="134"/>
      </rPr>
      <t>I</t>
    </r>
    <r>
      <rPr>
        <vertAlign val="subscript"/>
        <sz val="10"/>
        <rFont val="Arial"/>
        <charset val="134"/>
      </rPr>
      <t>VINS</t>
    </r>
  </si>
  <si>
    <t>uA</t>
  </si>
  <si>
    <t>MΩ factor</t>
  </si>
  <si>
    <t>mH factor</t>
  </si>
  <si>
    <t>uS factor</t>
  </si>
  <si>
    <t>mS factor</t>
  </si>
  <si>
    <t>Data for M1M2 vs VCOMP table</t>
  </si>
  <si>
    <t>M1</t>
  </si>
  <si>
    <t>M2</t>
  </si>
  <si>
    <r>
      <rPr>
        <sz val="11"/>
        <rFont val="Arial"/>
        <charset val="134"/>
      </rPr>
      <t>K</t>
    </r>
    <r>
      <rPr>
        <vertAlign val="subscript"/>
        <sz val="11"/>
        <rFont val="Arial"/>
        <charset val="134"/>
      </rPr>
      <t>1</t>
    </r>
  </si>
  <si>
    <r>
      <rPr>
        <sz val="11"/>
        <rFont val="Arial"/>
        <charset val="134"/>
      </rPr>
      <t>K</t>
    </r>
    <r>
      <rPr>
        <vertAlign val="subscript"/>
        <sz val="11"/>
        <rFont val="Arial"/>
        <charset val="134"/>
      </rPr>
      <t>FQ</t>
    </r>
  </si>
  <si>
    <r>
      <rPr>
        <sz val="11"/>
        <rFont val="Arial"/>
        <charset val="134"/>
      </rPr>
      <t>f</t>
    </r>
    <r>
      <rPr>
        <vertAlign val="subscript"/>
        <sz val="11"/>
        <rFont val="Arial"/>
        <charset val="134"/>
      </rPr>
      <t>TYP</t>
    </r>
  </si>
  <si>
    <r>
      <rPr>
        <sz val="11"/>
        <rFont val="Arial"/>
        <charset val="134"/>
      </rPr>
      <t>g</t>
    </r>
    <r>
      <rPr>
        <vertAlign val="subscript"/>
        <sz val="11"/>
        <rFont val="Arial"/>
        <charset val="134"/>
      </rPr>
      <t>mv</t>
    </r>
  </si>
  <si>
    <r>
      <rPr>
        <sz val="10"/>
        <rFont val="Arial"/>
        <charset val="134"/>
      </rPr>
      <t>g</t>
    </r>
    <r>
      <rPr>
        <vertAlign val="subscript"/>
        <sz val="10"/>
        <rFont val="Arial"/>
        <charset val="134"/>
      </rPr>
      <t>mi</t>
    </r>
  </si>
  <si>
    <t>VCOMP1</t>
  </si>
  <si>
    <r>
      <rPr>
        <sz val="11"/>
        <rFont val="Arial"/>
        <charset val="134"/>
      </rPr>
      <t>a</t>
    </r>
    <r>
      <rPr>
        <vertAlign val="subscript"/>
        <sz val="11"/>
        <rFont val="Arial"/>
        <charset val="134"/>
      </rPr>
      <t>1</t>
    </r>
  </si>
  <si>
    <t>algebraic manipulation to determine constants in each region, refer to original MathCAD file</t>
  </si>
  <si>
    <r>
      <rPr>
        <sz val="11"/>
        <rFont val="Arial"/>
        <charset val="134"/>
      </rPr>
      <t>b</t>
    </r>
    <r>
      <rPr>
        <vertAlign val="subscript"/>
        <sz val="11"/>
        <rFont val="Arial"/>
        <charset val="134"/>
      </rPr>
      <t>1</t>
    </r>
  </si>
  <si>
    <r>
      <rPr>
        <sz val="11"/>
        <rFont val="Arial"/>
        <charset val="134"/>
      </rPr>
      <t>c</t>
    </r>
    <r>
      <rPr>
        <vertAlign val="subscript"/>
        <sz val="11"/>
        <rFont val="Arial"/>
        <charset val="134"/>
      </rPr>
      <t>1</t>
    </r>
  </si>
  <si>
    <r>
      <rPr>
        <sz val="11"/>
        <rFont val="Arial"/>
        <charset val="134"/>
      </rPr>
      <t>d</t>
    </r>
    <r>
      <rPr>
        <vertAlign val="subscript"/>
        <sz val="11"/>
        <rFont val="Arial"/>
        <charset val="134"/>
      </rPr>
      <t>1</t>
    </r>
  </si>
  <si>
    <r>
      <rPr>
        <sz val="11"/>
        <rFont val="Arial"/>
        <charset val="134"/>
      </rPr>
      <t>e</t>
    </r>
    <r>
      <rPr>
        <vertAlign val="subscript"/>
        <sz val="11"/>
        <rFont val="Arial"/>
        <charset val="134"/>
      </rPr>
      <t>1</t>
    </r>
  </si>
  <si>
    <r>
      <rPr>
        <sz val="11"/>
        <rFont val="Arial"/>
        <charset val="134"/>
      </rPr>
      <t>f</t>
    </r>
    <r>
      <rPr>
        <vertAlign val="subscript"/>
        <sz val="11"/>
        <rFont val="Arial"/>
        <charset val="134"/>
      </rPr>
      <t>1</t>
    </r>
  </si>
  <si>
    <r>
      <rPr>
        <sz val="11"/>
        <rFont val="Arial"/>
        <charset val="134"/>
      </rPr>
      <t>g</t>
    </r>
    <r>
      <rPr>
        <vertAlign val="subscript"/>
        <sz val="11"/>
        <rFont val="Arial"/>
        <charset val="134"/>
      </rPr>
      <t>1</t>
    </r>
  </si>
  <si>
    <t>VCOMP2</t>
  </si>
  <si>
    <r>
      <rPr>
        <sz val="11"/>
        <rFont val="Arial"/>
        <charset val="134"/>
      </rPr>
      <t>a</t>
    </r>
    <r>
      <rPr>
        <vertAlign val="subscript"/>
        <sz val="11"/>
        <rFont val="Arial"/>
        <charset val="134"/>
      </rPr>
      <t>2</t>
    </r>
  </si>
  <si>
    <r>
      <rPr>
        <sz val="11"/>
        <rFont val="Arial"/>
        <charset val="134"/>
      </rPr>
      <t>b</t>
    </r>
    <r>
      <rPr>
        <vertAlign val="subscript"/>
        <sz val="11"/>
        <rFont val="Arial"/>
        <charset val="134"/>
      </rPr>
      <t>2</t>
    </r>
  </si>
  <si>
    <r>
      <rPr>
        <sz val="11"/>
        <rFont val="Arial"/>
        <charset val="134"/>
      </rPr>
      <t>c</t>
    </r>
    <r>
      <rPr>
        <vertAlign val="subscript"/>
        <sz val="11"/>
        <rFont val="Arial"/>
        <charset val="134"/>
      </rPr>
      <t>2</t>
    </r>
  </si>
  <si>
    <r>
      <rPr>
        <sz val="11"/>
        <rFont val="Arial"/>
        <charset val="134"/>
      </rPr>
      <t>d</t>
    </r>
    <r>
      <rPr>
        <vertAlign val="subscript"/>
        <sz val="11"/>
        <rFont val="Arial"/>
        <charset val="134"/>
      </rPr>
      <t>2</t>
    </r>
  </si>
  <si>
    <r>
      <rPr>
        <sz val="11"/>
        <rFont val="Arial"/>
        <charset val="134"/>
      </rPr>
      <t>e</t>
    </r>
    <r>
      <rPr>
        <vertAlign val="subscript"/>
        <sz val="11"/>
        <rFont val="Arial"/>
        <charset val="134"/>
      </rPr>
      <t>2</t>
    </r>
  </si>
  <si>
    <r>
      <rPr>
        <sz val="11"/>
        <rFont val="Arial"/>
        <charset val="134"/>
      </rPr>
      <t>f</t>
    </r>
    <r>
      <rPr>
        <vertAlign val="subscript"/>
        <sz val="11"/>
        <rFont val="Arial"/>
        <charset val="134"/>
      </rPr>
      <t>2</t>
    </r>
  </si>
  <si>
    <r>
      <rPr>
        <sz val="11"/>
        <rFont val="Arial"/>
        <charset val="134"/>
      </rPr>
      <t>g</t>
    </r>
    <r>
      <rPr>
        <vertAlign val="subscript"/>
        <sz val="11"/>
        <rFont val="Arial"/>
        <charset val="134"/>
      </rPr>
      <t>2</t>
    </r>
  </si>
  <si>
    <t>VCOMP3</t>
  </si>
  <si>
    <r>
      <rPr>
        <sz val="11"/>
        <rFont val="Arial"/>
        <charset val="134"/>
      </rPr>
      <t>a</t>
    </r>
    <r>
      <rPr>
        <vertAlign val="subscript"/>
        <sz val="11"/>
        <rFont val="Arial"/>
        <charset val="134"/>
      </rPr>
      <t>3</t>
    </r>
  </si>
  <si>
    <r>
      <rPr>
        <sz val="11"/>
        <rFont val="Arial"/>
        <charset val="134"/>
      </rPr>
      <t>b</t>
    </r>
    <r>
      <rPr>
        <vertAlign val="subscript"/>
        <sz val="11"/>
        <rFont val="Arial"/>
        <charset val="134"/>
      </rPr>
      <t>3</t>
    </r>
  </si>
  <si>
    <t>VCOMP4</t>
  </si>
  <si>
    <t>Data For Current Averaging Bode Plot</t>
  </si>
  <si>
    <t>Data For Open Loop Voltage Bode Plot</t>
  </si>
  <si>
    <t>Data for Closed Loop Voltage Bode Plot</t>
  </si>
  <si>
    <t>Log scale converter</t>
  </si>
  <si>
    <t>Total Open Loop Phase</t>
  </si>
  <si>
    <t>EA Gain</t>
  </si>
  <si>
    <t>Total Closed Voltage Loop Bode Plot</t>
  </si>
  <si>
    <t>frequency</t>
  </si>
  <si>
    <t>w</t>
  </si>
  <si>
    <t>Gain</t>
  </si>
  <si>
    <t>Phase</t>
  </si>
  <si>
    <t>Voltage Feedback Gain</t>
  </si>
  <si>
    <t>PWM to Power Stage Gain</t>
  </si>
  <si>
    <t>Total Open Loop Gain</t>
  </si>
  <si>
    <t>Phase Margin</t>
  </si>
  <si>
    <t>rad</t>
  </si>
  <si>
    <t>degrees</t>
  </si>
  <si>
    <t>V/V</t>
  </si>
  <si>
    <t>1+sRVCOMPCVCOMP</t>
  </si>
  <si>
    <t>s(CVCOMP+CVCOMP_P)</t>
  </si>
  <si>
    <t>1+S(rvcompcvcompcvcomp_p/CVCOMP+CVCOMPP)</t>
  </si>
  <si>
    <t>Data for Current Averaging Chart</t>
  </si>
  <si>
    <t>x</t>
  </si>
  <si>
    <t>a(x)</t>
  </si>
  <si>
    <t>VIN(x)</t>
  </si>
  <si>
    <t>IAVG(x)</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</si>
</sst>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E+00"/>
    <numFmt numFmtId="177" formatCode="0.000"/>
  </numFmts>
  <fonts count="57">
    <font>
      <sz val="10"/>
      <name val="Arial"/>
      <charset val="134"/>
    </font>
    <font>
      <sz val="10"/>
      <color rgb="FFFF0000"/>
      <name val="Arial"/>
      <charset val="134"/>
    </font>
    <font>
      <sz val="11"/>
      <name val="Arial"/>
      <charset val="134"/>
    </font>
    <font>
      <sz val="11"/>
      <color theme="1"/>
      <name val="Arial"/>
      <charset val="134"/>
    </font>
    <font>
      <sz val="10"/>
      <color rgb="FFFF0000"/>
      <name val="Symbol"/>
      <charset val="2"/>
    </font>
    <font>
      <b/>
      <sz val="16"/>
      <name val="Arial"/>
      <charset val="134"/>
    </font>
    <font>
      <b/>
      <sz val="14"/>
      <name val="Arial"/>
      <charset val="134"/>
    </font>
    <font>
      <sz val="16"/>
      <color indexed="10"/>
      <name val="Arial"/>
      <charset val="134"/>
    </font>
    <font>
      <sz val="16"/>
      <name val="Arial"/>
      <charset val="134"/>
    </font>
    <font>
      <sz val="16"/>
      <name val="Symbol"/>
      <charset val="2"/>
    </font>
    <font>
      <sz val="18"/>
      <name val="Arial"/>
      <charset val="134"/>
    </font>
    <font>
      <b/>
      <sz val="20"/>
      <color indexed="10"/>
      <name val="Arial"/>
      <charset val="134"/>
    </font>
    <font>
      <b/>
      <sz val="10"/>
      <name val="Arial"/>
      <charset val="134"/>
    </font>
    <font>
      <sz val="8"/>
      <name val="Arial"/>
      <charset val="134"/>
    </font>
    <font>
      <b/>
      <sz val="18"/>
      <name val="Arial"/>
      <charset val="134"/>
    </font>
    <font>
      <b/>
      <sz val="12"/>
      <name val="Arial"/>
      <charset val="134"/>
    </font>
    <font>
      <b/>
      <sz val="14"/>
      <color indexed="10"/>
      <name val="Arial"/>
      <charset val="134"/>
    </font>
    <font>
      <b/>
      <sz val="10"/>
      <color rgb="FFFF0000"/>
      <name val="Arial"/>
      <charset val="134"/>
    </font>
    <font>
      <sz val="10"/>
      <name val="Symbol"/>
      <charset val="2"/>
    </font>
    <font>
      <sz val="10"/>
      <color indexed="10"/>
      <name val="Arial"/>
      <charset val="134"/>
    </font>
    <font>
      <b/>
      <sz val="10"/>
      <color indexed="10"/>
      <name val="Arial"/>
      <charset val="134"/>
    </font>
    <font>
      <b/>
      <sz val="10"/>
      <name val="Symbol"/>
      <charset val="2"/>
    </font>
    <font>
      <b/>
      <sz val="11"/>
      <name val="Arial"/>
      <charset val="134"/>
    </font>
    <font>
      <sz val="12"/>
      <name val="Arial"/>
      <charset val="134"/>
    </font>
    <font>
      <b/>
      <sz val="12"/>
      <color rgb="FFFF0000"/>
      <name val="Arial"/>
      <charset val="134"/>
    </font>
    <font>
      <b/>
      <sz val="26"/>
      <color indexed="10"/>
      <name val="Arial"/>
      <charset val="134"/>
    </font>
    <font>
      <sz val="20"/>
      <name val="Arial"/>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vertAlign val="subscript"/>
      <sz val="10"/>
      <name val="Arial"/>
      <charset val="134"/>
    </font>
    <font>
      <sz val="11"/>
      <color indexed="8"/>
      <name val="Calibri"/>
      <charset val="134"/>
    </font>
    <font>
      <sz val="11"/>
      <color indexed="8"/>
      <name val="Arial"/>
      <charset val="134"/>
    </font>
    <font>
      <vertAlign val="subscript"/>
      <sz val="11"/>
      <name val="Arial"/>
      <charset val="134"/>
    </font>
    <font>
      <vertAlign val="subscript"/>
      <sz val="16"/>
      <name val="Arial"/>
      <charset val="134"/>
    </font>
    <font>
      <b/>
      <sz val="12"/>
      <color indexed="10"/>
      <name val="Arial"/>
      <charset val="134"/>
    </font>
    <font>
      <b/>
      <i/>
      <sz val="14"/>
      <color indexed="10"/>
      <name val="Arial"/>
      <charset val="134"/>
    </font>
    <font>
      <vertAlign val="subscript"/>
      <sz val="10"/>
      <name val="Symbol"/>
      <charset val="2"/>
    </font>
    <font>
      <b/>
      <vertAlign val="subscript"/>
      <sz val="10"/>
      <name val="Arial"/>
      <charset val="134"/>
    </font>
    <font>
      <vertAlign val="subscript"/>
      <sz val="20"/>
      <name val="Arial"/>
      <charset val="134"/>
    </font>
  </fonts>
  <fills count="37">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41" fontId="27" fillId="0" borderId="0" applyFont="0" applyFill="0" applyBorder="0" applyAlignment="0" applyProtection="0">
      <alignment vertical="center"/>
    </xf>
    <xf numFmtId="42" fontId="27"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6" borderId="34"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5" applyNumberFormat="0" applyFill="0" applyAlignment="0" applyProtection="0">
      <alignment vertical="center"/>
    </xf>
    <xf numFmtId="0" fontId="34" fillId="0" borderId="35" applyNumberFormat="0" applyFill="0" applyAlignment="0" applyProtection="0">
      <alignment vertical="center"/>
    </xf>
    <xf numFmtId="0" fontId="35" fillId="0" borderId="36" applyNumberFormat="0" applyFill="0" applyAlignment="0" applyProtection="0">
      <alignment vertical="center"/>
    </xf>
    <xf numFmtId="0" fontId="35" fillId="0" borderId="0" applyNumberFormat="0" applyFill="0" applyBorder="0" applyAlignment="0" applyProtection="0">
      <alignment vertical="center"/>
    </xf>
    <xf numFmtId="0" fontId="36" fillId="7" borderId="37" applyNumberFormat="0" applyAlignment="0" applyProtection="0">
      <alignment vertical="center"/>
    </xf>
    <xf numFmtId="0" fontId="37" fillId="8" borderId="38" applyNumberFormat="0" applyAlignment="0" applyProtection="0">
      <alignment vertical="center"/>
    </xf>
    <xf numFmtId="0" fontId="38" fillId="8" borderId="37" applyNumberFormat="0" applyAlignment="0" applyProtection="0">
      <alignment vertical="center"/>
    </xf>
    <xf numFmtId="0" fontId="39" fillId="9" borderId="39" applyNumberFormat="0" applyAlignment="0" applyProtection="0">
      <alignment vertical="center"/>
    </xf>
    <xf numFmtId="0" fontId="40" fillId="0" borderId="40" applyNumberFormat="0" applyFill="0" applyAlignment="0" applyProtection="0">
      <alignment vertical="center"/>
    </xf>
    <xf numFmtId="0" fontId="41" fillId="0" borderId="41" applyNumberFormat="0" applyFill="0" applyAlignment="0" applyProtection="0">
      <alignment vertical="center"/>
    </xf>
    <xf numFmtId="0" fontId="42" fillId="10" borderId="0" applyNumberFormat="0" applyBorder="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6" fillId="15" borderId="0" applyNumberFormat="0" applyBorder="0" applyAlignment="0" applyProtection="0">
      <alignment vertical="center"/>
    </xf>
    <xf numFmtId="0" fontId="45" fillId="16" borderId="0" applyNumberFormat="0" applyBorder="0" applyAlignment="0" applyProtection="0">
      <alignment vertical="center"/>
    </xf>
    <xf numFmtId="0" fontId="45"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46" fillId="22" borderId="0" applyNumberFormat="0" applyBorder="0" applyAlignment="0" applyProtection="0">
      <alignment vertical="center"/>
    </xf>
    <xf numFmtId="0" fontId="46"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alignment vertical="center"/>
    </xf>
    <xf numFmtId="0" fontId="46" fillId="34" borderId="0" applyNumberFormat="0" applyBorder="0" applyAlignment="0" applyProtection="0">
      <alignment vertical="center"/>
    </xf>
    <xf numFmtId="0" fontId="46" fillId="35" borderId="0" applyNumberFormat="0" applyBorder="0" applyAlignment="0" applyProtection="0">
      <alignment vertical="center"/>
    </xf>
    <xf numFmtId="0" fontId="45" fillId="36" borderId="0" applyNumberFormat="0" applyBorder="0" applyAlignment="0" applyProtection="0">
      <alignment vertical="center"/>
    </xf>
  </cellStyleXfs>
  <cellXfs count="198">
    <xf numFmtId="0" fontId="0" fillId="0" borderId="0" xfId="0"/>
    <xf numFmtId="0" fontId="1" fillId="0" borderId="0" xfId="0" applyFont="1" applyBorder="1" applyAlignment="1" applyProtection="1">
      <alignment vertical="center"/>
    </xf>
    <xf numFmtId="0" fontId="2" fillId="0" borderId="1" xfId="0" applyFont="1" applyBorder="1" applyAlignment="1" applyProtection="1">
      <alignment vertical="center"/>
    </xf>
    <xf numFmtId="0" fontId="0" fillId="0" borderId="0" xfId="0" applyFont="1" applyBorder="1" applyAlignment="1" applyProtection="1">
      <alignment vertical="center"/>
    </xf>
    <xf numFmtId="0" fontId="3" fillId="2" borderId="1" xfId="0" applyFont="1" applyFill="1" applyBorder="1" applyProtection="1"/>
    <xf numFmtId="176" fontId="3" fillId="2" borderId="1" xfId="0" applyNumberFormat="1" applyFont="1" applyFill="1" applyBorder="1" applyProtection="1"/>
    <xf numFmtId="0" fontId="2" fillId="0" borderId="0" xfId="0" applyFont="1" applyBorder="1" applyAlignment="1" applyProtection="1">
      <alignment vertical="center"/>
    </xf>
    <xf numFmtId="0" fontId="1" fillId="0" borderId="0" xfId="0" applyFont="1" applyBorder="1" applyAlignment="1" applyProtection="1">
      <alignment horizontal="center" vertical="center"/>
    </xf>
    <xf numFmtId="177" fontId="1" fillId="0" borderId="0" xfId="0" applyNumberFormat="1" applyFont="1" applyBorder="1" applyAlignment="1" applyProtection="1">
      <alignment horizontal="center" vertical="center" shrinkToFit="1"/>
    </xf>
    <xf numFmtId="177" fontId="1" fillId="0" borderId="0" xfId="0" applyNumberFormat="1" applyFont="1" applyBorder="1" applyAlignment="1" applyProtection="1">
      <alignment horizontal="center" vertical="center"/>
    </xf>
    <xf numFmtId="0" fontId="0" fillId="0" borderId="1" xfId="0" applyFont="1" applyBorder="1" applyAlignment="1" applyProtection="1">
      <alignment vertical="center"/>
    </xf>
    <xf numFmtId="0" fontId="2" fillId="0" borderId="2" xfId="0" applyFont="1" applyBorder="1" applyAlignment="1" applyProtection="1">
      <alignment horizontal="center" vertical="center"/>
    </xf>
    <xf numFmtId="0" fontId="2" fillId="0" borderId="3" xfId="0" applyFont="1" applyBorder="1" applyAlignment="1" applyProtection="1">
      <alignment horizontal="center" vertical="center"/>
    </xf>
    <xf numFmtId="11" fontId="2" fillId="0" borderId="1" xfId="0" applyNumberFormat="1" applyFont="1" applyBorder="1" applyAlignment="1" applyProtection="1">
      <alignment vertical="center"/>
    </xf>
    <xf numFmtId="0" fontId="0" fillId="0" borderId="0" xfId="0" applyFont="1"/>
    <xf numFmtId="0" fontId="1" fillId="0" borderId="0" xfId="0" applyFont="1" applyBorder="1" applyAlignment="1" applyProtection="1">
      <alignment vertical="center" wrapText="1"/>
    </xf>
    <xf numFmtId="0" fontId="4" fillId="0" borderId="0" xfId="0" applyFont="1" applyBorder="1" applyAlignment="1" applyProtection="1">
      <alignment vertical="center"/>
    </xf>
    <xf numFmtId="177" fontId="1" fillId="0" borderId="0" xfId="0" applyNumberFormat="1" applyFont="1" applyBorder="1" applyAlignment="1" applyProtection="1">
      <alignment vertical="center"/>
    </xf>
    <xf numFmtId="0" fontId="1" fillId="0" borderId="0" xfId="0" applyFont="1" applyFill="1" applyBorder="1" applyAlignment="1" applyProtection="1">
      <alignment vertical="center"/>
    </xf>
    <xf numFmtId="177" fontId="1" fillId="0" borderId="0" xfId="0" applyNumberFormat="1" applyFont="1" applyFill="1" applyBorder="1" applyAlignment="1" applyProtection="1">
      <alignment vertical="center"/>
    </xf>
    <xf numFmtId="0" fontId="1" fillId="0" borderId="0" xfId="0" applyFont="1" applyFill="1" applyBorder="1" applyAlignment="1" applyProtection="1">
      <alignment horizontal="center" vertical="center"/>
    </xf>
    <xf numFmtId="0" fontId="0" fillId="0" borderId="0" xfId="0" applyAlignment="1">
      <alignment vertical="center"/>
    </xf>
    <xf numFmtId="0" fontId="5" fillId="0" borderId="0" xfId="0" applyFont="1" applyAlignment="1" applyProtection="1">
      <alignment horizontal="center" vertical="center"/>
      <protection locked="0"/>
    </xf>
    <xf numFmtId="0" fontId="5" fillId="0" borderId="0" xfId="0" applyFont="1" applyAlignment="1" applyProtection="1">
      <alignment vertical="center"/>
      <protection locked="0"/>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5" fillId="3" borderId="7" xfId="0" applyFont="1" applyFill="1" applyBorder="1" applyAlignment="1">
      <alignment vertical="center" wrapText="1"/>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7" fillId="0" borderId="4" xfId="0" applyFont="1" applyBorder="1" applyAlignment="1">
      <alignment horizontal="center" vertical="center"/>
    </xf>
    <xf numFmtId="0" fontId="8" fillId="0" borderId="5" xfId="0" applyFont="1" applyBorder="1" applyAlignment="1">
      <alignmen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7" fillId="0" borderId="10" xfId="0" applyFont="1" applyBorder="1" applyAlignment="1">
      <alignment horizontal="center" vertical="center"/>
    </xf>
    <xf numFmtId="0" fontId="8" fillId="0" borderId="0" xfId="0" applyFont="1" applyBorder="1" applyAlignment="1">
      <alignment vertical="center"/>
    </xf>
    <xf numFmtId="0" fontId="8" fillId="0" borderId="11" xfId="0" applyFont="1" applyBorder="1" applyAlignment="1">
      <alignment vertical="center"/>
    </xf>
    <xf numFmtId="0" fontId="7" fillId="0" borderId="12" xfId="0" applyFont="1" applyBorder="1" applyAlignment="1">
      <alignment horizontal="center" vertical="center"/>
    </xf>
    <xf numFmtId="0" fontId="8" fillId="0" borderId="13" xfId="0" applyFont="1" applyBorder="1" applyAlignment="1">
      <alignment vertical="center"/>
    </xf>
    <xf numFmtId="2" fontId="8" fillId="0" borderId="13" xfId="0" applyNumberFormat="1" applyFont="1" applyBorder="1" applyAlignment="1">
      <alignment vertical="center"/>
    </xf>
    <xf numFmtId="0" fontId="8" fillId="0" borderId="14" xfId="0" applyFont="1" applyBorder="1" applyAlignment="1">
      <alignment vertical="center"/>
    </xf>
    <xf numFmtId="1" fontId="8" fillId="0" borderId="5" xfId="0" applyNumberFormat="1" applyFont="1" applyBorder="1" applyAlignment="1">
      <alignment vertical="center"/>
    </xf>
    <xf numFmtId="0" fontId="8" fillId="0" borderId="6" xfId="0" applyFont="1" applyBorder="1" applyAlignment="1">
      <alignment vertical="center"/>
    </xf>
    <xf numFmtId="2" fontId="8" fillId="0" borderId="0" xfId="0" applyNumberFormat="1" applyFont="1" applyBorder="1" applyAlignment="1">
      <alignment vertical="center"/>
    </xf>
    <xf numFmtId="0" fontId="9" fillId="0" borderId="11" xfId="0" applyFont="1" applyBorder="1" applyAlignment="1">
      <alignment vertical="center"/>
    </xf>
    <xf numFmtId="1" fontId="8" fillId="0" borderId="0" xfId="0" applyNumberFormat="1" applyFont="1" applyBorder="1" applyAlignment="1">
      <alignment vertical="center"/>
    </xf>
    <xf numFmtId="2" fontId="8" fillId="0" borderId="5" xfId="0" applyNumberFormat="1" applyFont="1" applyBorder="1" applyAlignment="1">
      <alignment vertical="center"/>
    </xf>
    <xf numFmtId="177" fontId="8" fillId="0" borderId="13" xfId="0" applyNumberFormat="1" applyFont="1" applyBorder="1" applyAlignment="1">
      <alignment vertical="center"/>
    </xf>
    <xf numFmtId="4" fontId="8" fillId="0" borderId="13" xfId="0" applyNumberFormat="1" applyFont="1" applyBorder="1" applyAlignment="1">
      <alignment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9" fillId="0" borderId="14" xfId="0" applyFont="1" applyBorder="1" applyAlignment="1">
      <alignment vertical="center"/>
    </xf>
    <xf numFmtId="1" fontId="8" fillId="0" borderId="13" xfId="0" applyNumberFormat="1" applyFont="1" applyBorder="1" applyAlignment="1">
      <alignment vertical="center"/>
    </xf>
    <xf numFmtId="177" fontId="8" fillId="0" borderId="0" xfId="0" applyNumberFormat="1" applyFont="1" applyBorder="1" applyAlignment="1">
      <alignment vertical="center"/>
    </xf>
    <xf numFmtId="0" fontId="8" fillId="0" borderId="0" xfId="0" applyFont="1" applyBorder="1" applyAlignment="1">
      <alignment horizontal="left" vertical="center" wrapText="1"/>
    </xf>
    <xf numFmtId="0" fontId="8" fillId="0" borderId="11" xfId="0" applyFont="1" applyBorder="1" applyAlignment="1">
      <alignment horizontal="left" vertical="center" wrapText="1"/>
    </xf>
    <xf numFmtId="0" fontId="8" fillId="0" borderId="0" xfId="0" applyFont="1" applyBorder="1" applyAlignment="1">
      <alignment horizontal="left" vertical="center"/>
    </xf>
    <xf numFmtId="0" fontId="8" fillId="0" borderId="13" xfId="0" applyFont="1" applyBorder="1" applyAlignment="1">
      <alignment horizontal="left" vertical="center"/>
    </xf>
    <xf numFmtId="0" fontId="0" fillId="0" borderId="0" xfId="0" applyAlignment="1">
      <alignment horizontal="left" vertical="center"/>
    </xf>
    <xf numFmtId="0" fontId="10" fillId="0" borderId="0" xfId="0" applyFont="1" applyAlignment="1" applyProtection="1">
      <alignment vertical="center"/>
    </xf>
    <xf numFmtId="0" fontId="0" fillId="0" borderId="0" xfId="0" applyAlignment="1" applyProtection="1">
      <alignment vertical="center"/>
    </xf>
    <xf numFmtId="0" fontId="11" fillId="0" borderId="0" xfId="0" applyFont="1" applyAlignment="1" applyProtection="1">
      <alignment horizontal="center" vertical="center" wrapText="1"/>
    </xf>
    <xf numFmtId="0" fontId="6" fillId="0" borderId="0" xfId="0" applyFont="1" applyAlignment="1" applyProtection="1">
      <alignment horizontal="center" vertical="center" wrapText="1"/>
    </xf>
    <xf numFmtId="0" fontId="0" fillId="0" borderId="0" xfId="0" applyFont="1" applyAlignment="1" applyProtection="1">
      <alignment horizontal="center" vertical="center"/>
    </xf>
    <xf numFmtId="0" fontId="12" fillId="2" borderId="4" xfId="0" applyFont="1" applyFill="1" applyBorder="1" applyAlignment="1" applyProtection="1">
      <alignment horizontal="left" vertical="center"/>
    </xf>
    <xf numFmtId="0" fontId="12" fillId="2" borderId="5" xfId="0" applyFont="1" applyFill="1" applyBorder="1" applyAlignment="1" applyProtection="1">
      <alignment horizontal="left" vertical="center"/>
    </xf>
    <xf numFmtId="0" fontId="12" fillId="2" borderId="6" xfId="0" applyFont="1" applyFill="1" applyBorder="1" applyAlignment="1" applyProtection="1">
      <alignment horizontal="left" vertical="center"/>
    </xf>
    <xf numFmtId="0" fontId="13" fillId="2" borderId="10" xfId="0" applyFont="1" applyFill="1" applyBorder="1" applyAlignment="1" applyProtection="1">
      <alignment horizontal="left" vertical="center" wrapText="1"/>
    </xf>
    <xf numFmtId="0" fontId="13" fillId="2" borderId="0" xfId="0" applyFont="1" applyFill="1" applyBorder="1" applyAlignment="1" applyProtection="1">
      <alignment horizontal="left" vertical="center" wrapText="1"/>
    </xf>
    <xf numFmtId="0" fontId="13" fillId="2" borderId="11" xfId="0" applyFont="1" applyFill="1" applyBorder="1" applyAlignment="1" applyProtection="1">
      <alignment horizontal="left" vertical="center" wrapText="1"/>
    </xf>
    <xf numFmtId="0" fontId="13" fillId="2" borderId="12" xfId="0" applyFont="1" applyFill="1" applyBorder="1" applyAlignment="1" applyProtection="1">
      <alignment horizontal="left" vertical="center" wrapText="1"/>
    </xf>
    <xf numFmtId="0" fontId="13" fillId="2" borderId="13" xfId="0" applyFont="1" applyFill="1" applyBorder="1" applyAlignment="1" applyProtection="1">
      <alignment horizontal="left" vertical="center" wrapText="1"/>
    </xf>
    <xf numFmtId="0" fontId="13" fillId="2" borderId="14" xfId="0" applyFont="1" applyFill="1" applyBorder="1" applyAlignment="1" applyProtection="1">
      <alignment horizontal="left" vertical="center" wrapText="1"/>
    </xf>
    <xf numFmtId="0" fontId="14" fillId="0" borderId="0" xfId="0" applyFont="1" applyAlignment="1" applyProtection="1">
      <alignment horizontal="right" vertical="center" wrapText="1"/>
    </xf>
    <xf numFmtId="0" fontId="14" fillId="4" borderId="0" xfId="0" applyFont="1" applyFill="1" applyAlignment="1" applyProtection="1">
      <alignment horizontal="center" vertical="center"/>
    </xf>
    <xf numFmtId="0" fontId="14" fillId="0" borderId="0" xfId="0" applyFont="1" applyAlignment="1" applyProtection="1">
      <alignment horizontal="left" vertical="center"/>
    </xf>
    <xf numFmtId="0" fontId="15" fillId="0" borderId="0" xfId="0" applyFont="1" applyAlignment="1" applyProtection="1">
      <alignment horizontal="center" vertical="center"/>
    </xf>
    <xf numFmtId="0" fontId="0" fillId="0" borderId="0" xfId="0" applyAlignment="1" applyProtection="1">
      <alignment horizontal="center" vertical="center"/>
    </xf>
    <xf numFmtId="0" fontId="6" fillId="0" borderId="0" xfId="0" applyFont="1" applyAlignment="1" applyProtection="1">
      <alignment horizontal="center" vertical="center"/>
    </xf>
    <xf numFmtId="0" fontId="16" fillId="0" borderId="0" xfId="0" applyFont="1" applyAlignment="1" applyProtection="1">
      <alignment horizontal="center" vertical="center"/>
    </xf>
    <xf numFmtId="0" fontId="0" fillId="0" borderId="13" xfId="0" applyBorder="1" applyAlignment="1" applyProtection="1">
      <alignment horizontal="center" vertical="center"/>
    </xf>
    <xf numFmtId="0" fontId="15" fillId="0" borderId="15" xfId="0" applyFont="1" applyBorder="1" applyAlignment="1" applyProtection="1">
      <alignment horizontal="left" vertical="center"/>
    </xf>
    <xf numFmtId="0" fontId="15" fillId="0" borderId="16" xfId="0" applyFont="1" applyBorder="1" applyAlignment="1" applyProtection="1">
      <alignment horizontal="left" vertical="center"/>
    </xf>
    <xf numFmtId="0" fontId="15" fillId="0" borderId="17" xfId="0" applyFont="1" applyBorder="1" applyAlignment="1" applyProtection="1">
      <alignment horizontal="left" vertical="center"/>
    </xf>
    <xf numFmtId="0" fontId="0" fillId="0" borderId="18" xfId="0" applyBorder="1" applyAlignment="1" applyProtection="1">
      <alignment vertical="center"/>
    </xf>
    <xf numFmtId="0" fontId="0" fillId="0" borderId="1" xfId="0" applyBorder="1" applyAlignment="1" applyProtection="1">
      <alignment vertical="center"/>
    </xf>
    <xf numFmtId="0" fontId="0" fillId="4" borderId="1" xfId="0" applyFill="1" applyBorder="1" applyAlignment="1" applyProtection="1">
      <alignment vertical="center"/>
      <protection locked="0"/>
    </xf>
    <xf numFmtId="0" fontId="0" fillId="0" borderId="19" xfId="0" applyBorder="1" applyAlignment="1" applyProtection="1">
      <alignment vertical="center"/>
    </xf>
    <xf numFmtId="0" fontId="17" fillId="0" borderId="0" xfId="0" applyFont="1" applyAlignment="1" applyProtection="1">
      <alignment vertical="center"/>
    </xf>
    <xf numFmtId="0" fontId="18" fillId="0" borderId="1" xfId="0" applyFont="1" applyBorder="1" applyAlignment="1" applyProtection="1">
      <alignment vertical="center"/>
    </xf>
    <xf numFmtId="0" fontId="0" fillId="0" borderId="18" xfId="0" applyFill="1" applyBorder="1" applyAlignment="1" applyProtection="1">
      <alignment vertical="center"/>
    </xf>
    <xf numFmtId="0" fontId="0" fillId="0" borderId="1" xfId="0" applyFill="1" applyBorder="1" applyAlignment="1" applyProtection="1">
      <alignment vertical="center"/>
    </xf>
    <xf numFmtId="0" fontId="18" fillId="0" borderId="19" xfId="0" applyFont="1" applyBorder="1" applyAlignment="1" applyProtection="1">
      <alignment vertical="center"/>
    </xf>
    <xf numFmtId="0" fontId="0" fillId="0" borderId="20" xfId="0" applyBorder="1" applyAlignment="1" applyProtection="1">
      <alignment vertical="center"/>
    </xf>
    <xf numFmtId="0" fontId="0" fillId="0" borderId="21" xfId="0" applyBorder="1" applyAlignment="1" applyProtection="1">
      <alignment vertical="center"/>
    </xf>
    <xf numFmtId="177" fontId="19" fillId="0" borderId="21" xfId="0" applyNumberFormat="1" applyFont="1" applyFill="1" applyBorder="1" applyAlignment="1" applyProtection="1">
      <alignment vertical="center"/>
    </xf>
    <xf numFmtId="0" fontId="0" fillId="0" borderId="22" xfId="0" applyBorder="1" applyAlignment="1" applyProtection="1">
      <alignment vertical="center"/>
    </xf>
    <xf numFmtId="0" fontId="0" fillId="0" borderId="5" xfId="0" applyBorder="1" applyAlignment="1" applyProtection="1">
      <alignment horizontal="center" vertical="center"/>
    </xf>
    <xf numFmtId="0" fontId="1" fillId="0" borderId="0" xfId="0" applyFont="1" applyAlignment="1" applyProtection="1">
      <alignment vertical="center"/>
    </xf>
    <xf numFmtId="177" fontId="19" fillId="0" borderId="1" xfId="0" applyNumberFormat="1" applyFont="1" applyBorder="1" applyAlignment="1" applyProtection="1">
      <alignment vertical="center"/>
    </xf>
    <xf numFmtId="0" fontId="0" fillId="0" borderId="20" xfId="0" applyFill="1" applyBorder="1" applyAlignment="1" applyProtection="1">
      <alignment vertical="center"/>
    </xf>
    <xf numFmtId="0" fontId="0" fillId="0" borderId="21" xfId="0" applyFill="1" applyBorder="1" applyAlignment="1" applyProtection="1">
      <alignment vertical="center"/>
    </xf>
    <xf numFmtId="0" fontId="0" fillId="0" borderId="22" xfId="0" applyFill="1" applyBorder="1" applyAlignment="1" applyProtection="1">
      <alignment vertical="center"/>
    </xf>
    <xf numFmtId="0" fontId="0" fillId="0" borderId="19" xfId="0" applyFill="1" applyBorder="1" applyAlignment="1" applyProtection="1">
      <alignment vertical="center"/>
    </xf>
    <xf numFmtId="177" fontId="19" fillId="0" borderId="21" xfId="0" applyNumberFormat="1" applyFont="1" applyBorder="1" applyAlignment="1" applyProtection="1">
      <alignment vertical="center"/>
    </xf>
    <xf numFmtId="0" fontId="18" fillId="0" borderId="22" xfId="0" applyFont="1" applyBorder="1" applyAlignment="1" applyProtection="1">
      <alignment vertical="center"/>
    </xf>
    <xf numFmtId="0" fontId="15" fillId="0" borderId="23" xfId="0" applyFont="1" applyBorder="1" applyAlignment="1" applyProtection="1">
      <alignment horizontal="left" vertical="center"/>
    </xf>
    <xf numFmtId="0" fontId="15" fillId="0" borderId="24" xfId="0" applyFont="1" applyBorder="1" applyAlignment="1" applyProtection="1">
      <alignment horizontal="left" vertical="center"/>
    </xf>
    <xf numFmtId="0" fontId="15" fillId="0" borderId="25" xfId="0" applyFont="1" applyBorder="1" applyAlignment="1" applyProtection="1">
      <alignment horizontal="left" vertical="center"/>
    </xf>
    <xf numFmtId="0" fontId="12" fillId="0" borderId="20" xfId="0" applyFont="1" applyBorder="1" applyAlignment="1" applyProtection="1">
      <alignment vertical="center"/>
    </xf>
    <xf numFmtId="0" fontId="12" fillId="0" borderId="21" xfId="0" applyFont="1" applyBorder="1" applyAlignment="1" applyProtection="1">
      <alignment horizontal="left" vertical="center"/>
    </xf>
    <xf numFmtId="177" fontId="20" fillId="0" borderId="21" xfId="0" applyNumberFormat="1" applyFont="1" applyBorder="1" applyAlignment="1" applyProtection="1">
      <alignment vertical="center"/>
    </xf>
    <xf numFmtId="0" fontId="21" fillId="0" borderId="22" xfId="0" applyFont="1" applyBorder="1" applyAlignment="1" applyProtection="1">
      <alignment vertical="center"/>
    </xf>
    <xf numFmtId="0" fontId="12" fillId="0" borderId="18" xfId="0" applyFont="1" applyBorder="1" applyAlignment="1" applyProtection="1">
      <alignment vertical="center"/>
    </xf>
    <xf numFmtId="0" fontId="12" fillId="0" borderId="1" xfId="0" applyFont="1" applyBorder="1" applyAlignment="1" applyProtection="1">
      <alignment vertical="center"/>
    </xf>
    <xf numFmtId="177" fontId="20" fillId="0" borderId="1" xfId="0" applyNumberFormat="1" applyFont="1" applyBorder="1" applyAlignment="1" applyProtection="1">
      <alignment vertical="center"/>
    </xf>
    <xf numFmtId="0" fontId="12" fillId="0" borderId="19" xfId="0" applyFont="1" applyBorder="1" applyAlignment="1" applyProtection="1">
      <alignment vertical="center"/>
    </xf>
    <xf numFmtId="0" fontId="19" fillId="0" borderId="1" xfId="0" applyFont="1" applyFill="1" applyBorder="1" applyAlignment="1" applyProtection="1">
      <alignment vertical="center"/>
    </xf>
    <xf numFmtId="0" fontId="19" fillId="0" borderId="1" xfId="0" applyFont="1" applyBorder="1" applyAlignment="1" applyProtection="1">
      <alignment vertical="center"/>
    </xf>
    <xf numFmtId="0" fontId="0" fillId="0" borderId="0" xfId="0" applyFont="1" applyBorder="1" applyAlignment="1" applyProtection="1">
      <alignment vertical="center"/>
      <protection hidden="1"/>
    </xf>
    <xf numFmtId="177" fontId="0" fillId="0" borderId="0" xfId="0" applyNumberFormat="1" applyFont="1" applyBorder="1" applyAlignment="1" applyProtection="1">
      <alignment horizontal="right" vertical="center" shrinkToFit="1"/>
      <protection hidden="1"/>
    </xf>
    <xf numFmtId="0" fontId="21" fillId="0" borderId="19" xfId="0" applyFont="1" applyBorder="1" applyAlignment="1" applyProtection="1">
      <alignment vertical="center"/>
    </xf>
    <xf numFmtId="177" fontId="0" fillId="4" borderId="1" xfId="0" applyNumberFormat="1" applyFill="1" applyBorder="1" applyAlignment="1" applyProtection="1">
      <alignment vertical="center"/>
      <protection locked="0"/>
    </xf>
    <xf numFmtId="0" fontId="0" fillId="0" borderId="26" xfId="0" applyFont="1" applyBorder="1" applyAlignment="1" applyProtection="1">
      <alignment vertical="center"/>
    </xf>
    <xf numFmtId="177" fontId="0" fillId="5" borderId="27" xfId="0" applyNumberFormat="1" applyFont="1" applyFill="1" applyBorder="1" applyAlignment="1" applyProtection="1">
      <alignment vertical="center"/>
      <protection locked="0"/>
    </xf>
    <xf numFmtId="0" fontId="12" fillId="0" borderId="21" xfId="0" applyFont="1" applyBorder="1" applyAlignment="1" applyProtection="1">
      <alignment vertical="center"/>
    </xf>
    <xf numFmtId="1" fontId="20" fillId="0" borderId="21" xfId="0" applyNumberFormat="1" applyFont="1" applyBorder="1" applyAlignment="1" applyProtection="1">
      <alignment vertical="center"/>
    </xf>
    <xf numFmtId="0" fontId="12" fillId="0" borderId="22" xfId="0" applyFont="1" applyBorder="1" applyAlignment="1" applyProtection="1">
      <alignment vertical="center"/>
    </xf>
    <xf numFmtId="177" fontId="19" fillId="0" borderId="1" xfId="0" applyNumberFormat="1" applyFont="1" applyFill="1" applyBorder="1" applyAlignment="1" applyProtection="1">
      <alignment vertical="center"/>
    </xf>
    <xf numFmtId="1" fontId="0" fillId="4" borderId="1" xfId="0" applyNumberFormat="1" applyFont="1" applyFill="1" applyBorder="1" applyAlignment="1" applyProtection="1">
      <alignment vertical="center"/>
      <protection locked="0"/>
    </xf>
    <xf numFmtId="177" fontId="20" fillId="3" borderId="28" xfId="0" applyNumberFormat="1" applyFont="1" applyFill="1" applyBorder="1" applyAlignment="1" applyProtection="1">
      <alignment horizontal="right" vertical="center"/>
    </xf>
    <xf numFmtId="177" fontId="20" fillId="3" borderId="29" xfId="0" applyNumberFormat="1" applyFont="1" applyFill="1" applyBorder="1" applyAlignment="1" applyProtection="1">
      <alignment horizontal="right" vertical="center"/>
    </xf>
    <xf numFmtId="177" fontId="20" fillId="3" borderId="30" xfId="0" applyNumberFormat="1" applyFont="1" applyFill="1" applyBorder="1" applyAlignment="1" applyProtection="1">
      <alignment horizontal="right" vertical="center"/>
    </xf>
    <xf numFmtId="0" fontId="20" fillId="0" borderId="1" xfId="0" applyFont="1" applyBorder="1" applyAlignment="1" applyProtection="1">
      <alignment vertical="center"/>
    </xf>
    <xf numFmtId="0" fontId="0" fillId="0" borderId="10" xfId="0" applyBorder="1" applyAlignment="1" applyProtection="1">
      <alignment vertical="center"/>
    </xf>
    <xf numFmtId="0" fontId="12" fillId="0" borderId="28" xfId="0" applyFont="1" applyBorder="1" applyAlignment="1" applyProtection="1">
      <alignment vertical="center"/>
    </xf>
    <xf numFmtId="0" fontId="0" fillId="0" borderId="28" xfId="0" applyBorder="1" applyAlignment="1" applyProtection="1">
      <alignment vertical="center"/>
    </xf>
    <xf numFmtId="0" fontId="0" fillId="4" borderId="2" xfId="0" applyFill="1" applyBorder="1" applyAlignment="1" applyProtection="1">
      <alignment vertical="center"/>
      <protection locked="0"/>
    </xf>
    <xf numFmtId="0" fontId="0" fillId="0" borderId="26" xfId="0" applyBorder="1" applyAlignment="1" applyProtection="1">
      <alignment horizontal="left" vertical="center"/>
    </xf>
    <xf numFmtId="0" fontId="0" fillId="0" borderId="19" xfId="0" applyFont="1" applyBorder="1" applyAlignment="1" applyProtection="1">
      <alignment vertical="center"/>
    </xf>
    <xf numFmtId="0" fontId="0" fillId="0" borderId="18" xfId="0" applyFont="1" applyBorder="1" applyAlignment="1" applyProtection="1">
      <alignment vertical="center"/>
    </xf>
    <xf numFmtId="0" fontId="0" fillId="0" borderId="20" xfId="0" applyFont="1" applyBorder="1" applyAlignment="1" applyProtection="1">
      <alignment vertical="center"/>
    </xf>
    <xf numFmtId="0" fontId="0" fillId="0" borderId="21" xfId="0" applyFont="1" applyBorder="1" applyAlignment="1" applyProtection="1">
      <alignment vertical="center"/>
    </xf>
    <xf numFmtId="0" fontId="0" fillId="0" borderId="22" xfId="0" applyFont="1" applyBorder="1" applyAlignment="1" applyProtection="1">
      <alignment vertical="center"/>
    </xf>
    <xf numFmtId="0" fontId="0" fillId="0" borderId="5" xfId="0" applyBorder="1" applyAlignment="1" applyProtection="1">
      <alignment horizontal="center"/>
    </xf>
    <xf numFmtId="0" fontId="0" fillId="0" borderId="13" xfId="0" applyBorder="1" applyAlignment="1" applyProtection="1">
      <alignment horizontal="center"/>
    </xf>
    <xf numFmtId="0" fontId="22" fillId="0" borderId="28" xfId="0" applyFont="1" applyBorder="1" applyAlignment="1" applyProtection="1">
      <alignment horizontal="left" vertical="center"/>
    </xf>
    <xf numFmtId="0" fontId="22" fillId="0" borderId="29" xfId="0" applyFont="1" applyBorder="1" applyAlignment="1" applyProtection="1">
      <alignment horizontal="left" vertical="center"/>
    </xf>
    <xf numFmtId="0" fontId="22" fillId="0" borderId="30" xfId="0" applyFont="1" applyBorder="1" applyAlignment="1" applyProtection="1">
      <alignment horizontal="left" vertical="center"/>
    </xf>
    <xf numFmtId="0" fontId="0" fillId="0" borderId="0" xfId="0" applyBorder="1" applyAlignment="1" applyProtection="1">
      <alignment vertical="center"/>
    </xf>
    <xf numFmtId="0" fontId="0" fillId="0" borderId="11" xfId="0" applyBorder="1" applyAlignment="1" applyProtection="1">
      <alignment vertical="center"/>
    </xf>
    <xf numFmtId="0" fontId="0" fillId="0" borderId="10" xfId="0" applyBorder="1" applyProtection="1"/>
    <xf numFmtId="0" fontId="0" fillId="0" borderId="0" xfId="0" applyBorder="1" applyProtection="1"/>
    <xf numFmtId="0" fontId="0" fillId="0" borderId="11" xfId="0" applyBorder="1" applyProtection="1"/>
    <xf numFmtId="0" fontId="23" fillId="0" borderId="11" xfId="0" applyFont="1" applyBorder="1" applyAlignment="1" applyProtection="1">
      <alignment horizontal="left" vertical="center"/>
    </xf>
    <xf numFmtId="0" fontId="0" fillId="0" borderId="19" xfId="0" applyFont="1" applyBorder="1" applyAlignment="1" applyProtection="1">
      <alignment horizontal="left" vertical="center"/>
    </xf>
    <xf numFmtId="0" fontId="0" fillId="0" borderId="7" xfId="0" applyBorder="1" applyAlignment="1" applyProtection="1">
      <alignment vertical="center"/>
    </xf>
    <xf numFmtId="0" fontId="0" fillId="0" borderId="9" xfId="0" applyFont="1" applyBorder="1" applyAlignment="1" applyProtection="1">
      <alignment horizontal="left" vertical="center"/>
    </xf>
    <xf numFmtId="177" fontId="19" fillId="0" borderId="1" xfId="0" applyNumberFormat="1" applyFont="1" applyBorder="1" applyAlignment="1" applyProtection="1">
      <alignment horizontal="right" vertical="center" shrinkToFit="1"/>
    </xf>
    <xf numFmtId="177" fontId="19" fillId="0" borderId="19" xfId="0" applyNumberFormat="1" applyFont="1" applyBorder="1" applyAlignment="1" applyProtection="1">
      <alignment horizontal="center" vertical="center"/>
    </xf>
    <xf numFmtId="177" fontId="19" fillId="0" borderId="1" xfId="0" applyNumberFormat="1" applyFont="1" applyBorder="1" applyAlignment="1" applyProtection="1">
      <alignment horizontal="right" vertical="center"/>
    </xf>
    <xf numFmtId="177" fontId="0" fillId="0" borderId="0" xfId="0" applyNumberFormat="1" applyAlignment="1" applyProtection="1">
      <alignment vertical="center"/>
    </xf>
    <xf numFmtId="177" fontId="19" fillId="4" borderId="1" xfId="0" applyNumberFormat="1" applyFont="1" applyFill="1" applyBorder="1" applyAlignment="1" applyProtection="1">
      <alignment horizontal="right" vertical="center"/>
      <protection locked="0"/>
    </xf>
    <xf numFmtId="0" fontId="0" fillId="0" borderId="0" xfId="0" applyProtection="1"/>
    <xf numFmtId="177" fontId="20" fillId="0" borderId="1" xfId="0" applyNumberFormat="1" applyFont="1" applyBorder="1" applyAlignment="1" applyProtection="1">
      <alignment horizontal="right" vertical="center"/>
    </xf>
    <xf numFmtId="177" fontId="19" fillId="0" borderId="0" xfId="0" applyNumberFormat="1" applyFont="1" applyBorder="1" applyAlignment="1" applyProtection="1">
      <alignment horizontal="right" vertical="center"/>
    </xf>
    <xf numFmtId="0" fontId="0" fillId="0" borderId="10" xfId="0" applyFont="1" applyBorder="1" applyAlignment="1" applyProtection="1">
      <alignment vertical="center"/>
    </xf>
    <xf numFmtId="0" fontId="0" fillId="0" borderId="11" xfId="0" applyFont="1" applyBorder="1" applyAlignment="1" applyProtection="1">
      <alignment vertical="center"/>
    </xf>
    <xf numFmtId="0" fontId="22" fillId="0" borderId="10" xfId="0" applyFont="1" applyBorder="1" applyAlignment="1" applyProtection="1">
      <alignment horizontal="left" vertical="center"/>
    </xf>
    <xf numFmtId="0" fontId="22" fillId="0" borderId="0" xfId="0" applyFont="1" applyBorder="1" applyAlignment="1" applyProtection="1">
      <alignment horizontal="left" vertical="center"/>
    </xf>
    <xf numFmtId="0" fontId="22" fillId="0" borderId="11" xfId="0" applyFont="1" applyBorder="1" applyAlignment="1" applyProtection="1">
      <alignment horizontal="left" vertical="center"/>
    </xf>
    <xf numFmtId="0" fontId="0" fillId="4" borderId="1" xfId="0" applyFont="1" applyFill="1" applyBorder="1" applyAlignment="1" applyProtection="1">
      <alignment vertical="center"/>
      <protection locked="0"/>
    </xf>
    <xf numFmtId="177" fontId="20" fillId="0" borderId="1" xfId="0" applyNumberFormat="1" applyFont="1" applyBorder="1" applyAlignment="1" applyProtection="1">
      <alignment horizontal="right" vertical="center" shrinkToFit="1"/>
    </xf>
    <xf numFmtId="177" fontId="0" fillId="0" borderId="0" xfId="0" applyNumberFormat="1" applyBorder="1" applyAlignment="1" applyProtection="1">
      <alignment vertical="center"/>
    </xf>
    <xf numFmtId="0" fontId="0" fillId="0" borderId="12" xfId="0" applyBorder="1" applyAlignment="1" applyProtection="1">
      <alignment vertical="center"/>
    </xf>
    <xf numFmtId="0" fontId="0" fillId="0" borderId="13" xfId="0" applyBorder="1" applyAlignment="1" applyProtection="1">
      <alignment vertical="center"/>
    </xf>
    <xf numFmtId="0" fontId="0" fillId="0" borderId="14" xfId="0" applyBorder="1" applyAlignment="1" applyProtection="1">
      <alignment vertical="center"/>
    </xf>
    <xf numFmtId="2" fontId="0" fillId="2" borderId="1" xfId="0" applyNumberFormat="1" applyFill="1" applyBorder="1" applyAlignment="1" applyProtection="1">
      <alignment vertical="center"/>
    </xf>
    <xf numFmtId="0" fontId="15" fillId="0" borderId="18" xfId="0" applyFont="1" applyBorder="1" applyAlignment="1" applyProtection="1">
      <alignment horizontal="left" vertical="center"/>
    </xf>
    <xf numFmtId="0" fontId="15" fillId="0" borderId="1" xfId="0" applyFont="1" applyBorder="1" applyAlignment="1" applyProtection="1">
      <alignment horizontal="left" vertical="center"/>
    </xf>
    <xf numFmtId="0" fontId="24" fillId="5" borderId="1" xfId="0" applyFont="1" applyFill="1" applyBorder="1" applyAlignment="1" applyProtection="1">
      <alignment horizontal="left" vertical="center"/>
      <protection locked="0"/>
    </xf>
    <xf numFmtId="0" fontId="15" fillId="0" borderId="19" xfId="0" applyFont="1" applyBorder="1" applyAlignment="1" applyProtection="1">
      <alignment horizontal="left" vertical="center"/>
    </xf>
    <xf numFmtId="0" fontId="15" fillId="0" borderId="28" xfId="0" applyFont="1" applyBorder="1" applyAlignment="1" applyProtection="1">
      <alignment horizontal="center" vertical="center"/>
    </xf>
    <xf numFmtId="0" fontId="15" fillId="0" borderId="29" xfId="0" applyFont="1" applyBorder="1" applyAlignment="1" applyProtection="1">
      <alignment horizontal="center" vertical="center"/>
    </xf>
    <xf numFmtId="0" fontId="15" fillId="0" borderId="30" xfId="0" applyFont="1" applyBorder="1" applyAlignment="1" applyProtection="1">
      <alignment horizontal="center" vertical="center"/>
    </xf>
    <xf numFmtId="0" fontId="15" fillId="0" borderId="31" xfId="0" applyFont="1" applyBorder="1" applyAlignment="1" applyProtection="1">
      <alignment horizontal="left" vertical="center"/>
    </xf>
    <xf numFmtId="0" fontId="15" fillId="0" borderId="32" xfId="0" applyFont="1" applyBorder="1" applyAlignment="1" applyProtection="1">
      <alignment horizontal="left" vertical="center"/>
    </xf>
    <xf numFmtId="0" fontId="15" fillId="0" borderId="33" xfId="0" applyFont="1" applyBorder="1" applyAlignment="1" applyProtection="1">
      <alignment horizontal="left" vertical="center"/>
    </xf>
    <xf numFmtId="0" fontId="0" fillId="5" borderId="1" xfId="0" applyFill="1" applyBorder="1" applyProtection="1">
      <protection locked="0"/>
    </xf>
    <xf numFmtId="177" fontId="0" fillId="0" borderId="1" xfId="0" applyNumberFormat="1" applyBorder="1" applyAlignment="1" applyProtection="1">
      <alignment vertical="center"/>
    </xf>
    <xf numFmtId="0" fontId="0" fillId="5" borderId="0" xfId="0" applyFill="1" applyBorder="1" applyAlignment="1" applyProtection="1">
      <alignment vertical="center"/>
      <protection locked="0"/>
    </xf>
    <xf numFmtId="2" fontId="0" fillId="2" borderId="21" xfId="0" applyNumberFormat="1" applyFill="1" applyBorder="1" applyAlignment="1" applyProtection="1">
      <alignment vertical="center"/>
    </xf>
    <xf numFmtId="0" fontId="25" fillId="3" borderId="0" xfId="0" applyFont="1" applyFill="1" applyAlignment="1">
      <alignment horizontal="center" vertical="center"/>
    </xf>
    <xf numFmtId="0" fontId="26" fillId="3" borderId="0" xfId="0" applyFont="1" applyFill="1" applyAlignment="1">
      <alignment vertical="center" wrapText="1"/>
    </xf>
    <xf numFmtId="0" fontId="0" fillId="3" borderId="0" xfId="0" applyFill="1" applyAlignment="1">
      <alignment horizontal="center"/>
    </xf>
    <xf numFmtId="0" fontId="26" fillId="3" borderId="0" xfId="0" applyFont="1" applyFill="1" applyAlignment="1">
      <alignment horizontal="left" vertical="center"/>
    </xf>
    <xf numFmtId="0" fontId="26" fillId="3" borderId="0" xfId="0" applyFont="1" applyFill="1" applyAlignment="1">
      <alignment vertical="center"/>
    </xf>
    <xf numFmtId="0" fontId="26" fillId="3"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6339805114782"/>
          <c:y val="0.0304348149146728"/>
        </c:manualLayout>
      </c:layout>
      <c:overlay val="0"/>
      <c:spPr>
        <a:noFill/>
        <a:ln w="25400">
          <a:noFill/>
        </a:ln>
      </c:spPr>
      <c:txPr>
        <a:bodyPr rot="0" spcFirstLastPara="0" vertOverflow="ellipsis" vert="horz" wrap="square" anchor="ctr" anchorCtr="1"/>
        <a:lstStyle/>
        <a:p>
          <a:pPr>
            <a:defRPr lang="zh-CN" sz="925" b="0" i="0" u="none" strike="noStrike" kern="1200" baseline="0">
              <a:solidFill>
                <a:srgbClr val="000000"/>
              </a:solidFill>
              <a:latin typeface="Arial" panose="020B0604020202020204"/>
              <a:ea typeface="Arial" panose="020B0604020202020204"/>
              <a:cs typeface="Arial" panose="020B0604020202020204"/>
            </a:defRPr>
          </a:pPr>
        </a:p>
      </c:txPr>
    </c:title>
    <c:autoTitleDeleted val="0"/>
    <c:plotArea>
      <c:layout>
        <c:manualLayout>
          <c:layoutTarget val="inner"/>
          <c:xMode val="edge"/>
          <c:yMode val="edge"/>
          <c:x val="0.0954907780190404"/>
          <c:y val="0.143478413169172"/>
          <c:w val="0.696286923055503"/>
          <c:h val="0.671739843473849"/>
        </c:manualLayout>
      </c:layout>
      <c:scatterChart>
        <c:scatterStyle val="line"/>
        <c:varyColors val="0"/>
        <c:ser>
          <c:idx val="0"/>
          <c:order val="0"/>
          <c:tx>
            <c:strRef>
              <c:f>"M1M2 vs VCOMP"</c:f>
              <c:strCache>
                <c:ptCount val="1"/>
                <c:pt idx="0">
                  <c:v>M1M2 vs VCOMP</c:v>
                </c:pt>
              </c:strCache>
            </c:strRef>
          </c:tx>
          <c:spPr>
            <a:ln w="38100" cap="rnd" cmpd="sng" algn="ctr">
              <a:solidFill>
                <a:srgbClr val="FF0000"/>
              </a:solidFill>
              <a:prstDash val="solid"/>
              <a:round/>
            </a:ln>
          </c:spPr>
          <c:marker>
            <c:symbol val="none"/>
          </c:marker>
          <c:dLbls>
            <c:delete val="1"/>
          </c:dLbls>
          <c:xVal>
            <c:numRef>
              <c:f>data!$A$33:$A$173</c:f>
              <c:numCache>
                <c:formatCode>General</c:formatCode>
                <c:ptCount val="141"/>
                <c:pt idx="0">
                  <c:v>0</c:v>
                </c:pt>
                <c:pt idx="1">
                  <c:v>0.05</c:v>
                </c:pt>
                <c:pt idx="2">
                  <c:v>0.1</c:v>
                </c:pt>
                <c:pt idx="3">
                  <c:v>0.15</c:v>
                </c:pt>
                <c:pt idx="4">
                  <c:v>0.2</c:v>
                </c:pt>
                <c:pt idx="5">
                  <c:v>0.25</c:v>
                </c:pt>
                <c:pt idx="6">
                  <c:v>0.3</c:v>
                </c:pt>
                <c:pt idx="7">
                  <c:v>0.35</c:v>
                </c:pt>
                <c:pt idx="8">
                  <c:v>0.4</c:v>
                </c:pt>
                <c:pt idx="9">
                  <c:v>0.45</c:v>
                </c:pt>
                <c:pt idx="10">
                  <c:v>0.5</c:v>
                </c:pt>
                <c:pt idx="11">
                  <c:v>0.55</c:v>
                </c:pt>
                <c:pt idx="12">
                  <c:v>0.6</c:v>
                </c:pt>
                <c:pt idx="13">
                  <c:v>0.65</c:v>
                </c:pt>
                <c:pt idx="14">
                  <c:v>0.7</c:v>
                </c:pt>
                <c:pt idx="15">
                  <c:v>0.75</c:v>
                </c:pt>
                <c:pt idx="16">
                  <c:v>0.8</c:v>
                </c:pt>
                <c:pt idx="17">
                  <c:v>0.85</c:v>
                </c:pt>
                <c:pt idx="18">
                  <c:v>0.9</c:v>
                </c:pt>
                <c:pt idx="19">
                  <c:v>0.95</c:v>
                </c:pt>
                <c:pt idx="20">
                  <c:v>1</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3.59999999999999</c:v>
                </c:pt>
                <c:pt idx="73">
                  <c:v>3.64999999999999</c:v>
                </c:pt>
                <c:pt idx="74">
                  <c:v>3.69999999999999</c:v>
                </c:pt>
                <c:pt idx="75">
                  <c:v>3.74999999999999</c:v>
                </c:pt>
                <c:pt idx="76">
                  <c:v>3.79999999999999</c:v>
                </c:pt>
                <c:pt idx="77">
                  <c:v>3.84999999999999</c:v>
                </c:pt>
                <c:pt idx="78">
                  <c:v>3.89999999999999</c:v>
                </c:pt>
                <c:pt idx="79">
                  <c:v>3.94999999999999</c:v>
                </c:pt>
                <c:pt idx="80">
                  <c:v>3.99999999999999</c:v>
                </c:pt>
                <c:pt idx="81">
                  <c:v>4.04999999999999</c:v>
                </c:pt>
                <c:pt idx="82">
                  <c:v>4.09999999999999</c:v>
                </c:pt>
                <c:pt idx="83">
                  <c:v>4.14999999999999</c:v>
                </c:pt>
                <c:pt idx="84">
                  <c:v>4.19999999999999</c:v>
                </c:pt>
                <c:pt idx="85">
                  <c:v>4.24999999999999</c:v>
                </c:pt>
                <c:pt idx="86">
                  <c:v>4.29999999999999</c:v>
                </c:pt>
                <c:pt idx="87">
                  <c:v>4.34999999999999</c:v>
                </c:pt>
                <c:pt idx="88">
                  <c:v>4.39999999999999</c:v>
                </c:pt>
                <c:pt idx="89">
                  <c:v>4.44999999999999</c:v>
                </c:pt>
                <c:pt idx="90">
                  <c:v>4.49999999999999</c:v>
                </c:pt>
                <c:pt idx="91">
                  <c:v>4.54999999999999</c:v>
                </c:pt>
                <c:pt idx="92">
                  <c:v>4.59999999999999</c:v>
                </c:pt>
                <c:pt idx="93">
                  <c:v>4.64999999999999</c:v>
                </c:pt>
                <c:pt idx="94">
                  <c:v>4.69999999999999</c:v>
                </c:pt>
                <c:pt idx="95">
                  <c:v>4.74999999999999</c:v>
                </c:pt>
                <c:pt idx="96">
                  <c:v>4.79999999999999</c:v>
                </c:pt>
                <c:pt idx="97">
                  <c:v>4.84999999999999</c:v>
                </c:pt>
                <c:pt idx="98">
                  <c:v>4.89999999999999</c:v>
                </c:pt>
                <c:pt idx="99">
                  <c:v>4.94999999999999</c:v>
                </c:pt>
                <c:pt idx="100">
                  <c:v>4.99999999999999</c:v>
                </c:pt>
                <c:pt idx="101">
                  <c:v>5.04999999999999</c:v>
                </c:pt>
                <c:pt idx="102">
                  <c:v>5.09999999999999</c:v>
                </c:pt>
                <c:pt idx="103">
                  <c:v>5.14999999999999</c:v>
                </c:pt>
                <c:pt idx="104">
                  <c:v>5.19999999999999</c:v>
                </c:pt>
                <c:pt idx="105">
                  <c:v>5.24999999999999</c:v>
                </c:pt>
                <c:pt idx="106">
                  <c:v>5.29999999999999</c:v>
                </c:pt>
                <c:pt idx="107">
                  <c:v>5.34999999999999</c:v>
                </c:pt>
                <c:pt idx="108">
                  <c:v>5.39999999999999</c:v>
                </c:pt>
                <c:pt idx="109">
                  <c:v>5.44999999999999</c:v>
                </c:pt>
                <c:pt idx="110">
                  <c:v>5.49999999999999</c:v>
                </c:pt>
                <c:pt idx="111">
                  <c:v>5.54999999999999</c:v>
                </c:pt>
                <c:pt idx="112">
                  <c:v>5.59999999999999</c:v>
                </c:pt>
                <c:pt idx="113">
                  <c:v>5.64999999999999</c:v>
                </c:pt>
                <c:pt idx="114">
                  <c:v>5.69999999999999</c:v>
                </c:pt>
                <c:pt idx="115">
                  <c:v>5.74999999999999</c:v>
                </c:pt>
                <c:pt idx="116">
                  <c:v>5.79999999999999</c:v>
                </c:pt>
                <c:pt idx="117">
                  <c:v>5.84999999999999</c:v>
                </c:pt>
                <c:pt idx="118">
                  <c:v>5.89999999999999</c:v>
                </c:pt>
                <c:pt idx="119">
                  <c:v>5.94999999999999</c:v>
                </c:pt>
                <c:pt idx="120">
                  <c:v>5.99999999999999</c:v>
                </c:pt>
                <c:pt idx="121">
                  <c:v>6.04999999999999</c:v>
                </c:pt>
                <c:pt idx="122">
                  <c:v>6.09999999999999</c:v>
                </c:pt>
                <c:pt idx="123">
                  <c:v>6.14999999999999</c:v>
                </c:pt>
                <c:pt idx="124">
                  <c:v>6.19999999999999</c:v>
                </c:pt>
                <c:pt idx="125">
                  <c:v>6.24999999999999</c:v>
                </c:pt>
                <c:pt idx="126">
                  <c:v>6.29999999999999</c:v>
                </c:pt>
                <c:pt idx="127">
                  <c:v>6.34999999999999</c:v>
                </c:pt>
                <c:pt idx="128">
                  <c:v>6.39999999999999</c:v>
                </c:pt>
                <c:pt idx="129">
                  <c:v>6.44999999999999</c:v>
                </c:pt>
                <c:pt idx="130">
                  <c:v>6.49999999999998</c:v>
                </c:pt>
                <c:pt idx="131">
                  <c:v>6.54999999999998</c:v>
                </c:pt>
                <c:pt idx="132">
                  <c:v>6.59999999999998</c:v>
                </c:pt>
                <c:pt idx="133">
                  <c:v>6.64999999999998</c:v>
                </c:pt>
                <c:pt idx="134">
                  <c:v>6.69999999999998</c:v>
                </c:pt>
                <c:pt idx="135">
                  <c:v>6.74999999999998</c:v>
                </c:pt>
                <c:pt idx="136">
                  <c:v>6.79999999999998</c:v>
                </c:pt>
                <c:pt idx="137">
                  <c:v>6.84999999999998</c:v>
                </c:pt>
                <c:pt idx="138">
                  <c:v>6.89999999999998</c:v>
                </c:pt>
                <c:pt idx="139">
                  <c:v>6.94999999999998</c:v>
                </c:pt>
                <c:pt idx="140">
                  <c:v>6.99999999999998</c:v>
                </c:pt>
              </c:numCache>
            </c:numRef>
          </c:xVal>
          <c:yVal>
            <c:numRef>
              <c:f>data!$D$33:$D$173</c:f>
              <c:numCache>
                <c:formatCode>0.000</c:formatCode>
                <c:ptCount val="1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1.95680000000006e-5</c:v>
                </c:pt>
                <c:pt idx="32">
                  <c:v>7.82720000000012e-5</c:v>
                </c:pt>
                <c:pt idx="33">
                  <c:v>0.000176112000000002</c:v>
                </c:pt>
                <c:pt idx="34">
                  <c:v>0.000313088000000003</c:v>
                </c:pt>
                <c:pt idx="35">
                  <c:v>0.000489200000000004</c:v>
                </c:pt>
                <c:pt idx="36">
                  <c:v>0.000704448000000005</c:v>
                </c:pt>
                <c:pt idx="37">
                  <c:v>0.000958832000000005</c:v>
                </c:pt>
                <c:pt idx="38">
                  <c:v>0.00125235200000001</c:v>
                </c:pt>
                <c:pt idx="39">
                  <c:v>0.00158500800000001</c:v>
                </c:pt>
                <c:pt idx="40">
                  <c:v>0.00195680000000001</c:v>
                </c:pt>
                <c:pt idx="41">
                  <c:v>0.00262484846250001</c:v>
                </c:pt>
                <c:pt idx="42">
                  <c:v>0.00342978120000001</c:v>
                </c:pt>
                <c:pt idx="43">
                  <c:v>0.00438434798750001</c:v>
                </c:pt>
                <c:pt idx="44">
                  <c:v>0.00550129860000001</c:v>
                </c:pt>
                <c:pt idx="45">
                  <c:v>0.0067933828125</c:v>
                </c:pt>
                <c:pt idx="46">
                  <c:v>0.0082733504</c:v>
                </c:pt>
                <c:pt idx="47">
                  <c:v>0.00995395113749999</c:v>
                </c:pt>
                <c:pt idx="48">
                  <c:v>0.0118479348</c:v>
                </c:pt>
                <c:pt idx="49">
                  <c:v>0.0139680511625</c:v>
                </c:pt>
                <c:pt idx="50">
                  <c:v>0.01632705</c:v>
                </c:pt>
                <c:pt idx="51">
                  <c:v>0.0189376810874999</c:v>
                </c:pt>
                <c:pt idx="52">
                  <c:v>0.0218126941999999</c:v>
                </c:pt>
                <c:pt idx="53">
                  <c:v>0.0249648391124999</c:v>
                </c:pt>
                <c:pt idx="54">
                  <c:v>0.0284068655999999</c:v>
                </c:pt>
                <c:pt idx="55">
                  <c:v>0.0321515234374999</c:v>
                </c:pt>
                <c:pt idx="56">
                  <c:v>0.0362115623999998</c:v>
                </c:pt>
                <c:pt idx="57">
                  <c:v>0.0405997322624998</c:v>
                </c:pt>
                <c:pt idx="58">
                  <c:v>0.0453287827999998</c:v>
                </c:pt>
                <c:pt idx="59">
                  <c:v>0.0504114637874998</c:v>
                </c:pt>
                <c:pt idx="60">
                  <c:v>0.0564108749999996</c:v>
                </c:pt>
                <c:pt idx="61">
                  <c:v>0.0643331479624996</c:v>
                </c:pt>
                <c:pt idx="62">
                  <c:v>0.0729181951999995</c:v>
                </c:pt>
                <c:pt idx="63">
                  <c:v>0.0821916079874994</c:v>
                </c:pt>
                <c:pt idx="64">
                  <c:v>0.0921789775999993</c:v>
                </c:pt>
                <c:pt idx="65">
                  <c:v>0.102905895312499</c:v>
                </c:pt>
                <c:pt idx="66">
                  <c:v>0.114397952399999</c:v>
                </c:pt>
                <c:pt idx="67">
                  <c:v>0.126680740137499</c:v>
                </c:pt>
                <c:pt idx="68">
                  <c:v>0.139779849799999</c:v>
                </c:pt>
                <c:pt idx="69">
                  <c:v>0.153720872662499</c:v>
                </c:pt>
                <c:pt idx="70">
                  <c:v>0.168529399999999</c:v>
                </c:pt>
                <c:pt idx="71">
                  <c:v>0.184231023087499</c:v>
                </c:pt>
                <c:pt idx="72">
                  <c:v>0.200851333199998</c:v>
                </c:pt>
                <c:pt idx="73">
                  <c:v>0.218415921612498</c:v>
                </c:pt>
                <c:pt idx="74">
                  <c:v>0.236950379599998</c:v>
                </c:pt>
                <c:pt idx="75">
                  <c:v>0.256480298437498</c:v>
                </c:pt>
                <c:pt idx="76">
                  <c:v>0.277031269399998</c:v>
                </c:pt>
                <c:pt idx="77">
                  <c:v>0.298628883762498</c:v>
                </c:pt>
                <c:pt idx="78">
                  <c:v>0.321298732799997</c:v>
                </c:pt>
                <c:pt idx="79">
                  <c:v>0.345066407787497</c:v>
                </c:pt>
                <c:pt idx="80">
                  <c:v>0.369957499999997</c:v>
                </c:pt>
                <c:pt idx="81">
                  <c:v>0.395997600712497</c:v>
                </c:pt>
                <c:pt idx="82">
                  <c:v>0.423212301199997</c:v>
                </c:pt>
                <c:pt idx="83">
                  <c:v>0.451627192737496</c:v>
                </c:pt>
                <c:pt idx="84">
                  <c:v>0.481267866599996</c:v>
                </c:pt>
                <c:pt idx="85">
                  <c:v>0.512159914062496</c:v>
                </c:pt>
                <c:pt idx="86">
                  <c:v>0.544328926399995</c:v>
                </c:pt>
                <c:pt idx="87">
                  <c:v>0.577800494887495</c:v>
                </c:pt>
                <c:pt idx="88">
                  <c:v>0.612600210799995</c:v>
                </c:pt>
                <c:pt idx="89">
                  <c:v>0.648753665412494</c:v>
                </c:pt>
                <c:pt idx="90">
                  <c:v>0.686286449999994</c:v>
                </c:pt>
                <c:pt idx="91">
                  <c:v>0.725224155837494</c:v>
                </c:pt>
                <c:pt idx="92">
                  <c:v>0.765592374199993</c:v>
                </c:pt>
                <c:pt idx="93">
                  <c:v>0.807416696362493</c:v>
                </c:pt>
                <c:pt idx="94">
                  <c:v>0.850722713599993</c:v>
                </c:pt>
                <c:pt idx="95">
                  <c:v>0.895536017187492</c:v>
                </c:pt>
                <c:pt idx="96">
                  <c:v>0.941882198399991</c:v>
                </c:pt>
                <c:pt idx="97">
                  <c:v>0.989786848512491</c:v>
                </c:pt>
                <c:pt idx="98">
                  <c:v>1.03927555879999</c:v>
                </c:pt>
                <c:pt idx="99">
                  <c:v>1.09037392053749</c:v>
                </c:pt>
                <c:pt idx="100">
                  <c:v>1.14310752499999</c:v>
                </c:pt>
                <c:pt idx="101">
                  <c:v>1.19750196346249</c:v>
                </c:pt>
                <c:pt idx="102">
                  <c:v>1.25358282719999</c:v>
                </c:pt>
                <c:pt idx="103">
                  <c:v>1.31137570748749</c:v>
                </c:pt>
                <c:pt idx="104">
                  <c:v>1.37090619559999</c:v>
                </c:pt>
                <c:pt idx="105">
                  <c:v>1.43219988281249</c:v>
                </c:pt>
                <c:pt idx="106">
                  <c:v>1.49528236039999</c:v>
                </c:pt>
                <c:pt idx="107">
                  <c:v>1.56017921963749</c:v>
                </c:pt>
                <c:pt idx="108">
                  <c:v>1.62691605179999</c:v>
                </c:pt>
                <c:pt idx="109">
                  <c:v>1.69551844816248</c:v>
                </c:pt>
                <c:pt idx="110">
                  <c:v>1.76601199999998</c:v>
                </c:pt>
                <c:pt idx="111">
                  <c:v>1.81144125224999</c:v>
                </c:pt>
                <c:pt idx="112">
                  <c:v>1.85644428899999</c:v>
                </c:pt>
                <c:pt idx="113">
                  <c:v>1.856568</c:v>
                </c:pt>
                <c:pt idx="114">
                  <c:v>1.856568</c:v>
                </c:pt>
                <c:pt idx="115">
                  <c:v>1.856568</c:v>
                </c:pt>
                <c:pt idx="116">
                  <c:v>1.856568</c:v>
                </c:pt>
                <c:pt idx="117">
                  <c:v>1.856568</c:v>
                </c:pt>
                <c:pt idx="118">
                  <c:v>1.856568</c:v>
                </c:pt>
                <c:pt idx="119">
                  <c:v>1.856568</c:v>
                </c:pt>
                <c:pt idx="120">
                  <c:v>1.856568</c:v>
                </c:pt>
                <c:pt idx="121">
                  <c:v>1.856568</c:v>
                </c:pt>
                <c:pt idx="122">
                  <c:v>1.856568</c:v>
                </c:pt>
                <c:pt idx="123">
                  <c:v>1.856568</c:v>
                </c:pt>
                <c:pt idx="124">
                  <c:v>1.856568</c:v>
                </c:pt>
                <c:pt idx="125">
                  <c:v>1.856568</c:v>
                </c:pt>
                <c:pt idx="126">
                  <c:v>1.856568</c:v>
                </c:pt>
                <c:pt idx="127">
                  <c:v>1.856568</c:v>
                </c:pt>
                <c:pt idx="128">
                  <c:v>1.856568</c:v>
                </c:pt>
                <c:pt idx="129">
                  <c:v>1.856568</c:v>
                </c:pt>
                <c:pt idx="130">
                  <c:v>1.856568</c:v>
                </c:pt>
                <c:pt idx="131">
                  <c:v>1.856568</c:v>
                </c:pt>
                <c:pt idx="132">
                  <c:v>1.856568</c:v>
                </c:pt>
                <c:pt idx="133">
                  <c:v>1.856568</c:v>
                </c:pt>
                <c:pt idx="134">
                  <c:v>1.856568</c:v>
                </c:pt>
                <c:pt idx="135">
                  <c:v>1.856568</c:v>
                </c:pt>
                <c:pt idx="136">
                  <c:v>1.856568</c:v>
                </c:pt>
                <c:pt idx="137">
                  <c:v>1.856568</c:v>
                </c:pt>
                <c:pt idx="138">
                  <c:v>1.856568</c:v>
                </c:pt>
                <c:pt idx="139">
                  <c:v>1.856568</c:v>
                </c:pt>
                <c:pt idx="140">
                  <c:v>1.856568</c:v>
                </c:pt>
              </c:numCache>
            </c:numRef>
          </c:yVal>
          <c:smooth val="0"/>
        </c:ser>
        <c:dLbls>
          <c:showLegendKey val="0"/>
          <c:showVal val="0"/>
          <c:showCatName val="0"/>
          <c:showSerName val="0"/>
          <c:showPercent val="0"/>
          <c:showBubbleSize val="0"/>
        </c:dLbls>
        <c:axId val="141161216"/>
        <c:axId val="141163136"/>
      </c:scatterChart>
      <c:valAx>
        <c:axId val="141161216"/>
        <c:scaling>
          <c:orientation val="minMax"/>
          <c:max val="7"/>
        </c:scaling>
        <c:delete val="0"/>
        <c:axPos val="b"/>
        <c:majorGridlines>
          <c:spPr>
            <a:ln w="3175" cap="flat" cmpd="sng" algn="ctr">
              <a:solidFill>
                <a:srgbClr val="000000"/>
              </a:solidFill>
              <a:prstDash val="solid"/>
              <a:round/>
            </a:ln>
          </c:spPr>
        </c:majorGridlines>
        <c:title>
          <c:tx>
            <c:rich>
              <a:bodyPr rot="0" spcFirstLastPara="0" vertOverflow="ellipsis" vert="horz" wrap="square" anchor="ctr" anchorCtr="1"/>
              <a:lstStyle/>
              <a:p>
                <a:pPr>
                  <a:defRPr lang="zh-CN" sz="925" b="1" i="0" u="none" strike="noStrike" kern="1200" baseline="0">
                    <a:solidFill>
                      <a:srgbClr val="000000"/>
                    </a:solidFill>
                    <a:latin typeface="Arial" panose="020B0604020202020204"/>
                    <a:ea typeface="Arial" panose="020B0604020202020204"/>
                    <a:cs typeface="Arial" panose="020B0604020202020204"/>
                  </a:defRPr>
                </a:pPr>
                <a:r>
                  <a:rPr lang="en-US"/>
                  <a:t>VCOMP</a:t>
                </a:r>
                <a:endParaRPr lang="en-US"/>
              </a:p>
            </c:rich>
          </c:tx>
          <c:layout>
            <c:manualLayout>
              <c:xMode val="edge"/>
              <c:yMode val="edge"/>
              <c:x val="0.412467110610022"/>
              <c:y val="0.880435717174462"/>
            </c:manualLayout>
          </c:layout>
          <c:overlay val="0"/>
          <c:spPr>
            <a:noFill/>
            <a:ln w="25400">
              <a:noFill/>
            </a:ln>
          </c:spPr>
        </c:title>
        <c:numFmt formatCode="General" sourceLinked="1"/>
        <c:majorTickMark val="out"/>
        <c:minorTickMark val="in"/>
        <c:tickLblPos val="nextTo"/>
        <c:spPr>
          <a:ln w="3175" cap="flat" cmpd="sng" algn="ctr">
            <a:solidFill>
              <a:srgbClr val="000000"/>
            </a:solidFill>
            <a:prstDash val="solid"/>
            <a:round/>
          </a:ln>
        </c:spPr>
        <c:txPr>
          <a:bodyPr rot="0" spcFirstLastPara="0" vertOverflow="ellipsis" vert="horz" wrap="square" anchor="ctr" anchorCtr="1"/>
          <a:lstStyle/>
          <a:p>
            <a:pPr>
              <a:defRPr lang="zh-CN" sz="925" b="0" i="0" u="none" strike="noStrike" kern="1200" baseline="0">
                <a:solidFill>
                  <a:srgbClr val="000000"/>
                </a:solidFill>
                <a:latin typeface="Arial" panose="020B0604020202020204"/>
                <a:ea typeface="Arial" panose="020B0604020202020204"/>
                <a:cs typeface="Arial" panose="020B0604020202020204"/>
              </a:defRPr>
            </a:pPr>
          </a:p>
        </c:txPr>
        <c:crossAx val="141163136"/>
        <c:crosses val="autoZero"/>
        <c:crossBetween val="midCat"/>
        <c:minorUnit val="0.1"/>
      </c:valAx>
      <c:valAx>
        <c:axId val="141163136"/>
        <c:scaling>
          <c:orientation val="minMax"/>
        </c:scaling>
        <c:delete val="0"/>
        <c:axPos val="l"/>
        <c:majorGridlines>
          <c:spPr>
            <a:ln w="3175" cap="flat" cmpd="sng" algn="ctr">
              <a:solidFill>
                <a:srgbClr val="000000"/>
              </a:solidFill>
              <a:prstDash val="solid"/>
              <a:round/>
            </a:ln>
          </c:spPr>
        </c:majorGridlines>
        <c:minorGridlines>
          <c:spPr>
            <a:ln w="3175" cap="flat" cmpd="sng" algn="ctr">
              <a:solidFill>
                <a:srgbClr val="000000"/>
              </a:solidFill>
              <a:prstDash val="solid"/>
              <a:round/>
            </a:ln>
          </c:spPr>
        </c:minorGridlines>
        <c:title>
          <c:tx>
            <c:rich>
              <a:bodyPr rot="-5400000" spcFirstLastPara="0" vertOverflow="ellipsis" vert="horz" wrap="square" anchor="ctr" anchorCtr="1"/>
              <a:lstStyle/>
              <a:p>
                <a:pPr>
                  <a:defRPr lang="zh-CN" sz="925" b="1" i="0" u="none" strike="noStrike" kern="1200" baseline="0">
                    <a:solidFill>
                      <a:srgbClr val="000000"/>
                    </a:solidFill>
                    <a:latin typeface="Arial" panose="020B0604020202020204"/>
                    <a:ea typeface="Arial" panose="020B0604020202020204"/>
                    <a:cs typeface="Arial" panose="020B0604020202020204"/>
                  </a:defRPr>
                </a:pPr>
                <a:r>
                  <a:rPr lang="en-US"/>
                  <a:t>M1M2</a:t>
                </a:r>
                <a:endParaRPr lang="en-US"/>
              </a:p>
            </c:rich>
          </c:tx>
          <c:layout>
            <c:manualLayout>
              <c:xMode val="edge"/>
              <c:yMode val="edge"/>
              <c:x val="0.0278514769222201"/>
              <c:y val="0.436956985560659"/>
            </c:manualLayout>
          </c:layout>
          <c:overlay val="0"/>
          <c:spPr>
            <a:noFill/>
            <a:ln w="25400">
              <a:noFill/>
            </a:ln>
          </c:spPr>
        </c:title>
        <c:numFmt formatCode="0.000" sourceLinked="1"/>
        <c:majorTickMark val="out"/>
        <c:minorTickMark val="in"/>
        <c:tickLblPos val="nextTo"/>
        <c:spPr>
          <a:ln w="3175" cap="flat" cmpd="sng" algn="ctr">
            <a:solidFill>
              <a:srgbClr val="000000"/>
            </a:solidFill>
            <a:prstDash val="solid"/>
            <a:round/>
          </a:ln>
        </c:spPr>
        <c:txPr>
          <a:bodyPr rot="0" spcFirstLastPara="0" vertOverflow="ellipsis" vert="horz" wrap="square" anchor="ctr" anchorCtr="1"/>
          <a:lstStyle/>
          <a:p>
            <a:pPr>
              <a:defRPr lang="zh-CN" sz="925" b="0" i="0" u="none" strike="noStrike" kern="1200" baseline="0">
                <a:solidFill>
                  <a:srgbClr val="000000"/>
                </a:solidFill>
                <a:latin typeface="Arial" panose="020B0604020202020204"/>
                <a:ea typeface="Arial" panose="020B0604020202020204"/>
                <a:cs typeface="Arial" panose="020B0604020202020204"/>
              </a:defRPr>
            </a:pPr>
          </a:p>
        </c:txPr>
        <c:crossAx val="141161216"/>
        <c:crosses val="autoZero"/>
        <c:crossBetween val="midCat"/>
      </c:valAx>
      <c:spPr>
        <a:noFill/>
        <a:ln w="12700">
          <a:solidFill>
            <a:srgbClr val="808080"/>
          </a:solidFill>
          <a:prstDash val="solid"/>
        </a:ln>
      </c:spPr>
    </c:plotArea>
    <c:plotVisOnly val="1"/>
    <c:dispBlanksAs val="gap"/>
    <c:showDLblsOverMax val="0"/>
  </c:chart>
  <c:spPr>
    <a:gradFill rotWithShape="0">
      <a:gsLst>
        <a:gs pos="0">
          <a:srgbClr val="FFFFFF"/>
        </a:gs>
        <a:gs pos="100000">
          <a:srgbClr val="FFFFCC"/>
        </a:gs>
      </a:gsLst>
      <a:lin ang="5400000" scaled="1"/>
    </a:gradFill>
    <a:ln w="3175" cap="flat" cmpd="sng" algn="ctr">
      <a:solidFill>
        <a:srgbClr val="000000"/>
      </a:solidFill>
      <a:prstDash val="solid"/>
      <a:round/>
    </a:ln>
  </c:spPr>
  <c:txPr>
    <a:bodyPr/>
    <a:lstStyle/>
    <a:p>
      <a:pPr>
        <a:defRPr lang="zh-CN" sz="925"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150" b="1" i="0" u="none" strike="noStrike" kern="1200" baseline="0">
                <a:solidFill>
                  <a:srgbClr val="000000"/>
                </a:solidFill>
                <a:latin typeface="Arial" panose="020B0604020202020204"/>
                <a:ea typeface="Arial" panose="020B0604020202020204"/>
                <a:cs typeface="Arial" panose="020B0604020202020204"/>
              </a:defRPr>
            </a:pPr>
            <a:r>
              <a:rPr lang="en-US"/>
              <a:t>Current Averaging Bode Plot</a:t>
            </a:r>
            <a:endParaRPr lang="en-US"/>
          </a:p>
        </c:rich>
      </c:tx>
      <c:layout>
        <c:manualLayout>
          <c:xMode val="edge"/>
          <c:yMode val="edge"/>
          <c:x val="0.362913907284768"/>
          <c:y val="0.0287907869481766"/>
        </c:manualLayout>
      </c:layout>
      <c:overlay val="0"/>
      <c:spPr>
        <a:noFill/>
        <a:ln w="25400">
          <a:noFill/>
        </a:ln>
      </c:spPr>
    </c:title>
    <c:autoTitleDeleted val="0"/>
    <c:plotArea>
      <c:layout>
        <c:manualLayout>
          <c:layoutTarget val="inner"/>
          <c:xMode val="edge"/>
          <c:yMode val="edge"/>
          <c:x val="0.107284768211921"/>
          <c:y val="0.143953934740883"/>
          <c:w val="0.788079470198676"/>
          <c:h val="0.664107485604607"/>
        </c:manualLayout>
      </c:layout>
      <c:scatterChart>
        <c:scatterStyle val="smooth"/>
        <c:varyColors val="0"/>
        <c:ser>
          <c:idx val="0"/>
          <c:order val="0"/>
          <c:tx>
            <c:strRef>
              <c:f>"Gain"</c:f>
              <c:strCache>
                <c:ptCount val="1"/>
                <c:pt idx="0">
                  <c:v>Gain</c:v>
                </c:pt>
              </c:strCache>
            </c:strRef>
          </c:tx>
          <c:spPr>
            <a:ln w="38100" cap="rnd" cmpd="sng" algn="ctr">
              <a:solidFill>
                <a:srgbClr val="FF0000"/>
              </a:solidFill>
              <a:prstDash val="solid"/>
              <a:round/>
            </a:ln>
          </c:spPr>
          <c:marker>
            <c:symbol val="none"/>
          </c:marker>
          <c:dLbls>
            <c:delete val="1"/>
          </c:dLbls>
          <c:xVal>
            <c:numRef>
              <c:f>data!$B$205:$B$255</c:f>
              <c:numCache>
                <c:formatCode>General</c:formatCode>
                <c:ptCount val="51"/>
                <c:pt idx="0">
                  <c:v>10</c:v>
                </c:pt>
                <c:pt idx="1">
                  <c:v>12.5892541179417</c:v>
                </c:pt>
                <c:pt idx="2">
                  <c:v>15.8489319246111</c:v>
                </c:pt>
                <c:pt idx="3">
                  <c:v>19.9526231496888</c:v>
                </c:pt>
                <c:pt idx="4">
                  <c:v>25.1188643150958</c:v>
                </c:pt>
                <c:pt idx="5">
                  <c:v>31.6227766016838</c:v>
                </c:pt>
                <c:pt idx="6">
                  <c:v>39.8107170553498</c:v>
                </c:pt>
                <c:pt idx="7">
                  <c:v>50.1187233627272</c:v>
                </c:pt>
                <c:pt idx="8">
                  <c:v>63.0957344480194</c:v>
                </c:pt>
                <c:pt idx="9">
                  <c:v>79.4328234724282</c:v>
                </c:pt>
                <c:pt idx="10">
                  <c:v>100</c:v>
                </c:pt>
                <c:pt idx="11">
                  <c:v>125.892541179417</c:v>
                </c:pt>
                <c:pt idx="12">
                  <c:v>158.489319246112</c:v>
                </c:pt>
                <c:pt idx="13">
                  <c:v>199.526231496888</c:v>
                </c:pt>
                <c:pt idx="14">
                  <c:v>251.188643150958</c:v>
                </c:pt>
                <c:pt idx="15">
                  <c:v>316.227766016838</c:v>
                </c:pt>
                <c:pt idx="16">
                  <c:v>398.107170553498</c:v>
                </c:pt>
                <c:pt idx="17">
                  <c:v>501.187233627273</c:v>
                </c:pt>
                <c:pt idx="18">
                  <c:v>630.957344480193</c:v>
                </c:pt>
                <c:pt idx="19">
                  <c:v>794.328234724282</c:v>
                </c:pt>
                <c:pt idx="20">
                  <c:v>1000</c:v>
                </c:pt>
                <c:pt idx="21">
                  <c:v>1258.92541179417</c:v>
                </c:pt>
                <c:pt idx="22">
                  <c:v>1584.89319246112</c:v>
                </c:pt>
                <c:pt idx="23">
                  <c:v>1995.26231496888</c:v>
                </c:pt>
                <c:pt idx="24">
                  <c:v>2511.88643150958</c:v>
                </c:pt>
                <c:pt idx="25">
                  <c:v>3162.27766016838</c:v>
                </c:pt>
                <c:pt idx="26">
                  <c:v>3981.07170553498</c:v>
                </c:pt>
                <c:pt idx="27">
                  <c:v>5011.87233627273</c:v>
                </c:pt>
                <c:pt idx="28">
                  <c:v>6309.57344480194</c:v>
                </c:pt>
                <c:pt idx="29">
                  <c:v>7943.28234724282</c:v>
                </c:pt>
                <c:pt idx="30">
                  <c:v>10000</c:v>
                </c:pt>
                <c:pt idx="31">
                  <c:v>12589.2541179417</c:v>
                </c:pt>
                <c:pt idx="32">
                  <c:v>15848.9319246111</c:v>
                </c:pt>
                <c:pt idx="33">
                  <c:v>19952.6231496888</c:v>
                </c:pt>
                <c:pt idx="34">
                  <c:v>25118.8643150959</c:v>
                </c:pt>
                <c:pt idx="35">
                  <c:v>31622.7766016838</c:v>
                </c:pt>
                <c:pt idx="36">
                  <c:v>39810.7170553497</c:v>
                </c:pt>
                <c:pt idx="37">
                  <c:v>50118.7233627273</c:v>
                </c:pt>
                <c:pt idx="38">
                  <c:v>63095.7344480193</c:v>
                </c:pt>
                <c:pt idx="39">
                  <c:v>79432.8234724282</c:v>
                </c:pt>
                <c:pt idx="40">
                  <c:v>100000</c:v>
                </c:pt>
                <c:pt idx="41">
                  <c:v>125892.541179417</c:v>
                </c:pt>
                <c:pt idx="42">
                  <c:v>158489.319246112</c:v>
                </c:pt>
                <c:pt idx="43">
                  <c:v>199526.231496888</c:v>
                </c:pt>
                <c:pt idx="44">
                  <c:v>251188.643150958</c:v>
                </c:pt>
                <c:pt idx="45">
                  <c:v>316227.766016838</c:v>
                </c:pt>
                <c:pt idx="46">
                  <c:v>398107.170553497</c:v>
                </c:pt>
                <c:pt idx="47">
                  <c:v>501187.233627273</c:v>
                </c:pt>
                <c:pt idx="48">
                  <c:v>630957.344480194</c:v>
                </c:pt>
                <c:pt idx="49">
                  <c:v>794328.234724283</c:v>
                </c:pt>
                <c:pt idx="50">
                  <c:v>1000000</c:v>
                </c:pt>
              </c:numCache>
            </c:numRef>
          </c:xVal>
          <c:yVal>
            <c:numRef>
              <c:f>data!$E$205:$E$255</c:f>
              <c:numCache>
                <c:formatCode>General</c:formatCode>
                <c:ptCount val="51"/>
                <c:pt idx="0">
                  <c:v>34.7871197780571</c:v>
                </c:pt>
                <c:pt idx="1">
                  <c:v>32.7871166931688</c:v>
                </c:pt>
                <c:pt idx="2">
                  <c:v>30.7871118039548</c:v>
                </c:pt>
                <c:pt idx="3">
                  <c:v>28.7871040550841</c:v>
                </c:pt>
                <c:pt idx="4">
                  <c:v>26.78709177398</c:v>
                </c:pt>
                <c:pt idx="5">
                  <c:v>24.7870723098128</c:v>
                </c:pt>
                <c:pt idx="6">
                  <c:v>22.7870414613656</c:v>
                </c:pt>
                <c:pt idx="7">
                  <c:v>20.7869925703203</c:v>
                </c:pt>
                <c:pt idx="8">
                  <c:v>18.7869150843628</c:v>
                </c:pt>
                <c:pt idx="9">
                  <c:v>16.7867922802281</c:v>
                </c:pt>
                <c:pt idx="10">
                  <c:v>14.7865976559038</c:v>
                </c:pt>
                <c:pt idx="11">
                  <c:v>12.7862892150018</c:v>
                </c:pt>
                <c:pt idx="12">
                  <c:v>10.7858004139831</c:v>
                </c:pt>
                <c:pt idx="13">
                  <c:v>8.78502582925049</c:v>
                </c:pt>
                <c:pt idx="14">
                  <c:v>6.78379847809734</c:v>
                </c:pt>
                <c:pt idx="15">
                  <c:v>4.78185396783409</c:v>
                </c:pt>
                <c:pt idx="16">
                  <c:v>2.77877390904615</c:v>
                </c:pt>
                <c:pt idx="17">
                  <c:v>0.773896814953249</c:v>
                </c:pt>
                <c:pt idx="18">
                  <c:v>-1.23382165684731</c:v>
                </c:pt>
                <c:pt idx="19">
                  <c:v>-3.24602658047814</c:v>
                </c:pt>
                <c:pt idx="20">
                  <c:v>-5.26530009568608</c:v>
                </c:pt>
                <c:pt idx="21">
                  <c:v>-7.29567242568919</c:v>
                </c:pt>
                <c:pt idx="22">
                  <c:v>-9.34337841379896</c:v>
                </c:pt>
                <c:pt idx="23">
                  <c:v>-11.4179299965714</c:v>
                </c:pt>
                <c:pt idx="24">
                  <c:v>-13.5335257851525</c:v>
                </c:pt>
                <c:pt idx="25">
                  <c:v>-15.7106543139569</c:v>
                </c:pt>
                <c:pt idx="26">
                  <c:v>-17.9773757181171</c:v>
                </c:pt>
                <c:pt idx="27">
                  <c:v>-20.3691656692712</c:v>
                </c:pt>
                <c:pt idx="28">
                  <c:v>-22.9256942988875</c:v>
                </c:pt>
                <c:pt idx="29">
                  <c:v>-25.6834347033053</c:v>
                </c:pt>
                <c:pt idx="30">
                  <c:v>-28.6655315920376</c:v>
                </c:pt>
                <c:pt idx="31">
                  <c:v>-31.873794822384</c:v>
                </c:pt>
                <c:pt idx="32">
                  <c:v>-35.288023211537</c:v>
                </c:pt>
                <c:pt idx="33">
                  <c:v>-38.8731407798865</c:v>
                </c:pt>
                <c:pt idx="34">
                  <c:v>-42.5893849184584</c:v>
                </c:pt>
                <c:pt idx="35">
                  <c:v>-46.4003120436342</c:v>
                </c:pt>
                <c:pt idx="36">
                  <c:v>-50.2766357943523</c:v>
                </c:pt>
                <c:pt idx="37">
                  <c:v>-54.1967493683701</c:v>
                </c:pt>
                <c:pt idx="38">
                  <c:v>-58.1455777082513</c:v>
                </c:pt>
                <c:pt idx="39">
                  <c:v>-62.1129775588976</c:v>
                </c:pt>
                <c:pt idx="40">
                  <c:v>-66.0922816262411</c:v>
                </c:pt>
                <c:pt idx="41">
                  <c:v>-70.0791724469214</c:v>
                </c:pt>
                <c:pt idx="42">
                  <c:v>-74.0708807074297</c:v>
                </c:pt>
                <c:pt idx="43">
                  <c:v>-78.0656408162209</c:v>
                </c:pt>
                <c:pt idx="44">
                  <c:v>-82.0623314125006</c:v>
                </c:pt>
                <c:pt idx="45">
                  <c:v>-86.0602420216104</c:v>
                </c:pt>
                <c:pt idx="46">
                  <c:v>-90.0589231876841</c:v>
                </c:pt>
                <c:pt idx="47">
                  <c:v>-94.058090853618</c:v>
                </c:pt>
                <c:pt idx="48">
                  <c:v>-98.0575656042366</c:v>
                </c:pt>
                <c:pt idx="49">
                  <c:v>-102.057234161593</c:v>
                </c:pt>
                <c:pt idx="50">
                  <c:v>-106.057025022407</c:v>
                </c:pt>
              </c:numCache>
            </c:numRef>
          </c:yVal>
          <c:smooth val="1"/>
        </c:ser>
        <c:dLbls>
          <c:showLegendKey val="0"/>
          <c:showVal val="0"/>
          <c:showCatName val="0"/>
          <c:showSerName val="0"/>
          <c:showPercent val="0"/>
          <c:showBubbleSize val="0"/>
        </c:dLbls>
        <c:axId val="141275904"/>
        <c:axId val="141277824"/>
      </c:scatterChart>
      <c:scatterChart>
        <c:scatterStyle val="line"/>
        <c:varyColors val="0"/>
        <c:ser>
          <c:idx val="1"/>
          <c:order val="1"/>
          <c:tx>
            <c:strRef>
              <c:f>"Phase"</c:f>
              <c:strCache>
                <c:ptCount val="1"/>
                <c:pt idx="0">
                  <c:v>Phase</c:v>
                </c:pt>
              </c:strCache>
            </c:strRef>
          </c:tx>
          <c:spPr>
            <a:ln w="38100" cap="rnd" cmpd="sng" algn="ctr">
              <a:solidFill>
                <a:srgbClr val="0000FF"/>
              </a:solidFill>
              <a:prstDash val="solid"/>
              <a:round/>
            </a:ln>
          </c:spPr>
          <c:marker>
            <c:symbol val="none"/>
          </c:marker>
          <c:dLbls>
            <c:delete val="1"/>
          </c:dLbls>
          <c:xVal>
            <c:numRef>
              <c:f>data!$B$205:$B$255</c:f>
              <c:numCache>
                <c:formatCode>General</c:formatCode>
                <c:ptCount val="51"/>
                <c:pt idx="0">
                  <c:v>10</c:v>
                </c:pt>
                <c:pt idx="1">
                  <c:v>12.5892541179417</c:v>
                </c:pt>
                <c:pt idx="2">
                  <c:v>15.8489319246111</c:v>
                </c:pt>
                <c:pt idx="3">
                  <c:v>19.9526231496888</c:v>
                </c:pt>
                <c:pt idx="4">
                  <c:v>25.1188643150958</c:v>
                </c:pt>
                <c:pt idx="5">
                  <c:v>31.6227766016838</c:v>
                </c:pt>
                <c:pt idx="6">
                  <c:v>39.8107170553498</c:v>
                </c:pt>
                <c:pt idx="7">
                  <c:v>50.1187233627272</c:v>
                </c:pt>
                <c:pt idx="8">
                  <c:v>63.0957344480194</c:v>
                </c:pt>
                <c:pt idx="9">
                  <c:v>79.4328234724282</c:v>
                </c:pt>
                <c:pt idx="10">
                  <c:v>100</c:v>
                </c:pt>
                <c:pt idx="11">
                  <c:v>125.892541179417</c:v>
                </c:pt>
                <c:pt idx="12">
                  <c:v>158.489319246112</c:v>
                </c:pt>
                <c:pt idx="13">
                  <c:v>199.526231496888</c:v>
                </c:pt>
                <c:pt idx="14">
                  <c:v>251.188643150958</c:v>
                </c:pt>
                <c:pt idx="15">
                  <c:v>316.227766016838</c:v>
                </c:pt>
                <c:pt idx="16">
                  <c:v>398.107170553498</c:v>
                </c:pt>
                <c:pt idx="17">
                  <c:v>501.187233627273</c:v>
                </c:pt>
                <c:pt idx="18">
                  <c:v>630.957344480193</c:v>
                </c:pt>
                <c:pt idx="19">
                  <c:v>794.328234724282</c:v>
                </c:pt>
                <c:pt idx="20">
                  <c:v>1000</c:v>
                </c:pt>
                <c:pt idx="21">
                  <c:v>1258.92541179417</c:v>
                </c:pt>
                <c:pt idx="22">
                  <c:v>1584.89319246112</c:v>
                </c:pt>
                <c:pt idx="23">
                  <c:v>1995.26231496888</c:v>
                </c:pt>
                <c:pt idx="24">
                  <c:v>2511.88643150958</c:v>
                </c:pt>
                <c:pt idx="25">
                  <c:v>3162.27766016838</c:v>
                </c:pt>
                <c:pt idx="26">
                  <c:v>3981.07170553498</c:v>
                </c:pt>
                <c:pt idx="27">
                  <c:v>5011.87233627273</c:v>
                </c:pt>
                <c:pt idx="28">
                  <c:v>6309.57344480194</c:v>
                </c:pt>
                <c:pt idx="29">
                  <c:v>7943.28234724282</c:v>
                </c:pt>
                <c:pt idx="30">
                  <c:v>10000</c:v>
                </c:pt>
                <c:pt idx="31">
                  <c:v>12589.2541179417</c:v>
                </c:pt>
                <c:pt idx="32">
                  <c:v>15848.9319246111</c:v>
                </c:pt>
                <c:pt idx="33">
                  <c:v>19952.6231496888</c:v>
                </c:pt>
                <c:pt idx="34">
                  <c:v>25118.8643150959</c:v>
                </c:pt>
                <c:pt idx="35">
                  <c:v>31622.7766016838</c:v>
                </c:pt>
                <c:pt idx="36">
                  <c:v>39810.7170553497</c:v>
                </c:pt>
                <c:pt idx="37">
                  <c:v>50118.7233627273</c:v>
                </c:pt>
                <c:pt idx="38">
                  <c:v>63095.7344480193</c:v>
                </c:pt>
                <c:pt idx="39">
                  <c:v>79432.8234724282</c:v>
                </c:pt>
                <c:pt idx="40">
                  <c:v>100000</c:v>
                </c:pt>
                <c:pt idx="41">
                  <c:v>125892.541179417</c:v>
                </c:pt>
                <c:pt idx="42">
                  <c:v>158489.319246112</c:v>
                </c:pt>
                <c:pt idx="43">
                  <c:v>199526.231496888</c:v>
                </c:pt>
                <c:pt idx="44">
                  <c:v>251188.643150958</c:v>
                </c:pt>
                <c:pt idx="45">
                  <c:v>316227.766016838</c:v>
                </c:pt>
                <c:pt idx="46">
                  <c:v>398107.170553497</c:v>
                </c:pt>
                <c:pt idx="47">
                  <c:v>501187.233627273</c:v>
                </c:pt>
                <c:pt idx="48">
                  <c:v>630957.344480194</c:v>
                </c:pt>
                <c:pt idx="49">
                  <c:v>794328.234724283</c:v>
                </c:pt>
                <c:pt idx="50">
                  <c:v>1000000</c:v>
                </c:pt>
              </c:numCache>
            </c:numRef>
          </c:xVal>
          <c:yVal>
            <c:numRef>
              <c:f>data!$F$205:$F$255</c:f>
              <c:numCache>
                <c:formatCode>General</c:formatCode>
                <c:ptCount val="51"/>
                <c:pt idx="0">
                  <c:v>-90.0631410908647</c:v>
                </c:pt>
                <c:pt idx="1">
                  <c:v>-90.0794899049968</c:v>
                </c:pt>
                <c:pt idx="2">
                  <c:v>-90.1000718238285</c:v>
                </c:pt>
                <c:pt idx="3">
                  <c:v>-90.1259828870942</c:v>
                </c:pt>
                <c:pt idx="4">
                  <c:v>-90.1586029085133</c:v>
                </c:pt>
                <c:pt idx="5">
                  <c:v>-90.1996689336198</c:v>
                </c:pt>
                <c:pt idx="6">
                  <c:v>-90.2513676993131</c:v>
                </c:pt>
                <c:pt idx="7">
                  <c:v>-90.3164519968689</c:v>
                </c:pt>
                <c:pt idx="8">
                  <c:v>-90.3983870911374</c:v>
                </c:pt>
                <c:pt idx="9">
                  <c:v>-90.5015349054517</c:v>
                </c:pt>
                <c:pt idx="10">
                  <c:v>-90.6313856055614</c:v>
                </c:pt>
                <c:pt idx="11">
                  <c:v>-90.7948485658481</c:v>
                </c:pt>
                <c:pt idx="12">
                  <c:v>-91.0006175160932</c:v>
                </c:pt>
                <c:pt idx="13">
                  <c:v>-91.2596279254694</c:v>
                </c:pt>
                <c:pt idx="14">
                  <c:v>-91.5856282148704</c:v>
                </c:pt>
                <c:pt idx="15">
                  <c:v>-91.9958897118999</c:v>
                </c:pt>
                <c:pt idx="16">
                  <c:v>-92.5120822186444</c:v>
                </c:pt>
                <c:pt idx="17">
                  <c:v>-93.1613401409237</c:v>
                </c:pt>
                <c:pt idx="18">
                  <c:v>-93.9775331551344</c:v>
                </c:pt>
                <c:pt idx="19">
                  <c:v>-95.0027251094404</c:v>
                </c:pt>
                <c:pt idx="20">
                  <c:v>-96.288735740608</c:v>
                </c:pt>
                <c:pt idx="21">
                  <c:v>-97.8985765930781</c:v>
                </c:pt>
                <c:pt idx="22">
                  <c:v>-99.9072570381664</c:v>
                </c:pt>
                <c:pt idx="23">
                  <c:v>-102.400968081475</c:v>
                </c:pt>
                <c:pt idx="24">
                  <c:v>-105.472886845686</c:v>
                </c:pt>
                <c:pt idx="25">
                  <c:v>-109.21290646884</c:v>
                </c:pt>
                <c:pt idx="26">
                  <c:v>-113.688128663783</c:v>
                </c:pt>
                <c:pt idx="27">
                  <c:v>-118.912684465544</c:v>
                </c:pt>
                <c:pt idx="28">
                  <c:v>-124.811964827535</c:v>
                </c:pt>
                <c:pt idx="29">
                  <c:v>-131.197796697614</c:v>
                </c:pt>
                <c:pt idx="30">
                  <c:v>-137.778637978754</c:v>
                </c:pt>
                <c:pt idx="31">
                  <c:v>-144.216212232033</c:v>
                </c:pt>
                <c:pt idx="32">
                  <c:v>-150.206878248532</c:v>
                </c:pt>
                <c:pt idx="33">
                  <c:v>-155.544460479766</c:v>
                </c:pt>
                <c:pt idx="34">
                  <c:v>-160.137639948312</c:v>
                </c:pt>
                <c:pt idx="35">
                  <c:v>-163.989022720473</c:v>
                </c:pt>
                <c:pt idx="36">
                  <c:v>-167.159675732808</c:v>
                </c:pt>
                <c:pt idx="37">
                  <c:v>-169.737490437868</c:v>
                </c:pt>
                <c:pt idx="38">
                  <c:v>-171.816006255064</c:v>
                </c:pt>
                <c:pt idx="39">
                  <c:v>-173.482900046827</c:v>
                </c:pt>
                <c:pt idx="40">
                  <c:v>-174.81504227841</c:v>
                </c:pt>
                <c:pt idx="41">
                  <c:v>-175.877291944018</c:v>
                </c:pt>
                <c:pt idx="42">
                  <c:v>-176.723130629222</c:v>
                </c:pt>
                <c:pt idx="43">
                  <c:v>-177.39604272482</c:v>
                </c:pt>
                <c:pt idx="44">
                  <c:v>-177.931077644056</c:v>
                </c:pt>
                <c:pt idx="45">
                  <c:v>-178.356332951558</c:v>
                </c:pt>
                <c:pt idx="46">
                  <c:v>-178.694256676916</c:v>
                </c:pt>
                <c:pt idx="47">
                  <c:v>-178.962744945544</c:v>
                </c:pt>
                <c:pt idx="48">
                  <c:v>-179.176045805919</c:v>
                </c:pt>
                <c:pt idx="49">
                  <c:v>-179.345493269256</c:v>
                </c:pt>
                <c:pt idx="50">
                  <c:v>-179.480098478429</c:v>
                </c:pt>
              </c:numCache>
            </c:numRef>
          </c:yVal>
          <c:smooth val="1"/>
        </c:ser>
        <c:dLbls>
          <c:showLegendKey val="0"/>
          <c:showVal val="0"/>
          <c:showCatName val="0"/>
          <c:showSerName val="0"/>
          <c:showPercent val="0"/>
          <c:showBubbleSize val="0"/>
        </c:dLbls>
        <c:axId val="142672640"/>
        <c:axId val="142674176"/>
      </c:scatterChart>
      <c:valAx>
        <c:axId val="141275904"/>
        <c:scaling>
          <c:logBase val="10"/>
          <c:orientation val="minMax"/>
          <c:max val="1000000"/>
          <c:min val="10"/>
        </c:scaling>
        <c:delete val="0"/>
        <c:axPos val="b"/>
        <c:majorGridlines>
          <c:spPr>
            <a:ln w="3175" cap="flat" cmpd="sng" algn="ctr">
              <a:solidFill>
                <a:srgbClr val="000000"/>
              </a:solidFill>
              <a:prstDash val="solid"/>
              <a:round/>
            </a:ln>
          </c:spPr>
        </c:majorGridlines>
        <c:minorGridlines>
          <c:spPr>
            <a:ln w="3175" cap="flat" cmpd="sng" algn="ctr">
              <a:solidFill>
                <a:srgbClr val="000000"/>
              </a:solidFill>
              <a:prstDash val="solid"/>
              <a:round/>
            </a:ln>
          </c:spPr>
        </c:minorGridlines>
        <c:title>
          <c:tx>
            <c:rich>
              <a:bodyPr rot="0" spcFirstLastPara="0" vertOverflow="ellipsis" vert="horz" wrap="square" anchor="ctr" anchorCtr="1"/>
              <a:lstStyle/>
              <a:p>
                <a:pPr>
                  <a:defRPr lang="zh-CN" sz="1075" b="1" i="0" u="none" strike="noStrike" kern="1200" baseline="0">
                    <a:solidFill>
                      <a:srgbClr val="000000"/>
                    </a:solidFill>
                    <a:latin typeface="Arial" panose="020B0604020202020204"/>
                    <a:ea typeface="Arial" panose="020B0604020202020204"/>
                    <a:cs typeface="Arial" panose="020B0604020202020204"/>
                  </a:defRPr>
                </a:pPr>
                <a:r>
                  <a:rPr lang="en-US"/>
                  <a:t>Frequency (Hz)</a:t>
                </a:r>
                <a:endParaRPr lang="en-US"/>
              </a:p>
            </c:rich>
          </c:tx>
          <c:layout>
            <c:manualLayout>
              <c:xMode val="edge"/>
              <c:yMode val="edge"/>
              <c:x val="0.427814569536424"/>
              <c:y val="0.869481765834933"/>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75" b="0" i="0" u="none" strike="noStrike" kern="1200" baseline="0">
                <a:solidFill>
                  <a:srgbClr val="000000"/>
                </a:solidFill>
                <a:latin typeface="Arial" panose="020B0604020202020204"/>
                <a:ea typeface="Arial" panose="020B0604020202020204"/>
                <a:cs typeface="Arial" panose="020B0604020202020204"/>
              </a:defRPr>
            </a:pPr>
          </a:p>
        </c:txPr>
        <c:crossAx val="141277824"/>
        <c:crossesAt val="-100"/>
        <c:crossBetween val="midCat"/>
        <c:majorUnit val="10"/>
        <c:minorUnit val="10"/>
      </c:valAx>
      <c:valAx>
        <c:axId val="141277824"/>
        <c:scaling>
          <c:orientation val="minMax"/>
          <c:max val="100"/>
          <c:min val="-100"/>
        </c:scaling>
        <c:delete val="0"/>
        <c:axPos val="l"/>
        <c:majorGridlines>
          <c:spPr>
            <a:ln w="3175" cap="flat" cmpd="sng" algn="ctr">
              <a:solidFill>
                <a:srgbClr val="000000"/>
              </a:solidFill>
              <a:prstDash val="solid"/>
              <a:round/>
            </a:ln>
          </c:spPr>
        </c:majorGridlines>
        <c:title>
          <c:tx>
            <c:rich>
              <a:bodyPr rot="-5400000" spcFirstLastPara="0" vertOverflow="ellipsis" vert="horz" wrap="square" anchor="ctr" anchorCtr="1"/>
              <a:lstStyle/>
              <a:p>
                <a:pPr>
                  <a:defRPr lang="zh-CN" sz="1075" b="1" i="0" u="none" strike="noStrike" kern="1200" baseline="0">
                    <a:solidFill>
                      <a:srgbClr val="000000"/>
                    </a:solidFill>
                    <a:latin typeface="Arial" panose="020B0604020202020204"/>
                    <a:ea typeface="Arial" panose="020B0604020202020204"/>
                    <a:cs typeface="Arial" panose="020B0604020202020204"/>
                  </a:defRPr>
                </a:pPr>
                <a:r>
                  <a:rPr lang="en-US"/>
                  <a:t>Gain (dB)</a:t>
                </a:r>
                <a:endParaRPr lang="en-US"/>
              </a:p>
            </c:rich>
          </c:tx>
          <c:layout>
            <c:manualLayout>
              <c:xMode val="edge"/>
              <c:yMode val="edge"/>
              <c:x val="0.0211920529801325"/>
              <c:y val="0.410748560460653"/>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75" b="0" i="0" u="none" strike="noStrike" kern="1200" baseline="0">
                <a:solidFill>
                  <a:srgbClr val="000000"/>
                </a:solidFill>
                <a:latin typeface="Arial" panose="020B0604020202020204"/>
                <a:ea typeface="Arial" panose="020B0604020202020204"/>
                <a:cs typeface="Arial" panose="020B0604020202020204"/>
              </a:defRPr>
            </a:pPr>
          </a:p>
        </c:txPr>
        <c:crossAx val="141275904"/>
        <c:crossesAt val="10"/>
        <c:crossBetween val="midCat"/>
        <c:minorUnit val="10"/>
      </c:valAx>
      <c:valAx>
        <c:axId val="142672640"/>
        <c:scaling>
          <c:logBase val="10"/>
          <c:orientation val="minMax"/>
        </c:scaling>
        <c:delete val="1"/>
        <c:axPos val="b"/>
        <c:numFmt formatCode="General" sourceLinked="1"/>
        <c:majorTickMark val="out"/>
        <c:minorTickMark val="none"/>
        <c:tickLblPos val="none"/>
        <c:txPr>
          <a:bodyPr rot="-60000000" spcFirstLastPara="0" vertOverflow="ellipsis" vert="horz" wrap="square" anchor="ctr" anchorCtr="1"/>
          <a:lstStyle/>
          <a:p>
            <a:pPr>
              <a:defRPr lang="zh-CN" sz="1075" b="0" i="0" u="none" strike="noStrike" kern="1200" baseline="0">
                <a:solidFill>
                  <a:srgbClr val="000000"/>
                </a:solidFill>
                <a:latin typeface="Arial" panose="020B0604020202020204"/>
                <a:ea typeface="Arial" panose="020B0604020202020204"/>
                <a:cs typeface="Arial" panose="020B0604020202020204"/>
              </a:defRPr>
            </a:pPr>
          </a:p>
        </c:txPr>
        <c:crossAx val="142674176"/>
        <c:crossesAt val="-180"/>
        <c:crossBetween val="midCat"/>
      </c:valAx>
      <c:valAx>
        <c:axId val="142674176"/>
        <c:scaling>
          <c:orientation val="minMax"/>
          <c:max val="-80"/>
          <c:min val="-180"/>
        </c:scaling>
        <c:delete val="0"/>
        <c:axPos val="r"/>
        <c:title>
          <c:tx>
            <c:rich>
              <a:bodyPr rot="5400000" spcFirstLastPara="0" vertOverflow="ellipsis" vert="horz" wrap="square" anchor="ctr" anchorCtr="1"/>
              <a:lstStyle/>
              <a:p>
                <a:pPr algn="ctr">
                  <a:defRPr lang="zh-CN" sz="1000" b="1" i="0" u="none" strike="noStrike" kern="1200" baseline="0">
                    <a:solidFill>
                      <a:srgbClr val="000000"/>
                    </a:solidFill>
                    <a:latin typeface="Arial" panose="020B0604020202020204"/>
                    <a:ea typeface="Arial" panose="020B0604020202020204"/>
                    <a:cs typeface="Arial" panose="020B0604020202020204"/>
                  </a:defRPr>
                </a:pPr>
                <a:r>
                  <a:rPr lang="en-US"/>
                  <a:t>Phase (degrees)</a:t>
                </a:r>
                <a:endParaRPr lang="en-US"/>
              </a:p>
            </c:rich>
          </c:tx>
          <c:layout>
            <c:manualLayout>
              <c:xMode val="edge"/>
              <c:yMode val="edge"/>
              <c:x val="0.949668874172185"/>
              <c:y val="0.374280230326296"/>
            </c:manualLayout>
          </c:layout>
          <c:overlay val="0"/>
          <c:spPr>
            <a:noFill/>
            <a:ln w="25400">
              <a:noFill/>
            </a:ln>
          </c:spPr>
        </c:title>
        <c:numFmt formatCode="General" sourceLinked="1"/>
        <c:majorTickMark val="cross"/>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75" b="0" i="0" u="none" strike="noStrike" kern="1200" baseline="0">
                <a:solidFill>
                  <a:srgbClr val="000000"/>
                </a:solidFill>
                <a:latin typeface="Arial" panose="020B0604020202020204"/>
                <a:ea typeface="Arial" panose="020B0604020202020204"/>
                <a:cs typeface="Arial" panose="020B0604020202020204"/>
              </a:defRPr>
            </a:pPr>
          </a:p>
        </c:txPr>
        <c:crossAx val="142672640"/>
        <c:crosses val="max"/>
        <c:crossBetween val="midCat"/>
        <c:minorUnit val="10"/>
      </c:valAx>
      <c:spPr>
        <a:gradFill rotWithShape="0">
          <a:gsLst>
            <a:gs pos="0">
              <a:srgbClr val="FFFFFF"/>
            </a:gs>
            <a:gs pos="100000">
              <a:srgbClr val="FFFFCC"/>
            </a:gs>
          </a:gsLst>
          <a:lin ang="5400000" scaled="1"/>
        </a:gradFill>
        <a:ln w="12700">
          <a:solidFill>
            <a:srgbClr val="808080"/>
          </a:solidFill>
          <a:prstDash val="solid"/>
        </a:ln>
      </c:spPr>
    </c:plotArea>
    <c:legend>
      <c:legendPos val="b"/>
      <c:layout>
        <c:manualLayout>
          <c:xMode val="edge"/>
          <c:yMode val="edge"/>
          <c:x val="0.406622516556291"/>
          <c:y val="0.938579654510557"/>
          <c:w val="0.189403973509934"/>
          <c:h val="0.0479846449136276"/>
        </c:manualLayout>
      </c:layout>
      <c:overlay val="0"/>
      <c:spPr>
        <a:solidFill>
          <a:srgbClr val="FFFFFF"/>
        </a:solidFill>
        <a:ln w="3175">
          <a:solidFill>
            <a:srgbClr val="000000"/>
          </a:solidFill>
          <a:prstDash val="solid"/>
        </a:ln>
      </c:spPr>
      <c:txPr>
        <a:bodyPr rot="0" spcFirstLastPara="0" vertOverflow="ellipsis" vert="horz" wrap="square" anchor="ctr" anchorCtr="1"/>
        <a:lstStyle/>
        <a:p>
          <a:pPr>
            <a:defRPr lang="zh-CN" sz="985" b="0"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75"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875" b="1" i="0" u="none" strike="noStrike" kern="1200" baseline="0">
                <a:solidFill>
                  <a:srgbClr val="000000"/>
                </a:solidFill>
                <a:latin typeface="Arial" panose="020B0604020202020204"/>
                <a:ea typeface="Arial" panose="020B0604020202020204"/>
                <a:cs typeface="Arial" panose="020B0604020202020204"/>
              </a:defRPr>
            </a:pPr>
            <a:r>
              <a:rPr lang="en-US"/>
              <a:t>Input Voltage and Current Waveforms</a:t>
            </a:r>
            <a:endParaRPr lang="en-US"/>
          </a:p>
        </c:rich>
      </c:tx>
      <c:layout>
        <c:manualLayout>
          <c:xMode val="edge"/>
          <c:yMode val="edge"/>
          <c:x val="0.357238179104129"/>
          <c:y val="0.0334261838440111"/>
        </c:manualLayout>
      </c:layout>
      <c:overlay val="0"/>
      <c:spPr>
        <a:noFill/>
        <a:ln w="25400">
          <a:noFill/>
        </a:ln>
      </c:spPr>
    </c:title>
    <c:autoTitleDeleted val="0"/>
    <c:plotArea>
      <c:layout>
        <c:manualLayout>
          <c:layoutTarget val="inner"/>
          <c:xMode val="edge"/>
          <c:yMode val="edge"/>
          <c:x val="0.0863214930920758"/>
          <c:y val="0.16991643454039"/>
          <c:w val="0.83267040259587"/>
          <c:h val="0.643454038997215"/>
        </c:manualLayout>
      </c:layout>
      <c:scatterChart>
        <c:scatterStyle val="smooth"/>
        <c:varyColors val="0"/>
        <c:ser>
          <c:idx val="0"/>
          <c:order val="0"/>
          <c:tx>
            <c:strRef>
              <c:f>"Vin"</c:f>
              <c:strCache>
                <c:ptCount val="1"/>
                <c:pt idx="0">
                  <c:v>Vin</c:v>
                </c:pt>
              </c:strCache>
            </c:strRef>
          </c:tx>
          <c:spPr>
            <a:ln w="38100" cap="rnd" cmpd="sng" algn="ctr">
              <a:solidFill>
                <a:srgbClr val="FF0000"/>
              </a:solidFill>
              <a:prstDash val="solid"/>
              <a:round/>
            </a:ln>
          </c:spPr>
          <c:marker>
            <c:symbol val="none"/>
          </c:marker>
          <c:dLbls>
            <c:delete val="1"/>
          </c:dLbls>
          <c:xVal>
            <c:numRef>
              <c:f>data!$A$273:$A$382</c:f>
              <c:numCache>
                <c:formatCode>General</c:formatCode>
                <c:ptCount val="110"/>
                <c:pt idx="0">
                  <c:v>0</c:v>
                </c:pt>
                <c:pt idx="1">
                  <c:v>0.1</c:v>
                </c:pt>
                <c:pt idx="2">
                  <c:v>0.2</c:v>
                </c:pt>
                <c:pt idx="3">
                  <c:v>0.3</c:v>
                </c:pt>
                <c:pt idx="4">
                  <c:v>0.4</c:v>
                </c:pt>
                <c:pt idx="5">
                  <c:v>0.5</c:v>
                </c:pt>
                <c:pt idx="6">
                  <c:v>0.6</c:v>
                </c:pt>
                <c:pt idx="7">
                  <c:v>0.7</c:v>
                </c:pt>
                <c:pt idx="8">
                  <c:v>0.8</c:v>
                </c:pt>
                <c:pt idx="9">
                  <c:v>0.9</c:v>
                </c:pt>
                <c:pt idx="10">
                  <c:v>1</c:v>
                </c:pt>
                <c:pt idx="11">
                  <c:v>2</c:v>
                </c:pt>
                <c:pt idx="12">
                  <c:v>3</c:v>
                </c:pt>
                <c:pt idx="13">
                  <c:v>4</c:v>
                </c:pt>
                <c:pt idx="14">
                  <c:v>5</c:v>
                </c:pt>
                <c:pt idx="15">
                  <c:v>6</c:v>
                </c:pt>
                <c:pt idx="16">
                  <c:v>7</c:v>
                </c:pt>
                <c:pt idx="17">
                  <c:v>8</c:v>
                </c:pt>
                <c:pt idx="18">
                  <c:v>9</c:v>
                </c:pt>
                <c:pt idx="19">
                  <c:v>10</c:v>
                </c:pt>
                <c:pt idx="20">
                  <c:v>11</c:v>
                </c:pt>
                <c:pt idx="21">
                  <c:v>12</c:v>
                </c:pt>
                <c:pt idx="22">
                  <c:v>13</c:v>
                </c:pt>
                <c:pt idx="23">
                  <c:v>14</c:v>
                </c:pt>
                <c:pt idx="24">
                  <c:v>15</c:v>
                </c:pt>
                <c:pt idx="25">
                  <c:v>16</c:v>
                </c:pt>
                <c:pt idx="26">
                  <c:v>17</c:v>
                </c:pt>
                <c:pt idx="27">
                  <c:v>18</c:v>
                </c:pt>
                <c:pt idx="28">
                  <c:v>19</c:v>
                </c:pt>
                <c:pt idx="29">
                  <c:v>20</c:v>
                </c:pt>
                <c:pt idx="30">
                  <c:v>21</c:v>
                </c:pt>
                <c:pt idx="31">
                  <c:v>22</c:v>
                </c:pt>
                <c:pt idx="32">
                  <c:v>23</c:v>
                </c:pt>
                <c:pt idx="33">
                  <c:v>24</c:v>
                </c:pt>
                <c:pt idx="34">
                  <c:v>25</c:v>
                </c:pt>
                <c:pt idx="35">
                  <c:v>26</c:v>
                </c:pt>
                <c:pt idx="36">
                  <c:v>27</c:v>
                </c:pt>
                <c:pt idx="37">
                  <c:v>28</c:v>
                </c:pt>
                <c:pt idx="38">
                  <c:v>29</c:v>
                </c:pt>
                <c:pt idx="39">
                  <c:v>30</c:v>
                </c:pt>
                <c:pt idx="40">
                  <c:v>31</c:v>
                </c:pt>
                <c:pt idx="41">
                  <c:v>32</c:v>
                </c:pt>
                <c:pt idx="42">
                  <c:v>33</c:v>
                </c:pt>
                <c:pt idx="43">
                  <c:v>34</c:v>
                </c:pt>
                <c:pt idx="44">
                  <c:v>35</c:v>
                </c:pt>
                <c:pt idx="45">
                  <c:v>36</c:v>
                </c:pt>
                <c:pt idx="46">
                  <c:v>37</c:v>
                </c:pt>
                <c:pt idx="47">
                  <c:v>38</c:v>
                </c:pt>
                <c:pt idx="48">
                  <c:v>39</c:v>
                </c:pt>
                <c:pt idx="49">
                  <c:v>40</c:v>
                </c:pt>
                <c:pt idx="50">
                  <c:v>41</c:v>
                </c:pt>
                <c:pt idx="51">
                  <c:v>42</c:v>
                </c:pt>
                <c:pt idx="52">
                  <c:v>43</c:v>
                </c:pt>
                <c:pt idx="53">
                  <c:v>44</c:v>
                </c:pt>
                <c:pt idx="54">
                  <c:v>45</c:v>
                </c:pt>
                <c:pt idx="55">
                  <c:v>46</c:v>
                </c:pt>
                <c:pt idx="56">
                  <c:v>47</c:v>
                </c:pt>
                <c:pt idx="57">
                  <c:v>48</c:v>
                </c:pt>
                <c:pt idx="58">
                  <c:v>49</c:v>
                </c:pt>
                <c:pt idx="59">
                  <c:v>50</c:v>
                </c:pt>
                <c:pt idx="60">
                  <c:v>51</c:v>
                </c:pt>
                <c:pt idx="61">
                  <c:v>52</c:v>
                </c:pt>
                <c:pt idx="62">
                  <c:v>53</c:v>
                </c:pt>
                <c:pt idx="63">
                  <c:v>54</c:v>
                </c:pt>
                <c:pt idx="64">
                  <c:v>55</c:v>
                </c:pt>
                <c:pt idx="65">
                  <c:v>56</c:v>
                </c:pt>
                <c:pt idx="66">
                  <c:v>57</c:v>
                </c:pt>
                <c:pt idx="67">
                  <c:v>58</c:v>
                </c:pt>
                <c:pt idx="68">
                  <c:v>59</c:v>
                </c:pt>
                <c:pt idx="69">
                  <c:v>60</c:v>
                </c:pt>
                <c:pt idx="70">
                  <c:v>61</c:v>
                </c:pt>
                <c:pt idx="71">
                  <c:v>62</c:v>
                </c:pt>
                <c:pt idx="72">
                  <c:v>63</c:v>
                </c:pt>
                <c:pt idx="73">
                  <c:v>64</c:v>
                </c:pt>
                <c:pt idx="74">
                  <c:v>65</c:v>
                </c:pt>
                <c:pt idx="75">
                  <c:v>66</c:v>
                </c:pt>
                <c:pt idx="76">
                  <c:v>67</c:v>
                </c:pt>
                <c:pt idx="77">
                  <c:v>68</c:v>
                </c:pt>
                <c:pt idx="78">
                  <c:v>69</c:v>
                </c:pt>
                <c:pt idx="79">
                  <c:v>70</c:v>
                </c:pt>
                <c:pt idx="80">
                  <c:v>71</c:v>
                </c:pt>
                <c:pt idx="81">
                  <c:v>72</c:v>
                </c:pt>
                <c:pt idx="82">
                  <c:v>73</c:v>
                </c:pt>
                <c:pt idx="83">
                  <c:v>74</c:v>
                </c:pt>
                <c:pt idx="84">
                  <c:v>75</c:v>
                </c:pt>
                <c:pt idx="85">
                  <c:v>76</c:v>
                </c:pt>
                <c:pt idx="86">
                  <c:v>77</c:v>
                </c:pt>
                <c:pt idx="87">
                  <c:v>78</c:v>
                </c:pt>
                <c:pt idx="88">
                  <c:v>79</c:v>
                </c:pt>
                <c:pt idx="89">
                  <c:v>80</c:v>
                </c:pt>
                <c:pt idx="90">
                  <c:v>81</c:v>
                </c:pt>
                <c:pt idx="91">
                  <c:v>82</c:v>
                </c:pt>
                <c:pt idx="92">
                  <c:v>83</c:v>
                </c:pt>
                <c:pt idx="93">
                  <c:v>84</c:v>
                </c:pt>
                <c:pt idx="94">
                  <c:v>85</c:v>
                </c:pt>
                <c:pt idx="95">
                  <c:v>86</c:v>
                </c:pt>
                <c:pt idx="96">
                  <c:v>87</c:v>
                </c:pt>
                <c:pt idx="97">
                  <c:v>88</c:v>
                </c:pt>
                <c:pt idx="98">
                  <c:v>89</c:v>
                </c:pt>
                <c:pt idx="99">
                  <c:v>90</c:v>
                </c:pt>
                <c:pt idx="100">
                  <c:v>91</c:v>
                </c:pt>
                <c:pt idx="101">
                  <c:v>92</c:v>
                </c:pt>
                <c:pt idx="102">
                  <c:v>93</c:v>
                </c:pt>
                <c:pt idx="103">
                  <c:v>94</c:v>
                </c:pt>
                <c:pt idx="104">
                  <c:v>95</c:v>
                </c:pt>
                <c:pt idx="105">
                  <c:v>96</c:v>
                </c:pt>
                <c:pt idx="106">
                  <c:v>97</c:v>
                </c:pt>
                <c:pt idx="107">
                  <c:v>98</c:v>
                </c:pt>
                <c:pt idx="108">
                  <c:v>99</c:v>
                </c:pt>
                <c:pt idx="109">
                  <c:v>100</c:v>
                </c:pt>
              </c:numCache>
            </c:numRef>
          </c:xVal>
          <c:yVal>
            <c:numRef>
              <c:f>data!$C$273:$C$382</c:f>
              <c:numCache>
                <c:formatCode>General</c:formatCode>
                <c:ptCount val="110"/>
                <c:pt idx="0">
                  <c:v>0</c:v>
                </c:pt>
                <c:pt idx="1">
                  <c:v>0.376981196500578</c:v>
                </c:pt>
                <c:pt idx="2">
                  <c:v>0.753902863300125</c:v>
                </c:pt>
                <c:pt idx="3">
                  <c:v>1.13070548009803</c:v>
                </c:pt>
                <c:pt idx="4">
                  <c:v>1.50732954539309</c:v>
                </c:pt>
                <c:pt idx="5">
                  <c:v>1.8837155858794</c:v>
                </c:pt>
                <c:pt idx="6">
                  <c:v>2.25980416583798</c:v>
                </c:pt>
                <c:pt idx="7">
                  <c:v>2.6355358965223</c:v>
                </c:pt>
                <c:pt idx="8">
                  <c:v>3.01085144553645</c:v>
                </c:pt>
                <c:pt idx="9">
                  <c:v>3.38569154620446</c:v>
                </c:pt>
                <c:pt idx="10">
                  <c:v>3.75999700692912</c:v>
                </c:pt>
                <c:pt idx="11">
                  <c:v>7.46069661494565</c:v>
                </c:pt>
                <c:pt idx="12">
                  <c:v>11.0437365805403</c:v>
                </c:pt>
                <c:pt idx="13">
                  <c:v>14.4526102230514</c:v>
                </c:pt>
                <c:pt idx="14">
                  <c:v>17.6335575687742</c:v>
                </c:pt>
                <c:pt idx="15">
                  <c:v>20.5364131778607</c:v>
                </c:pt>
                <c:pt idx="16">
                  <c:v>23.1153972832737</c:v>
                </c:pt>
                <c:pt idx="17">
                  <c:v>25.3298377650605</c:v>
                </c:pt>
                <c:pt idx="18">
                  <c:v>27.1448115739806</c:v>
                </c:pt>
                <c:pt idx="19">
                  <c:v>28.5316954888546</c:v>
                </c:pt>
                <c:pt idx="20">
                  <c:v>29.4686175218607</c:v>
                </c:pt>
                <c:pt idx="21">
                  <c:v>29.9408018528482</c:v>
                </c:pt>
                <c:pt idx="22">
                  <c:v>29.9408018528482</c:v>
                </c:pt>
                <c:pt idx="23">
                  <c:v>29.4686175218607</c:v>
                </c:pt>
                <c:pt idx="24">
                  <c:v>28.5316954888546</c:v>
                </c:pt>
                <c:pt idx="25">
                  <c:v>27.1448115739806</c:v>
                </c:pt>
                <c:pt idx="26">
                  <c:v>25.3298377650605</c:v>
                </c:pt>
                <c:pt idx="27">
                  <c:v>23.1153972832737</c:v>
                </c:pt>
                <c:pt idx="28">
                  <c:v>20.5364131778607</c:v>
                </c:pt>
                <c:pt idx="29">
                  <c:v>17.6335575687742</c:v>
                </c:pt>
                <c:pt idx="30">
                  <c:v>14.4526102230514</c:v>
                </c:pt>
                <c:pt idx="31">
                  <c:v>11.0437365805403</c:v>
                </c:pt>
                <c:pt idx="32">
                  <c:v>7.46069661494565</c:v>
                </c:pt>
                <c:pt idx="33">
                  <c:v>3.75999700692915</c:v>
                </c:pt>
                <c:pt idx="34">
                  <c:v>3.67544536472586e-15</c:v>
                </c:pt>
                <c:pt idx="35">
                  <c:v>3.75999700692912</c:v>
                </c:pt>
                <c:pt idx="36">
                  <c:v>7.46069661494565</c:v>
                </c:pt>
                <c:pt idx="37">
                  <c:v>11.0437365805403</c:v>
                </c:pt>
                <c:pt idx="38">
                  <c:v>14.4526102230514</c:v>
                </c:pt>
                <c:pt idx="39">
                  <c:v>17.6335575687742</c:v>
                </c:pt>
                <c:pt idx="40">
                  <c:v>20.5364131778606</c:v>
                </c:pt>
                <c:pt idx="41">
                  <c:v>23.1153972832737</c:v>
                </c:pt>
                <c:pt idx="42">
                  <c:v>25.3298377650605</c:v>
                </c:pt>
                <c:pt idx="43">
                  <c:v>27.1448115739806</c:v>
                </c:pt>
                <c:pt idx="44">
                  <c:v>28.5316954888546</c:v>
                </c:pt>
                <c:pt idx="45">
                  <c:v>29.4686175218607</c:v>
                </c:pt>
                <c:pt idx="46">
                  <c:v>29.9408018528482</c:v>
                </c:pt>
                <c:pt idx="47">
                  <c:v>29.9408018528482</c:v>
                </c:pt>
                <c:pt idx="48">
                  <c:v>29.4686175218607</c:v>
                </c:pt>
                <c:pt idx="49">
                  <c:v>28.5316954888546</c:v>
                </c:pt>
                <c:pt idx="50">
                  <c:v>27.1448115739806</c:v>
                </c:pt>
                <c:pt idx="51">
                  <c:v>25.3298377650605</c:v>
                </c:pt>
                <c:pt idx="52">
                  <c:v>23.1153972832737</c:v>
                </c:pt>
                <c:pt idx="53">
                  <c:v>20.5364131778607</c:v>
                </c:pt>
                <c:pt idx="54">
                  <c:v>17.6335575687742</c:v>
                </c:pt>
                <c:pt idx="55">
                  <c:v>14.4526102230515</c:v>
                </c:pt>
                <c:pt idx="56">
                  <c:v>11.0437365805403</c:v>
                </c:pt>
                <c:pt idx="57">
                  <c:v>7.46069661494565</c:v>
                </c:pt>
                <c:pt idx="58">
                  <c:v>3.75999700692915</c:v>
                </c:pt>
                <c:pt idx="59">
                  <c:v>7.35089072945172e-15</c:v>
                </c:pt>
                <c:pt idx="60">
                  <c:v>3.75999700692912</c:v>
                </c:pt>
                <c:pt idx="61">
                  <c:v>7.46069661494565</c:v>
                </c:pt>
                <c:pt idx="62">
                  <c:v>11.0437365805403</c:v>
                </c:pt>
                <c:pt idx="63">
                  <c:v>14.4526102230514</c:v>
                </c:pt>
                <c:pt idx="64">
                  <c:v>17.6335575687742</c:v>
                </c:pt>
                <c:pt idx="65">
                  <c:v>20.5364131778607</c:v>
                </c:pt>
                <c:pt idx="66">
                  <c:v>23.1153972832737</c:v>
                </c:pt>
                <c:pt idx="67">
                  <c:v>25.3298377650605</c:v>
                </c:pt>
                <c:pt idx="68">
                  <c:v>27.1448115739806</c:v>
                </c:pt>
                <c:pt idx="69">
                  <c:v>28.5316954888546</c:v>
                </c:pt>
                <c:pt idx="70">
                  <c:v>29.4686175218607</c:v>
                </c:pt>
                <c:pt idx="71">
                  <c:v>29.9408018528482</c:v>
                </c:pt>
                <c:pt idx="72">
                  <c:v>29.9408018528482</c:v>
                </c:pt>
                <c:pt idx="73">
                  <c:v>29.4686175218607</c:v>
                </c:pt>
                <c:pt idx="74">
                  <c:v>28.5316954888546</c:v>
                </c:pt>
                <c:pt idx="75">
                  <c:v>27.1448115739806</c:v>
                </c:pt>
                <c:pt idx="76">
                  <c:v>25.3298377650605</c:v>
                </c:pt>
                <c:pt idx="77">
                  <c:v>23.1153972832737</c:v>
                </c:pt>
                <c:pt idx="78">
                  <c:v>20.5364131778606</c:v>
                </c:pt>
                <c:pt idx="79">
                  <c:v>17.6335575687742</c:v>
                </c:pt>
                <c:pt idx="80">
                  <c:v>14.4526102230514</c:v>
                </c:pt>
                <c:pt idx="81">
                  <c:v>11.0437365805403</c:v>
                </c:pt>
                <c:pt idx="82">
                  <c:v>7.46069661494565</c:v>
                </c:pt>
                <c:pt idx="83">
                  <c:v>3.75999700692912</c:v>
                </c:pt>
                <c:pt idx="84">
                  <c:v>1.10263360941776e-14</c:v>
                </c:pt>
                <c:pt idx="85">
                  <c:v>3.75999700692909</c:v>
                </c:pt>
                <c:pt idx="86">
                  <c:v>7.46069661494565</c:v>
                </c:pt>
                <c:pt idx="87">
                  <c:v>11.0437365805403</c:v>
                </c:pt>
                <c:pt idx="88">
                  <c:v>14.4526102230515</c:v>
                </c:pt>
                <c:pt idx="89">
                  <c:v>17.6335575687742</c:v>
                </c:pt>
                <c:pt idx="90">
                  <c:v>20.5364131778606</c:v>
                </c:pt>
                <c:pt idx="91">
                  <c:v>23.1153972832736</c:v>
                </c:pt>
                <c:pt idx="92">
                  <c:v>25.3298377650605</c:v>
                </c:pt>
                <c:pt idx="93">
                  <c:v>27.1448115739806</c:v>
                </c:pt>
                <c:pt idx="94">
                  <c:v>28.5316954888546</c:v>
                </c:pt>
                <c:pt idx="95">
                  <c:v>29.4686175218606</c:v>
                </c:pt>
                <c:pt idx="96">
                  <c:v>29.9408018528481</c:v>
                </c:pt>
                <c:pt idx="97">
                  <c:v>29.9408018528482</c:v>
                </c:pt>
                <c:pt idx="98">
                  <c:v>29.4686175218607</c:v>
                </c:pt>
                <c:pt idx="99">
                  <c:v>28.5316954888546</c:v>
                </c:pt>
                <c:pt idx="100">
                  <c:v>27.1448115739806</c:v>
                </c:pt>
                <c:pt idx="101">
                  <c:v>25.3298377650605</c:v>
                </c:pt>
                <c:pt idx="102">
                  <c:v>23.1153972832737</c:v>
                </c:pt>
                <c:pt idx="103">
                  <c:v>20.5364131778607</c:v>
                </c:pt>
                <c:pt idx="104">
                  <c:v>17.6335575687742</c:v>
                </c:pt>
                <c:pt idx="105">
                  <c:v>14.4526102230515</c:v>
                </c:pt>
                <c:pt idx="106">
                  <c:v>11.0437365805403</c:v>
                </c:pt>
                <c:pt idx="107">
                  <c:v>7.46069661494568</c:v>
                </c:pt>
                <c:pt idx="108">
                  <c:v>3.75999700692912</c:v>
                </c:pt>
                <c:pt idx="109">
                  <c:v>1.47017814589034e-14</c:v>
                </c:pt>
              </c:numCache>
            </c:numRef>
          </c:yVal>
          <c:smooth val="1"/>
        </c:ser>
        <c:dLbls>
          <c:showLegendKey val="0"/>
          <c:showVal val="0"/>
          <c:showCatName val="0"/>
          <c:showSerName val="0"/>
          <c:showPercent val="0"/>
          <c:showBubbleSize val="0"/>
        </c:dLbls>
        <c:axId val="142705408"/>
        <c:axId val="142706944"/>
      </c:scatterChart>
      <c:scatterChart>
        <c:scatterStyle val="line"/>
        <c:varyColors val="0"/>
        <c:ser>
          <c:idx val="1"/>
          <c:order val="1"/>
          <c:tx>
            <c:strRef>
              <c:f>"Iin"</c:f>
              <c:strCache>
                <c:ptCount val="1"/>
                <c:pt idx="0">
                  <c:v>Iin</c:v>
                </c:pt>
              </c:strCache>
            </c:strRef>
          </c:tx>
          <c:spPr>
            <a:ln w="38100" cap="rnd" cmpd="sng" algn="ctr">
              <a:solidFill>
                <a:srgbClr val="0000FF"/>
              </a:solidFill>
              <a:prstDash val="solid"/>
              <a:round/>
            </a:ln>
          </c:spPr>
          <c:marker>
            <c:symbol val="none"/>
          </c:marker>
          <c:dLbls>
            <c:delete val="1"/>
          </c:dLbls>
          <c:xVal>
            <c:numRef>
              <c:f>data!$A$273:$A$382</c:f>
              <c:numCache>
                <c:formatCode>General</c:formatCode>
                <c:ptCount val="110"/>
                <c:pt idx="0">
                  <c:v>0</c:v>
                </c:pt>
                <c:pt idx="1">
                  <c:v>0.1</c:v>
                </c:pt>
                <c:pt idx="2">
                  <c:v>0.2</c:v>
                </c:pt>
                <c:pt idx="3">
                  <c:v>0.3</c:v>
                </c:pt>
                <c:pt idx="4">
                  <c:v>0.4</c:v>
                </c:pt>
                <c:pt idx="5">
                  <c:v>0.5</c:v>
                </c:pt>
                <c:pt idx="6">
                  <c:v>0.6</c:v>
                </c:pt>
                <c:pt idx="7">
                  <c:v>0.7</c:v>
                </c:pt>
                <c:pt idx="8">
                  <c:v>0.8</c:v>
                </c:pt>
                <c:pt idx="9">
                  <c:v>0.9</c:v>
                </c:pt>
                <c:pt idx="10">
                  <c:v>1</c:v>
                </c:pt>
                <c:pt idx="11">
                  <c:v>2</c:v>
                </c:pt>
                <c:pt idx="12">
                  <c:v>3</c:v>
                </c:pt>
                <c:pt idx="13">
                  <c:v>4</c:v>
                </c:pt>
                <c:pt idx="14">
                  <c:v>5</c:v>
                </c:pt>
                <c:pt idx="15">
                  <c:v>6</c:v>
                </c:pt>
                <c:pt idx="16">
                  <c:v>7</c:v>
                </c:pt>
                <c:pt idx="17">
                  <c:v>8</c:v>
                </c:pt>
                <c:pt idx="18">
                  <c:v>9</c:v>
                </c:pt>
                <c:pt idx="19">
                  <c:v>10</c:v>
                </c:pt>
                <c:pt idx="20">
                  <c:v>11</c:v>
                </c:pt>
                <c:pt idx="21">
                  <c:v>12</c:v>
                </c:pt>
                <c:pt idx="22">
                  <c:v>13</c:v>
                </c:pt>
                <c:pt idx="23">
                  <c:v>14</c:v>
                </c:pt>
                <c:pt idx="24">
                  <c:v>15</c:v>
                </c:pt>
                <c:pt idx="25">
                  <c:v>16</c:v>
                </c:pt>
                <c:pt idx="26">
                  <c:v>17</c:v>
                </c:pt>
                <c:pt idx="27">
                  <c:v>18</c:v>
                </c:pt>
                <c:pt idx="28">
                  <c:v>19</c:v>
                </c:pt>
                <c:pt idx="29">
                  <c:v>20</c:v>
                </c:pt>
                <c:pt idx="30">
                  <c:v>21</c:v>
                </c:pt>
                <c:pt idx="31">
                  <c:v>22</c:v>
                </c:pt>
                <c:pt idx="32">
                  <c:v>23</c:v>
                </c:pt>
                <c:pt idx="33">
                  <c:v>24</c:v>
                </c:pt>
                <c:pt idx="34">
                  <c:v>25</c:v>
                </c:pt>
                <c:pt idx="35">
                  <c:v>26</c:v>
                </c:pt>
                <c:pt idx="36">
                  <c:v>27</c:v>
                </c:pt>
                <c:pt idx="37">
                  <c:v>28</c:v>
                </c:pt>
                <c:pt idx="38">
                  <c:v>29</c:v>
                </c:pt>
                <c:pt idx="39">
                  <c:v>30</c:v>
                </c:pt>
                <c:pt idx="40">
                  <c:v>31</c:v>
                </c:pt>
                <c:pt idx="41">
                  <c:v>32</c:v>
                </c:pt>
                <c:pt idx="42">
                  <c:v>33</c:v>
                </c:pt>
                <c:pt idx="43">
                  <c:v>34</c:v>
                </c:pt>
                <c:pt idx="44">
                  <c:v>35</c:v>
                </c:pt>
                <c:pt idx="45">
                  <c:v>36</c:v>
                </c:pt>
                <c:pt idx="46">
                  <c:v>37</c:v>
                </c:pt>
                <c:pt idx="47">
                  <c:v>38</c:v>
                </c:pt>
                <c:pt idx="48">
                  <c:v>39</c:v>
                </c:pt>
                <c:pt idx="49">
                  <c:v>40</c:v>
                </c:pt>
                <c:pt idx="50">
                  <c:v>41</c:v>
                </c:pt>
                <c:pt idx="51">
                  <c:v>42</c:v>
                </c:pt>
                <c:pt idx="52">
                  <c:v>43</c:v>
                </c:pt>
                <c:pt idx="53">
                  <c:v>44</c:v>
                </c:pt>
                <c:pt idx="54">
                  <c:v>45</c:v>
                </c:pt>
                <c:pt idx="55">
                  <c:v>46</c:v>
                </c:pt>
                <c:pt idx="56">
                  <c:v>47</c:v>
                </c:pt>
                <c:pt idx="57">
                  <c:v>48</c:v>
                </c:pt>
                <c:pt idx="58">
                  <c:v>49</c:v>
                </c:pt>
                <c:pt idx="59">
                  <c:v>50</c:v>
                </c:pt>
                <c:pt idx="60">
                  <c:v>51</c:v>
                </c:pt>
                <c:pt idx="61">
                  <c:v>52</c:v>
                </c:pt>
                <c:pt idx="62">
                  <c:v>53</c:v>
                </c:pt>
                <c:pt idx="63">
                  <c:v>54</c:v>
                </c:pt>
                <c:pt idx="64">
                  <c:v>55</c:v>
                </c:pt>
                <c:pt idx="65">
                  <c:v>56</c:v>
                </c:pt>
                <c:pt idx="66">
                  <c:v>57</c:v>
                </c:pt>
                <c:pt idx="67">
                  <c:v>58</c:v>
                </c:pt>
                <c:pt idx="68">
                  <c:v>59</c:v>
                </c:pt>
                <c:pt idx="69">
                  <c:v>60</c:v>
                </c:pt>
                <c:pt idx="70">
                  <c:v>61</c:v>
                </c:pt>
                <c:pt idx="71">
                  <c:v>62</c:v>
                </c:pt>
                <c:pt idx="72">
                  <c:v>63</c:v>
                </c:pt>
                <c:pt idx="73">
                  <c:v>64</c:v>
                </c:pt>
                <c:pt idx="74">
                  <c:v>65</c:v>
                </c:pt>
                <c:pt idx="75">
                  <c:v>66</c:v>
                </c:pt>
                <c:pt idx="76">
                  <c:v>67</c:v>
                </c:pt>
                <c:pt idx="77">
                  <c:v>68</c:v>
                </c:pt>
                <c:pt idx="78">
                  <c:v>69</c:v>
                </c:pt>
                <c:pt idx="79">
                  <c:v>70</c:v>
                </c:pt>
                <c:pt idx="80">
                  <c:v>71</c:v>
                </c:pt>
                <c:pt idx="81">
                  <c:v>72</c:v>
                </c:pt>
                <c:pt idx="82">
                  <c:v>73</c:v>
                </c:pt>
                <c:pt idx="83">
                  <c:v>74</c:v>
                </c:pt>
                <c:pt idx="84">
                  <c:v>75</c:v>
                </c:pt>
                <c:pt idx="85">
                  <c:v>76</c:v>
                </c:pt>
                <c:pt idx="86">
                  <c:v>77</c:v>
                </c:pt>
                <c:pt idx="87">
                  <c:v>78</c:v>
                </c:pt>
                <c:pt idx="88">
                  <c:v>79</c:v>
                </c:pt>
                <c:pt idx="89">
                  <c:v>80</c:v>
                </c:pt>
                <c:pt idx="90">
                  <c:v>81</c:v>
                </c:pt>
                <c:pt idx="91">
                  <c:v>82</c:v>
                </c:pt>
                <c:pt idx="92">
                  <c:v>83</c:v>
                </c:pt>
                <c:pt idx="93">
                  <c:v>84</c:v>
                </c:pt>
                <c:pt idx="94">
                  <c:v>85</c:v>
                </c:pt>
                <c:pt idx="95">
                  <c:v>86</c:v>
                </c:pt>
                <c:pt idx="96">
                  <c:v>87</c:v>
                </c:pt>
                <c:pt idx="97">
                  <c:v>88</c:v>
                </c:pt>
                <c:pt idx="98">
                  <c:v>89</c:v>
                </c:pt>
                <c:pt idx="99">
                  <c:v>90</c:v>
                </c:pt>
                <c:pt idx="100">
                  <c:v>91</c:v>
                </c:pt>
                <c:pt idx="101">
                  <c:v>92</c:v>
                </c:pt>
                <c:pt idx="102">
                  <c:v>93</c:v>
                </c:pt>
                <c:pt idx="103">
                  <c:v>94</c:v>
                </c:pt>
                <c:pt idx="104">
                  <c:v>95</c:v>
                </c:pt>
                <c:pt idx="105">
                  <c:v>96</c:v>
                </c:pt>
                <c:pt idx="106">
                  <c:v>97</c:v>
                </c:pt>
                <c:pt idx="107">
                  <c:v>98</c:v>
                </c:pt>
                <c:pt idx="108">
                  <c:v>99</c:v>
                </c:pt>
                <c:pt idx="109">
                  <c:v>100</c:v>
                </c:pt>
              </c:numCache>
            </c:numRef>
          </c:xVal>
          <c:yVal>
            <c:numRef>
              <c:f>data!$D$273:$D$382</c:f>
              <c:numCache>
                <c:formatCode>General</c:formatCode>
                <c:ptCount val="110"/>
                <c:pt idx="0">
                  <c:v>0</c:v>
                </c:pt>
                <c:pt idx="1">
                  <c:v>0.109341132437841</c:v>
                </c:pt>
                <c:pt idx="2">
                  <c:v>0.218664998643347</c:v>
                </c:pt>
                <c:pt idx="3">
                  <c:v>0.327954335110722</c:v>
                </c:pt>
                <c:pt idx="4">
                  <c:v>0.437191883786817</c:v>
                </c:pt>
                <c:pt idx="5">
                  <c:v>0.546360394796372</c:v>
                </c:pt>
                <c:pt idx="6">
                  <c:v>0.655442629165977</c:v>
                </c:pt>
                <c:pt idx="7">
                  <c:v>0.764421361546306</c:v>
                </c:pt>
                <c:pt idx="8">
                  <c:v>0.873279382932194</c:v>
                </c:pt>
                <c:pt idx="9">
                  <c:v>0.981999503380142</c:v>
                </c:pt>
                <c:pt idx="10">
                  <c:v>1.0905645547228</c:v>
                </c:pt>
                <c:pt idx="11">
                  <c:v>2.16393025494594</c:v>
                </c:pt>
                <c:pt idx="12">
                  <c:v>3.2031694823793</c:v>
                </c:pt>
                <c:pt idx="13">
                  <c:v>4.19189281359484</c:v>
                </c:pt>
                <c:pt idx="14">
                  <c:v>5.11450749102461</c:v>
                </c:pt>
                <c:pt idx="15">
                  <c:v>5.95646333006224</c:v>
                </c:pt>
                <c:pt idx="16">
                  <c:v>6.70448218416606</c:v>
                </c:pt>
                <c:pt idx="17">
                  <c:v>7.34676734916206</c:v>
                </c:pt>
                <c:pt idx="18">
                  <c:v>7.8731896043157</c:v>
                </c:pt>
                <c:pt idx="19">
                  <c:v>8.27544695619377</c:v>
                </c:pt>
                <c:pt idx="20">
                  <c:v>8.54719556606028</c:v>
                </c:pt>
                <c:pt idx="21">
                  <c:v>8.68414979600288</c:v>
                </c:pt>
                <c:pt idx="22">
                  <c:v>8.68414979600288</c:v>
                </c:pt>
                <c:pt idx="23">
                  <c:v>8.54719556606028</c:v>
                </c:pt>
                <c:pt idx="24">
                  <c:v>8.27544695619377</c:v>
                </c:pt>
                <c:pt idx="25">
                  <c:v>7.87318960431569</c:v>
                </c:pt>
                <c:pt idx="26">
                  <c:v>7.34676734916206</c:v>
                </c:pt>
                <c:pt idx="27">
                  <c:v>6.70448218416606</c:v>
                </c:pt>
                <c:pt idx="28">
                  <c:v>5.95646333006224</c:v>
                </c:pt>
                <c:pt idx="29">
                  <c:v>5.11450749102461</c:v>
                </c:pt>
                <c:pt idx="30">
                  <c:v>4.19189281359484</c:v>
                </c:pt>
                <c:pt idx="31">
                  <c:v>3.2031694823793</c:v>
                </c:pt>
                <c:pt idx="32">
                  <c:v>2.16393025494594</c:v>
                </c:pt>
                <c:pt idx="33">
                  <c:v>1.09056455472281</c:v>
                </c:pt>
                <c:pt idx="34">
                  <c:v>1.06604085859736e-15</c:v>
                </c:pt>
                <c:pt idx="35">
                  <c:v>1.0905645547228</c:v>
                </c:pt>
                <c:pt idx="36">
                  <c:v>2.16393025494594</c:v>
                </c:pt>
                <c:pt idx="37">
                  <c:v>3.2031694823793</c:v>
                </c:pt>
                <c:pt idx="38">
                  <c:v>4.19189281359484</c:v>
                </c:pt>
                <c:pt idx="39">
                  <c:v>5.11450749102461</c:v>
                </c:pt>
                <c:pt idx="40">
                  <c:v>5.95646333006223</c:v>
                </c:pt>
                <c:pt idx="41">
                  <c:v>6.70448218416606</c:v>
                </c:pt>
                <c:pt idx="42">
                  <c:v>7.34676734916206</c:v>
                </c:pt>
                <c:pt idx="43">
                  <c:v>7.8731896043157</c:v>
                </c:pt>
                <c:pt idx="44">
                  <c:v>8.27544695619377</c:v>
                </c:pt>
                <c:pt idx="45">
                  <c:v>8.54719556606028</c:v>
                </c:pt>
                <c:pt idx="46">
                  <c:v>8.68414979600288</c:v>
                </c:pt>
                <c:pt idx="47">
                  <c:v>8.68414979600288</c:v>
                </c:pt>
                <c:pt idx="48">
                  <c:v>8.54719556606028</c:v>
                </c:pt>
                <c:pt idx="49">
                  <c:v>8.27544695619377</c:v>
                </c:pt>
                <c:pt idx="50">
                  <c:v>7.8731896043157</c:v>
                </c:pt>
                <c:pt idx="51">
                  <c:v>7.34676734916206</c:v>
                </c:pt>
                <c:pt idx="52">
                  <c:v>6.70448218416607</c:v>
                </c:pt>
                <c:pt idx="53">
                  <c:v>5.95646333006224</c:v>
                </c:pt>
                <c:pt idx="54">
                  <c:v>5.11450749102461</c:v>
                </c:pt>
                <c:pt idx="55">
                  <c:v>4.19189281359485</c:v>
                </c:pt>
                <c:pt idx="56">
                  <c:v>3.2031694823793</c:v>
                </c:pt>
                <c:pt idx="57">
                  <c:v>2.16393025494594</c:v>
                </c:pt>
                <c:pt idx="58">
                  <c:v>1.09056455472281</c:v>
                </c:pt>
                <c:pt idx="59">
                  <c:v>2.13208171719473e-15</c:v>
                </c:pt>
                <c:pt idx="60">
                  <c:v>1.0905645547228</c:v>
                </c:pt>
                <c:pt idx="61">
                  <c:v>2.16393025494594</c:v>
                </c:pt>
                <c:pt idx="62">
                  <c:v>3.2031694823793</c:v>
                </c:pt>
                <c:pt idx="63">
                  <c:v>4.19189281359484</c:v>
                </c:pt>
                <c:pt idx="64">
                  <c:v>5.11450749102461</c:v>
                </c:pt>
                <c:pt idx="65">
                  <c:v>5.95646333006224</c:v>
                </c:pt>
                <c:pt idx="66">
                  <c:v>6.70448218416606</c:v>
                </c:pt>
                <c:pt idx="67">
                  <c:v>7.34676734916206</c:v>
                </c:pt>
                <c:pt idx="68">
                  <c:v>7.87318960431569</c:v>
                </c:pt>
                <c:pt idx="69">
                  <c:v>8.27544695619376</c:v>
                </c:pt>
                <c:pt idx="70">
                  <c:v>8.54719556606028</c:v>
                </c:pt>
                <c:pt idx="71">
                  <c:v>8.68414979600288</c:v>
                </c:pt>
                <c:pt idx="72">
                  <c:v>8.68414979600288</c:v>
                </c:pt>
                <c:pt idx="73">
                  <c:v>8.54719556606028</c:v>
                </c:pt>
                <c:pt idx="74">
                  <c:v>8.27544695619377</c:v>
                </c:pt>
                <c:pt idx="75">
                  <c:v>7.87318960431569</c:v>
                </c:pt>
                <c:pt idx="76">
                  <c:v>7.34676734916206</c:v>
                </c:pt>
                <c:pt idx="77">
                  <c:v>6.70448218416606</c:v>
                </c:pt>
                <c:pt idx="78">
                  <c:v>5.95646333006223</c:v>
                </c:pt>
                <c:pt idx="79">
                  <c:v>5.11450749102461</c:v>
                </c:pt>
                <c:pt idx="80">
                  <c:v>4.19189281359484</c:v>
                </c:pt>
                <c:pt idx="81">
                  <c:v>3.2031694823793</c:v>
                </c:pt>
                <c:pt idx="82">
                  <c:v>2.16393025494594</c:v>
                </c:pt>
                <c:pt idx="83">
                  <c:v>1.0905645547228</c:v>
                </c:pt>
                <c:pt idx="84">
                  <c:v>3.19812257579209e-15</c:v>
                </c:pt>
                <c:pt idx="85">
                  <c:v>1.09056455472279</c:v>
                </c:pt>
                <c:pt idx="86">
                  <c:v>2.16393025494594</c:v>
                </c:pt>
                <c:pt idx="87">
                  <c:v>3.20316948237929</c:v>
                </c:pt>
                <c:pt idx="88">
                  <c:v>4.19189281359485</c:v>
                </c:pt>
                <c:pt idx="89">
                  <c:v>5.11450749102461</c:v>
                </c:pt>
                <c:pt idx="90">
                  <c:v>5.95646333006223</c:v>
                </c:pt>
                <c:pt idx="91">
                  <c:v>6.70448218416605</c:v>
                </c:pt>
                <c:pt idx="92">
                  <c:v>7.34676734916207</c:v>
                </c:pt>
                <c:pt idx="93">
                  <c:v>7.8731896043157</c:v>
                </c:pt>
                <c:pt idx="94">
                  <c:v>8.27544695619376</c:v>
                </c:pt>
                <c:pt idx="95">
                  <c:v>8.54719556606027</c:v>
                </c:pt>
                <c:pt idx="96">
                  <c:v>8.68414979600287</c:v>
                </c:pt>
                <c:pt idx="97">
                  <c:v>8.68414979600288</c:v>
                </c:pt>
                <c:pt idx="98">
                  <c:v>8.54719556606028</c:v>
                </c:pt>
                <c:pt idx="99">
                  <c:v>8.27544695619377</c:v>
                </c:pt>
                <c:pt idx="100">
                  <c:v>7.8731896043157</c:v>
                </c:pt>
                <c:pt idx="101">
                  <c:v>7.34676734916207</c:v>
                </c:pt>
                <c:pt idx="102">
                  <c:v>6.70448218416607</c:v>
                </c:pt>
                <c:pt idx="103">
                  <c:v>5.95646333006224</c:v>
                </c:pt>
                <c:pt idx="104">
                  <c:v>5.11450749102461</c:v>
                </c:pt>
                <c:pt idx="105">
                  <c:v>4.19189281359485</c:v>
                </c:pt>
                <c:pt idx="106">
                  <c:v>3.2031694823793</c:v>
                </c:pt>
                <c:pt idx="107">
                  <c:v>2.16393025494595</c:v>
                </c:pt>
                <c:pt idx="108">
                  <c:v>1.0905645547228</c:v>
                </c:pt>
                <c:pt idx="109">
                  <c:v>4.26416343438946e-15</c:v>
                </c:pt>
              </c:numCache>
            </c:numRef>
          </c:yVal>
          <c:smooth val="0"/>
        </c:ser>
        <c:dLbls>
          <c:showLegendKey val="0"/>
          <c:showVal val="0"/>
          <c:showCatName val="0"/>
          <c:showSerName val="0"/>
          <c:showPercent val="0"/>
          <c:showBubbleSize val="0"/>
        </c:dLbls>
        <c:axId val="142709120"/>
        <c:axId val="142710656"/>
      </c:scatterChart>
      <c:valAx>
        <c:axId val="142705408"/>
        <c:scaling>
          <c:orientation val="minMax"/>
          <c:max val="100"/>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42706944"/>
        <c:crosses val="autoZero"/>
        <c:crossBetween val="midCat"/>
      </c:valAx>
      <c:valAx>
        <c:axId val="142706944"/>
        <c:scaling>
          <c:orientation val="minMax"/>
        </c:scaling>
        <c:delete val="0"/>
        <c:axPos val="l"/>
        <c:majorGridlines>
          <c:spPr>
            <a:ln w="3175" cap="flat" cmpd="sng" algn="ctr">
              <a:solidFill>
                <a:srgbClr val="000000"/>
              </a:solidFill>
              <a:prstDash val="solid"/>
              <a:round/>
            </a:ln>
          </c:spPr>
        </c:majorGridlines>
        <c:title>
          <c:tx>
            <c:rich>
              <a:bodyPr rot="-5400000" spcFirstLastPara="0" vertOverflow="ellipsis" vert="horz" wrap="square" anchor="ctr" anchorCtr="1"/>
              <a:lstStyle/>
              <a:p>
                <a:pPr>
                  <a:defRPr lang="zh-CN" sz="800" b="1" i="0" u="none" strike="noStrike" kern="1200" baseline="0">
                    <a:solidFill>
                      <a:srgbClr val="000000"/>
                    </a:solidFill>
                    <a:latin typeface="Arial" panose="020B0604020202020204"/>
                    <a:ea typeface="Arial" panose="020B0604020202020204"/>
                    <a:cs typeface="Arial" panose="020B0604020202020204"/>
                  </a:defRPr>
                </a:pPr>
                <a:r>
                  <a:rPr lang="en-US"/>
                  <a:t>Vin (V)</a:t>
                </a:r>
                <a:endParaRPr lang="en-US"/>
              </a:p>
            </c:rich>
          </c:tx>
          <c:layout>
            <c:manualLayout>
              <c:xMode val="edge"/>
              <c:yMode val="edge"/>
              <c:x val="0.0212483675303571"/>
              <c:y val="0.43454038997214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42705408"/>
        <c:crosses val="autoZero"/>
        <c:crossBetween val="midCat"/>
      </c:valAx>
      <c:valAx>
        <c:axId val="142709120"/>
        <c:scaling>
          <c:orientation val="minMax"/>
        </c:scaling>
        <c:delete val="1"/>
        <c:axPos val="b"/>
        <c:numFmt formatCode="General" sourceLinked="1"/>
        <c:majorTickMark val="out"/>
        <c:minorTickMark val="none"/>
        <c:tickLblPos val="none"/>
        <c:txPr>
          <a:bodyPr rot="-600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42710656"/>
        <c:crosses val="autoZero"/>
        <c:crossBetween val="midCat"/>
      </c:valAx>
      <c:valAx>
        <c:axId val="142710656"/>
        <c:scaling>
          <c:orientation val="minMax"/>
        </c:scaling>
        <c:delete val="0"/>
        <c:axPos val="r"/>
        <c:title>
          <c:tx>
            <c:rich>
              <a:bodyPr rot="5400000" spcFirstLastPara="0" vertOverflow="ellipsis" vert="horz" wrap="square" anchor="ctr" anchorCtr="1"/>
              <a:lstStyle/>
              <a:p>
                <a:pPr algn="ctr">
                  <a:defRPr lang="zh-CN" sz="825" b="1" i="0" u="none" strike="noStrike" kern="1200" baseline="0">
                    <a:solidFill>
                      <a:srgbClr val="000000"/>
                    </a:solidFill>
                    <a:latin typeface="Arial" panose="020B0604020202020204"/>
                    <a:ea typeface="Arial" panose="020B0604020202020204"/>
                    <a:cs typeface="Arial" panose="020B0604020202020204"/>
                  </a:defRPr>
                </a:pPr>
                <a:r>
                  <a:rPr lang="en-US"/>
                  <a:t>Iin (A)</a:t>
                </a:r>
                <a:endParaRPr lang="en-US"/>
              </a:p>
            </c:rich>
          </c:tx>
          <c:layout>
            <c:manualLayout>
              <c:xMode val="edge"/>
              <c:yMode val="edge"/>
              <c:x val="0.952192469954129"/>
              <c:y val="0.440111420612813"/>
            </c:manualLayout>
          </c:layout>
          <c:overlay val="0"/>
          <c:spPr>
            <a:noFill/>
            <a:ln w="25400">
              <a:noFill/>
            </a:ln>
          </c:spPr>
        </c:title>
        <c:numFmt formatCode="General" sourceLinked="1"/>
        <c:majorTickMark val="cross"/>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42709120"/>
        <c:crosses val="max"/>
        <c:crossBetween val="midCat"/>
      </c:valAx>
      <c:spPr>
        <a:gradFill rotWithShape="0">
          <a:gsLst>
            <a:gs pos="0">
              <a:srgbClr val="FFFFFF"/>
            </a:gs>
            <a:gs pos="100000">
              <a:srgbClr val="FFFFCC"/>
            </a:gs>
          </a:gsLst>
          <a:lin ang="5400000" scaled="1"/>
        </a:gradFill>
        <a:ln w="12700">
          <a:solidFill>
            <a:srgbClr val="808080"/>
          </a:solidFill>
          <a:prstDash val="solid"/>
        </a:ln>
      </c:spPr>
    </c:plotArea>
    <c:legend>
      <c:legendPos val="b"/>
      <c:layout>
        <c:manualLayout>
          <c:xMode val="edge"/>
          <c:yMode val="edge"/>
          <c:x val="0.435591534372321"/>
          <c:y val="0.919220055710306"/>
          <c:w val="0.134130320035379"/>
          <c:h val="0.0612813370473538"/>
        </c:manualLayout>
      </c:layout>
      <c:overlay val="0"/>
      <c:spPr>
        <a:solidFill>
          <a:srgbClr val="FFFFFF"/>
        </a:solidFill>
        <a:ln w="3175">
          <a:solidFill>
            <a:srgbClr val="000000"/>
          </a:solidFill>
          <a:prstDash val="solid"/>
        </a:ln>
      </c:spPr>
      <c:txPr>
        <a:bodyPr rot="0" spcFirstLastPara="0" vertOverflow="ellipsis" vert="horz" wrap="square" anchor="ctr" anchorCtr="1"/>
        <a:lstStyle/>
        <a:p>
          <a:pPr>
            <a:defRPr lang="zh-CN" sz="735" b="0"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80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200" b="1" i="0" u="none" strike="noStrike" kern="1200" baseline="0">
                <a:solidFill>
                  <a:srgbClr val="000000"/>
                </a:solidFill>
                <a:latin typeface="Arial" panose="020B0604020202020204"/>
                <a:ea typeface="Arial" panose="020B0604020202020204"/>
                <a:cs typeface="Arial" panose="020B0604020202020204"/>
              </a:defRPr>
            </a:pPr>
            <a:r>
              <a:rPr lang="en-US"/>
              <a:t>Voltage Open-Loop Bode Plot</a:t>
            </a:r>
            <a:endParaRPr lang="en-US"/>
          </a:p>
        </c:rich>
      </c:tx>
      <c:layout>
        <c:manualLayout>
          <c:xMode val="edge"/>
          <c:yMode val="edge"/>
          <c:x val="0.346613995338951"/>
          <c:y val="0.0290135670537346"/>
        </c:manualLayout>
      </c:layout>
      <c:overlay val="0"/>
      <c:spPr>
        <a:noFill/>
        <a:ln w="25400">
          <a:noFill/>
        </a:ln>
      </c:spPr>
    </c:title>
    <c:autoTitleDeleted val="0"/>
    <c:plotArea>
      <c:layout>
        <c:manualLayout>
          <c:layoutTarget val="inner"/>
          <c:xMode val="edge"/>
          <c:yMode val="edge"/>
          <c:x val="0.107569860622433"/>
          <c:y val="0.147002073072255"/>
          <c:w val="0.786189598623214"/>
          <c:h val="0.659575091021567"/>
        </c:manualLayout>
      </c:layout>
      <c:scatterChart>
        <c:scatterStyle val="smooth"/>
        <c:varyColors val="0"/>
        <c:ser>
          <c:idx val="0"/>
          <c:order val="0"/>
          <c:tx>
            <c:strRef>
              <c:f>"Total Open Loop Gain"</c:f>
              <c:strCache>
                <c:ptCount val="1"/>
                <c:pt idx="0">
                  <c:v>Total Open Loop Gain</c:v>
                </c:pt>
              </c:strCache>
            </c:strRef>
          </c:tx>
          <c:spPr>
            <a:ln w="38100" cap="rnd" cmpd="sng" algn="ctr">
              <a:solidFill>
                <a:srgbClr val="FF0000"/>
              </a:solidFill>
              <a:prstDash val="solid"/>
              <a:round/>
            </a:ln>
          </c:spPr>
          <c:marker>
            <c:symbol val="none"/>
          </c:marker>
          <c:dLbls>
            <c:delete val="1"/>
          </c:dLbls>
          <c:xVal>
            <c:numRef>
              <c:f>data!$H$205:$H$255</c:f>
              <c:numCache>
                <c:formatCode>0.000</c:formatCode>
                <c:ptCount val="51"/>
                <c:pt idx="0">
                  <c:v>0.01</c:v>
                </c:pt>
                <c:pt idx="1">
                  <c:v>0.0125892541179417</c:v>
                </c:pt>
                <c:pt idx="2">
                  <c:v>0.0158489319246111</c:v>
                </c:pt>
                <c:pt idx="3">
                  <c:v>0.0199526231496888</c:v>
                </c:pt>
                <c:pt idx="4">
                  <c:v>0.0251188643150958</c:v>
                </c:pt>
                <c:pt idx="5">
                  <c:v>0.0316227766016838</c:v>
                </c:pt>
                <c:pt idx="6">
                  <c:v>0.0398107170553497</c:v>
                </c:pt>
                <c:pt idx="7">
                  <c:v>0.0501187233627272</c:v>
                </c:pt>
                <c:pt idx="8">
                  <c:v>0.0630957344480193</c:v>
                </c:pt>
                <c:pt idx="9">
                  <c:v>0.0794328234724281</c:v>
                </c:pt>
                <c:pt idx="10">
                  <c:v>0.1</c:v>
                </c:pt>
                <c:pt idx="11">
                  <c:v>0.125892541179417</c:v>
                </c:pt>
                <c:pt idx="12">
                  <c:v>0.158489319246111</c:v>
                </c:pt>
                <c:pt idx="13">
                  <c:v>0.199526231496888</c:v>
                </c:pt>
                <c:pt idx="14">
                  <c:v>0.251188643150958</c:v>
                </c:pt>
                <c:pt idx="15">
                  <c:v>0.316227766016838</c:v>
                </c:pt>
                <c:pt idx="16">
                  <c:v>0.398107170553497</c:v>
                </c:pt>
                <c:pt idx="17">
                  <c:v>0.501187233627272</c:v>
                </c:pt>
                <c:pt idx="18">
                  <c:v>0.630957344480193</c:v>
                </c:pt>
                <c:pt idx="19">
                  <c:v>0.794328234724281</c:v>
                </c:pt>
                <c:pt idx="20">
                  <c:v>1</c:v>
                </c:pt>
                <c:pt idx="21">
                  <c:v>1.25892541179417</c:v>
                </c:pt>
                <c:pt idx="22">
                  <c:v>1.58489319246111</c:v>
                </c:pt>
                <c:pt idx="23">
                  <c:v>1.99526231496888</c:v>
                </c:pt>
                <c:pt idx="24">
                  <c:v>2.51188643150958</c:v>
                </c:pt>
                <c:pt idx="25">
                  <c:v>3.16227766016838</c:v>
                </c:pt>
                <c:pt idx="26">
                  <c:v>3.98107170553497</c:v>
                </c:pt>
                <c:pt idx="27">
                  <c:v>5.01187233627272</c:v>
                </c:pt>
                <c:pt idx="28">
                  <c:v>6.30957344480193</c:v>
                </c:pt>
                <c:pt idx="29">
                  <c:v>7.94328234724282</c:v>
                </c:pt>
                <c:pt idx="30">
                  <c:v>10</c:v>
                </c:pt>
                <c:pt idx="31">
                  <c:v>12.5892541179417</c:v>
                </c:pt>
                <c:pt idx="32">
                  <c:v>15.8489319246111</c:v>
                </c:pt>
                <c:pt idx="33">
                  <c:v>19.9526231496888</c:v>
                </c:pt>
                <c:pt idx="34">
                  <c:v>25.1188643150958</c:v>
                </c:pt>
                <c:pt idx="35">
                  <c:v>31.6227766016838</c:v>
                </c:pt>
                <c:pt idx="36">
                  <c:v>39.8107170553498</c:v>
                </c:pt>
                <c:pt idx="37">
                  <c:v>50.1187233627272</c:v>
                </c:pt>
                <c:pt idx="38">
                  <c:v>63.0957344480194</c:v>
                </c:pt>
                <c:pt idx="39">
                  <c:v>79.4328234724282</c:v>
                </c:pt>
                <c:pt idx="40">
                  <c:v>100</c:v>
                </c:pt>
                <c:pt idx="41">
                  <c:v>125.892541179417</c:v>
                </c:pt>
                <c:pt idx="42">
                  <c:v>158.489319246112</c:v>
                </c:pt>
                <c:pt idx="43">
                  <c:v>199.526231496888</c:v>
                </c:pt>
                <c:pt idx="44">
                  <c:v>251.188643150958</c:v>
                </c:pt>
                <c:pt idx="45">
                  <c:v>316.227766016838</c:v>
                </c:pt>
                <c:pt idx="46">
                  <c:v>398.107170553498</c:v>
                </c:pt>
                <c:pt idx="47">
                  <c:v>501.187233627273</c:v>
                </c:pt>
                <c:pt idx="48">
                  <c:v>630.957344480193</c:v>
                </c:pt>
                <c:pt idx="49">
                  <c:v>794.328234724282</c:v>
                </c:pt>
                <c:pt idx="50">
                  <c:v>1000</c:v>
                </c:pt>
              </c:numCache>
            </c:numRef>
          </c:xVal>
          <c:yVal>
            <c:numRef>
              <c:f>data!$N$205:$N$255</c:f>
              <c:numCache>
                <c:formatCode>General</c:formatCode>
                <c:ptCount val="51"/>
                <c:pt idx="0">
                  <c:v>14.8772222567597</c:v>
                </c:pt>
                <c:pt idx="1">
                  <c:v>14.8770895277644</c:v>
                </c:pt>
                <c:pt idx="2">
                  <c:v>14.876879174792</c:v>
                </c:pt>
                <c:pt idx="3">
                  <c:v>14.8765458086669</c:v>
                </c:pt>
                <c:pt idx="4">
                  <c:v>14.8760175113759</c:v>
                </c:pt>
                <c:pt idx="5">
                  <c:v>14.8751803482127</c:v>
                </c:pt>
                <c:pt idx="6">
                  <c:v>14.8738538644844</c:v>
                </c:pt>
                <c:pt idx="7">
                  <c:v>14.8717523590136</c:v>
                </c:pt>
                <c:pt idx="8">
                  <c:v>14.8684237788994</c:v>
                </c:pt>
                <c:pt idx="9">
                  <c:v>14.8631535550978</c:v>
                </c:pt>
                <c:pt idx="10">
                  <c:v>14.8548138916724</c:v>
                </c:pt>
                <c:pt idx="11">
                  <c:v>14.8416291324736</c:v>
                </c:pt>
                <c:pt idx="12">
                  <c:v>14.820814345227</c:v>
                </c:pt>
                <c:pt idx="13">
                  <c:v>14.7880281281237</c:v>
                </c:pt>
                <c:pt idx="14">
                  <c:v>14.7365672201424</c:v>
                </c:pt>
                <c:pt idx="15">
                  <c:v>14.6562360321864</c:v>
                </c:pt>
                <c:pt idx="16">
                  <c:v>14.5318872469359</c:v>
                </c:pt>
                <c:pt idx="17">
                  <c:v>14.3418227244455</c:v>
                </c:pt>
                <c:pt idx="18">
                  <c:v>14.0566577219234</c:v>
                </c:pt>
                <c:pt idx="19">
                  <c:v>13.6398745395922</c:v>
                </c:pt>
                <c:pt idx="20">
                  <c:v>13.0517115677417</c:v>
                </c:pt>
                <c:pt idx="21">
                  <c:v>12.2572165277991</c:v>
                </c:pt>
                <c:pt idx="22">
                  <c:v>11.2364334269301</c:v>
                </c:pt>
                <c:pt idx="23">
                  <c:v>9.99146304611503</c:v>
                </c:pt>
                <c:pt idx="24">
                  <c:v>8.54567816881682</c:v>
                </c:pt>
                <c:pt idx="25">
                  <c:v>6.93565303804395</c:v>
                </c:pt>
                <c:pt idx="26">
                  <c:v>5.2010421790953</c:v>
                </c:pt>
                <c:pt idx="27">
                  <c:v>3.37723989618034</c:v>
                </c:pt>
                <c:pt idx="28">
                  <c:v>1.49220754493925</c:v>
                </c:pt>
                <c:pt idx="29">
                  <c:v>-0.433654890034354</c:v>
                </c:pt>
                <c:pt idx="30">
                  <c:v>-2.38621756660707</c:v>
                </c:pt>
                <c:pt idx="31">
                  <c:v>-4.35601781894245</c:v>
                </c:pt>
                <c:pt idx="32">
                  <c:v>-6.33685444417212</c:v>
                </c:pt>
                <c:pt idx="33">
                  <c:v>-8.32471951854178</c:v>
                </c:pt>
                <c:pt idx="34">
                  <c:v>-10.3170454149868</c:v>
                </c:pt>
                <c:pt idx="35">
                  <c:v>-12.3121963964386</c:v>
                </c:pt>
                <c:pt idx="36">
                  <c:v>-14.3091340845143</c:v>
                </c:pt>
                <c:pt idx="37">
                  <c:v>-16.3072007846902</c:v>
                </c:pt>
                <c:pt idx="38">
                  <c:v>-18.3059805119989</c:v>
                </c:pt>
                <c:pt idx="39">
                  <c:v>-20.305210395527</c:v>
                </c:pt>
                <c:pt idx="40">
                  <c:v>-22.3047244146082</c:v>
                </c:pt>
                <c:pt idx="41">
                  <c:v>-24.3044177533946</c:v>
                </c:pt>
                <c:pt idx="42">
                  <c:v>-26.3042242521076</c:v>
                </c:pt>
                <c:pt idx="43">
                  <c:v>-28.304102156613</c:v>
                </c:pt>
                <c:pt idx="44">
                  <c:v>-30.3040251177979</c:v>
                </c:pt>
                <c:pt idx="45">
                  <c:v>-32.3039765088885</c:v>
                </c:pt>
                <c:pt idx="46">
                  <c:v>-34.3039458384602</c:v>
                </c:pt>
                <c:pt idx="47">
                  <c:v>-36.3039264866167</c:v>
                </c:pt>
                <c:pt idx="48">
                  <c:v>-38.3039142763846</c:v>
                </c:pt>
                <c:pt idx="49">
                  <c:v>-40.3039065722313</c:v>
                </c:pt>
                <c:pt idx="50">
                  <c:v>-42.3039017112322</c:v>
                </c:pt>
              </c:numCache>
            </c:numRef>
          </c:yVal>
          <c:smooth val="1"/>
        </c:ser>
        <c:ser>
          <c:idx val="1"/>
          <c:order val="1"/>
          <c:tx>
            <c:strRef>
              <c:f>"PWM_PS Gain"</c:f>
              <c:strCache>
                <c:ptCount val="1"/>
                <c:pt idx="0">
                  <c:v>PWM_PS Gain</c:v>
                </c:pt>
              </c:strCache>
            </c:strRef>
          </c:tx>
          <c:spPr>
            <a:ln w="25400" cap="rnd" cmpd="sng" algn="ctr">
              <a:solidFill>
                <a:srgbClr val="993300"/>
              </a:solidFill>
              <a:prstDash val="solid"/>
              <a:round/>
            </a:ln>
          </c:spPr>
          <c:marker>
            <c:symbol val="none"/>
          </c:marker>
          <c:dLbls>
            <c:delete val="1"/>
          </c:dLbls>
          <c:xVal>
            <c:numRef>
              <c:f>data!$H$205:$H$255</c:f>
              <c:numCache>
                <c:formatCode>0.000</c:formatCode>
                <c:ptCount val="51"/>
                <c:pt idx="0">
                  <c:v>0.01</c:v>
                </c:pt>
                <c:pt idx="1">
                  <c:v>0.0125892541179417</c:v>
                </c:pt>
                <c:pt idx="2">
                  <c:v>0.0158489319246111</c:v>
                </c:pt>
                <c:pt idx="3">
                  <c:v>0.0199526231496888</c:v>
                </c:pt>
                <c:pt idx="4">
                  <c:v>0.0251188643150958</c:v>
                </c:pt>
                <c:pt idx="5">
                  <c:v>0.0316227766016838</c:v>
                </c:pt>
                <c:pt idx="6">
                  <c:v>0.0398107170553497</c:v>
                </c:pt>
                <c:pt idx="7">
                  <c:v>0.0501187233627272</c:v>
                </c:pt>
                <c:pt idx="8">
                  <c:v>0.0630957344480193</c:v>
                </c:pt>
                <c:pt idx="9">
                  <c:v>0.0794328234724281</c:v>
                </c:pt>
                <c:pt idx="10">
                  <c:v>0.1</c:v>
                </c:pt>
                <c:pt idx="11">
                  <c:v>0.125892541179417</c:v>
                </c:pt>
                <c:pt idx="12">
                  <c:v>0.158489319246111</c:v>
                </c:pt>
                <c:pt idx="13">
                  <c:v>0.199526231496888</c:v>
                </c:pt>
                <c:pt idx="14">
                  <c:v>0.251188643150958</c:v>
                </c:pt>
                <c:pt idx="15">
                  <c:v>0.316227766016838</c:v>
                </c:pt>
                <c:pt idx="16">
                  <c:v>0.398107170553497</c:v>
                </c:pt>
                <c:pt idx="17">
                  <c:v>0.501187233627272</c:v>
                </c:pt>
                <c:pt idx="18">
                  <c:v>0.630957344480193</c:v>
                </c:pt>
                <c:pt idx="19">
                  <c:v>0.794328234724281</c:v>
                </c:pt>
                <c:pt idx="20">
                  <c:v>1</c:v>
                </c:pt>
                <c:pt idx="21">
                  <c:v>1.25892541179417</c:v>
                </c:pt>
                <c:pt idx="22">
                  <c:v>1.58489319246111</c:v>
                </c:pt>
                <c:pt idx="23">
                  <c:v>1.99526231496888</c:v>
                </c:pt>
                <c:pt idx="24">
                  <c:v>2.51188643150958</c:v>
                </c:pt>
                <c:pt idx="25">
                  <c:v>3.16227766016838</c:v>
                </c:pt>
                <c:pt idx="26">
                  <c:v>3.98107170553497</c:v>
                </c:pt>
                <c:pt idx="27">
                  <c:v>5.01187233627272</c:v>
                </c:pt>
                <c:pt idx="28">
                  <c:v>6.30957344480193</c:v>
                </c:pt>
                <c:pt idx="29">
                  <c:v>7.94328234724282</c:v>
                </c:pt>
                <c:pt idx="30">
                  <c:v>10</c:v>
                </c:pt>
                <c:pt idx="31">
                  <c:v>12.5892541179417</c:v>
                </c:pt>
                <c:pt idx="32">
                  <c:v>15.8489319246111</c:v>
                </c:pt>
                <c:pt idx="33">
                  <c:v>19.9526231496888</c:v>
                </c:pt>
                <c:pt idx="34">
                  <c:v>25.1188643150958</c:v>
                </c:pt>
                <c:pt idx="35">
                  <c:v>31.6227766016838</c:v>
                </c:pt>
                <c:pt idx="36">
                  <c:v>39.8107170553498</c:v>
                </c:pt>
                <c:pt idx="37">
                  <c:v>50.1187233627272</c:v>
                </c:pt>
                <c:pt idx="38">
                  <c:v>63.0957344480194</c:v>
                </c:pt>
                <c:pt idx="39">
                  <c:v>79.4328234724282</c:v>
                </c:pt>
                <c:pt idx="40">
                  <c:v>100</c:v>
                </c:pt>
                <c:pt idx="41">
                  <c:v>125.892541179417</c:v>
                </c:pt>
                <c:pt idx="42">
                  <c:v>158.489319246112</c:v>
                </c:pt>
                <c:pt idx="43">
                  <c:v>199.526231496888</c:v>
                </c:pt>
                <c:pt idx="44">
                  <c:v>251.188643150958</c:v>
                </c:pt>
                <c:pt idx="45">
                  <c:v>316.227766016838</c:v>
                </c:pt>
                <c:pt idx="46">
                  <c:v>398.107170553498</c:v>
                </c:pt>
                <c:pt idx="47">
                  <c:v>501.187233627273</c:v>
                </c:pt>
                <c:pt idx="48">
                  <c:v>630.957344480193</c:v>
                </c:pt>
                <c:pt idx="49">
                  <c:v>794.328234724282</c:v>
                </c:pt>
                <c:pt idx="50">
                  <c:v>1000</c:v>
                </c:pt>
              </c:numCache>
            </c:numRef>
          </c:xVal>
          <c:yVal>
            <c:numRef>
              <c:f>data!$L$205:$L$255</c:f>
              <c:numCache>
                <c:formatCode>General</c:formatCode>
                <c:ptCount val="51"/>
                <c:pt idx="0">
                  <c:v>38.7984690564858</c:v>
                </c:pt>
                <c:pt idx="1">
                  <c:v>38.7983363274904</c:v>
                </c:pt>
                <c:pt idx="2">
                  <c:v>38.7981259745181</c:v>
                </c:pt>
                <c:pt idx="3">
                  <c:v>38.7977926083929</c:v>
                </c:pt>
                <c:pt idx="4">
                  <c:v>38.7972643111019</c:v>
                </c:pt>
                <c:pt idx="5">
                  <c:v>38.7964271479387</c:v>
                </c:pt>
                <c:pt idx="6">
                  <c:v>38.7951006642104</c:v>
                </c:pt>
                <c:pt idx="7">
                  <c:v>38.7929991587396</c:v>
                </c:pt>
                <c:pt idx="8">
                  <c:v>38.7896705786255</c:v>
                </c:pt>
                <c:pt idx="9">
                  <c:v>38.7844003548239</c:v>
                </c:pt>
                <c:pt idx="10">
                  <c:v>38.7760606913985</c:v>
                </c:pt>
                <c:pt idx="11">
                  <c:v>38.7628759321997</c:v>
                </c:pt>
                <c:pt idx="12">
                  <c:v>38.742061144953</c:v>
                </c:pt>
                <c:pt idx="13">
                  <c:v>38.7092749278497</c:v>
                </c:pt>
                <c:pt idx="14">
                  <c:v>38.6578140198685</c:v>
                </c:pt>
                <c:pt idx="15">
                  <c:v>38.5774828319125</c:v>
                </c:pt>
                <c:pt idx="16">
                  <c:v>38.4531340466619</c:v>
                </c:pt>
                <c:pt idx="17">
                  <c:v>38.2630695241715</c:v>
                </c:pt>
                <c:pt idx="18">
                  <c:v>37.9779045216495</c:v>
                </c:pt>
                <c:pt idx="19">
                  <c:v>37.5611213393183</c:v>
                </c:pt>
                <c:pt idx="20">
                  <c:v>36.9729583674677</c:v>
                </c:pt>
                <c:pt idx="21">
                  <c:v>36.1784633275251</c:v>
                </c:pt>
                <c:pt idx="22">
                  <c:v>35.1576802266562</c:v>
                </c:pt>
                <c:pt idx="23">
                  <c:v>33.9127098458411</c:v>
                </c:pt>
                <c:pt idx="24">
                  <c:v>32.4669249685428</c:v>
                </c:pt>
                <c:pt idx="25">
                  <c:v>30.85689983777</c:v>
                </c:pt>
                <c:pt idx="26">
                  <c:v>29.1222889788213</c:v>
                </c:pt>
                <c:pt idx="27">
                  <c:v>27.2984866959064</c:v>
                </c:pt>
                <c:pt idx="28">
                  <c:v>25.4134543446653</c:v>
                </c:pt>
                <c:pt idx="29">
                  <c:v>23.4875919096917</c:v>
                </c:pt>
                <c:pt idx="30">
                  <c:v>21.5350292331189</c:v>
                </c:pt>
                <c:pt idx="31">
                  <c:v>19.5652289807836</c:v>
                </c:pt>
                <c:pt idx="32">
                  <c:v>17.5843923555539</c:v>
                </c:pt>
                <c:pt idx="33">
                  <c:v>15.5965272811842</c:v>
                </c:pt>
                <c:pt idx="34">
                  <c:v>13.6042013847393</c:v>
                </c:pt>
                <c:pt idx="35">
                  <c:v>11.6090504032875</c:v>
                </c:pt>
                <c:pt idx="36">
                  <c:v>9.6121127152117</c:v>
                </c:pt>
                <c:pt idx="37">
                  <c:v>7.61404601503585</c:v>
                </c:pt>
                <c:pt idx="38">
                  <c:v>5.61526628772714</c:v>
                </c:pt>
                <c:pt idx="39">
                  <c:v>3.61603640419903</c:v>
                </c:pt>
                <c:pt idx="40">
                  <c:v>1.61652238511781</c:v>
                </c:pt>
                <c:pt idx="41">
                  <c:v>-0.383170953668617</c:v>
                </c:pt>
                <c:pt idx="42">
                  <c:v>-2.38297745238153</c:v>
                </c:pt>
                <c:pt idx="43">
                  <c:v>-4.38285535688702</c:v>
                </c:pt>
                <c:pt idx="44">
                  <c:v>-6.38277831807189</c:v>
                </c:pt>
                <c:pt idx="45">
                  <c:v>-8.3827297091625</c:v>
                </c:pt>
                <c:pt idx="46">
                  <c:v>-10.3826990387341</c:v>
                </c:pt>
                <c:pt idx="47">
                  <c:v>-12.3826796868907</c:v>
                </c:pt>
                <c:pt idx="48">
                  <c:v>-14.3826674766586</c:v>
                </c:pt>
                <c:pt idx="49">
                  <c:v>-16.3826597725053</c:v>
                </c:pt>
                <c:pt idx="50">
                  <c:v>-18.3826549115061</c:v>
                </c:pt>
              </c:numCache>
            </c:numRef>
          </c:yVal>
          <c:smooth val="1"/>
        </c:ser>
        <c:dLbls>
          <c:showLegendKey val="0"/>
          <c:showVal val="0"/>
          <c:showCatName val="0"/>
          <c:showSerName val="0"/>
          <c:showPercent val="0"/>
          <c:showBubbleSize val="0"/>
        </c:dLbls>
        <c:axId val="144217216"/>
        <c:axId val="144219136"/>
      </c:scatterChart>
      <c:scatterChart>
        <c:scatterStyle val="line"/>
        <c:varyColors val="0"/>
        <c:ser>
          <c:idx val="2"/>
          <c:order val="2"/>
          <c:tx>
            <c:strRef>
              <c:f>"Total Open Loop Phase"</c:f>
              <c:strCache>
                <c:ptCount val="1"/>
                <c:pt idx="0">
                  <c:v>Total Open Loop Phase</c:v>
                </c:pt>
              </c:strCache>
            </c:strRef>
          </c:tx>
          <c:spPr>
            <a:ln w="38100" cap="rnd" cmpd="sng" algn="ctr">
              <a:solidFill>
                <a:srgbClr val="0000FF"/>
              </a:solidFill>
              <a:prstDash val="solid"/>
              <a:round/>
            </a:ln>
          </c:spPr>
          <c:marker>
            <c:symbol val="none"/>
          </c:marker>
          <c:dLbls>
            <c:delete val="1"/>
          </c:dLbls>
          <c:xVal>
            <c:numRef>
              <c:f>data!$H$205:$H$255</c:f>
              <c:numCache>
                <c:formatCode>0.000</c:formatCode>
                <c:ptCount val="51"/>
                <c:pt idx="0">
                  <c:v>0.01</c:v>
                </c:pt>
                <c:pt idx="1">
                  <c:v>0.0125892541179417</c:v>
                </c:pt>
                <c:pt idx="2">
                  <c:v>0.0158489319246111</c:v>
                </c:pt>
                <c:pt idx="3">
                  <c:v>0.0199526231496888</c:v>
                </c:pt>
                <c:pt idx="4">
                  <c:v>0.0251188643150958</c:v>
                </c:pt>
                <c:pt idx="5">
                  <c:v>0.0316227766016838</c:v>
                </c:pt>
                <c:pt idx="6">
                  <c:v>0.0398107170553497</c:v>
                </c:pt>
                <c:pt idx="7">
                  <c:v>0.0501187233627272</c:v>
                </c:pt>
                <c:pt idx="8">
                  <c:v>0.0630957344480193</c:v>
                </c:pt>
                <c:pt idx="9">
                  <c:v>0.0794328234724281</c:v>
                </c:pt>
                <c:pt idx="10">
                  <c:v>0.1</c:v>
                </c:pt>
                <c:pt idx="11">
                  <c:v>0.125892541179417</c:v>
                </c:pt>
                <c:pt idx="12">
                  <c:v>0.158489319246111</c:v>
                </c:pt>
                <c:pt idx="13">
                  <c:v>0.199526231496888</c:v>
                </c:pt>
                <c:pt idx="14">
                  <c:v>0.251188643150958</c:v>
                </c:pt>
                <c:pt idx="15">
                  <c:v>0.316227766016838</c:v>
                </c:pt>
                <c:pt idx="16">
                  <c:v>0.398107170553497</c:v>
                </c:pt>
                <c:pt idx="17">
                  <c:v>0.501187233627272</c:v>
                </c:pt>
                <c:pt idx="18">
                  <c:v>0.630957344480193</c:v>
                </c:pt>
                <c:pt idx="19">
                  <c:v>0.794328234724281</c:v>
                </c:pt>
                <c:pt idx="20">
                  <c:v>1</c:v>
                </c:pt>
                <c:pt idx="21">
                  <c:v>1.25892541179417</c:v>
                </c:pt>
                <c:pt idx="22">
                  <c:v>1.58489319246111</c:v>
                </c:pt>
                <c:pt idx="23">
                  <c:v>1.99526231496888</c:v>
                </c:pt>
                <c:pt idx="24">
                  <c:v>2.51188643150958</c:v>
                </c:pt>
                <c:pt idx="25">
                  <c:v>3.16227766016838</c:v>
                </c:pt>
                <c:pt idx="26">
                  <c:v>3.98107170553497</c:v>
                </c:pt>
                <c:pt idx="27">
                  <c:v>5.01187233627272</c:v>
                </c:pt>
                <c:pt idx="28">
                  <c:v>6.30957344480193</c:v>
                </c:pt>
                <c:pt idx="29">
                  <c:v>7.94328234724282</c:v>
                </c:pt>
                <c:pt idx="30">
                  <c:v>10</c:v>
                </c:pt>
                <c:pt idx="31">
                  <c:v>12.5892541179417</c:v>
                </c:pt>
                <c:pt idx="32">
                  <c:v>15.8489319246111</c:v>
                </c:pt>
                <c:pt idx="33">
                  <c:v>19.9526231496888</c:v>
                </c:pt>
                <c:pt idx="34">
                  <c:v>25.1188643150958</c:v>
                </c:pt>
                <c:pt idx="35">
                  <c:v>31.6227766016838</c:v>
                </c:pt>
                <c:pt idx="36">
                  <c:v>39.8107170553498</c:v>
                </c:pt>
                <c:pt idx="37">
                  <c:v>50.1187233627272</c:v>
                </c:pt>
                <c:pt idx="38">
                  <c:v>63.0957344480194</c:v>
                </c:pt>
                <c:pt idx="39">
                  <c:v>79.4328234724282</c:v>
                </c:pt>
                <c:pt idx="40">
                  <c:v>100</c:v>
                </c:pt>
                <c:pt idx="41">
                  <c:v>125.892541179417</c:v>
                </c:pt>
                <c:pt idx="42">
                  <c:v>158.489319246112</c:v>
                </c:pt>
                <c:pt idx="43">
                  <c:v>199.526231496888</c:v>
                </c:pt>
                <c:pt idx="44">
                  <c:v>251.188643150958</c:v>
                </c:pt>
                <c:pt idx="45">
                  <c:v>316.227766016838</c:v>
                </c:pt>
                <c:pt idx="46">
                  <c:v>398.107170553498</c:v>
                </c:pt>
                <c:pt idx="47">
                  <c:v>501.187233627273</c:v>
                </c:pt>
                <c:pt idx="48">
                  <c:v>630.957344480193</c:v>
                </c:pt>
                <c:pt idx="49">
                  <c:v>794.328234724282</c:v>
                </c:pt>
                <c:pt idx="50">
                  <c:v>1000</c:v>
                </c:pt>
              </c:numCache>
            </c:numRef>
          </c:xVal>
          <c:yVal>
            <c:numRef>
              <c:f>data!$O$205:$O$255</c:f>
              <c:numCache>
                <c:formatCode>General</c:formatCode>
                <c:ptCount val="51"/>
                <c:pt idx="0">
                  <c:v>-0.414173394607376</c:v>
                </c:pt>
                <c:pt idx="1">
                  <c:v>-0.521408099530647</c:v>
                </c:pt>
                <c:pt idx="2">
                  <c:v>-0.656403308423295</c:v>
                </c:pt>
                <c:pt idx="3">
                  <c:v>-0.826341661175883</c:v>
                </c:pt>
                <c:pt idx="4">
                  <c:v>-1.04026033290707</c:v>
                </c:pt>
                <c:pt idx="5">
                  <c:v>-1.30952601736237</c:v>
                </c:pt>
                <c:pt idx="6">
                  <c:v>-1.64842772829433</c:v>
                </c:pt>
                <c:pt idx="7">
                  <c:v>-2.07491280573357</c:v>
                </c:pt>
                <c:pt idx="8">
                  <c:v>-2.61149304342325</c:v>
                </c:pt>
                <c:pt idx="9">
                  <c:v>-3.28634486843605</c:v>
                </c:pt>
                <c:pt idx="10">
                  <c:v>-4.13461418157895</c:v>
                </c:pt>
                <c:pt idx="11">
                  <c:v>-5.19990133983788</c:v>
                </c:pt>
                <c:pt idx="12">
                  <c:v>-6.53582315984883</c:v>
                </c:pt>
                <c:pt idx="13">
                  <c:v>-8.20738809139374</c:v>
                </c:pt>
                <c:pt idx="14">
                  <c:v>-10.2916153456939</c:v>
                </c:pt>
                <c:pt idx="15">
                  <c:v>-12.8762965852471</c:v>
                </c:pt>
                <c:pt idx="16">
                  <c:v>-16.0549888825553</c:v>
                </c:pt>
                <c:pt idx="17">
                  <c:v>-19.9154008847567</c:v>
                </c:pt>
                <c:pt idx="18">
                  <c:v>-24.5180804477198</c:v>
                </c:pt>
                <c:pt idx="19">
                  <c:v>-29.8646670439577</c:v>
                </c:pt>
                <c:pt idx="20">
                  <c:v>-35.8624713926219</c:v>
                </c:pt>
                <c:pt idx="21">
                  <c:v>-42.3038845981672</c:v>
                </c:pt>
                <c:pt idx="22">
                  <c:v>-48.8843591478322</c:v>
                </c:pt>
                <c:pt idx="23">
                  <c:v>-55.2657094020919</c:v>
                </c:pt>
                <c:pt idx="24">
                  <c:v>-61.1574310477311</c:v>
                </c:pt>
                <c:pt idx="25">
                  <c:v>-66.3728113196904</c:v>
                </c:pt>
                <c:pt idx="26">
                  <c:v>-70.8385580404164</c:v>
                </c:pt>
                <c:pt idx="27">
                  <c:v>-74.5696900633564</c:v>
                </c:pt>
                <c:pt idx="28">
                  <c:v>-77.6337617189983</c:v>
                </c:pt>
                <c:pt idx="29">
                  <c:v>-80.1208061324329</c:v>
                </c:pt>
                <c:pt idx="30">
                  <c:v>-82.123960292296</c:v>
                </c:pt>
                <c:pt idx="31">
                  <c:v>-83.7292912194162</c:v>
                </c:pt>
                <c:pt idx="32">
                  <c:v>-85.0116577202378</c:v>
                </c:pt>
                <c:pt idx="33">
                  <c:v>-86.0339235920161</c:v>
                </c:pt>
                <c:pt idx="34">
                  <c:v>-86.8477764182673</c:v>
                </c:pt>
                <c:pt idx="35">
                  <c:v>-87.4951674350429</c:v>
                </c:pt>
                <c:pt idx="36">
                  <c:v>-88.0098729664431</c:v>
                </c:pt>
                <c:pt idx="37">
                  <c:v>-88.4189512873019</c:v>
                </c:pt>
                <c:pt idx="38">
                  <c:v>-88.7440107276085</c:v>
                </c:pt>
                <c:pt idx="39">
                  <c:v>-89.0022732828371</c:v>
                </c:pt>
                <c:pt idx="40">
                  <c:v>-89.2074479350752</c:v>
                </c:pt>
                <c:pt idx="41">
                  <c:v>-89.3704386991487</c:v>
                </c:pt>
                <c:pt idx="42">
                  <c:v>-89.4999142560419</c:v>
                </c:pt>
                <c:pt idx="43">
                  <c:v>-89.6027640512098</c:v>
                </c:pt>
                <c:pt idx="44">
                  <c:v>-89.684462404267</c:v>
                </c:pt>
                <c:pt idx="45">
                  <c:v>-89.7493586434802</c:v>
                </c:pt>
                <c:pt idx="46">
                  <c:v>-89.8009080250553</c:v>
                </c:pt>
                <c:pt idx="47">
                  <c:v>-89.8418553881007</c:v>
                </c:pt>
                <c:pt idx="48">
                  <c:v>-89.8743811518726</c:v>
                </c:pt>
                <c:pt idx="49">
                  <c:v>-89.9002173431158</c:v>
                </c:pt>
                <c:pt idx="50">
                  <c:v>-89.9207397887295</c:v>
                </c:pt>
              </c:numCache>
            </c:numRef>
          </c:yVal>
          <c:smooth val="1"/>
        </c:ser>
        <c:dLbls>
          <c:showLegendKey val="0"/>
          <c:showVal val="0"/>
          <c:showCatName val="0"/>
          <c:showSerName val="0"/>
          <c:showPercent val="0"/>
          <c:showBubbleSize val="0"/>
        </c:dLbls>
        <c:axId val="144225408"/>
        <c:axId val="144226944"/>
      </c:scatterChart>
      <c:valAx>
        <c:axId val="144217216"/>
        <c:scaling>
          <c:logBase val="10"/>
          <c:orientation val="minMax"/>
          <c:max val="1000"/>
          <c:min val="0.01"/>
        </c:scaling>
        <c:delete val="0"/>
        <c:axPos val="b"/>
        <c:majorGridlines>
          <c:spPr>
            <a:ln w="3175" cap="flat" cmpd="sng" algn="ctr">
              <a:solidFill>
                <a:srgbClr val="000000"/>
              </a:solidFill>
              <a:prstDash val="solid"/>
              <a:round/>
            </a:ln>
          </c:spPr>
        </c:majorGridlines>
        <c:minorGridlines>
          <c:spPr>
            <a:ln w="3175" cap="flat" cmpd="sng" algn="ctr">
              <a:solidFill>
                <a:srgbClr val="000000"/>
              </a:solidFill>
              <a:prstDash val="solid"/>
              <a:round/>
            </a:ln>
          </c:spPr>
        </c:minorGridlines>
        <c:title>
          <c:tx>
            <c:rich>
              <a:bodyPr rot="0" spcFirstLastPara="0" vertOverflow="ellipsis" vert="horz" wrap="square" anchor="ctr" anchorCtr="1"/>
              <a:lstStyle/>
              <a:p>
                <a:pPr>
                  <a:defRPr lang="zh-CN" sz="1050" b="1" i="0" u="none" strike="noStrike" kern="1200" baseline="0">
                    <a:solidFill>
                      <a:srgbClr val="000000"/>
                    </a:solidFill>
                    <a:latin typeface="Arial" panose="020B0604020202020204"/>
                    <a:ea typeface="Arial" panose="020B0604020202020204"/>
                    <a:cs typeface="Arial" panose="020B0604020202020204"/>
                  </a:defRPr>
                </a:pPr>
                <a:r>
                  <a:rPr lang="en-US"/>
                  <a:t>Frequency (Hz)</a:t>
                </a:r>
                <a:endParaRPr lang="en-US"/>
              </a:p>
            </c:rich>
          </c:tx>
          <c:layout>
            <c:manualLayout>
              <c:xMode val="edge"/>
              <c:yMode val="edge"/>
              <c:x val="0.427623396548437"/>
              <c:y val="0.868472773808456"/>
            </c:manualLayout>
          </c:layout>
          <c:overlay val="0"/>
          <c:spPr>
            <a:noFill/>
            <a:ln w="25400">
              <a:noFill/>
            </a:ln>
          </c:spPr>
        </c:title>
        <c:numFmt formatCode="General" sourceLinked="0"/>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50" b="0" i="0" u="none" strike="noStrike" kern="1200" baseline="0">
                <a:solidFill>
                  <a:srgbClr val="000000"/>
                </a:solidFill>
                <a:latin typeface="Arial" panose="020B0604020202020204"/>
                <a:ea typeface="Arial" panose="020B0604020202020204"/>
                <a:cs typeface="Arial" panose="020B0604020202020204"/>
              </a:defRPr>
            </a:pPr>
          </a:p>
        </c:txPr>
        <c:crossAx val="144219136"/>
        <c:crossesAt val="-100"/>
        <c:crossBetween val="midCat"/>
        <c:majorUnit val="10"/>
        <c:minorUnit val="10"/>
      </c:valAx>
      <c:valAx>
        <c:axId val="144219136"/>
        <c:scaling>
          <c:orientation val="minMax"/>
          <c:max val="100"/>
          <c:min val="-100"/>
        </c:scaling>
        <c:delete val="0"/>
        <c:axPos val="l"/>
        <c:majorGridlines>
          <c:spPr>
            <a:ln w="3175" cap="flat" cmpd="sng" algn="ctr">
              <a:solidFill>
                <a:srgbClr val="000000"/>
              </a:solidFill>
              <a:prstDash val="solid"/>
              <a:round/>
            </a:ln>
          </c:spPr>
        </c:majorGridlines>
        <c:title>
          <c:tx>
            <c:rich>
              <a:bodyPr rot="-5400000" spcFirstLastPara="0" vertOverflow="ellipsis" vert="horz" wrap="square" anchor="ctr" anchorCtr="1"/>
              <a:lstStyle/>
              <a:p>
                <a:pPr>
                  <a:defRPr lang="zh-CN" sz="1050" b="1" i="0" u="none" strike="noStrike" kern="1200" baseline="0">
                    <a:solidFill>
                      <a:srgbClr val="000000"/>
                    </a:solidFill>
                    <a:latin typeface="Arial" panose="020B0604020202020204"/>
                    <a:ea typeface="Arial" panose="020B0604020202020204"/>
                    <a:cs typeface="Arial" panose="020B0604020202020204"/>
                  </a:defRPr>
                </a:pPr>
                <a:r>
                  <a:rPr lang="en-US"/>
                  <a:t>Gain (dB)</a:t>
                </a:r>
                <a:endParaRPr lang="en-US"/>
              </a:p>
            </c:rich>
          </c:tx>
          <c:layout>
            <c:manualLayout>
              <c:xMode val="edge"/>
              <c:yMode val="edge"/>
              <c:x val="0.0212483675303571"/>
              <c:y val="0.410058414359449"/>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50" b="0" i="0" u="none" strike="noStrike" kern="1200" baseline="0">
                <a:solidFill>
                  <a:srgbClr val="000000"/>
                </a:solidFill>
                <a:latin typeface="Arial" panose="020B0604020202020204"/>
                <a:ea typeface="Arial" panose="020B0604020202020204"/>
                <a:cs typeface="Arial" panose="020B0604020202020204"/>
              </a:defRPr>
            </a:pPr>
          </a:p>
        </c:txPr>
        <c:crossAx val="144217216"/>
        <c:crossesAt val="0.01"/>
        <c:crossBetween val="midCat"/>
      </c:valAx>
      <c:valAx>
        <c:axId val="144225408"/>
        <c:scaling>
          <c:logBase val="10"/>
          <c:orientation val="minMax"/>
        </c:scaling>
        <c:delete val="1"/>
        <c:axPos val="b"/>
        <c:numFmt formatCode="0.000" sourceLinked="1"/>
        <c:majorTickMark val="out"/>
        <c:minorTickMark val="none"/>
        <c:tickLblPos val="none"/>
        <c:txPr>
          <a:bodyPr rot="-60000000" spcFirstLastPara="0" vertOverflow="ellipsis" vert="horz" wrap="square" anchor="ctr" anchorCtr="1"/>
          <a:lstStyle/>
          <a:p>
            <a:pPr>
              <a:defRPr lang="zh-CN" sz="1050" b="0" i="0" u="none" strike="noStrike" kern="1200" baseline="0">
                <a:solidFill>
                  <a:srgbClr val="000000"/>
                </a:solidFill>
                <a:latin typeface="Arial" panose="020B0604020202020204"/>
                <a:ea typeface="Arial" panose="020B0604020202020204"/>
                <a:cs typeface="Arial" panose="020B0604020202020204"/>
              </a:defRPr>
            </a:pPr>
          </a:p>
        </c:txPr>
        <c:crossAx val="144226944"/>
        <c:crosses val="autoZero"/>
        <c:crossBetween val="midCat"/>
      </c:valAx>
      <c:valAx>
        <c:axId val="144226944"/>
        <c:scaling>
          <c:orientation val="minMax"/>
        </c:scaling>
        <c:delete val="0"/>
        <c:axPos val="r"/>
        <c:title>
          <c:tx>
            <c:rich>
              <a:bodyPr rot="5400000" spcFirstLastPara="0" vertOverflow="ellipsis" vert="horz" wrap="square" anchor="ctr" anchorCtr="1"/>
              <a:lstStyle/>
              <a:p>
                <a:pPr algn="ctr">
                  <a:defRPr lang="zh-CN" sz="1050" b="1" i="0" u="none" strike="noStrike" kern="1200" baseline="0">
                    <a:solidFill>
                      <a:srgbClr val="000000"/>
                    </a:solidFill>
                    <a:latin typeface="Arial" panose="020B0604020202020204"/>
                    <a:ea typeface="Arial" panose="020B0604020202020204"/>
                    <a:cs typeface="Arial" panose="020B0604020202020204"/>
                  </a:defRPr>
                </a:pPr>
                <a:r>
                  <a:rPr lang="en-US"/>
                  <a:t>Phase (degrees)</a:t>
                </a:r>
                <a:endParaRPr lang="en-US"/>
              </a:p>
            </c:rich>
          </c:tx>
          <c:layout>
            <c:manualLayout>
              <c:xMode val="edge"/>
              <c:yMode val="edge"/>
              <c:x val="0.948208401042187"/>
              <c:y val="0.359768231466309"/>
            </c:manualLayout>
          </c:layout>
          <c:overlay val="0"/>
          <c:spPr>
            <a:noFill/>
            <a:ln w="25400">
              <a:noFill/>
            </a:ln>
          </c:spPr>
        </c:title>
        <c:numFmt formatCode="General" sourceLinked="1"/>
        <c:majorTickMark val="cross"/>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50" b="0" i="0" u="none" strike="noStrike" kern="1200" baseline="0">
                <a:solidFill>
                  <a:srgbClr val="000000"/>
                </a:solidFill>
                <a:latin typeface="Arial" panose="020B0604020202020204"/>
                <a:ea typeface="Arial" panose="020B0604020202020204"/>
                <a:cs typeface="Arial" panose="020B0604020202020204"/>
              </a:defRPr>
            </a:pPr>
          </a:p>
        </c:txPr>
        <c:crossAx val="144225408"/>
        <c:crosses val="max"/>
        <c:crossBetween val="midCat"/>
      </c:valAx>
      <c:spPr>
        <a:gradFill rotWithShape="0">
          <a:gsLst>
            <a:gs pos="0">
              <a:srgbClr val="FFFFFF"/>
            </a:gs>
            <a:gs pos="100000">
              <a:srgbClr val="FFFFCC"/>
            </a:gs>
          </a:gsLst>
          <a:lin ang="5400000" scaled="1"/>
        </a:gradFill>
        <a:ln w="12700">
          <a:solidFill>
            <a:srgbClr val="808080"/>
          </a:solidFill>
          <a:prstDash val="solid"/>
        </a:ln>
      </c:spPr>
    </c:plotArea>
    <c:legend>
      <c:legendPos val="b"/>
      <c:layout>
        <c:manualLayout>
          <c:xMode val="edge"/>
          <c:yMode val="edge"/>
          <c:x val="0.16334682538962"/>
          <c:y val="0.938105334737419"/>
          <c:w val="0.673307646118191"/>
          <c:h val="0.0483559450895577"/>
        </c:manualLayout>
      </c:layout>
      <c:overlay val="0"/>
      <c:spPr>
        <a:solidFill>
          <a:srgbClr val="FFFFFF"/>
        </a:solidFill>
        <a:ln w="3175">
          <a:solidFill>
            <a:srgbClr val="000000"/>
          </a:solidFill>
          <a:prstDash val="solid"/>
        </a:ln>
      </c:spPr>
      <c:txPr>
        <a:bodyPr rot="0" spcFirstLastPara="0" vertOverflow="ellipsis" vert="horz" wrap="square" anchor="ctr" anchorCtr="1"/>
        <a:lstStyle/>
        <a:p>
          <a:pPr>
            <a:defRPr lang="zh-CN" sz="965" b="0"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200" b="1" i="0" u="none" strike="noStrike" kern="1200" baseline="0">
                <a:solidFill>
                  <a:srgbClr val="000000"/>
                </a:solidFill>
                <a:latin typeface="Arial" panose="020B0604020202020204"/>
                <a:ea typeface="Arial" panose="020B0604020202020204"/>
                <a:cs typeface="Arial" panose="020B0604020202020204"/>
              </a:defRPr>
            </a:pPr>
            <a:r>
              <a:rPr lang="en-US"/>
              <a:t>Voltage Closed-Loop Bode Plot</a:t>
            </a:r>
            <a:endParaRPr lang="en-US"/>
          </a:p>
        </c:rich>
      </c:tx>
      <c:layout>
        <c:manualLayout>
          <c:xMode val="edge"/>
          <c:yMode val="edge"/>
          <c:x val="0.337748344370861"/>
          <c:y val="0.0294659830117386"/>
        </c:manualLayout>
      </c:layout>
      <c:overlay val="0"/>
      <c:spPr>
        <a:noFill/>
        <a:ln w="25400">
          <a:noFill/>
        </a:ln>
      </c:spPr>
    </c:title>
    <c:autoTitleDeleted val="0"/>
    <c:plotArea>
      <c:layout>
        <c:manualLayout>
          <c:layoutTarget val="inner"/>
          <c:xMode val="edge"/>
          <c:yMode val="edge"/>
          <c:x val="0.108609271523179"/>
          <c:y val="0.141805043243992"/>
          <c:w val="0.784105960264901"/>
          <c:h val="0.65930136988765"/>
        </c:manualLayout>
      </c:layout>
      <c:scatterChart>
        <c:scatterStyle val="smooth"/>
        <c:varyColors val="0"/>
        <c:ser>
          <c:idx val="0"/>
          <c:order val="0"/>
          <c:tx>
            <c:strRef>
              <c:f>"EA Gain"</c:f>
              <c:strCache>
                <c:ptCount val="1"/>
                <c:pt idx="0">
                  <c:v>EA Gain</c:v>
                </c:pt>
              </c:strCache>
            </c:strRef>
          </c:tx>
          <c:spPr>
            <a:ln w="38100" cap="rnd" cmpd="sng" algn="ctr">
              <a:solidFill>
                <a:srgbClr val="993300"/>
              </a:solidFill>
              <a:prstDash val="solid"/>
              <a:round/>
            </a:ln>
          </c:spPr>
          <c:marker>
            <c:symbol val="none"/>
          </c:marker>
          <c:dLbls>
            <c:delete val="1"/>
          </c:dLbls>
          <c:xVal>
            <c:numRef>
              <c:f>data!$H$205:$H$255</c:f>
              <c:numCache>
                <c:formatCode>0.000</c:formatCode>
                <c:ptCount val="51"/>
                <c:pt idx="0">
                  <c:v>0.01</c:v>
                </c:pt>
                <c:pt idx="1">
                  <c:v>0.0125892541179417</c:v>
                </c:pt>
                <c:pt idx="2">
                  <c:v>0.0158489319246111</c:v>
                </c:pt>
                <c:pt idx="3">
                  <c:v>0.0199526231496888</c:v>
                </c:pt>
                <c:pt idx="4">
                  <c:v>0.0251188643150958</c:v>
                </c:pt>
                <c:pt idx="5">
                  <c:v>0.0316227766016838</c:v>
                </c:pt>
                <c:pt idx="6">
                  <c:v>0.0398107170553497</c:v>
                </c:pt>
                <c:pt idx="7">
                  <c:v>0.0501187233627272</c:v>
                </c:pt>
                <c:pt idx="8">
                  <c:v>0.0630957344480193</c:v>
                </c:pt>
                <c:pt idx="9">
                  <c:v>0.0794328234724281</c:v>
                </c:pt>
                <c:pt idx="10">
                  <c:v>0.1</c:v>
                </c:pt>
                <c:pt idx="11">
                  <c:v>0.125892541179417</c:v>
                </c:pt>
                <c:pt idx="12">
                  <c:v>0.158489319246111</c:v>
                </c:pt>
                <c:pt idx="13">
                  <c:v>0.199526231496888</c:v>
                </c:pt>
                <c:pt idx="14">
                  <c:v>0.251188643150958</c:v>
                </c:pt>
                <c:pt idx="15">
                  <c:v>0.316227766016838</c:v>
                </c:pt>
                <c:pt idx="16">
                  <c:v>0.398107170553497</c:v>
                </c:pt>
                <c:pt idx="17">
                  <c:v>0.501187233627272</c:v>
                </c:pt>
                <c:pt idx="18">
                  <c:v>0.630957344480193</c:v>
                </c:pt>
                <c:pt idx="19">
                  <c:v>0.794328234724281</c:v>
                </c:pt>
                <c:pt idx="20">
                  <c:v>1</c:v>
                </c:pt>
                <c:pt idx="21">
                  <c:v>1.25892541179417</c:v>
                </c:pt>
                <c:pt idx="22">
                  <c:v>1.58489319246111</c:v>
                </c:pt>
                <c:pt idx="23">
                  <c:v>1.99526231496888</c:v>
                </c:pt>
                <c:pt idx="24">
                  <c:v>2.51188643150958</c:v>
                </c:pt>
                <c:pt idx="25">
                  <c:v>3.16227766016838</c:v>
                </c:pt>
                <c:pt idx="26">
                  <c:v>3.98107170553497</c:v>
                </c:pt>
                <c:pt idx="27">
                  <c:v>5.01187233627272</c:v>
                </c:pt>
                <c:pt idx="28">
                  <c:v>6.30957344480193</c:v>
                </c:pt>
                <c:pt idx="29">
                  <c:v>7.94328234724282</c:v>
                </c:pt>
                <c:pt idx="30">
                  <c:v>10</c:v>
                </c:pt>
                <c:pt idx="31">
                  <c:v>12.5892541179417</c:v>
                </c:pt>
                <c:pt idx="32">
                  <c:v>15.8489319246111</c:v>
                </c:pt>
                <c:pt idx="33">
                  <c:v>19.9526231496888</c:v>
                </c:pt>
                <c:pt idx="34">
                  <c:v>25.1188643150958</c:v>
                </c:pt>
                <c:pt idx="35">
                  <c:v>31.6227766016838</c:v>
                </c:pt>
                <c:pt idx="36">
                  <c:v>39.8107170553498</c:v>
                </c:pt>
                <c:pt idx="37">
                  <c:v>50.1187233627272</c:v>
                </c:pt>
                <c:pt idx="38">
                  <c:v>63.0957344480194</c:v>
                </c:pt>
                <c:pt idx="39">
                  <c:v>79.4328234724282</c:v>
                </c:pt>
                <c:pt idx="40">
                  <c:v>100</c:v>
                </c:pt>
                <c:pt idx="41">
                  <c:v>125.892541179417</c:v>
                </c:pt>
                <c:pt idx="42">
                  <c:v>158.489319246112</c:v>
                </c:pt>
                <c:pt idx="43">
                  <c:v>199.526231496888</c:v>
                </c:pt>
                <c:pt idx="44">
                  <c:v>251.188643150958</c:v>
                </c:pt>
                <c:pt idx="45">
                  <c:v>316.227766016838</c:v>
                </c:pt>
                <c:pt idx="46">
                  <c:v>398.107170553498</c:v>
                </c:pt>
                <c:pt idx="47">
                  <c:v>501.187233627273</c:v>
                </c:pt>
                <c:pt idx="48">
                  <c:v>630.957344480193</c:v>
                </c:pt>
                <c:pt idx="49">
                  <c:v>794.328234724282</c:v>
                </c:pt>
                <c:pt idx="50">
                  <c:v>1000</c:v>
                </c:pt>
              </c:numCache>
            </c:numRef>
          </c:xVal>
          <c:yVal>
            <c:numRef>
              <c:f>data!$Q$205:$Q$255</c:f>
              <c:numCache>
                <c:formatCode>General</c:formatCode>
                <c:ptCount val="51"/>
                <c:pt idx="0">
                  <c:v>42.6623619251803</c:v>
                </c:pt>
                <c:pt idx="1">
                  <c:v>40.6625230783589</c:v>
                </c:pt>
                <c:pt idx="2">
                  <c:v>38.6627784766369</c:v>
                </c:pt>
                <c:pt idx="3">
                  <c:v>36.6631832247429</c:v>
                </c:pt>
                <c:pt idx="4">
                  <c:v>34.6638246296934</c:v>
                </c:pt>
                <c:pt idx="5">
                  <c:v>32.6648409932547</c:v>
                </c:pt>
                <c:pt idx="6">
                  <c:v>30.6664513319285</c:v>
                </c:pt>
                <c:pt idx="7">
                  <c:v>28.6690023193569</c:v>
                </c:pt>
                <c:pt idx="8">
                  <c:v>26.6730422828308</c:v>
                </c:pt>
                <c:pt idx="9">
                  <c:v>24.6794374744344</c:v>
                </c:pt>
                <c:pt idx="10">
                  <c:v>22.6895538420131</c:v>
                </c:pt>
                <c:pt idx="11">
                  <c:v>20.7055388963482</c:v>
                </c:pt>
                <c:pt idx="12">
                  <c:v>18.7307531108033</c:v>
                </c:pt>
                <c:pt idx="13">
                  <c:v>16.7704162830405</c:v>
                </c:pt>
                <c:pt idx="14">
                  <c:v>14.832542487157</c:v>
                </c:pt>
                <c:pt idx="15">
                  <c:v>12.929213544419</c:v>
                </c:pt>
                <c:pt idx="16">
                  <c:v>11.0781331810354</c:v>
                </c:pt>
                <c:pt idx="17">
                  <c:v>9.30412627270519</c:v>
                </c:pt>
                <c:pt idx="18">
                  <c:v>7.63972796043776</c:v>
                </c:pt>
                <c:pt idx="19">
                  <c:v>6.12338267758121</c:v>
                </c:pt>
                <c:pt idx="20">
                  <c:v>4.79372546210559</c:v>
                </c:pt>
                <c:pt idx="21">
                  <c:v>3.68009158559896</c:v>
                </c:pt>
                <c:pt idx="22">
                  <c:v>2.79282608821915</c:v>
                </c:pt>
                <c:pt idx="23">
                  <c:v>2.11907558475887</c:v>
                </c:pt>
                <c:pt idx="24">
                  <c:v>1.62687971814877</c:v>
                </c:pt>
                <c:pt idx="25">
                  <c:v>1.27450223386278</c:v>
                </c:pt>
                <c:pt idx="26">
                  <c:v>1.0192436035136</c:v>
                </c:pt>
                <c:pt idx="27">
                  <c:v>0.82219624098123</c:v>
                </c:pt>
                <c:pt idx="28">
                  <c:v>0.648809805845749</c:v>
                </c:pt>
                <c:pt idx="29">
                  <c:v>0.466797590555865</c:v>
                </c:pt>
                <c:pt idx="30">
                  <c:v>0.243013377797878</c:v>
                </c:pt>
                <c:pt idx="31">
                  <c:v>-0.0593026734935719</c:v>
                </c:pt>
                <c:pt idx="32">
                  <c:v>-0.481406567150959</c:v>
                </c:pt>
                <c:pt idx="33">
                  <c:v>-1.06636796911683</c:v>
                </c:pt>
                <c:pt idx="34">
                  <c:v>-1.85192410167053</c:v>
                </c:pt>
                <c:pt idx="35">
                  <c:v>-2.86072356265284</c:v>
                </c:pt>
                <c:pt idx="36">
                  <c:v>-4.09313485212027</c:v>
                </c:pt>
                <c:pt idx="37">
                  <c:v>-5.52760775250397</c:v>
                </c:pt>
                <c:pt idx="38">
                  <c:v>-7.128492073298</c:v>
                </c:pt>
                <c:pt idx="39">
                  <c:v>-8.85627796962475</c:v>
                </c:pt>
                <c:pt idx="40">
                  <c:v>-10.6752627907853</c:v>
                </c:pt>
                <c:pt idx="41">
                  <c:v>-12.5570237542679</c:v>
                </c:pt>
                <c:pt idx="42">
                  <c:v>-14.4807215855352</c:v>
                </c:pt>
                <c:pt idx="43">
                  <c:v>-16.4318762049956</c:v>
                </c:pt>
                <c:pt idx="44">
                  <c:v>-18.4007705911604</c:v>
                </c:pt>
                <c:pt idx="45">
                  <c:v>-20.3810285505478</c:v>
                </c:pt>
                <c:pt idx="46">
                  <c:v>-22.3685256427404</c:v>
                </c:pt>
                <c:pt idx="47">
                  <c:v>-24.360618205609</c:v>
                </c:pt>
                <c:pt idx="48">
                  <c:v>-26.3556215020454</c:v>
                </c:pt>
                <c:pt idx="49">
                  <c:v>-28.3524658227857</c:v>
                </c:pt>
                <c:pt idx="50">
                  <c:v>-30.350473538579</c:v>
                </c:pt>
              </c:numCache>
            </c:numRef>
          </c:yVal>
          <c:smooth val="1"/>
        </c:ser>
        <c:ser>
          <c:idx val="1"/>
          <c:order val="1"/>
          <c:tx>
            <c:strRef>
              <c:f>"Total Closed  Loop Gain"</c:f>
              <c:strCache>
                <c:ptCount val="1"/>
                <c:pt idx="0">
                  <c:v>Total Closed  Loop Gain</c:v>
                </c:pt>
              </c:strCache>
            </c:strRef>
          </c:tx>
          <c:spPr>
            <a:ln w="38100" cap="rnd" cmpd="sng" algn="ctr">
              <a:solidFill>
                <a:srgbClr val="FF0000"/>
              </a:solidFill>
              <a:prstDash val="solid"/>
              <a:round/>
            </a:ln>
          </c:spPr>
          <c:marker>
            <c:symbol val="none"/>
          </c:marker>
          <c:dLbls>
            <c:delete val="1"/>
          </c:dLbls>
          <c:xVal>
            <c:numRef>
              <c:f>data!$H$205:$H$255</c:f>
              <c:numCache>
                <c:formatCode>0.000</c:formatCode>
                <c:ptCount val="51"/>
                <c:pt idx="0">
                  <c:v>0.01</c:v>
                </c:pt>
                <c:pt idx="1">
                  <c:v>0.0125892541179417</c:v>
                </c:pt>
                <c:pt idx="2">
                  <c:v>0.0158489319246111</c:v>
                </c:pt>
                <c:pt idx="3">
                  <c:v>0.0199526231496888</c:v>
                </c:pt>
                <c:pt idx="4">
                  <c:v>0.0251188643150958</c:v>
                </c:pt>
                <c:pt idx="5">
                  <c:v>0.0316227766016838</c:v>
                </c:pt>
                <c:pt idx="6">
                  <c:v>0.0398107170553497</c:v>
                </c:pt>
                <c:pt idx="7">
                  <c:v>0.0501187233627272</c:v>
                </c:pt>
                <c:pt idx="8">
                  <c:v>0.0630957344480193</c:v>
                </c:pt>
                <c:pt idx="9">
                  <c:v>0.0794328234724281</c:v>
                </c:pt>
                <c:pt idx="10">
                  <c:v>0.1</c:v>
                </c:pt>
                <c:pt idx="11">
                  <c:v>0.125892541179417</c:v>
                </c:pt>
                <c:pt idx="12">
                  <c:v>0.158489319246111</c:v>
                </c:pt>
                <c:pt idx="13">
                  <c:v>0.199526231496888</c:v>
                </c:pt>
                <c:pt idx="14">
                  <c:v>0.251188643150958</c:v>
                </c:pt>
                <c:pt idx="15">
                  <c:v>0.316227766016838</c:v>
                </c:pt>
                <c:pt idx="16">
                  <c:v>0.398107170553497</c:v>
                </c:pt>
                <c:pt idx="17">
                  <c:v>0.501187233627272</c:v>
                </c:pt>
                <c:pt idx="18">
                  <c:v>0.630957344480193</c:v>
                </c:pt>
                <c:pt idx="19">
                  <c:v>0.794328234724281</c:v>
                </c:pt>
                <c:pt idx="20">
                  <c:v>1</c:v>
                </c:pt>
                <c:pt idx="21">
                  <c:v>1.25892541179417</c:v>
                </c:pt>
                <c:pt idx="22">
                  <c:v>1.58489319246111</c:v>
                </c:pt>
                <c:pt idx="23">
                  <c:v>1.99526231496888</c:v>
                </c:pt>
                <c:pt idx="24">
                  <c:v>2.51188643150958</c:v>
                </c:pt>
                <c:pt idx="25">
                  <c:v>3.16227766016838</c:v>
                </c:pt>
                <c:pt idx="26">
                  <c:v>3.98107170553497</c:v>
                </c:pt>
                <c:pt idx="27">
                  <c:v>5.01187233627272</c:v>
                </c:pt>
                <c:pt idx="28">
                  <c:v>6.30957344480193</c:v>
                </c:pt>
                <c:pt idx="29">
                  <c:v>7.94328234724282</c:v>
                </c:pt>
                <c:pt idx="30">
                  <c:v>10</c:v>
                </c:pt>
                <c:pt idx="31">
                  <c:v>12.5892541179417</c:v>
                </c:pt>
                <c:pt idx="32">
                  <c:v>15.8489319246111</c:v>
                </c:pt>
                <c:pt idx="33">
                  <c:v>19.9526231496888</c:v>
                </c:pt>
                <c:pt idx="34">
                  <c:v>25.1188643150958</c:v>
                </c:pt>
                <c:pt idx="35">
                  <c:v>31.6227766016838</c:v>
                </c:pt>
                <c:pt idx="36">
                  <c:v>39.8107170553498</c:v>
                </c:pt>
                <c:pt idx="37">
                  <c:v>50.1187233627272</c:v>
                </c:pt>
                <c:pt idx="38">
                  <c:v>63.0957344480194</c:v>
                </c:pt>
                <c:pt idx="39">
                  <c:v>79.4328234724282</c:v>
                </c:pt>
                <c:pt idx="40">
                  <c:v>100</c:v>
                </c:pt>
                <c:pt idx="41">
                  <c:v>125.892541179417</c:v>
                </c:pt>
                <c:pt idx="42">
                  <c:v>158.489319246112</c:v>
                </c:pt>
                <c:pt idx="43">
                  <c:v>199.526231496888</c:v>
                </c:pt>
                <c:pt idx="44">
                  <c:v>251.188643150958</c:v>
                </c:pt>
                <c:pt idx="45">
                  <c:v>316.227766016838</c:v>
                </c:pt>
                <c:pt idx="46">
                  <c:v>398.107170553498</c:v>
                </c:pt>
                <c:pt idx="47">
                  <c:v>501.187233627273</c:v>
                </c:pt>
                <c:pt idx="48">
                  <c:v>630.957344480193</c:v>
                </c:pt>
                <c:pt idx="49">
                  <c:v>794.328234724282</c:v>
                </c:pt>
                <c:pt idx="50">
                  <c:v>1000</c:v>
                </c:pt>
              </c:numCache>
            </c:numRef>
          </c:xVal>
          <c:yVal>
            <c:numRef>
              <c:f>data!$S$205:$S$255</c:f>
              <c:numCache>
                <c:formatCode>General</c:formatCode>
                <c:ptCount val="51"/>
                <c:pt idx="0">
                  <c:v>57.53958418194</c:v>
                </c:pt>
                <c:pt idx="1">
                  <c:v>55.5396126061232</c:v>
                </c:pt>
                <c:pt idx="2">
                  <c:v>53.539657651429</c:v>
                </c:pt>
                <c:pt idx="3">
                  <c:v>51.5397290334098</c:v>
                </c:pt>
                <c:pt idx="4">
                  <c:v>49.5398421410693</c:v>
                </c:pt>
                <c:pt idx="5">
                  <c:v>47.5400213414673</c:v>
                </c:pt>
                <c:pt idx="6">
                  <c:v>45.5403051964129</c:v>
                </c:pt>
                <c:pt idx="7">
                  <c:v>43.5407546783705</c:v>
                </c:pt>
                <c:pt idx="8">
                  <c:v>41.5414660617302</c:v>
                </c:pt>
                <c:pt idx="9">
                  <c:v>39.5425910295323</c:v>
                </c:pt>
                <c:pt idx="10">
                  <c:v>37.5443677336855</c:v>
                </c:pt>
                <c:pt idx="11">
                  <c:v>35.5471680288219</c:v>
                </c:pt>
                <c:pt idx="12">
                  <c:v>33.5515674560303</c:v>
                </c:pt>
                <c:pt idx="13">
                  <c:v>31.5584444111642</c:v>
                </c:pt>
                <c:pt idx="14">
                  <c:v>29.5691097072994</c:v>
                </c:pt>
                <c:pt idx="15">
                  <c:v>27.5854495766054</c:v>
                </c:pt>
                <c:pt idx="16">
                  <c:v>25.6100204279713</c:v>
                </c:pt>
                <c:pt idx="17">
                  <c:v>23.6459489971507</c:v>
                </c:pt>
                <c:pt idx="18">
                  <c:v>21.6963856823612</c:v>
                </c:pt>
                <c:pt idx="19">
                  <c:v>19.7632572171734</c:v>
                </c:pt>
                <c:pt idx="20">
                  <c:v>17.8454370298473</c:v>
                </c:pt>
                <c:pt idx="21">
                  <c:v>15.937308113398</c:v>
                </c:pt>
                <c:pt idx="22">
                  <c:v>14.0292595151493</c:v>
                </c:pt>
                <c:pt idx="23">
                  <c:v>12.1105386308739</c:v>
                </c:pt>
                <c:pt idx="24">
                  <c:v>10.1725578869656</c:v>
                </c:pt>
                <c:pt idx="25">
                  <c:v>8.21015527190672</c:v>
                </c:pt>
                <c:pt idx="26">
                  <c:v>6.22028578260887</c:v>
                </c:pt>
                <c:pt idx="27">
                  <c:v>4.19943613716159</c:v>
                </c:pt>
                <c:pt idx="28">
                  <c:v>2.14101735078503</c:v>
                </c:pt>
                <c:pt idx="29">
                  <c:v>0.0331427005215133</c:v>
                </c:pt>
                <c:pt idx="30">
                  <c:v>-2.1432041888092</c:v>
                </c:pt>
                <c:pt idx="31">
                  <c:v>-4.41532049243603</c:v>
                </c:pt>
                <c:pt idx="32">
                  <c:v>-6.81826101132308</c:v>
                </c:pt>
                <c:pt idx="33">
                  <c:v>-9.39108748765861</c:v>
                </c:pt>
                <c:pt idx="34">
                  <c:v>-12.1689695166573</c:v>
                </c:pt>
                <c:pt idx="35">
                  <c:v>-15.1729199590914</c:v>
                </c:pt>
                <c:pt idx="36">
                  <c:v>-18.4022689366346</c:v>
                </c:pt>
                <c:pt idx="37">
                  <c:v>-21.8348085371941</c:v>
                </c:pt>
                <c:pt idx="38">
                  <c:v>-25.4344725852969</c:v>
                </c:pt>
                <c:pt idx="39">
                  <c:v>-29.1614883651518</c:v>
                </c:pt>
                <c:pt idx="40">
                  <c:v>-32.9799872053936</c:v>
                </c:pt>
                <c:pt idx="41">
                  <c:v>-36.8614415076626</c:v>
                </c:pt>
                <c:pt idx="42">
                  <c:v>-40.7849458376428</c:v>
                </c:pt>
                <c:pt idx="43">
                  <c:v>-44.7359783616086</c:v>
                </c:pt>
                <c:pt idx="44">
                  <c:v>-48.7047957089583</c:v>
                </c:pt>
                <c:pt idx="45">
                  <c:v>-52.6850050594364</c:v>
                </c:pt>
                <c:pt idx="46">
                  <c:v>-56.6724714812005</c:v>
                </c:pt>
                <c:pt idx="47">
                  <c:v>-60.6645446922257</c:v>
                </c:pt>
                <c:pt idx="48">
                  <c:v>-64.6595357784301</c:v>
                </c:pt>
                <c:pt idx="49">
                  <c:v>-68.656372395017</c:v>
                </c:pt>
                <c:pt idx="50">
                  <c:v>-72.6543752498111</c:v>
                </c:pt>
              </c:numCache>
            </c:numRef>
          </c:yVal>
          <c:smooth val="1"/>
        </c:ser>
        <c:dLbls>
          <c:showLegendKey val="0"/>
          <c:showVal val="0"/>
          <c:showCatName val="0"/>
          <c:showSerName val="0"/>
          <c:showPercent val="0"/>
          <c:showBubbleSize val="0"/>
        </c:dLbls>
        <c:axId val="142835072"/>
        <c:axId val="142849536"/>
      </c:scatterChart>
      <c:scatterChart>
        <c:scatterStyle val="line"/>
        <c:varyColors val="0"/>
        <c:ser>
          <c:idx val="2"/>
          <c:order val="2"/>
          <c:tx>
            <c:strRef>
              <c:f>"Total Closed Loop Phase Margin"</c:f>
              <c:strCache>
                <c:ptCount val="1"/>
                <c:pt idx="0">
                  <c:v>Total Closed Loop Phase Margin</c:v>
                </c:pt>
              </c:strCache>
            </c:strRef>
          </c:tx>
          <c:spPr>
            <a:ln w="38100" cap="rnd" cmpd="sng" algn="ctr">
              <a:solidFill>
                <a:srgbClr val="0000FF"/>
              </a:solidFill>
              <a:prstDash val="solid"/>
              <a:round/>
            </a:ln>
          </c:spPr>
          <c:marker>
            <c:symbol val="none"/>
          </c:marker>
          <c:dLbls>
            <c:delete val="1"/>
          </c:dLbls>
          <c:xVal>
            <c:numRef>
              <c:f>data!$H$205:$H$255</c:f>
              <c:numCache>
                <c:formatCode>0.000</c:formatCode>
                <c:ptCount val="51"/>
                <c:pt idx="0">
                  <c:v>0.01</c:v>
                </c:pt>
                <c:pt idx="1">
                  <c:v>0.0125892541179417</c:v>
                </c:pt>
                <c:pt idx="2">
                  <c:v>0.0158489319246111</c:v>
                </c:pt>
                <c:pt idx="3">
                  <c:v>0.0199526231496888</c:v>
                </c:pt>
                <c:pt idx="4">
                  <c:v>0.0251188643150958</c:v>
                </c:pt>
                <c:pt idx="5">
                  <c:v>0.0316227766016838</c:v>
                </c:pt>
                <c:pt idx="6">
                  <c:v>0.0398107170553497</c:v>
                </c:pt>
                <c:pt idx="7">
                  <c:v>0.0501187233627272</c:v>
                </c:pt>
                <c:pt idx="8">
                  <c:v>0.0630957344480193</c:v>
                </c:pt>
                <c:pt idx="9">
                  <c:v>0.0794328234724281</c:v>
                </c:pt>
                <c:pt idx="10">
                  <c:v>0.1</c:v>
                </c:pt>
                <c:pt idx="11">
                  <c:v>0.125892541179417</c:v>
                </c:pt>
                <c:pt idx="12">
                  <c:v>0.158489319246111</c:v>
                </c:pt>
                <c:pt idx="13">
                  <c:v>0.199526231496888</c:v>
                </c:pt>
                <c:pt idx="14">
                  <c:v>0.251188643150958</c:v>
                </c:pt>
                <c:pt idx="15">
                  <c:v>0.316227766016838</c:v>
                </c:pt>
                <c:pt idx="16">
                  <c:v>0.398107170553497</c:v>
                </c:pt>
                <c:pt idx="17">
                  <c:v>0.501187233627272</c:v>
                </c:pt>
                <c:pt idx="18">
                  <c:v>0.630957344480193</c:v>
                </c:pt>
                <c:pt idx="19">
                  <c:v>0.794328234724281</c:v>
                </c:pt>
                <c:pt idx="20">
                  <c:v>1</c:v>
                </c:pt>
                <c:pt idx="21">
                  <c:v>1.25892541179417</c:v>
                </c:pt>
                <c:pt idx="22">
                  <c:v>1.58489319246111</c:v>
                </c:pt>
                <c:pt idx="23">
                  <c:v>1.99526231496888</c:v>
                </c:pt>
                <c:pt idx="24">
                  <c:v>2.51188643150958</c:v>
                </c:pt>
                <c:pt idx="25">
                  <c:v>3.16227766016838</c:v>
                </c:pt>
                <c:pt idx="26">
                  <c:v>3.98107170553497</c:v>
                </c:pt>
                <c:pt idx="27">
                  <c:v>5.01187233627272</c:v>
                </c:pt>
                <c:pt idx="28">
                  <c:v>6.30957344480193</c:v>
                </c:pt>
                <c:pt idx="29">
                  <c:v>7.94328234724282</c:v>
                </c:pt>
                <c:pt idx="30">
                  <c:v>10</c:v>
                </c:pt>
                <c:pt idx="31">
                  <c:v>12.5892541179417</c:v>
                </c:pt>
                <c:pt idx="32">
                  <c:v>15.8489319246111</c:v>
                </c:pt>
                <c:pt idx="33">
                  <c:v>19.9526231496888</c:v>
                </c:pt>
                <c:pt idx="34">
                  <c:v>25.1188643150958</c:v>
                </c:pt>
                <c:pt idx="35">
                  <c:v>31.6227766016838</c:v>
                </c:pt>
                <c:pt idx="36">
                  <c:v>39.8107170553498</c:v>
                </c:pt>
                <c:pt idx="37">
                  <c:v>50.1187233627272</c:v>
                </c:pt>
                <c:pt idx="38">
                  <c:v>63.0957344480194</c:v>
                </c:pt>
                <c:pt idx="39">
                  <c:v>79.4328234724282</c:v>
                </c:pt>
                <c:pt idx="40">
                  <c:v>100</c:v>
                </c:pt>
                <c:pt idx="41">
                  <c:v>125.892541179417</c:v>
                </c:pt>
                <c:pt idx="42">
                  <c:v>158.489319246112</c:v>
                </c:pt>
                <c:pt idx="43">
                  <c:v>199.526231496888</c:v>
                </c:pt>
                <c:pt idx="44">
                  <c:v>251.188643150958</c:v>
                </c:pt>
                <c:pt idx="45">
                  <c:v>316.227766016838</c:v>
                </c:pt>
                <c:pt idx="46">
                  <c:v>398.107170553498</c:v>
                </c:pt>
                <c:pt idx="47">
                  <c:v>501.187233627273</c:v>
                </c:pt>
                <c:pt idx="48">
                  <c:v>630.957344480193</c:v>
                </c:pt>
                <c:pt idx="49">
                  <c:v>794.328234724282</c:v>
                </c:pt>
                <c:pt idx="50">
                  <c:v>1000</c:v>
                </c:pt>
              </c:numCache>
            </c:numRef>
          </c:xVal>
          <c:yVal>
            <c:numRef>
              <c:f>data!$T$205:$T$255</c:f>
              <c:numCache>
                <c:formatCode>General</c:formatCode>
                <c:ptCount val="51"/>
                <c:pt idx="0">
                  <c:v>90.0222291206239</c:v>
                </c:pt>
                <c:pt idx="1">
                  <c:v>90.0279829894351</c:v>
                </c:pt>
                <c:pt idx="2">
                  <c:v>90.0352248746161</c:v>
                </c:pt>
                <c:pt idx="3">
                  <c:v>90.0443382641818</c:v>
                </c:pt>
                <c:pt idx="4">
                  <c:v>90.0558041537025</c:v>
                </c:pt>
                <c:pt idx="5">
                  <c:v>90.0702245179248</c:v>
                </c:pt>
                <c:pt idx="6">
                  <c:v>90.0883500995652</c:v>
                </c:pt>
                <c:pt idx="7">
                  <c:v>90.1111118961372</c:v>
                </c:pt>
                <c:pt idx="8">
                  <c:v>90.1396538687257</c:v>
                </c:pt>
                <c:pt idx="9">
                  <c:v>90.1753604389276</c:v>
                </c:pt>
                <c:pt idx="10">
                  <c:v>90.2198642712167</c:v>
                </c:pt>
                <c:pt idx="11">
                  <c:v>90.2750039707147</c:v>
                </c:pt>
                <c:pt idx="12">
                  <c:v>90.3426713258322</c:v>
                </c:pt>
                <c:pt idx="13">
                  <c:v>90.4244340111906</c:v>
                </c:pt>
                <c:pt idx="14">
                  <c:v>90.5207318136028</c:v>
                </c:pt>
                <c:pt idx="15">
                  <c:v>90.629324477877</c:v>
                </c:pt>
                <c:pt idx="16">
                  <c:v>90.7425734897077</c:v>
                </c:pt>
                <c:pt idx="17">
                  <c:v>90.8432700156845</c:v>
                </c:pt>
                <c:pt idx="18">
                  <c:v>90.8995186039792</c:v>
                </c:pt>
                <c:pt idx="19">
                  <c:v>90.8611171511201</c:v>
                </c:pt>
                <c:pt idx="20">
                  <c:v>90.6622370976616</c:v>
                </c:pt>
                <c:pt idx="21">
                  <c:v>90.2344114283675</c:v>
                </c:pt>
                <c:pt idx="22">
                  <c:v>89.5258092120652</c:v>
                </c:pt>
                <c:pt idx="23">
                  <c:v>88.5127369200217</c:v>
                </c:pt>
                <c:pt idx="24">
                  <c:v>87.1921935710446</c:v>
                </c:pt>
                <c:pt idx="25">
                  <c:v>85.5609750397473</c:v>
                </c:pt>
                <c:pt idx="26">
                  <c:v>83.5967084477814</c:v>
                </c:pt>
                <c:pt idx="27">
                  <c:v>81.2498415906853</c:v>
                </c:pt>
                <c:pt idx="28">
                  <c:v>78.4458656003863</c:v>
                </c:pt>
                <c:pt idx="29">
                  <c:v>75.0944298466872</c:v>
                </c:pt>
                <c:pt idx="30">
                  <c:v>71.1046647463194</c:v>
                </c:pt>
                <c:pt idx="31">
                  <c:v>66.4086965441649</c:v>
                </c:pt>
                <c:pt idx="32">
                  <c:v>60.9944662714853</c:v>
                </c:pt>
                <c:pt idx="33">
                  <c:v>54.9422022373101</c:v>
                </c:pt>
                <c:pt idx="34">
                  <c:v>48.4471988908317</c:v>
                </c:pt>
                <c:pt idx="35">
                  <c:v>41.8051816907855</c:v>
                </c:pt>
                <c:pt idx="36">
                  <c:v>35.3516412372092</c:v>
                </c:pt>
                <c:pt idx="37">
                  <c:v>29.3802546316165</c:v>
                </c:pt>
                <c:pt idx="38">
                  <c:v>24.0838260948021</c:v>
                </c:pt>
                <c:pt idx="39">
                  <c:v>19.54141019888</c:v>
                </c:pt>
                <c:pt idx="40">
                  <c:v>15.7417124522337</c:v>
                </c:pt>
                <c:pt idx="41">
                  <c:v>12.6187349363483</c:v>
                </c:pt>
                <c:pt idx="42">
                  <c:v>10.0824520159586</c:v>
                </c:pt>
                <c:pt idx="43">
                  <c:v>8.03888195653334</c:v>
                </c:pt>
                <c:pt idx="44">
                  <c:v>6.40076765318796</c:v>
                </c:pt>
                <c:pt idx="45">
                  <c:v>5.09201101728152</c:v>
                </c:pt>
                <c:pt idx="46">
                  <c:v>4.04860481401337</c:v>
                </c:pt>
                <c:pt idx="47">
                  <c:v>3.21786956268153</c:v>
                </c:pt>
                <c:pt idx="48">
                  <c:v>2.55702293275777</c:v>
                </c:pt>
                <c:pt idx="49">
                  <c:v>2.0316063692201</c:v>
                </c:pt>
                <c:pt idx="50">
                  <c:v>1.61400848751771</c:v>
                </c:pt>
              </c:numCache>
            </c:numRef>
          </c:yVal>
          <c:smooth val="1"/>
        </c:ser>
        <c:dLbls>
          <c:showLegendKey val="0"/>
          <c:showVal val="0"/>
          <c:showCatName val="0"/>
          <c:showSerName val="0"/>
          <c:showPercent val="0"/>
          <c:showBubbleSize val="0"/>
        </c:dLbls>
        <c:axId val="142851456"/>
        <c:axId val="142853248"/>
      </c:scatterChart>
      <c:valAx>
        <c:axId val="142835072"/>
        <c:scaling>
          <c:logBase val="10"/>
          <c:orientation val="minMax"/>
          <c:max val="1000"/>
          <c:min val="0.01"/>
        </c:scaling>
        <c:delete val="0"/>
        <c:axPos val="b"/>
        <c:majorGridlines>
          <c:spPr>
            <a:ln w="3175" cap="flat" cmpd="sng" algn="ctr">
              <a:solidFill>
                <a:srgbClr val="000000"/>
              </a:solidFill>
              <a:prstDash val="solid"/>
              <a:round/>
            </a:ln>
          </c:spPr>
        </c:majorGridlines>
        <c:minorGridlines>
          <c:spPr>
            <a:ln w="3175" cap="flat" cmpd="sng" algn="ctr">
              <a:solidFill>
                <a:srgbClr val="000000"/>
              </a:solidFill>
              <a:prstDash val="solid"/>
              <a:round/>
            </a:ln>
          </c:spPr>
        </c:minorGridlines>
        <c:title>
          <c:tx>
            <c:rich>
              <a:bodyPr rot="0" spcFirstLastPara="0" vertOverflow="ellipsis" vert="horz" wrap="square" anchor="ctr" anchorCtr="1"/>
              <a:lstStyle/>
              <a:p>
                <a:pPr>
                  <a:defRPr lang="zh-CN" sz="1150" b="1" i="0" u="none" strike="noStrike" kern="1200" baseline="0">
                    <a:solidFill>
                      <a:srgbClr val="000000"/>
                    </a:solidFill>
                    <a:latin typeface="Arial" panose="020B0604020202020204"/>
                    <a:ea typeface="Arial" panose="020B0604020202020204"/>
                    <a:cs typeface="Arial" panose="020B0604020202020204"/>
                  </a:defRPr>
                </a:pPr>
                <a:r>
                  <a:rPr lang="en-US"/>
                  <a:t>Frequency (Hz)</a:t>
                </a:r>
                <a:endParaRPr lang="en-US"/>
              </a:p>
            </c:rich>
          </c:tx>
          <c:layout>
            <c:manualLayout>
              <c:xMode val="edge"/>
              <c:yMode val="edge"/>
              <c:x val="0.426490066225166"/>
              <c:y val="0.86556325096982"/>
            </c:manualLayout>
          </c:layout>
          <c:overlay val="0"/>
          <c:spPr>
            <a:noFill/>
            <a:ln w="25400">
              <a:noFill/>
            </a:ln>
          </c:spPr>
        </c:title>
        <c:numFmt formatCode="General" sourceLinked="0"/>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150" b="0" i="0" u="none" strike="noStrike" kern="1200" baseline="0">
                <a:solidFill>
                  <a:srgbClr val="000000"/>
                </a:solidFill>
                <a:latin typeface="Arial" panose="020B0604020202020204"/>
                <a:ea typeface="Arial" panose="020B0604020202020204"/>
                <a:cs typeface="Arial" panose="020B0604020202020204"/>
              </a:defRPr>
            </a:pPr>
          </a:p>
        </c:txPr>
        <c:crossAx val="142849536"/>
        <c:crossesAt val="-150"/>
        <c:crossBetween val="midCat"/>
        <c:majorUnit val="10"/>
        <c:minorUnit val="10"/>
      </c:valAx>
      <c:valAx>
        <c:axId val="142849536"/>
        <c:scaling>
          <c:orientation val="minMax"/>
          <c:max val="100"/>
        </c:scaling>
        <c:delete val="0"/>
        <c:axPos val="l"/>
        <c:majorGridlines>
          <c:spPr>
            <a:ln w="3175" cap="flat" cmpd="sng" algn="ctr">
              <a:solidFill>
                <a:srgbClr val="000000"/>
              </a:solidFill>
              <a:prstDash val="solid"/>
              <a:round/>
            </a:ln>
          </c:spPr>
        </c:majorGridlines>
        <c:title>
          <c:tx>
            <c:rich>
              <a:bodyPr rot="-5400000" spcFirstLastPara="0" vertOverflow="ellipsis" vert="horz" wrap="square" anchor="ctr" anchorCtr="1"/>
              <a:lstStyle/>
              <a:p>
                <a:pPr>
                  <a:defRPr lang="zh-CN" sz="1150" b="1" i="0" u="none" strike="noStrike" kern="1200" baseline="0">
                    <a:solidFill>
                      <a:srgbClr val="000000"/>
                    </a:solidFill>
                    <a:latin typeface="Arial" panose="020B0604020202020204"/>
                    <a:ea typeface="Arial" panose="020B0604020202020204"/>
                    <a:cs typeface="Arial" panose="020B0604020202020204"/>
                  </a:defRPr>
                </a:pPr>
                <a:r>
                  <a:rPr lang="en-US"/>
                  <a:t>Gain (dB)</a:t>
                </a:r>
                <a:endParaRPr lang="en-US"/>
              </a:p>
            </c:rich>
          </c:tx>
          <c:layout>
            <c:manualLayout>
              <c:xMode val="edge"/>
              <c:yMode val="edge"/>
              <c:x val="0.0211920529801325"/>
              <c:y val="0.406998890349639"/>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150" b="0" i="0" u="none" strike="noStrike" kern="1200" baseline="0">
                <a:solidFill>
                  <a:srgbClr val="000000"/>
                </a:solidFill>
                <a:latin typeface="Arial" panose="020B0604020202020204"/>
                <a:ea typeface="Arial" panose="020B0604020202020204"/>
                <a:cs typeface="Arial" panose="020B0604020202020204"/>
              </a:defRPr>
            </a:pPr>
          </a:p>
        </c:txPr>
        <c:crossAx val="142835072"/>
        <c:crossesAt val="0.01"/>
        <c:crossBetween val="midCat"/>
      </c:valAx>
      <c:valAx>
        <c:axId val="142851456"/>
        <c:scaling>
          <c:logBase val="10"/>
          <c:orientation val="minMax"/>
        </c:scaling>
        <c:delete val="1"/>
        <c:axPos val="b"/>
        <c:numFmt formatCode="0.000" sourceLinked="1"/>
        <c:majorTickMark val="out"/>
        <c:minorTickMark val="none"/>
        <c:tickLblPos val="none"/>
        <c:txPr>
          <a:bodyPr rot="-60000000" spcFirstLastPara="0" vertOverflow="ellipsis" vert="horz" wrap="square" anchor="ctr" anchorCtr="1"/>
          <a:lstStyle/>
          <a:p>
            <a:pPr>
              <a:defRPr lang="zh-CN" sz="1150" b="0" i="0" u="none" strike="noStrike" kern="1200" baseline="0">
                <a:solidFill>
                  <a:srgbClr val="000000"/>
                </a:solidFill>
                <a:latin typeface="Arial" panose="020B0604020202020204"/>
                <a:ea typeface="Arial" panose="020B0604020202020204"/>
                <a:cs typeface="Arial" panose="020B0604020202020204"/>
              </a:defRPr>
            </a:pPr>
          </a:p>
        </c:txPr>
        <c:crossAx val="142853248"/>
        <c:crosses val="autoZero"/>
        <c:crossBetween val="midCat"/>
      </c:valAx>
      <c:valAx>
        <c:axId val="142853248"/>
        <c:scaling>
          <c:orientation val="minMax"/>
          <c:max val="180"/>
        </c:scaling>
        <c:delete val="0"/>
        <c:axPos val="r"/>
        <c:title>
          <c:tx>
            <c:rich>
              <a:bodyPr rot="5400000" spcFirstLastPara="0" vertOverflow="ellipsis" vert="horz" wrap="square" anchor="ctr" anchorCtr="1"/>
              <a:lstStyle/>
              <a:p>
                <a:pPr algn="ctr">
                  <a:defRPr lang="zh-CN" sz="1125" b="1" i="0" u="none" strike="noStrike" kern="1200" baseline="0">
                    <a:solidFill>
                      <a:srgbClr val="000000"/>
                    </a:solidFill>
                    <a:latin typeface="Arial" panose="020B0604020202020204"/>
                    <a:ea typeface="Arial" panose="020B0604020202020204"/>
                    <a:cs typeface="Arial" panose="020B0604020202020204"/>
                  </a:defRPr>
                </a:pPr>
                <a:r>
                  <a:rPr lang="en-US"/>
                  <a:t>Phase (degrees)</a:t>
                </a:r>
                <a:endParaRPr lang="en-US"/>
              </a:p>
            </c:rich>
          </c:tx>
          <c:layout>
            <c:manualLayout>
              <c:xMode val="edge"/>
              <c:yMode val="edge"/>
              <c:x val="0.943046357615894"/>
              <c:y val="0.360958291893797"/>
            </c:manualLayout>
          </c:layout>
          <c:overlay val="0"/>
          <c:spPr>
            <a:noFill/>
            <a:ln w="25400">
              <a:noFill/>
            </a:ln>
          </c:spPr>
        </c:title>
        <c:numFmt formatCode="General" sourceLinked="1"/>
        <c:majorTickMark val="cross"/>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150" b="0" i="0" u="none" strike="noStrike" kern="1200" baseline="0">
                <a:solidFill>
                  <a:srgbClr val="000000"/>
                </a:solidFill>
                <a:latin typeface="Arial" panose="020B0604020202020204"/>
                <a:ea typeface="Arial" panose="020B0604020202020204"/>
                <a:cs typeface="Arial" panose="020B0604020202020204"/>
              </a:defRPr>
            </a:pPr>
          </a:p>
        </c:txPr>
        <c:crossAx val="142851456"/>
        <c:crosses val="max"/>
        <c:crossBetween val="midCat"/>
      </c:valAx>
      <c:spPr>
        <a:gradFill rotWithShape="0">
          <a:gsLst>
            <a:gs pos="0">
              <a:srgbClr val="FFFFFF"/>
            </a:gs>
            <a:gs pos="100000">
              <a:srgbClr val="FFFFCC"/>
            </a:gs>
          </a:gsLst>
          <a:lin ang="5400000" scaled="1"/>
        </a:gradFill>
        <a:ln w="12700">
          <a:solidFill>
            <a:srgbClr val="808080"/>
          </a:solidFill>
          <a:prstDash val="solid"/>
        </a:ln>
      </c:spPr>
    </c:plotArea>
    <c:legend>
      <c:legendPos val="b"/>
      <c:layout>
        <c:manualLayout>
          <c:xMode val="edge"/>
          <c:yMode val="edge"/>
          <c:x val="0.150993377483444"/>
          <c:y val="0.939228208499166"/>
          <c:w val="0.698013245033113"/>
          <c:h val="0.0478822223940751"/>
        </c:manualLayout>
      </c:layout>
      <c:overlay val="0"/>
      <c:spPr>
        <a:solidFill>
          <a:srgbClr val="FFFFFF"/>
        </a:solidFill>
        <a:ln w="3175">
          <a:solidFill>
            <a:srgbClr val="000000"/>
          </a:solidFill>
          <a:prstDash val="solid"/>
        </a:ln>
      </c:spPr>
      <c:txPr>
        <a:bodyPr rot="0" spcFirstLastPara="0" vertOverflow="ellipsis" vert="horz" wrap="square" anchor="ctr" anchorCtr="1"/>
        <a:lstStyle/>
        <a:p>
          <a:pPr>
            <a:defRPr lang="zh-CN" sz="1055" b="0"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1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144</xdr:row>
      <xdr:rowOff>0</xdr:rowOff>
    </xdr:from>
    <xdr:to>
      <xdr:col>3</xdr:col>
      <xdr:colOff>600075</xdr:colOff>
      <xdr:row>166</xdr:row>
      <xdr:rowOff>200025</xdr:rowOff>
    </xdr:to>
    <xdr:graphicFrame>
      <xdr:nvGraphicFramePr>
        <xdr:cNvPr id="1025" name="Chart 1"/>
        <xdr:cNvGraphicFramePr/>
      </xdr:nvGraphicFramePr>
      <xdr:xfrm>
        <a:off x="9525" y="29193490"/>
        <a:ext cx="8602345" cy="44469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176</xdr:row>
      <xdr:rowOff>0</xdr:rowOff>
    </xdr:from>
    <xdr:to>
      <xdr:col>3</xdr:col>
      <xdr:colOff>600075</xdr:colOff>
      <xdr:row>206</xdr:row>
      <xdr:rowOff>104775</xdr:rowOff>
    </xdr:to>
    <xdr:graphicFrame>
      <xdr:nvGraphicFramePr>
        <xdr:cNvPr id="1026" name="Chart 2"/>
        <xdr:cNvGraphicFramePr/>
      </xdr:nvGraphicFramePr>
      <xdr:xfrm>
        <a:off x="0" y="35434270"/>
        <a:ext cx="8611870" cy="48672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206</xdr:row>
      <xdr:rowOff>133350</xdr:rowOff>
    </xdr:from>
    <xdr:to>
      <xdr:col>3</xdr:col>
      <xdr:colOff>600075</xdr:colOff>
      <xdr:row>227</xdr:row>
      <xdr:rowOff>152400</xdr:rowOff>
    </xdr:to>
    <xdr:graphicFrame>
      <xdr:nvGraphicFramePr>
        <xdr:cNvPr id="1027" name="Chart 3"/>
        <xdr:cNvGraphicFramePr/>
      </xdr:nvGraphicFramePr>
      <xdr:xfrm>
        <a:off x="19050" y="40330120"/>
        <a:ext cx="8592820" cy="3352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228</xdr:row>
      <xdr:rowOff>0</xdr:rowOff>
    </xdr:from>
    <xdr:to>
      <xdr:col>3</xdr:col>
      <xdr:colOff>600075</xdr:colOff>
      <xdr:row>258</xdr:row>
      <xdr:rowOff>66675</xdr:rowOff>
    </xdr:to>
    <xdr:graphicFrame>
      <xdr:nvGraphicFramePr>
        <xdr:cNvPr id="1031" name="Chart 7"/>
        <xdr:cNvGraphicFramePr/>
      </xdr:nvGraphicFramePr>
      <xdr:xfrm>
        <a:off x="19050" y="43689270"/>
        <a:ext cx="8592820" cy="484187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271</xdr:row>
      <xdr:rowOff>9525</xdr:rowOff>
    </xdr:from>
    <xdr:to>
      <xdr:col>3</xdr:col>
      <xdr:colOff>676275</xdr:colOff>
      <xdr:row>302</xdr:row>
      <xdr:rowOff>133350</xdr:rowOff>
    </xdr:to>
    <xdr:graphicFrame>
      <xdr:nvGraphicFramePr>
        <xdr:cNvPr id="1032" name="Chart 8"/>
        <xdr:cNvGraphicFramePr/>
      </xdr:nvGraphicFramePr>
      <xdr:xfrm>
        <a:off x="0" y="51064795"/>
        <a:ext cx="8688070" cy="50546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28575</xdr:rowOff>
        </xdr:from>
        <xdr:to>
          <xdr:col>5</xdr:col>
          <xdr:colOff>152400</xdr:colOff>
          <xdr:row>34</xdr:row>
          <xdr:rowOff>85725</xdr:rowOff>
        </xdr:to>
        <xdr:sp>
          <xdr:nvSpPr>
            <xdr:cNvPr id="8194" name="Object 2" hidden="1">
              <a:extLst>
                <a:ext uri="{63B3BB69-23CF-44E3-9099-C40C66FF867C}">
                  <a14:compatExt spid="_x0000_s8194"/>
                </a:ext>
              </a:extLst>
            </xdr:cNvPr>
            <xdr:cNvSpPr/>
          </xdr:nvSpPr>
          <xdr:spPr>
            <a:xfrm>
              <a:off x="638175" y="444500"/>
              <a:ext cx="11886565" cy="513715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N18"/>
  <sheetViews>
    <sheetView zoomScale="75" zoomScaleNormal="75" workbookViewId="0">
      <selection activeCell="Q7" sqref="Q7"/>
    </sheetView>
  </sheetViews>
  <sheetFormatPr defaultColWidth="9" defaultRowHeight="12.5"/>
  <sheetData>
    <row r="1" ht="32.5" spans="1:14">
      <c r="A1" s="192" t="s">
        <v>0</v>
      </c>
      <c r="B1" s="192"/>
      <c r="C1" s="192"/>
      <c r="D1" s="192"/>
      <c r="E1" s="192"/>
      <c r="F1" s="192"/>
      <c r="G1" s="192"/>
      <c r="H1" s="192"/>
      <c r="I1" s="192"/>
      <c r="J1" s="192"/>
      <c r="K1" s="192"/>
      <c r="L1" s="192"/>
      <c r="M1" s="192"/>
      <c r="N1" s="192"/>
    </row>
    <row r="2" ht="75.75" customHeight="1" spans="1:14">
      <c r="A2" s="193" t="s">
        <v>1</v>
      </c>
      <c r="B2" s="193"/>
      <c r="C2" s="193"/>
      <c r="D2" s="193"/>
      <c r="E2" s="193"/>
      <c r="F2" s="193"/>
      <c r="G2" s="193"/>
      <c r="H2" s="193"/>
      <c r="I2" s="193"/>
      <c r="J2" s="193"/>
      <c r="K2" s="193"/>
      <c r="L2" s="193"/>
      <c r="M2" s="193"/>
      <c r="N2" s="193"/>
    </row>
    <row r="3" spans="1:14">
      <c r="A3" s="194"/>
      <c r="B3" s="194"/>
      <c r="C3" s="194"/>
      <c r="D3" s="194"/>
      <c r="E3" s="194"/>
      <c r="F3" s="194"/>
      <c r="G3" s="194"/>
      <c r="H3" s="194"/>
      <c r="I3" s="194"/>
      <c r="J3" s="194"/>
      <c r="K3" s="194"/>
      <c r="L3" s="194"/>
      <c r="M3" s="194"/>
      <c r="N3" s="194"/>
    </row>
    <row r="4" ht="25" spans="1:14">
      <c r="A4" s="195" t="s">
        <v>2</v>
      </c>
      <c r="B4" s="195"/>
      <c r="C4" s="195"/>
      <c r="D4" s="195"/>
      <c r="E4" s="195"/>
      <c r="F4" s="195"/>
      <c r="G4" s="195"/>
      <c r="H4" s="195"/>
      <c r="I4" s="195"/>
      <c r="J4" s="195"/>
      <c r="K4" s="195"/>
      <c r="L4" s="195"/>
      <c r="M4" s="195"/>
      <c r="N4" s="195"/>
    </row>
    <row r="5" spans="1:14">
      <c r="A5" s="194"/>
      <c r="B5" s="194"/>
      <c r="C5" s="194"/>
      <c r="D5" s="194"/>
      <c r="E5" s="194"/>
      <c r="F5" s="194"/>
      <c r="G5" s="194"/>
      <c r="H5" s="194"/>
      <c r="I5" s="194"/>
      <c r="J5" s="194"/>
      <c r="K5" s="194"/>
      <c r="L5" s="194"/>
      <c r="M5" s="194"/>
      <c r="N5" s="194"/>
    </row>
    <row r="6" ht="25" spans="1:14">
      <c r="A6" s="196" t="s">
        <v>3</v>
      </c>
      <c r="B6" s="196"/>
      <c r="C6" s="196"/>
      <c r="D6" s="196"/>
      <c r="E6" s="196"/>
      <c r="F6" s="196"/>
      <c r="G6" s="196"/>
      <c r="H6" s="196"/>
      <c r="I6" s="196"/>
      <c r="J6" s="196"/>
      <c r="K6" s="196"/>
      <c r="L6" s="196"/>
      <c r="M6" s="196"/>
      <c r="N6" s="196"/>
    </row>
    <row r="7" ht="25" spans="1:14">
      <c r="A7" s="196"/>
      <c r="B7" s="195" t="s">
        <v>4</v>
      </c>
      <c r="C7" s="195"/>
      <c r="D7" s="195"/>
      <c r="E7" s="195"/>
      <c r="F7" s="195"/>
      <c r="G7" s="195"/>
      <c r="H7" s="195"/>
      <c r="I7" s="195"/>
      <c r="J7" s="195"/>
      <c r="K7" s="195"/>
      <c r="L7" s="195"/>
      <c r="M7" s="195"/>
      <c r="N7" s="195"/>
    </row>
    <row r="8" ht="25" spans="1:14">
      <c r="A8" s="196"/>
      <c r="B8" s="195" t="s">
        <v>5</v>
      </c>
      <c r="C8" s="195"/>
      <c r="D8" s="195"/>
      <c r="E8" s="195"/>
      <c r="F8" s="195"/>
      <c r="G8" s="195"/>
      <c r="H8" s="195"/>
      <c r="I8" s="195"/>
      <c r="J8" s="195"/>
      <c r="K8" s="195"/>
      <c r="L8" s="195"/>
      <c r="M8" s="195"/>
      <c r="N8" s="195"/>
    </row>
    <row r="9" ht="25" spans="1:14">
      <c r="A9" s="196"/>
      <c r="B9" s="195"/>
      <c r="C9" s="195"/>
      <c r="D9" s="195"/>
      <c r="E9" s="195"/>
      <c r="F9" s="195"/>
      <c r="G9" s="195"/>
      <c r="H9" s="195"/>
      <c r="I9" s="195"/>
      <c r="J9" s="195"/>
      <c r="K9" s="195"/>
      <c r="L9" s="195"/>
      <c r="M9" s="195"/>
      <c r="N9" s="195"/>
    </row>
    <row r="10" spans="1:14">
      <c r="A10" s="194"/>
      <c r="B10" s="194"/>
      <c r="C10" s="194"/>
      <c r="D10" s="194"/>
      <c r="E10" s="194"/>
      <c r="F10" s="194"/>
      <c r="G10" s="194"/>
      <c r="H10" s="194"/>
      <c r="I10" s="194"/>
      <c r="J10" s="194"/>
      <c r="K10" s="194"/>
      <c r="L10" s="194"/>
      <c r="M10" s="194"/>
      <c r="N10" s="194"/>
    </row>
    <row r="11" ht="25" spans="1:14">
      <c r="A11" s="196" t="s">
        <v>6</v>
      </c>
      <c r="B11" s="196"/>
      <c r="C11" s="196"/>
      <c r="D11" s="196"/>
      <c r="E11" s="196"/>
      <c r="F11" s="196"/>
      <c r="G11" s="196"/>
      <c r="H11" s="196"/>
      <c r="I11" s="196"/>
      <c r="J11" s="196"/>
      <c r="K11" s="196"/>
      <c r="L11" s="196"/>
      <c r="M11" s="196"/>
      <c r="N11" s="196"/>
    </row>
    <row r="12" ht="80.25" customHeight="1" spans="1:14">
      <c r="A12" s="196"/>
      <c r="B12" s="197" t="s">
        <v>7</v>
      </c>
      <c r="C12" s="197"/>
      <c r="D12" s="197"/>
      <c r="E12" s="197"/>
      <c r="F12" s="197"/>
      <c r="G12" s="197"/>
      <c r="H12" s="197"/>
      <c r="I12" s="197"/>
      <c r="J12" s="197"/>
      <c r="K12" s="197"/>
      <c r="L12" s="197"/>
      <c r="M12" s="197"/>
      <c r="N12" s="197"/>
    </row>
    <row r="13" ht="54" customHeight="1" spans="1:14">
      <c r="A13" s="196"/>
      <c r="B13" s="197" t="s">
        <v>8</v>
      </c>
      <c r="C13" s="197"/>
      <c r="D13" s="197"/>
      <c r="E13" s="197"/>
      <c r="F13" s="197"/>
      <c r="G13" s="197"/>
      <c r="H13" s="197"/>
      <c r="I13" s="197"/>
      <c r="J13" s="197"/>
      <c r="K13" s="197"/>
      <c r="L13" s="197"/>
      <c r="M13" s="197"/>
      <c r="N13" s="197"/>
    </row>
    <row r="14" spans="1:14">
      <c r="A14" s="194"/>
      <c r="B14" s="194"/>
      <c r="C14" s="194"/>
      <c r="D14" s="194"/>
      <c r="E14" s="194"/>
      <c r="F14" s="194"/>
      <c r="G14" s="194"/>
      <c r="H14" s="194"/>
      <c r="I14" s="194"/>
      <c r="J14" s="194"/>
      <c r="K14" s="194"/>
      <c r="L14" s="194"/>
      <c r="M14" s="194"/>
      <c r="N14" s="194"/>
    </row>
    <row r="15" ht="48" customHeight="1" spans="1:14">
      <c r="A15" s="197" t="s">
        <v>9</v>
      </c>
      <c r="B15" s="197"/>
      <c r="C15" s="197"/>
      <c r="D15" s="197"/>
      <c r="E15" s="197"/>
      <c r="F15" s="197"/>
      <c r="G15" s="197"/>
      <c r="H15" s="197"/>
      <c r="I15" s="197"/>
      <c r="J15" s="197"/>
      <c r="K15" s="197"/>
      <c r="L15" s="197"/>
      <c r="M15" s="197"/>
      <c r="N15" s="197"/>
    </row>
    <row r="16" spans="1:14">
      <c r="A16" s="194"/>
      <c r="B16" s="194"/>
      <c r="C16" s="194"/>
      <c r="D16" s="194"/>
      <c r="E16" s="194"/>
      <c r="F16" s="194"/>
      <c r="G16" s="194"/>
      <c r="H16" s="194"/>
      <c r="I16" s="194"/>
      <c r="J16" s="194"/>
      <c r="K16" s="194"/>
      <c r="L16" s="194"/>
      <c r="M16" s="194"/>
      <c r="N16" s="194"/>
    </row>
    <row r="17" ht="49.5" customHeight="1" spans="1:14">
      <c r="A17" s="197" t="s">
        <v>10</v>
      </c>
      <c r="B17" s="197"/>
      <c r="C17" s="197"/>
      <c r="D17" s="197"/>
      <c r="E17" s="197"/>
      <c r="F17" s="197"/>
      <c r="G17" s="197"/>
      <c r="H17" s="197"/>
      <c r="I17" s="197"/>
      <c r="J17" s="197"/>
      <c r="K17" s="197"/>
      <c r="L17" s="197"/>
      <c r="M17" s="197"/>
      <c r="N17" s="197"/>
    </row>
    <row r="18" spans="1:14">
      <c r="A18" s="194"/>
      <c r="B18" s="194"/>
      <c r="C18" s="194"/>
      <c r="D18" s="194"/>
      <c r="E18" s="194"/>
      <c r="F18" s="194"/>
      <c r="G18" s="194"/>
      <c r="H18" s="194"/>
      <c r="I18" s="194"/>
      <c r="J18" s="194"/>
      <c r="K18" s="194"/>
      <c r="L18" s="194"/>
      <c r="M18" s="194"/>
      <c r="N18" s="194"/>
    </row>
  </sheetData>
  <sheetProtection password="E59D" sheet="1" selectLockedCells="1" selectUnlockedCells="1" objects="1" scenarios="1"/>
  <mergeCells count="16">
    <mergeCell ref="A1:N1"/>
    <mergeCell ref="A2:N2"/>
    <mergeCell ref="A3:N3"/>
    <mergeCell ref="A4:N4"/>
    <mergeCell ref="A5:N5"/>
    <mergeCell ref="B7:N7"/>
    <mergeCell ref="B8:N8"/>
    <mergeCell ref="B9:N9"/>
    <mergeCell ref="A10:N10"/>
    <mergeCell ref="B12:N12"/>
    <mergeCell ref="B13:N13"/>
    <mergeCell ref="A14:N14"/>
    <mergeCell ref="A15:N15"/>
    <mergeCell ref="A16:N16"/>
    <mergeCell ref="A17:N17"/>
    <mergeCell ref="A18:N18"/>
  </mergeCells>
  <pageMargins left="0.75" right="0.75" top="1" bottom="1" header="0.5" footer="0.5"/>
  <pageSetup paperSize="1"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I334"/>
  <sheetViews>
    <sheetView zoomScale="130" zoomScaleNormal="130" topLeftCell="A256" workbookViewId="0">
      <selection activeCell="H309" sqref="H309"/>
    </sheetView>
  </sheetViews>
  <sheetFormatPr defaultColWidth="9.13636363636364" defaultRowHeight="12.5"/>
  <cols>
    <col min="1" max="1" width="75.1363636363636" style="60" customWidth="1"/>
    <col min="2" max="2" width="21.7090909090909" style="60" customWidth="1"/>
    <col min="3" max="3" width="17.8545454545455" style="60" customWidth="1"/>
    <col min="4" max="4" width="10.1363636363636" style="60" customWidth="1"/>
    <col min="5" max="5" width="14.1363636363636" style="60" customWidth="1"/>
    <col min="6" max="16384" width="9.13636363636364" style="60"/>
  </cols>
  <sheetData>
    <row r="1" ht="69" customHeight="1" spans="1:4">
      <c r="A1" s="61" t="s">
        <v>11</v>
      </c>
      <c r="B1" s="62"/>
      <c r="C1" s="62"/>
      <c r="D1" s="62"/>
    </row>
    <row r="2" ht="13.25" spans="1:4">
      <c r="A2" s="63" t="s">
        <v>12</v>
      </c>
      <c r="B2" s="63"/>
      <c r="C2" s="63"/>
      <c r="D2" s="63"/>
    </row>
    <row r="3" ht="13" spans="1:4">
      <c r="A3" s="64" t="s">
        <v>13</v>
      </c>
      <c r="B3" s="65"/>
      <c r="C3" s="65"/>
      <c r="D3" s="66"/>
    </row>
    <row r="4" spans="1:4">
      <c r="A4" s="67" t="s">
        <v>14</v>
      </c>
      <c r="B4" s="68"/>
      <c r="C4" s="68"/>
      <c r="D4" s="69"/>
    </row>
    <row r="5" spans="1:4">
      <c r="A5" s="67"/>
      <c r="B5" s="68"/>
      <c r="C5" s="68"/>
      <c r="D5" s="69"/>
    </row>
    <row r="6" ht="13.25" spans="1:4">
      <c r="A6" s="70"/>
      <c r="B6" s="71"/>
      <c r="C6" s="71"/>
      <c r="D6" s="72"/>
    </row>
    <row r="7" s="59" customFormat="1" ht="46" spans="1:4">
      <c r="A7" s="73" t="s">
        <v>15</v>
      </c>
      <c r="B7" s="74" t="s">
        <v>16</v>
      </c>
      <c r="C7" s="75" t="s">
        <v>17</v>
      </c>
      <c r="D7" s="75"/>
    </row>
    <row r="8" ht="15.5" spans="1:4">
      <c r="A8" s="76" t="s">
        <v>18</v>
      </c>
      <c r="B8" s="76"/>
      <c r="C8" s="76"/>
      <c r="D8" s="76"/>
    </row>
    <row r="9" spans="1:4">
      <c r="A9" s="77"/>
      <c r="B9" s="77"/>
      <c r="C9" s="77"/>
      <c r="D9" s="77"/>
    </row>
    <row r="10" ht="18" spans="1:4">
      <c r="A10" s="78" t="s">
        <v>19</v>
      </c>
      <c r="B10" s="79"/>
      <c r="C10" s="79"/>
      <c r="D10" s="79"/>
    </row>
    <row r="11" ht="13.25" spans="1:4">
      <c r="A11" s="80"/>
      <c r="B11" s="80"/>
      <c r="C11" s="80"/>
      <c r="D11" s="80"/>
    </row>
    <row r="12" ht="15.5" spans="1:4">
      <c r="A12" s="81" t="s">
        <v>20</v>
      </c>
      <c r="B12" s="82"/>
      <c r="C12" s="82"/>
      <c r="D12" s="83"/>
    </row>
    <row r="13" ht="16" spans="1:4">
      <c r="A13" s="84" t="s">
        <v>21</v>
      </c>
      <c r="B13" s="85" t="s">
        <v>22</v>
      </c>
      <c r="C13" s="86">
        <v>240</v>
      </c>
      <c r="D13" s="87" t="s">
        <v>23</v>
      </c>
    </row>
    <row r="14" ht="16" spans="1:5">
      <c r="A14" s="84" t="s">
        <v>24</v>
      </c>
      <c r="B14" s="85" t="s">
        <v>25</v>
      </c>
      <c r="C14" s="86">
        <v>80</v>
      </c>
      <c r="D14" s="87" t="s">
        <v>26</v>
      </c>
      <c r="E14" s="88" t="str">
        <f>IF(Vout&lt;=Vin_rect_max,"Output Voltage Must be Greater Than Maximum Rectified Input Voltage"," ")</f>
        <v> </v>
      </c>
    </row>
    <row r="15" ht="16" spans="1:5">
      <c r="A15" s="84" t="s">
        <v>27</v>
      </c>
      <c r="B15" s="85" t="s">
        <v>28</v>
      </c>
      <c r="C15" s="86">
        <v>0.99</v>
      </c>
      <c r="D15" s="87"/>
      <c r="E15" s="60" t="str">
        <f>IF(PF&gt;=1,"ENTER VALUE LESS THAN 1"," ")</f>
        <v> </v>
      </c>
    </row>
    <row r="16" spans="1:5">
      <c r="A16" s="84" t="s">
        <v>29</v>
      </c>
      <c r="B16" s="89" t="s">
        <v>30</v>
      </c>
      <c r="C16" s="86">
        <v>0.95</v>
      </c>
      <c r="D16" s="87"/>
      <c r="E16" s="60" t="str">
        <f>IF(eff&gt;=1,"ENTER VALUE LESS THAN 1"," ")</f>
        <v> </v>
      </c>
    </row>
    <row r="17" ht="16" spans="1:4">
      <c r="A17" s="90" t="s">
        <v>31</v>
      </c>
      <c r="B17" s="91" t="s">
        <v>32</v>
      </c>
      <c r="C17" s="86">
        <v>50</v>
      </c>
      <c r="D17" s="92" t="s">
        <v>33</v>
      </c>
    </row>
    <row r="18" ht="16.75" spans="1:4">
      <c r="A18" s="93" t="s">
        <v>34</v>
      </c>
      <c r="B18" s="94" t="s">
        <v>35</v>
      </c>
      <c r="C18" s="95">
        <f>Pout/Vout</f>
        <v>3</v>
      </c>
      <c r="D18" s="96" t="s">
        <v>36</v>
      </c>
    </row>
    <row r="19" spans="1:4">
      <c r="A19" s="97"/>
      <c r="B19" s="97"/>
      <c r="C19" s="97"/>
      <c r="D19" s="97"/>
    </row>
    <row r="20" ht="13.25" spans="1:4">
      <c r="A20" s="80"/>
      <c r="B20" s="80"/>
      <c r="C20" s="80"/>
      <c r="D20" s="80"/>
    </row>
    <row r="21" ht="15.5" spans="1:4">
      <c r="A21" s="81" t="s">
        <v>37</v>
      </c>
      <c r="B21" s="82"/>
      <c r="C21" s="82"/>
      <c r="D21" s="83"/>
    </row>
    <row r="22" ht="16" spans="1:4">
      <c r="A22" s="84" t="s">
        <v>38</v>
      </c>
      <c r="B22" s="85" t="s">
        <v>39</v>
      </c>
      <c r="C22" s="86">
        <v>20</v>
      </c>
      <c r="D22" s="87" t="s">
        <v>40</v>
      </c>
    </row>
    <row r="23" ht="16" spans="1:4">
      <c r="A23" s="84" t="s">
        <v>41</v>
      </c>
      <c r="B23" s="85" t="s">
        <v>42</v>
      </c>
      <c r="C23" s="86">
        <v>50</v>
      </c>
      <c r="D23" s="87" t="s">
        <v>40</v>
      </c>
    </row>
    <row r="24" ht="16" spans="1:5">
      <c r="A24" s="84" t="s">
        <v>43</v>
      </c>
      <c r="B24" s="85" t="s">
        <v>44</v>
      </c>
      <c r="C24" s="86">
        <v>30</v>
      </c>
      <c r="D24" s="87" t="s">
        <v>40</v>
      </c>
      <c r="E24" s="98" t="s">
        <v>45</v>
      </c>
    </row>
    <row r="25" ht="16" spans="1:4">
      <c r="A25" s="84" t="s">
        <v>46</v>
      </c>
      <c r="B25" s="85" t="s">
        <v>47</v>
      </c>
      <c r="C25" s="86">
        <v>45</v>
      </c>
      <c r="D25" s="87" t="s">
        <v>48</v>
      </c>
    </row>
    <row r="26" ht="16" spans="1:4">
      <c r="A26" s="84" t="s">
        <v>49</v>
      </c>
      <c r="B26" s="85" t="s">
        <v>50</v>
      </c>
      <c r="C26" s="86">
        <v>55</v>
      </c>
      <c r="D26" s="87" t="s">
        <v>48</v>
      </c>
    </row>
    <row r="27" ht="16" spans="1:4">
      <c r="A27" s="84" t="s">
        <v>51</v>
      </c>
      <c r="B27" s="85" t="s">
        <v>52</v>
      </c>
      <c r="C27" s="86">
        <v>50</v>
      </c>
      <c r="D27" s="87" t="s">
        <v>53</v>
      </c>
    </row>
    <row r="28" ht="16" spans="1:4">
      <c r="A28" s="84" t="s">
        <v>54</v>
      </c>
      <c r="B28" s="85" t="s">
        <v>55</v>
      </c>
      <c r="C28" s="99">
        <f>SQRT(2)*Vin_min</f>
        <v>28.2842712474619</v>
      </c>
      <c r="D28" s="87" t="s">
        <v>26</v>
      </c>
    </row>
    <row r="29" ht="16" spans="1:4">
      <c r="A29" s="84" t="s">
        <v>56</v>
      </c>
      <c r="B29" s="85" t="s">
        <v>57</v>
      </c>
      <c r="C29" s="99">
        <f>SQRT(2)*Vin_max</f>
        <v>70.7106781186548</v>
      </c>
      <c r="D29" s="87" t="s">
        <v>26</v>
      </c>
    </row>
    <row r="30" ht="16" spans="1:4">
      <c r="A30" s="84" t="s">
        <v>58</v>
      </c>
      <c r="B30" s="85" t="s">
        <v>59</v>
      </c>
      <c r="C30" s="99">
        <f>Pout/eff</f>
        <v>252.631578947368</v>
      </c>
      <c r="D30" s="87" t="s">
        <v>23</v>
      </c>
    </row>
    <row r="31" ht="16" spans="1:4">
      <c r="A31" s="84" t="s">
        <v>60</v>
      </c>
      <c r="B31" s="85" t="s">
        <v>61</v>
      </c>
      <c r="C31" s="99">
        <f>Pout/(eff*Vin_min*PF)</f>
        <v>12.7591706539075</v>
      </c>
      <c r="D31" s="87" t="s">
        <v>36</v>
      </c>
    </row>
    <row r="32" ht="16" spans="1:4">
      <c r="A32" s="84" t="s">
        <v>62</v>
      </c>
      <c r="B32" s="85" t="s">
        <v>63</v>
      </c>
      <c r="C32" s="99">
        <f>SQRT(2)*Iin_rms_max</f>
        <v>18.0441921833888</v>
      </c>
      <c r="D32" s="87" t="s">
        <v>36</v>
      </c>
    </row>
    <row r="33" ht="16" spans="1:4">
      <c r="A33" s="84" t="s">
        <v>64</v>
      </c>
      <c r="B33" s="85" t="s">
        <v>65</v>
      </c>
      <c r="C33" s="99">
        <f>(2*Iin_peak_max)/PI()</f>
        <v>11.4872895203459</v>
      </c>
      <c r="D33" s="87" t="s">
        <v>36</v>
      </c>
    </row>
    <row r="34" ht="16.75" spans="1:4">
      <c r="A34" s="100" t="s">
        <v>66</v>
      </c>
      <c r="B34" s="101" t="s">
        <v>67</v>
      </c>
      <c r="C34" s="95">
        <f>1.5*Iin_rms_max</f>
        <v>19.1387559808612</v>
      </c>
      <c r="D34" s="102" t="s">
        <v>36</v>
      </c>
    </row>
    <row r="35" spans="1:4">
      <c r="A35" s="97"/>
      <c r="B35" s="97"/>
      <c r="C35" s="97"/>
      <c r="D35" s="97"/>
    </row>
    <row r="36" ht="13.25" spans="1:4">
      <c r="A36" s="80"/>
      <c r="B36" s="80"/>
      <c r="C36" s="80"/>
      <c r="D36" s="80"/>
    </row>
    <row r="37" ht="15.5" spans="1:4">
      <c r="A37" s="81" t="s">
        <v>68</v>
      </c>
      <c r="B37" s="82"/>
      <c r="C37" s="82"/>
      <c r="D37" s="83"/>
    </row>
    <row r="38" ht="16" spans="1:4">
      <c r="A38" s="90" t="s">
        <v>69</v>
      </c>
      <c r="B38" s="91" t="s">
        <v>70</v>
      </c>
      <c r="C38" s="86">
        <v>1.05</v>
      </c>
      <c r="D38" s="103" t="s">
        <v>26</v>
      </c>
    </row>
    <row r="39" ht="16" spans="1:4">
      <c r="A39" s="90" t="s">
        <v>71</v>
      </c>
      <c r="B39" s="91" t="s">
        <v>72</v>
      </c>
      <c r="C39" s="86">
        <v>3</v>
      </c>
      <c r="D39" s="92" t="s">
        <v>73</v>
      </c>
    </row>
    <row r="40" ht="16" spans="1:4">
      <c r="A40" s="90" t="s">
        <v>74</v>
      </c>
      <c r="B40" s="91" t="s">
        <v>75</v>
      </c>
      <c r="C40" s="86">
        <v>150</v>
      </c>
      <c r="D40" s="92" t="s">
        <v>33</v>
      </c>
    </row>
    <row r="41" ht="16" spans="1:4">
      <c r="A41" s="90" t="s">
        <v>76</v>
      </c>
      <c r="B41" s="91" t="s">
        <v>77</v>
      </c>
      <c r="C41" s="99">
        <f>1.5*Iin_avg_max</f>
        <v>17.2309342805188</v>
      </c>
      <c r="D41" s="103" t="s">
        <v>36</v>
      </c>
    </row>
    <row r="42" ht="16" spans="1:4">
      <c r="A42" s="90" t="s">
        <v>78</v>
      </c>
      <c r="B42" s="91" t="s">
        <v>79</v>
      </c>
      <c r="C42" s="99">
        <f>Vin_rect_max*1.1</f>
        <v>77.7817459305202</v>
      </c>
      <c r="D42" s="103" t="s">
        <v>26</v>
      </c>
    </row>
    <row r="43" ht="16" spans="1:4">
      <c r="A43" s="90" t="s">
        <v>80</v>
      </c>
      <c r="B43" s="91" t="s">
        <v>81</v>
      </c>
      <c r="C43" s="99">
        <f>2*Vf_bridge*Iin_avg_max</f>
        <v>24.1233079927263</v>
      </c>
      <c r="D43" s="103" t="s">
        <v>23</v>
      </c>
    </row>
    <row r="44" ht="16.75" spans="1:4">
      <c r="A44" s="100" t="s">
        <v>82</v>
      </c>
      <c r="B44" s="101" t="s">
        <v>83</v>
      </c>
      <c r="C44" s="104">
        <f>((Tj_bridge-Tamb)/Pbridge)-Rjc_bridge-1</f>
        <v>0.145368455692404</v>
      </c>
      <c r="D44" s="105" t="s">
        <v>73</v>
      </c>
    </row>
    <row r="45" spans="1:4">
      <c r="A45" s="97"/>
      <c r="B45" s="97"/>
      <c r="C45" s="97"/>
      <c r="D45" s="97"/>
    </row>
    <row r="46" ht="13.25" spans="1:4">
      <c r="A46" s="80"/>
      <c r="B46" s="80"/>
      <c r="C46" s="80"/>
      <c r="D46" s="80"/>
    </row>
    <row r="47" ht="15.5" spans="1:4">
      <c r="A47" s="106" t="s">
        <v>84</v>
      </c>
      <c r="B47" s="107"/>
      <c r="C47" s="107"/>
      <c r="D47" s="108"/>
    </row>
    <row r="48" ht="16" spans="1:5">
      <c r="A48" s="84" t="s">
        <v>85</v>
      </c>
      <c r="B48" s="85" t="s">
        <v>86</v>
      </c>
      <c r="C48" s="86">
        <v>0.2</v>
      </c>
      <c r="D48" s="87"/>
      <c r="E48" s="60" t="str">
        <f>IF(L_I_ripple_factor&gt;=1,"INDUCTOR CURRENT MUST REMAIN CONTINUOUS, ENTER A SMALLER RIPPLE FACTOR"," ")</f>
        <v> </v>
      </c>
    </row>
    <row r="49" ht="16" spans="1:4">
      <c r="A49" s="84" t="s">
        <v>87</v>
      </c>
      <c r="B49" s="85" t="s">
        <v>88</v>
      </c>
      <c r="C49" s="86">
        <v>0.06</v>
      </c>
      <c r="D49" s="87"/>
    </row>
    <row r="50" ht="16" spans="1:4">
      <c r="A50" s="84" t="s">
        <v>89</v>
      </c>
      <c r="B50" s="10" t="s">
        <v>90</v>
      </c>
      <c r="C50" s="99">
        <f>L_I_ripple_factor*Iin_peak_max</f>
        <v>3.60883843667775</v>
      </c>
      <c r="D50" s="87" t="s">
        <v>36</v>
      </c>
    </row>
    <row r="51" ht="16" spans="1:4">
      <c r="A51" s="84" t="s">
        <v>91</v>
      </c>
      <c r="B51" s="85" t="s">
        <v>92</v>
      </c>
      <c r="C51" s="99">
        <f>V_ripplefactor*Vin_rect_min</f>
        <v>1.69705627484771</v>
      </c>
      <c r="D51" s="87" t="s">
        <v>26</v>
      </c>
    </row>
    <row r="52" ht="15.75" customHeight="1" spans="1:4">
      <c r="A52" s="109" t="s">
        <v>93</v>
      </c>
      <c r="B52" s="110" t="s">
        <v>94</v>
      </c>
      <c r="C52" s="111">
        <f>((L_I_ripple_factor*Iin_peak_max)/(8*fsw*Vin_ripple))/uF</f>
        <v>4.0894777736883</v>
      </c>
      <c r="D52" s="112" t="s">
        <v>95</v>
      </c>
    </row>
    <row r="53" spans="1:4">
      <c r="A53" s="97"/>
      <c r="B53" s="97"/>
      <c r="C53" s="97"/>
      <c r="D53" s="97"/>
    </row>
    <row r="54" ht="13.25" spans="1:4">
      <c r="A54" s="80"/>
      <c r="B54" s="80"/>
      <c r="C54" s="80"/>
      <c r="D54" s="80"/>
    </row>
    <row r="55" ht="15.5" spans="1:4">
      <c r="A55" s="106" t="s">
        <v>96</v>
      </c>
      <c r="B55" s="107"/>
      <c r="C55" s="107"/>
      <c r="D55" s="108"/>
    </row>
    <row r="56" ht="16" spans="1:4">
      <c r="A56" s="84" t="s">
        <v>97</v>
      </c>
      <c r="B56" s="85" t="s">
        <v>98</v>
      </c>
      <c r="C56" s="99">
        <f>(Vout-Vin_rect_min)/Vout</f>
        <v>0.646446609406726</v>
      </c>
      <c r="D56" s="87"/>
    </row>
    <row r="57" ht="16" spans="1:4">
      <c r="A57" s="84" t="s">
        <v>99</v>
      </c>
      <c r="B57" s="85" t="s">
        <v>100</v>
      </c>
      <c r="C57" s="99">
        <f>Iin_peak_max+(Iripple/2)</f>
        <v>19.8486114017277</v>
      </c>
      <c r="D57" s="87" t="s">
        <v>36</v>
      </c>
    </row>
    <row r="58" ht="16.5" spans="1:4">
      <c r="A58" s="113" t="s">
        <v>101</v>
      </c>
      <c r="B58" s="114" t="s">
        <v>102</v>
      </c>
      <c r="C58" s="115">
        <f>((Vout*0.5*(1-0.5))/(fsw*Iripple))/mH</f>
        <v>0.085260759962301</v>
      </c>
      <c r="D58" s="116" t="s">
        <v>103</v>
      </c>
    </row>
    <row r="59" ht="16" spans="1:4">
      <c r="A59" s="84" t="s">
        <v>104</v>
      </c>
      <c r="B59" s="85" t="s">
        <v>105</v>
      </c>
      <c r="C59" s="86">
        <v>1</v>
      </c>
      <c r="D59" s="87" t="s">
        <v>103</v>
      </c>
    </row>
    <row r="60" ht="16" spans="1:4">
      <c r="A60" s="84" t="s">
        <v>106</v>
      </c>
      <c r="B60" s="10" t="s">
        <v>107</v>
      </c>
      <c r="C60" s="117">
        <f>(Vout*0.5*(1-0.5))/((fsw)*(Lbst*mH))</f>
        <v>0.307692307692308</v>
      </c>
      <c r="D60" s="87" t="s">
        <v>36</v>
      </c>
    </row>
    <row r="61" ht="16.75" spans="1:4">
      <c r="A61" s="93" t="s">
        <v>108</v>
      </c>
      <c r="B61" s="94" t="s">
        <v>109</v>
      </c>
      <c r="C61" s="104">
        <f>Iin_peak_max+Iripple_actual/2</f>
        <v>18.198038337235</v>
      </c>
      <c r="D61" s="96" t="s">
        <v>36</v>
      </c>
    </row>
    <row r="62" spans="1:4">
      <c r="A62" s="97"/>
      <c r="B62" s="97"/>
      <c r="C62" s="97"/>
      <c r="D62" s="97"/>
    </row>
    <row r="63" ht="13.25" spans="1:4">
      <c r="A63" s="80"/>
      <c r="B63" s="80"/>
      <c r="C63" s="80"/>
      <c r="D63" s="80"/>
    </row>
    <row r="64" ht="15.5" spans="1:4">
      <c r="A64" s="81" t="s">
        <v>110</v>
      </c>
      <c r="B64" s="82"/>
      <c r="C64" s="82"/>
      <c r="D64" s="83"/>
    </row>
    <row r="65" ht="16" spans="1:4">
      <c r="A65" s="84" t="s">
        <v>111</v>
      </c>
      <c r="B65" s="85" t="s">
        <v>112</v>
      </c>
      <c r="C65" s="86">
        <v>2.1</v>
      </c>
      <c r="D65" s="87" t="s">
        <v>26</v>
      </c>
    </row>
    <row r="66" ht="16" spans="1:4">
      <c r="A66" s="84" t="s">
        <v>113</v>
      </c>
      <c r="B66" s="85" t="s">
        <v>114</v>
      </c>
      <c r="C66" s="86">
        <v>100</v>
      </c>
      <c r="D66" s="87" t="s">
        <v>115</v>
      </c>
    </row>
    <row r="67" ht="16" spans="1:4">
      <c r="A67" s="90" t="s">
        <v>116</v>
      </c>
      <c r="B67" s="91" t="s">
        <v>75</v>
      </c>
      <c r="C67" s="86">
        <v>175</v>
      </c>
      <c r="D67" s="92" t="s">
        <v>33</v>
      </c>
    </row>
    <row r="68" ht="16" spans="1:4">
      <c r="A68" s="90" t="s">
        <v>117</v>
      </c>
      <c r="B68" s="91" t="s">
        <v>118</v>
      </c>
      <c r="C68" s="86">
        <v>1.2</v>
      </c>
      <c r="D68" s="92" t="s">
        <v>73</v>
      </c>
    </row>
    <row r="69" ht="16" spans="1:4">
      <c r="A69" s="90" t="s">
        <v>119</v>
      </c>
      <c r="B69" s="91" t="s">
        <v>120</v>
      </c>
      <c r="C69" s="86">
        <v>1.5</v>
      </c>
      <c r="D69" s="92" t="s">
        <v>73</v>
      </c>
    </row>
    <row r="70" ht="16" spans="1:4">
      <c r="A70" s="84" t="s">
        <v>121</v>
      </c>
      <c r="B70" s="85" t="s">
        <v>122</v>
      </c>
      <c r="C70" s="99">
        <f>Vf*Iout</f>
        <v>6.3</v>
      </c>
      <c r="D70" s="87" t="s">
        <v>23</v>
      </c>
    </row>
    <row r="71" ht="16" spans="1:4">
      <c r="A71" s="84" t="s">
        <v>123</v>
      </c>
      <c r="B71" s="85" t="s">
        <v>124</v>
      </c>
      <c r="C71" s="99">
        <f>(fsw)*Vout*(Qrr*nC)</f>
        <v>0.52</v>
      </c>
      <c r="D71" s="87" t="s">
        <v>23</v>
      </c>
    </row>
    <row r="72" ht="16" spans="1:4">
      <c r="A72" s="84" t="s">
        <v>125</v>
      </c>
      <c r="B72" s="85" t="s">
        <v>126</v>
      </c>
      <c r="C72" s="99">
        <f>Pdiode_cond+(Pdiode_reverse/2)</f>
        <v>6.56</v>
      </c>
      <c r="D72" s="87" t="s">
        <v>23</v>
      </c>
    </row>
    <row r="73" ht="16.75" spans="1:4">
      <c r="A73" s="100" t="s">
        <v>82</v>
      </c>
      <c r="B73" s="101" t="s">
        <v>127</v>
      </c>
      <c r="C73" s="104">
        <f>((Tj_diode-Tamb)/Pdiode)-Rth_diode-Rth_case_hs</f>
        <v>16.3548780487805</v>
      </c>
      <c r="D73" s="105" t="s">
        <v>73</v>
      </c>
    </row>
    <row r="74" spans="1:4">
      <c r="A74" s="97"/>
      <c r="B74" s="97"/>
      <c r="C74" s="97"/>
      <c r="D74" s="97"/>
    </row>
    <row r="75" ht="13.25" spans="1:4">
      <c r="A75" s="80"/>
      <c r="B75" s="80"/>
      <c r="C75" s="80"/>
      <c r="D75" s="80"/>
    </row>
    <row r="76" ht="15.5" spans="1:4">
      <c r="A76" s="81" t="s">
        <v>128</v>
      </c>
      <c r="B76" s="82"/>
      <c r="C76" s="82"/>
      <c r="D76" s="83"/>
    </row>
    <row r="77" spans="1:4">
      <c r="A77" s="84" t="s">
        <v>129</v>
      </c>
      <c r="B77" s="85" t="s">
        <v>130</v>
      </c>
      <c r="C77" s="86">
        <v>12</v>
      </c>
      <c r="D77" s="87" t="s">
        <v>26</v>
      </c>
    </row>
    <row r="78" ht="16" spans="1:4">
      <c r="A78" s="84" t="s">
        <v>131</v>
      </c>
      <c r="B78" s="85" t="s">
        <v>132</v>
      </c>
      <c r="C78" s="118">
        <f>IF(VCC&gt;=13.75,12.5,VCC-1.25)</f>
        <v>10.75</v>
      </c>
      <c r="D78" s="87" t="s">
        <v>26</v>
      </c>
    </row>
    <row r="79" ht="16" spans="1:4">
      <c r="A79" s="84" t="s">
        <v>133</v>
      </c>
      <c r="B79" s="85" t="s">
        <v>134</v>
      </c>
      <c r="C79" s="99">
        <f>(Pout/Vin_rect_min)*SQRT((2-(16*Vin_rect_min/(3*PI()*Vout))))</f>
        <v>10.0391641496919</v>
      </c>
      <c r="D79" s="87" t="s">
        <v>36</v>
      </c>
    </row>
    <row r="80" ht="16" spans="1:4">
      <c r="A80" s="84" t="s">
        <v>135</v>
      </c>
      <c r="B80" s="85" t="s">
        <v>136</v>
      </c>
      <c r="C80" s="86">
        <v>0.023</v>
      </c>
      <c r="D80" s="92" t="s">
        <v>23</v>
      </c>
    </row>
    <row r="81" ht="16" spans="1:4">
      <c r="A81" s="84" t="s">
        <v>137</v>
      </c>
      <c r="B81" s="85" t="s">
        <v>138</v>
      </c>
      <c r="C81" s="86">
        <v>118</v>
      </c>
      <c r="D81" s="87" t="s">
        <v>115</v>
      </c>
    </row>
    <row r="82" ht="16" spans="1:4">
      <c r="A82" s="84" t="s">
        <v>139</v>
      </c>
      <c r="B82" s="85" t="s">
        <v>140</v>
      </c>
      <c r="C82" s="86">
        <v>8</v>
      </c>
      <c r="D82" s="87" t="s">
        <v>141</v>
      </c>
    </row>
    <row r="83" ht="16" spans="1:4">
      <c r="A83" s="84" t="s">
        <v>142</v>
      </c>
      <c r="B83" s="85" t="s">
        <v>143</v>
      </c>
      <c r="C83" s="86">
        <v>5</v>
      </c>
      <c r="D83" s="87" t="s">
        <v>141</v>
      </c>
    </row>
    <row r="84" ht="16" spans="1:4">
      <c r="A84" s="84" t="s">
        <v>144</v>
      </c>
      <c r="B84" s="85" t="s">
        <v>145</v>
      </c>
      <c r="C84" s="86">
        <v>1820</v>
      </c>
      <c r="D84" s="87" t="s">
        <v>146</v>
      </c>
    </row>
    <row r="85" ht="16" spans="1:4">
      <c r="A85" s="90" t="s">
        <v>147</v>
      </c>
      <c r="B85" s="91" t="s">
        <v>75</v>
      </c>
      <c r="C85" s="86">
        <v>175</v>
      </c>
      <c r="D85" s="92" t="s">
        <v>33</v>
      </c>
    </row>
    <row r="86" ht="16" spans="1:4">
      <c r="A86" s="90" t="s">
        <v>148</v>
      </c>
      <c r="B86" s="91" t="s">
        <v>149</v>
      </c>
      <c r="C86" s="86">
        <v>0.4</v>
      </c>
      <c r="D86" s="92" t="s">
        <v>73</v>
      </c>
    </row>
    <row r="87" ht="16" spans="1:4">
      <c r="A87" s="84" t="s">
        <v>150</v>
      </c>
      <c r="B87" s="85" t="s">
        <v>151</v>
      </c>
      <c r="C87" s="99">
        <f>Vgs*Qg*(nC)*fsw</f>
        <v>0.0824525</v>
      </c>
      <c r="D87" s="87" t="s">
        <v>23</v>
      </c>
    </row>
    <row r="88" ht="16" spans="1:4">
      <c r="A88" s="84" t="s">
        <v>152</v>
      </c>
      <c r="B88" s="85" t="s">
        <v>153</v>
      </c>
      <c r="C88" s="99">
        <f>(Ids_rms^2)*(Rds_on)</f>
        <v>2.31805078696255</v>
      </c>
      <c r="D88" s="87" t="s">
        <v>23</v>
      </c>
    </row>
    <row r="89" ht="16" spans="1:4">
      <c r="A89" s="84" t="s">
        <v>154</v>
      </c>
      <c r="B89" s="85" t="s">
        <v>155</v>
      </c>
      <c r="C89" s="99">
        <f>((fsw)/2)*(((tr_FET+tf_FET)*ns*Vout*Iin_peak_max)+(Coss*picoF*Vout^2))+(Pdiode_reverse/2)</f>
        <v>1.24845369579854</v>
      </c>
      <c r="D89" s="87" t="s">
        <v>23</v>
      </c>
    </row>
    <row r="90" ht="16" spans="1:4">
      <c r="A90" s="84" t="s">
        <v>156</v>
      </c>
      <c r="B90" s="85" t="s">
        <v>157</v>
      </c>
      <c r="C90" s="99">
        <f>P_FETcond+P_FETsw</f>
        <v>3.56650448276109</v>
      </c>
      <c r="D90" s="87" t="s">
        <v>23</v>
      </c>
    </row>
    <row r="91" ht="16.75" spans="1:4">
      <c r="A91" s="100" t="s">
        <v>82</v>
      </c>
      <c r="B91" s="101" t="s">
        <v>158</v>
      </c>
      <c r="C91" s="104">
        <f>((Tj_FET-Tamb)/P_FET)-Rth_jc_FET-1</f>
        <v>33.6483226936051</v>
      </c>
      <c r="D91" s="105" t="s">
        <v>73</v>
      </c>
    </row>
    <row r="92" spans="1:9">
      <c r="A92" s="97"/>
      <c r="B92" s="97"/>
      <c r="C92" s="97"/>
      <c r="D92" s="97"/>
      <c r="F92" s="119"/>
      <c r="G92" s="119"/>
      <c r="H92" s="119"/>
      <c r="I92" s="119"/>
    </row>
    <row r="93" ht="13.25" spans="1:9">
      <c r="A93" s="80"/>
      <c r="B93" s="80"/>
      <c r="C93" s="80"/>
      <c r="D93" s="80"/>
      <c r="F93" s="119"/>
      <c r="G93" s="120"/>
      <c r="H93" s="120"/>
      <c r="I93" s="119"/>
    </row>
    <row r="94" ht="15.5" spans="1:9">
      <c r="A94" s="81" t="s">
        <v>159</v>
      </c>
      <c r="B94" s="82"/>
      <c r="C94" s="82"/>
      <c r="D94" s="83"/>
      <c r="F94" s="119"/>
      <c r="G94" s="120"/>
      <c r="H94" s="120"/>
      <c r="I94" s="119"/>
    </row>
    <row r="95" ht="16.5" spans="1:9">
      <c r="A95" s="113" t="s">
        <v>160</v>
      </c>
      <c r="B95" s="114" t="s">
        <v>161</v>
      </c>
      <c r="C95" s="115">
        <f>Visense_soc/(I_Lpeak*1.25)</f>
        <v>0.0266013571082379</v>
      </c>
      <c r="D95" s="121" t="s">
        <v>23</v>
      </c>
      <c r="F95" s="119"/>
      <c r="G95" s="120"/>
      <c r="H95" s="120"/>
      <c r="I95" s="119"/>
    </row>
    <row r="96" ht="16" spans="1:9">
      <c r="A96" s="84" t="s">
        <v>162</v>
      </c>
      <c r="B96" s="85" t="s">
        <v>163</v>
      </c>
      <c r="C96" s="122">
        <v>0.068</v>
      </c>
      <c r="D96" s="92" t="s">
        <v>23</v>
      </c>
      <c r="F96" s="119"/>
      <c r="G96" s="120"/>
      <c r="H96" s="120"/>
      <c r="I96" s="119"/>
    </row>
    <row r="97" ht="16" spans="1:9">
      <c r="A97" s="84" t="s">
        <v>164</v>
      </c>
      <c r="B97" s="85" t="s">
        <v>165</v>
      </c>
      <c r="C97" s="99">
        <f>Visense_soc/Rsense</f>
        <v>9.70588235294118</v>
      </c>
      <c r="D97" s="87" t="s">
        <v>36</v>
      </c>
      <c r="F97" s="119"/>
      <c r="G97" s="120"/>
      <c r="H97" s="120"/>
      <c r="I97" s="119"/>
    </row>
    <row r="98" ht="16" spans="1:9">
      <c r="A98" s="84" t="s">
        <v>166</v>
      </c>
      <c r="B98" s="85" t="s">
        <v>167</v>
      </c>
      <c r="C98" s="99">
        <f>(Iin_rms_max^2)*Rsense</f>
        <v>11.0701576327363</v>
      </c>
      <c r="D98" s="87" t="s">
        <v>23</v>
      </c>
      <c r="F98" s="119"/>
      <c r="G98" s="120"/>
      <c r="H98" s="120"/>
      <c r="I98" s="119"/>
    </row>
    <row r="99" ht="16" spans="1:9">
      <c r="A99" s="84" t="s">
        <v>168</v>
      </c>
      <c r="B99" s="85" t="s">
        <v>169</v>
      </c>
      <c r="C99" s="99">
        <f>(((Isoc-(Iripple_actual/2))*Vin_min*PF)/SQRT(2))/(eff*Vout)</f>
        <v>1.75967538810902</v>
      </c>
      <c r="D99" s="87" t="s">
        <v>36</v>
      </c>
      <c r="F99" s="119"/>
      <c r="G99" s="120"/>
      <c r="H99" s="120"/>
      <c r="I99" s="119"/>
    </row>
    <row r="100" ht="16" spans="1:9">
      <c r="A100" s="84" t="s">
        <v>170</v>
      </c>
      <c r="B100" s="85" t="s">
        <v>171</v>
      </c>
      <c r="C100" s="99">
        <f>Vpcl_max/Rsense</f>
        <v>16.9117647058824</v>
      </c>
      <c r="D100" s="87" t="s">
        <v>36</v>
      </c>
      <c r="F100" s="119"/>
      <c r="G100" s="120"/>
      <c r="H100" s="120"/>
      <c r="I100" s="119"/>
    </row>
    <row r="101" ht="16" spans="1:9">
      <c r="A101" s="84" t="s">
        <v>172</v>
      </c>
      <c r="B101" s="85" t="s">
        <v>173</v>
      </c>
      <c r="C101" s="86">
        <v>4</v>
      </c>
      <c r="D101" s="92" t="s">
        <v>23</v>
      </c>
      <c r="F101" s="119"/>
      <c r="G101" s="120"/>
      <c r="H101" s="120"/>
      <c r="I101" s="119"/>
    </row>
    <row r="102" ht="16" spans="1:9">
      <c r="A102" s="84" t="s">
        <v>174</v>
      </c>
      <c r="B102" s="85" t="s">
        <v>175</v>
      </c>
      <c r="C102" s="99">
        <f>Vin_rect_max/Rtherm</f>
        <v>17.6776695296637</v>
      </c>
      <c r="D102" s="87" t="s">
        <v>36</v>
      </c>
      <c r="F102" s="119"/>
      <c r="G102" s="120"/>
      <c r="H102" s="120"/>
      <c r="I102" s="119"/>
    </row>
    <row r="103" ht="16.5" spans="1:9">
      <c r="A103" s="113" t="s">
        <v>176</v>
      </c>
      <c r="B103" s="114" t="s">
        <v>177</v>
      </c>
      <c r="C103" s="115">
        <f>Iinrush*Rsense/IISENSE</f>
        <v>54.6400694553241</v>
      </c>
      <c r="D103" s="121" t="s">
        <v>23</v>
      </c>
      <c r="F103" s="119"/>
      <c r="G103" s="120"/>
      <c r="H103" s="120"/>
      <c r="I103" s="119"/>
    </row>
    <row r="104" ht="16" spans="1:9">
      <c r="A104" s="123" t="s">
        <v>178</v>
      </c>
      <c r="B104" s="10" t="s">
        <v>179</v>
      </c>
      <c r="C104" s="124">
        <v>220</v>
      </c>
      <c r="D104" s="92" t="s">
        <v>23</v>
      </c>
      <c r="F104" s="119"/>
      <c r="G104" s="120"/>
      <c r="H104" s="120"/>
      <c r="I104" s="119"/>
    </row>
    <row r="105" ht="17.25" spans="1:9">
      <c r="A105" s="109" t="s">
        <v>180</v>
      </c>
      <c r="B105" s="125" t="s">
        <v>181</v>
      </c>
      <c r="C105" s="126">
        <f>(1/(20*fsw*PI()*Risense_actual))/picoF</f>
        <v>1112.97163001325</v>
      </c>
      <c r="D105" s="127" t="s">
        <v>146</v>
      </c>
      <c r="F105" s="119"/>
      <c r="G105" s="120"/>
      <c r="H105" s="120"/>
      <c r="I105" s="119"/>
    </row>
    <row r="106" spans="1:9">
      <c r="A106" s="97"/>
      <c r="B106" s="97"/>
      <c r="C106" s="97"/>
      <c r="D106" s="97"/>
      <c r="F106" s="119"/>
      <c r="G106" s="120"/>
      <c r="H106" s="120"/>
      <c r="I106" s="119"/>
    </row>
    <row r="107" ht="13.25" spans="1:9">
      <c r="A107" s="80"/>
      <c r="B107" s="80"/>
      <c r="C107" s="80"/>
      <c r="D107" s="80"/>
      <c r="F107" s="119"/>
      <c r="G107" s="120"/>
      <c r="H107" s="120"/>
      <c r="I107" s="119"/>
    </row>
    <row r="108" ht="15.5" spans="1:9">
      <c r="A108" s="81" t="s">
        <v>182</v>
      </c>
      <c r="B108" s="82"/>
      <c r="C108" s="82"/>
      <c r="D108" s="83"/>
      <c r="F108" s="119"/>
      <c r="G108" s="120"/>
      <c r="H108" s="120"/>
      <c r="I108" s="119"/>
    </row>
    <row r="109" ht="16" spans="1:9">
      <c r="A109" s="84" t="s">
        <v>183</v>
      </c>
      <c r="B109" s="85" t="s">
        <v>184</v>
      </c>
      <c r="C109" s="86">
        <v>65</v>
      </c>
      <c r="D109" s="87" t="s">
        <v>26</v>
      </c>
      <c r="F109" s="119"/>
      <c r="G109" s="120"/>
      <c r="H109" s="120"/>
      <c r="I109" s="119"/>
    </row>
    <row r="110" ht="16" spans="1:9">
      <c r="A110" s="84" t="s">
        <v>185</v>
      </c>
      <c r="B110" s="85" t="s">
        <v>186</v>
      </c>
      <c r="C110" s="86">
        <v>1</v>
      </c>
      <c r="D110" s="87"/>
      <c r="F110" s="119"/>
      <c r="G110" s="120"/>
      <c r="H110" s="120"/>
      <c r="I110" s="119"/>
    </row>
    <row r="111" ht="16" spans="1:9">
      <c r="A111" s="84" t="s">
        <v>187</v>
      </c>
      <c r="B111" s="85" t="s">
        <v>188</v>
      </c>
      <c r="C111" s="128">
        <f>Ndropout*((1/fline_min)/ms)</f>
        <v>22.2222222222222</v>
      </c>
      <c r="D111" s="87" t="s">
        <v>189</v>
      </c>
      <c r="F111" s="119"/>
      <c r="G111" s="120"/>
      <c r="H111" s="120"/>
      <c r="I111" s="119"/>
    </row>
    <row r="112" ht="16.5" spans="1:9">
      <c r="A112" s="113" t="s">
        <v>190</v>
      </c>
      <c r="B112" s="114" t="s">
        <v>191</v>
      </c>
      <c r="C112" s="115">
        <f>(((2*Pout*t_dropout_hu*ms)/((Vout^2)-(Vout_holdup^2))))/uF</f>
        <v>4904.21455938697</v>
      </c>
      <c r="D112" s="121" t="s">
        <v>95</v>
      </c>
      <c r="F112" s="119"/>
      <c r="G112" s="120"/>
      <c r="H112" s="120"/>
      <c r="I112" s="119"/>
    </row>
    <row r="113" ht="16" spans="1:9">
      <c r="A113" s="84" t="s">
        <v>192</v>
      </c>
      <c r="B113" s="85" t="s">
        <v>193</v>
      </c>
      <c r="C113" s="129">
        <v>4870</v>
      </c>
      <c r="D113" s="92" t="s">
        <v>194</v>
      </c>
      <c r="F113" s="119"/>
      <c r="G113" s="120"/>
      <c r="H113" s="120"/>
      <c r="I113" s="119"/>
    </row>
    <row r="114" ht="16" spans="1:9">
      <c r="A114" s="84" t="s">
        <v>195</v>
      </c>
      <c r="B114" s="85" t="s">
        <v>196</v>
      </c>
      <c r="C114" s="99">
        <f>Iout/(PI()*2*fline_min*Cout*uF)</f>
        <v>2.17871243110055</v>
      </c>
      <c r="D114" s="87" t="s">
        <v>26</v>
      </c>
      <c r="F114" s="119"/>
      <c r="G114" s="120"/>
      <c r="H114" s="120"/>
      <c r="I114" s="119"/>
    </row>
    <row r="115" ht="13" spans="1:9">
      <c r="A115" s="130" t="str">
        <f>IF(Vout_ripplepp&gt;=0.04*Vout,"OUTPUT CAPACITOR must be sized larger so OVP/UVD is not triggered","Good! Output voltage peak-peak ripple is less than 5% VOUT")</f>
        <v>Good! Output voltage peak-peak ripple is less than 5% VOUT</v>
      </c>
      <c r="B115" s="131"/>
      <c r="C115" s="131"/>
      <c r="D115" s="132"/>
      <c r="F115" s="119"/>
      <c r="G115" s="120"/>
      <c r="H115" s="120"/>
      <c r="I115" s="119"/>
    </row>
    <row r="116" ht="16" spans="1:9">
      <c r="A116" s="84" t="s">
        <v>197</v>
      </c>
      <c r="B116" s="85" t="s">
        <v>198</v>
      </c>
      <c r="C116" s="99">
        <f>Iout/SQRT(2)</f>
        <v>2.12132034355964</v>
      </c>
      <c r="D116" s="87" t="s">
        <v>199</v>
      </c>
      <c r="F116" s="119"/>
      <c r="G116" s="120"/>
      <c r="H116" s="120"/>
      <c r="I116" s="119"/>
    </row>
    <row r="117" ht="16" spans="1:9">
      <c r="A117" s="84" t="s">
        <v>200</v>
      </c>
      <c r="B117" s="85" t="s">
        <v>201</v>
      </c>
      <c r="C117" s="99">
        <f>Iout*SQRT(((16*Vout)/(3*PI()*Vin_rect_min))-1.5)</f>
        <v>5.45116346989715</v>
      </c>
      <c r="D117" s="87" t="s">
        <v>199</v>
      </c>
      <c r="F117" s="119"/>
      <c r="G117" s="120"/>
      <c r="H117" s="120"/>
      <c r="I117" s="119"/>
    </row>
    <row r="118" ht="16.75" spans="1:9">
      <c r="A118" s="93" t="s">
        <v>202</v>
      </c>
      <c r="B118" s="94" t="s">
        <v>203</v>
      </c>
      <c r="C118" s="104">
        <f>SQRT((Icout_2fline^2)+(Icout_HF^2))</f>
        <v>5.8493745969583</v>
      </c>
      <c r="D118" s="96" t="s">
        <v>199</v>
      </c>
      <c r="F118" s="119"/>
      <c r="G118" s="120"/>
      <c r="H118" s="120"/>
      <c r="I118" s="119"/>
    </row>
    <row r="119" spans="1:9">
      <c r="A119" s="97"/>
      <c r="B119" s="97"/>
      <c r="C119" s="97"/>
      <c r="D119" s="97"/>
      <c r="F119" s="119"/>
      <c r="G119" s="120"/>
      <c r="H119" s="120"/>
      <c r="I119" s="119"/>
    </row>
    <row r="120" ht="13.25" spans="1:9">
      <c r="A120" s="80"/>
      <c r="B120" s="80"/>
      <c r="C120" s="80"/>
      <c r="D120" s="80"/>
      <c r="F120" s="119"/>
      <c r="G120" s="120"/>
      <c r="H120" s="120"/>
      <c r="I120" s="119"/>
    </row>
    <row r="121" ht="15.5" spans="1:9">
      <c r="A121" s="81" t="s">
        <v>204</v>
      </c>
      <c r="B121" s="82"/>
      <c r="C121" s="82"/>
      <c r="D121" s="83"/>
      <c r="F121" s="119"/>
      <c r="G121" s="120"/>
      <c r="H121" s="120"/>
      <c r="I121" s="119"/>
    </row>
    <row r="122" ht="16.5" spans="1:9">
      <c r="A122" s="113" t="s">
        <v>205</v>
      </c>
      <c r="B122" s="114" t="s">
        <v>206</v>
      </c>
      <c r="C122" s="133">
        <v>1</v>
      </c>
      <c r="D122" s="116" t="s">
        <v>207</v>
      </c>
      <c r="F122" s="119"/>
      <c r="G122" s="120"/>
      <c r="H122" s="120"/>
      <c r="I122" s="119"/>
    </row>
    <row r="123" ht="16" spans="1:4">
      <c r="A123" s="84" t="s">
        <v>208</v>
      </c>
      <c r="B123" s="85" t="s">
        <v>209</v>
      </c>
      <c r="C123" s="86">
        <v>1</v>
      </c>
      <c r="D123" s="87" t="s">
        <v>210</v>
      </c>
    </row>
    <row r="124" ht="16" spans="1:4">
      <c r="A124" s="134" t="s">
        <v>211</v>
      </c>
      <c r="B124" s="89" t="s">
        <v>212</v>
      </c>
      <c r="C124" s="86">
        <v>1</v>
      </c>
      <c r="D124" s="87" t="s">
        <v>213</v>
      </c>
    </row>
    <row r="125" ht="16" spans="1:4">
      <c r="A125" s="134" t="s">
        <v>214</v>
      </c>
      <c r="B125" s="10" t="s">
        <v>215</v>
      </c>
      <c r="C125" s="86">
        <v>100</v>
      </c>
      <c r="D125" s="87" t="s">
        <v>216</v>
      </c>
    </row>
    <row r="126" ht="16.5" spans="1:9">
      <c r="A126" s="135" t="s">
        <v>217</v>
      </c>
      <c r="B126" s="114" t="s">
        <v>218</v>
      </c>
      <c r="C126" s="115">
        <f>(Vref*_Rfb1*kOhm)/(Vout-Vref)</f>
        <v>66.6666666666667</v>
      </c>
      <c r="D126" s="116" t="s">
        <v>219</v>
      </c>
      <c r="F126" s="119"/>
      <c r="G126" s="120"/>
      <c r="H126" s="120"/>
      <c r="I126" s="119"/>
    </row>
    <row r="127" ht="16" spans="1:9">
      <c r="A127" s="136" t="s">
        <v>208</v>
      </c>
      <c r="B127" s="85" t="s">
        <v>220</v>
      </c>
      <c r="C127" s="137">
        <v>68</v>
      </c>
      <c r="D127" s="87" t="s">
        <v>221</v>
      </c>
      <c r="F127" s="119"/>
      <c r="G127" s="120"/>
      <c r="H127" s="120"/>
      <c r="I127" s="119"/>
    </row>
    <row r="128" ht="16" spans="1:9">
      <c r="A128" s="134" t="s">
        <v>222</v>
      </c>
      <c r="B128" s="89" t="s">
        <v>223</v>
      </c>
      <c r="C128" s="86">
        <v>1</v>
      </c>
      <c r="D128" s="87" t="s">
        <v>213</v>
      </c>
      <c r="F128" s="119"/>
      <c r="G128" s="120"/>
      <c r="H128" s="120"/>
      <c r="I128" s="119"/>
    </row>
    <row r="129" ht="16" spans="1:9">
      <c r="A129" s="134" t="s">
        <v>224</v>
      </c>
      <c r="B129" s="10" t="s">
        <v>225</v>
      </c>
      <c r="C129" s="86">
        <v>100</v>
      </c>
      <c r="D129" s="87" t="s">
        <v>216</v>
      </c>
      <c r="F129" s="119"/>
      <c r="G129" s="120"/>
      <c r="H129" s="120"/>
      <c r="I129" s="119"/>
    </row>
    <row r="130" ht="16" spans="1:9">
      <c r="A130" s="84" t="s">
        <v>226</v>
      </c>
      <c r="B130" s="85" t="s">
        <v>25</v>
      </c>
      <c r="C130" s="99">
        <f>Vref*((_Rfb1*MegOhm)+(_Rfb2*kOhm))/(_Rfb2*kOhm)</f>
        <v>78.5294117647059</v>
      </c>
      <c r="D130" s="87" t="s">
        <v>26</v>
      </c>
      <c r="F130" s="119"/>
      <c r="G130" s="120"/>
      <c r="H130" s="120"/>
      <c r="I130" s="119"/>
    </row>
    <row r="131" ht="16" spans="1:9">
      <c r="A131" s="138" t="s">
        <v>227</v>
      </c>
      <c r="B131" s="10" t="s">
        <v>228</v>
      </c>
      <c r="C131" s="99">
        <f>Vout_nom-SQRT((((((_Rfb1*MegOhm)+(_Rfb2*kOhm))/(_Rfb2*kOhm))*0.1)^2)+(((Vref/(_Rfb2*kOhm))*(((Rfb1_tempco*10^-6)*(Tamb-25))+(delta_Rfb1/100))*(_Rfb1*MegOhm))^2)+(((5*(_Rfb1*MegOhm))*((-1)*((_Rfb2*kOhm)^-2))*(((Rfb2_tempco*10^-6)*(Tamb-25))+(delta_Rfb2/100))*(_Rfb2*kOhm)))^2)</f>
        <v>76.4907107314217</v>
      </c>
      <c r="D131" s="87" t="s">
        <v>26</v>
      </c>
      <c r="F131" s="119"/>
      <c r="G131" s="120"/>
      <c r="H131" s="120"/>
      <c r="I131" s="119"/>
    </row>
    <row r="132" ht="16" spans="1:9">
      <c r="A132" s="138" t="s">
        <v>229</v>
      </c>
      <c r="B132" s="10" t="s">
        <v>230</v>
      </c>
      <c r="C132" s="99">
        <f>Vout_nom+SQRT((((((_Rfb1*MegOhm)+(_Rfb2*kOhm))/(_Rfb2*kOhm))*0.1)^2)+(((5/(_Rfb2*kOhm))*(((Rfb1_tempco*10^-6)*(Tamb-25))+(delta_Rfb1/100))*(_Rfb1*MegOhm))^2)+(((5*(_Rfb1*MegOhm))*((-1)*((_Rfb2*kOhm)^-2))*(((Rfb2_tempco*10^-6)*(Tamb-25))+(delta_Rfb2/100))*(_Rfb2*kOhm)))^2)</f>
        <v>80.5681127979901</v>
      </c>
      <c r="D132" s="87" t="s">
        <v>26</v>
      </c>
      <c r="F132" s="119"/>
      <c r="G132" s="120"/>
      <c r="H132" s="120"/>
      <c r="I132" s="119"/>
    </row>
    <row r="133" ht="16" spans="1:9">
      <c r="A133" s="84" t="s">
        <v>231</v>
      </c>
      <c r="B133" s="85" t="s">
        <v>232</v>
      </c>
      <c r="C133" s="99">
        <f>(Vref_ovp)*((_Rfb1*MegOhm)+(_Rfb2*kOhm))/(_Rfb2*kOhm)</f>
        <v>82.4558823529412</v>
      </c>
      <c r="D133" s="87" t="s">
        <v>26</v>
      </c>
      <c r="F133" s="119"/>
      <c r="G133" s="120"/>
      <c r="H133" s="120"/>
      <c r="I133" s="119"/>
    </row>
    <row r="134" ht="16" spans="1:9">
      <c r="A134" s="84" t="s">
        <v>233</v>
      </c>
      <c r="B134" s="85" t="s">
        <v>234</v>
      </c>
      <c r="C134" s="99">
        <f>(Vref_ovpmax)*((_Rfb1*MegOhm)+(_Rfb2*kOhm))/(_Rfb2*kOhm)</f>
        <v>84.4976470588235</v>
      </c>
      <c r="D134" s="139" t="s">
        <v>26</v>
      </c>
      <c r="F134" s="119"/>
      <c r="G134" s="120"/>
      <c r="H134" s="120"/>
      <c r="I134" s="119"/>
    </row>
    <row r="135" ht="16" spans="1:9">
      <c r="A135" s="140" t="s">
        <v>235</v>
      </c>
      <c r="B135" s="10" t="s">
        <v>236</v>
      </c>
      <c r="C135" s="99">
        <f>(Vref_ovpmin)*((_Rfb1*MegOhm)+(_Rfb2*kOhm))/(_Rfb2*kOhm)</f>
        <v>80.4141176470588</v>
      </c>
      <c r="D135" s="139" t="s">
        <v>26</v>
      </c>
      <c r="F135" s="119"/>
      <c r="G135" s="120"/>
      <c r="H135" s="120"/>
      <c r="I135" s="119"/>
    </row>
    <row r="136" ht="16" spans="1:9">
      <c r="A136" s="84" t="s">
        <v>237</v>
      </c>
      <c r="B136" s="85" t="s">
        <v>238</v>
      </c>
      <c r="C136" s="99">
        <f>(Vref_uvd)*((_Rfb1*MegOhm)+(_Rfb2*kOhm))/(_Rfb2*kOhm)</f>
        <v>74.6029411764706</v>
      </c>
      <c r="D136" s="87" t="s">
        <v>26</v>
      </c>
      <c r="F136" s="119"/>
      <c r="G136" s="120"/>
      <c r="H136" s="120"/>
      <c r="I136" s="119"/>
    </row>
    <row r="137" ht="16" spans="1:9">
      <c r="A137" s="140" t="s">
        <v>239</v>
      </c>
      <c r="B137" s="10" t="s">
        <v>240</v>
      </c>
      <c r="C137" s="99">
        <f>(Vref_uvdmax)*((_Rfb1*MegOhm)+(_Rfb2*kOhm))/(_Rfb2*kOhm)</f>
        <v>76.4876470588235</v>
      </c>
      <c r="D137" s="87" t="s">
        <v>26</v>
      </c>
      <c r="F137" s="119"/>
      <c r="G137" s="120"/>
      <c r="H137" s="120"/>
      <c r="I137" s="119"/>
    </row>
    <row r="138" ht="16" spans="1:9">
      <c r="A138" s="140" t="s">
        <v>241</v>
      </c>
      <c r="B138" s="10" t="s">
        <v>242</v>
      </c>
      <c r="C138" s="99">
        <f>(Vref_uvdmin)*((_Rfb1*MegOhm)+(_Rfb2*kOhm))/(_Rfb2*kOhm)</f>
        <v>72.7182352941176</v>
      </c>
      <c r="D138" s="87" t="s">
        <v>26</v>
      </c>
      <c r="F138" s="119"/>
      <c r="G138" s="120"/>
      <c r="H138" s="120"/>
      <c r="I138" s="119"/>
    </row>
    <row r="139" ht="16.5" spans="1:9">
      <c r="A139" s="113" t="s">
        <v>243</v>
      </c>
      <c r="B139" s="114" t="s">
        <v>244</v>
      </c>
      <c r="C139" s="115">
        <f>((t_RFB2Cvsense*ms)/(_Rfb2*kOhm))/picoF</f>
        <v>147.058823529412</v>
      </c>
      <c r="D139" s="116" t="s">
        <v>146</v>
      </c>
      <c r="F139" s="119"/>
      <c r="G139" s="120"/>
      <c r="H139" s="120"/>
      <c r="I139" s="119"/>
    </row>
    <row r="140" ht="16.75" spans="1:9">
      <c r="A140" s="141" t="s">
        <v>245</v>
      </c>
      <c r="B140" s="142" t="s">
        <v>246</v>
      </c>
      <c r="C140" s="104">
        <f>(Vout_nom^2)/((_Rfb1*MegOhm)+(_Rfb2*kOhm))</f>
        <v>0.0057742214532872</v>
      </c>
      <c r="D140" s="143" t="s">
        <v>23</v>
      </c>
      <c r="F140" s="119"/>
      <c r="G140" s="120"/>
      <c r="H140" s="120"/>
      <c r="I140" s="119"/>
    </row>
    <row r="141" spans="1:9">
      <c r="A141" s="144"/>
      <c r="B141" s="144"/>
      <c r="C141" s="144"/>
      <c r="D141" s="144"/>
      <c r="F141" s="119"/>
      <c r="G141" s="120"/>
      <c r="H141" s="120"/>
      <c r="I141" s="119"/>
    </row>
    <row r="142" ht="13.25" spans="1:9">
      <c r="A142" s="145"/>
      <c r="B142" s="145"/>
      <c r="C142" s="145"/>
      <c r="D142" s="145"/>
      <c r="F142" s="119"/>
      <c r="G142" s="120"/>
      <c r="H142" s="120"/>
      <c r="I142" s="119"/>
    </row>
    <row r="143" ht="15.75" customHeight="1" spans="1:9">
      <c r="A143" s="81" t="s">
        <v>247</v>
      </c>
      <c r="B143" s="82"/>
      <c r="C143" s="82"/>
      <c r="D143" s="83"/>
      <c r="F143" s="119"/>
      <c r="G143" s="120"/>
      <c r="H143" s="120"/>
      <c r="I143" s="119"/>
    </row>
    <row r="144" ht="15.2" customHeight="1" spans="1:9">
      <c r="A144" s="146" t="s">
        <v>248</v>
      </c>
      <c r="B144" s="147"/>
      <c r="C144" s="147"/>
      <c r="D144" s="148"/>
      <c r="F144" s="119"/>
      <c r="G144" s="120"/>
      <c r="H144" s="120"/>
      <c r="I144" s="119"/>
    </row>
    <row r="145" ht="15.2" customHeight="1" spans="1:9">
      <c r="A145" s="134"/>
      <c r="B145" s="149"/>
      <c r="C145" s="149"/>
      <c r="D145" s="150"/>
      <c r="F145" s="119"/>
      <c r="G145" s="120"/>
      <c r="H145" s="120"/>
      <c r="I145" s="119"/>
    </row>
    <row r="146" ht="15.2" customHeight="1" spans="1:9">
      <c r="A146" s="134"/>
      <c r="B146" s="149"/>
      <c r="C146" s="149"/>
      <c r="D146" s="150"/>
      <c r="F146" s="119"/>
      <c r="G146" s="120"/>
      <c r="H146" s="120"/>
      <c r="I146" s="119"/>
    </row>
    <row r="147" ht="15.2" customHeight="1" spans="1:9">
      <c r="A147" s="134"/>
      <c r="B147" s="149"/>
      <c r="C147" s="149"/>
      <c r="D147" s="150"/>
      <c r="F147" s="119"/>
      <c r="G147" s="120"/>
      <c r="H147" s="120"/>
      <c r="I147" s="119"/>
    </row>
    <row r="148" ht="15.2" customHeight="1" spans="1:9">
      <c r="A148" s="134"/>
      <c r="B148" s="149"/>
      <c r="C148" s="149"/>
      <c r="D148" s="150"/>
      <c r="F148" s="119"/>
      <c r="G148" s="120"/>
      <c r="H148" s="120"/>
      <c r="I148" s="119"/>
    </row>
    <row r="149" ht="15.2" customHeight="1" spans="1:9">
      <c r="A149" s="151"/>
      <c r="B149" s="152"/>
      <c r="C149" s="152"/>
      <c r="D149" s="153"/>
      <c r="F149" s="119"/>
      <c r="G149" s="120"/>
      <c r="H149" s="120"/>
      <c r="I149" s="119"/>
    </row>
    <row r="150" ht="15.2" customHeight="1" spans="1:9">
      <c r="A150" s="151"/>
      <c r="B150" s="152"/>
      <c r="C150" s="152"/>
      <c r="D150" s="153"/>
      <c r="F150" s="119"/>
      <c r="G150" s="120"/>
      <c r="H150" s="120"/>
      <c r="I150" s="119"/>
    </row>
    <row r="151" ht="15.2" customHeight="1" spans="1:9">
      <c r="A151" s="151"/>
      <c r="B151" s="152"/>
      <c r="C151" s="152"/>
      <c r="D151" s="153"/>
      <c r="F151" s="119"/>
      <c r="G151" s="120"/>
      <c r="H151" s="120"/>
      <c r="I151" s="119"/>
    </row>
    <row r="152" ht="15.2" customHeight="1" spans="1:9">
      <c r="A152" s="151"/>
      <c r="B152" s="152"/>
      <c r="C152" s="152"/>
      <c r="D152" s="153"/>
      <c r="F152" s="119"/>
      <c r="G152" s="120"/>
      <c r="H152" s="120"/>
      <c r="I152" s="119"/>
    </row>
    <row r="153" ht="15.2" customHeight="1" spans="1:9">
      <c r="A153" s="134"/>
      <c r="B153" s="149"/>
      <c r="C153" s="149"/>
      <c r="D153" s="150"/>
      <c r="F153" s="119"/>
      <c r="G153" s="120"/>
      <c r="H153" s="120"/>
      <c r="I153" s="119"/>
    </row>
    <row r="154" ht="15.2" customHeight="1" spans="1:9">
      <c r="A154" s="134"/>
      <c r="B154" s="149"/>
      <c r="C154" s="149"/>
      <c r="D154" s="150"/>
      <c r="F154" s="119"/>
      <c r="G154" s="120"/>
      <c r="H154" s="120"/>
      <c r="I154" s="119"/>
    </row>
    <row r="155" ht="15.2" customHeight="1" spans="1:9">
      <c r="A155" s="134"/>
      <c r="B155" s="149"/>
      <c r="C155" s="149"/>
      <c r="D155" s="150"/>
      <c r="F155" s="119"/>
      <c r="G155" s="120"/>
      <c r="H155" s="120"/>
      <c r="I155" s="119"/>
    </row>
    <row r="156" ht="15.2" customHeight="1" spans="1:9">
      <c r="A156" s="134"/>
      <c r="B156" s="149"/>
      <c r="C156" s="149"/>
      <c r="D156" s="150"/>
      <c r="F156" s="119"/>
      <c r="G156" s="120"/>
      <c r="H156" s="120"/>
      <c r="I156" s="119"/>
    </row>
    <row r="157" ht="15.2" customHeight="1" spans="1:9">
      <c r="A157" s="151"/>
      <c r="B157" s="152"/>
      <c r="C157" s="152"/>
      <c r="D157" s="154"/>
      <c r="F157" s="119"/>
      <c r="G157" s="120"/>
      <c r="H157" s="120"/>
      <c r="I157" s="119"/>
    </row>
    <row r="158" ht="15.2" customHeight="1" spans="1:9">
      <c r="A158" s="151"/>
      <c r="B158" s="152"/>
      <c r="C158" s="152"/>
      <c r="D158" s="154"/>
      <c r="F158" s="119"/>
      <c r="G158" s="120"/>
      <c r="H158" s="120"/>
      <c r="I158" s="119"/>
    </row>
    <row r="159" ht="15.2" customHeight="1" spans="1:9">
      <c r="A159" s="151"/>
      <c r="B159" s="152"/>
      <c r="C159" s="152"/>
      <c r="D159" s="154"/>
      <c r="F159" s="119"/>
      <c r="G159" s="120"/>
      <c r="H159" s="120"/>
      <c r="I159" s="119"/>
    </row>
    <row r="160" ht="15.2" customHeight="1" spans="1:9">
      <c r="A160" s="151"/>
      <c r="B160" s="152"/>
      <c r="C160" s="152"/>
      <c r="D160" s="154"/>
      <c r="F160" s="119"/>
      <c r="G160" s="120"/>
      <c r="H160" s="120"/>
      <c r="I160" s="119"/>
    </row>
    <row r="161" ht="15.2" customHeight="1" spans="1:6">
      <c r="A161" s="151"/>
      <c r="B161" s="152"/>
      <c r="C161" s="152"/>
      <c r="D161" s="154"/>
      <c r="F161" s="119"/>
    </row>
    <row r="162" ht="15.2" customHeight="1" spans="1:9">
      <c r="A162" s="151"/>
      <c r="B162" s="152"/>
      <c r="C162" s="152"/>
      <c r="D162" s="154"/>
      <c r="F162" s="119"/>
      <c r="G162" s="120"/>
      <c r="H162" s="120"/>
      <c r="I162" s="119"/>
    </row>
    <row r="163" ht="15.2" customHeight="1" spans="1:9">
      <c r="A163" s="151"/>
      <c r="B163" s="152"/>
      <c r="C163" s="152"/>
      <c r="D163" s="154"/>
      <c r="F163" s="119"/>
      <c r="G163" s="120"/>
      <c r="H163" s="120"/>
      <c r="I163" s="119"/>
    </row>
    <row r="164" ht="15.2" customHeight="1" spans="1:9">
      <c r="A164" s="151"/>
      <c r="B164" s="152"/>
      <c r="C164" s="152"/>
      <c r="D164" s="154"/>
      <c r="F164" s="119"/>
      <c r="G164" s="120"/>
      <c r="H164" s="120"/>
      <c r="I164" s="119"/>
    </row>
    <row r="165" ht="15.2" customHeight="1" spans="1:9">
      <c r="A165" s="151"/>
      <c r="B165" s="152"/>
      <c r="C165" s="152"/>
      <c r="D165" s="154"/>
      <c r="F165" s="119"/>
      <c r="G165" s="120"/>
      <c r="H165" s="120"/>
      <c r="I165" s="119"/>
    </row>
    <row r="166" ht="15.2" customHeight="1" spans="1:9">
      <c r="A166" s="151"/>
      <c r="B166" s="152"/>
      <c r="C166" s="152"/>
      <c r="D166" s="154"/>
      <c r="F166" s="119"/>
      <c r="G166" s="120"/>
      <c r="H166" s="120"/>
      <c r="I166" s="119"/>
    </row>
    <row r="167" ht="15.75" customHeight="1" spans="1:9">
      <c r="A167" s="151"/>
      <c r="B167" s="152"/>
      <c r="C167" s="152"/>
      <c r="D167" s="154"/>
      <c r="F167" s="119"/>
      <c r="G167" s="120"/>
      <c r="H167" s="120"/>
      <c r="I167" s="119"/>
    </row>
    <row r="168" ht="15.75" customHeight="1" spans="1:9">
      <c r="A168" s="84" t="s">
        <v>249</v>
      </c>
      <c r="B168" s="85" t="s">
        <v>250</v>
      </c>
      <c r="C168" s="115">
        <f>(Iout*(Vout_nom^2)*Rsense*K_1)/(eff^2*(VINnom^2)*K_fq)*us</f>
        <v>0.704719895714518</v>
      </c>
      <c r="D168" s="155" t="s">
        <v>251</v>
      </c>
      <c r="F168" s="119"/>
      <c r="G168" s="120"/>
      <c r="H168" s="120"/>
      <c r="I168" s="119"/>
    </row>
    <row r="169" ht="13" spans="1:9">
      <c r="A169" s="156" t="s">
        <v>252</v>
      </c>
      <c r="B169" s="85" t="s">
        <v>253</v>
      </c>
      <c r="C169" s="115">
        <f>Vcomp</f>
        <v>4.52389752018411</v>
      </c>
      <c r="D169" s="157" t="s">
        <v>26</v>
      </c>
      <c r="F169" s="119"/>
      <c r="G169" s="120"/>
      <c r="H169" s="120"/>
      <c r="I169" s="119"/>
    </row>
    <row r="170" ht="16" spans="1:9">
      <c r="A170" s="140" t="s">
        <v>254</v>
      </c>
      <c r="B170" s="10" t="s">
        <v>255</v>
      </c>
      <c r="C170" s="158">
        <f>IF(Vcomp&lt;2,(0.064),IF(Vcomp&lt;3,(0.139*Vcomp-0.214),IF(Vcomp&lt;5.5,(0.279*Vcomp-0.632),IF(Vcomp&lt;7,0.903,"VCOMP MUST BE &lt; 7"))))</f>
        <v>0.630167408131367</v>
      </c>
      <c r="D170" s="159"/>
      <c r="F170" s="119"/>
      <c r="G170" s="120"/>
      <c r="H170" s="120"/>
      <c r="I170" s="119"/>
    </row>
    <row r="171" ht="16" spans="1:4">
      <c r="A171" s="140" t="s">
        <v>256</v>
      </c>
      <c r="B171" s="10" t="s">
        <v>257</v>
      </c>
      <c r="C171" s="158">
        <f>IF(Vcomp&lt;=1.5,0,IF(Vcomp&lt;5.6,(0.1223*(Vcomp-1.5)^2),IF(Vcomp&lt;7,2.056,"VCOMP MUST BE &lt; 7")))</f>
        <v>1.118305844798</v>
      </c>
      <c r="D171" s="155" t="s">
        <v>251</v>
      </c>
    </row>
    <row r="172" ht="16" spans="1:5">
      <c r="A172" s="140" t="s">
        <v>258</v>
      </c>
      <c r="B172" s="85" t="s">
        <v>259</v>
      </c>
      <c r="C172" s="160">
        <f>IF(Vcomp&gt;=3,((0.1026*(Vcomp^2))-(0.3596*Vcomp)+0.3085),(0.051*(Vcomp^2)-(0.1543*Vcomp)+0.1167))</f>
        <v>0.781482015864722</v>
      </c>
      <c r="D172" s="87"/>
      <c r="E172" s="161"/>
    </row>
    <row r="173" ht="16" spans="1:8">
      <c r="A173" s="140" t="s">
        <v>260</v>
      </c>
      <c r="B173" s="10" t="s">
        <v>261</v>
      </c>
      <c r="C173" s="162">
        <v>10</v>
      </c>
      <c r="D173" s="139" t="s">
        <v>262</v>
      </c>
      <c r="E173" s="163"/>
      <c r="F173" s="163"/>
      <c r="G173" s="163"/>
      <c r="H173" s="163"/>
    </row>
    <row r="174" ht="16.5" spans="1:4">
      <c r="A174" s="113" t="s">
        <v>263</v>
      </c>
      <c r="B174" s="114" t="s">
        <v>264</v>
      </c>
      <c r="C174" s="164">
        <f>(((0.95*10^-3)*M_1)/(7*2*PI()*(f_Iavg*10^3)))*10^12</f>
        <v>1361.13635829342</v>
      </c>
      <c r="D174" s="116" t="s">
        <v>146</v>
      </c>
    </row>
    <row r="175" ht="16" spans="1:4">
      <c r="A175" s="84" t="s">
        <v>265</v>
      </c>
      <c r="B175" s="10" t="s">
        <v>266</v>
      </c>
      <c r="C175" s="86">
        <v>1500</v>
      </c>
      <c r="D175" s="139" t="s">
        <v>146</v>
      </c>
    </row>
    <row r="176" ht="16" spans="1:4">
      <c r="A176" s="84" t="s">
        <v>267</v>
      </c>
      <c r="B176" s="10" t="s">
        <v>268</v>
      </c>
      <c r="C176" s="160">
        <f>((0.95*10^-3*M_1)/(7*2*PI()*Cicomp*10^-12))*10^-3</f>
        <v>9.07424238862278</v>
      </c>
      <c r="D176" s="87" t="s">
        <v>262</v>
      </c>
    </row>
    <row r="177" spans="1:4">
      <c r="A177" s="134"/>
      <c r="B177" s="3"/>
      <c r="C177" s="165"/>
      <c r="D177" s="150"/>
    </row>
    <row r="178" spans="1:4">
      <c r="A178" s="134"/>
      <c r="B178" s="149"/>
      <c r="C178" s="149"/>
      <c r="D178" s="150"/>
    </row>
    <row r="179" spans="1:4">
      <c r="A179" s="134"/>
      <c r="B179" s="149"/>
      <c r="C179" s="149"/>
      <c r="D179" s="150"/>
    </row>
    <row r="180" spans="1:4">
      <c r="A180" s="166"/>
      <c r="B180" s="3"/>
      <c r="C180" s="3"/>
      <c r="D180" s="167"/>
    </row>
    <row r="181" spans="1:4">
      <c r="A181" s="134"/>
      <c r="B181" s="149"/>
      <c r="C181" s="149"/>
      <c r="D181" s="150"/>
    </row>
    <row r="182" spans="1:4">
      <c r="A182" s="134"/>
      <c r="B182" s="149"/>
      <c r="C182" s="149"/>
      <c r="D182" s="150"/>
    </row>
    <row r="183" spans="1:4">
      <c r="A183" s="134"/>
      <c r="B183" s="149"/>
      <c r="C183" s="149"/>
      <c r="D183" s="150"/>
    </row>
    <row r="184" spans="1:4">
      <c r="A184" s="134"/>
      <c r="B184" s="149"/>
      <c r="C184" s="149"/>
      <c r="D184" s="150"/>
    </row>
    <row r="185" spans="1:4">
      <c r="A185" s="134"/>
      <c r="B185" s="149"/>
      <c r="C185" s="149"/>
      <c r="D185" s="150"/>
    </row>
    <row r="186" spans="1:4">
      <c r="A186" s="134"/>
      <c r="B186" s="149"/>
      <c r="C186" s="149"/>
      <c r="D186" s="150"/>
    </row>
    <row r="187" spans="1:4">
      <c r="A187" s="134"/>
      <c r="B187" s="149"/>
      <c r="C187" s="149"/>
      <c r="D187" s="150"/>
    </row>
    <row r="188" spans="1:4">
      <c r="A188" s="134"/>
      <c r="B188" s="149"/>
      <c r="C188" s="149"/>
      <c r="D188" s="150"/>
    </row>
    <row r="189" spans="1:4">
      <c r="A189" s="134"/>
      <c r="B189" s="149"/>
      <c r="C189" s="149"/>
      <c r="D189" s="150"/>
    </row>
    <row r="190" spans="1:4">
      <c r="A190" s="134"/>
      <c r="B190" s="149"/>
      <c r="C190" s="149"/>
      <c r="D190" s="150"/>
    </row>
    <row r="191" spans="1:4">
      <c r="A191" s="134"/>
      <c r="B191" s="149"/>
      <c r="C191" s="149"/>
      <c r="D191" s="150"/>
    </row>
    <row r="192" spans="1:4">
      <c r="A192" s="134"/>
      <c r="B192" s="149"/>
      <c r="C192" s="149"/>
      <c r="D192" s="150"/>
    </row>
    <row r="193" spans="1:4">
      <c r="A193" s="134"/>
      <c r="B193" s="149"/>
      <c r="C193" s="149"/>
      <c r="D193" s="150"/>
    </row>
    <row r="194" spans="1:4">
      <c r="A194" s="134"/>
      <c r="B194" s="149"/>
      <c r="C194" s="149"/>
      <c r="D194" s="150"/>
    </row>
    <row r="195" spans="1:4">
      <c r="A195" s="134"/>
      <c r="B195" s="149"/>
      <c r="C195" s="149"/>
      <c r="D195" s="150"/>
    </row>
    <row r="196" spans="1:4">
      <c r="A196" s="134"/>
      <c r="B196" s="149"/>
      <c r="C196" s="149"/>
      <c r="D196" s="150"/>
    </row>
    <row r="197" spans="1:4">
      <c r="A197" s="134"/>
      <c r="B197" s="149"/>
      <c r="C197" s="149"/>
      <c r="D197" s="150"/>
    </row>
    <row r="198" spans="1:4">
      <c r="A198" s="134"/>
      <c r="B198" s="149"/>
      <c r="C198" s="149"/>
      <c r="D198" s="150"/>
    </row>
    <row r="199" spans="1:4">
      <c r="A199" s="134"/>
      <c r="B199" s="149"/>
      <c r="C199" s="149"/>
      <c r="D199" s="150"/>
    </row>
    <row r="200" spans="1:4">
      <c r="A200" s="134"/>
      <c r="B200" s="149"/>
      <c r="C200" s="149"/>
      <c r="D200" s="150"/>
    </row>
    <row r="201" spans="1:4">
      <c r="A201" s="134"/>
      <c r="B201" s="149"/>
      <c r="C201" s="149"/>
      <c r="D201" s="150"/>
    </row>
    <row r="202" spans="1:4">
      <c r="A202" s="134"/>
      <c r="B202" s="149"/>
      <c r="C202" s="149"/>
      <c r="D202" s="150"/>
    </row>
    <row r="203" spans="1:4">
      <c r="A203" s="134"/>
      <c r="B203" s="149"/>
      <c r="C203" s="149"/>
      <c r="D203" s="150"/>
    </row>
    <row r="204" spans="1:4">
      <c r="A204" s="134"/>
      <c r="B204" s="149"/>
      <c r="C204" s="149"/>
      <c r="D204" s="150"/>
    </row>
    <row r="205" spans="1:4">
      <c r="A205" s="134"/>
      <c r="B205" s="149"/>
      <c r="C205" s="149"/>
      <c r="D205" s="150"/>
    </row>
    <row r="206" spans="1:4">
      <c r="A206" s="134"/>
      <c r="B206" s="149"/>
      <c r="C206" s="149"/>
      <c r="D206" s="150"/>
    </row>
    <row r="207" spans="1:4">
      <c r="A207" s="134"/>
      <c r="B207" s="149"/>
      <c r="C207" s="149"/>
      <c r="D207" s="150"/>
    </row>
    <row r="208" spans="1:4">
      <c r="A208" s="134"/>
      <c r="B208" s="149"/>
      <c r="C208" s="149"/>
      <c r="D208" s="150"/>
    </row>
    <row r="209" spans="1:4">
      <c r="A209" s="134"/>
      <c r="B209" s="149"/>
      <c r="C209" s="149"/>
      <c r="D209" s="150"/>
    </row>
    <row r="210" spans="1:4">
      <c r="A210" s="134"/>
      <c r="B210" s="149"/>
      <c r="C210" s="149"/>
      <c r="D210" s="150"/>
    </row>
    <row r="211" spans="1:4">
      <c r="A211" s="134"/>
      <c r="B211" s="149"/>
      <c r="C211" s="149"/>
      <c r="D211" s="150"/>
    </row>
    <row r="212" spans="1:4">
      <c r="A212" s="134"/>
      <c r="B212" s="149"/>
      <c r="C212" s="149"/>
      <c r="D212" s="150"/>
    </row>
    <row r="213" spans="1:4">
      <c r="A213" s="134"/>
      <c r="B213" s="149"/>
      <c r="C213" s="149"/>
      <c r="D213" s="150"/>
    </row>
    <row r="214" spans="1:4">
      <c r="A214" s="134"/>
      <c r="B214" s="149"/>
      <c r="C214" s="149"/>
      <c r="D214" s="150"/>
    </row>
    <row r="215" spans="1:4">
      <c r="A215" s="134"/>
      <c r="B215" s="149"/>
      <c r="C215" s="149"/>
      <c r="D215" s="150"/>
    </row>
    <row r="216" spans="1:4">
      <c r="A216" s="134"/>
      <c r="B216" s="149"/>
      <c r="C216" s="149"/>
      <c r="D216" s="150"/>
    </row>
    <row r="217" spans="1:4">
      <c r="A217" s="134"/>
      <c r="B217" s="149"/>
      <c r="C217" s="149"/>
      <c r="D217" s="150"/>
    </row>
    <row r="218" spans="1:4">
      <c r="A218" s="134"/>
      <c r="B218" s="149"/>
      <c r="C218" s="149"/>
      <c r="D218" s="150"/>
    </row>
    <row r="219" spans="1:4">
      <c r="A219" s="134"/>
      <c r="B219" s="149"/>
      <c r="C219" s="149"/>
      <c r="D219" s="150"/>
    </row>
    <row r="220" spans="1:4">
      <c r="A220" s="134"/>
      <c r="B220" s="149"/>
      <c r="C220" s="149"/>
      <c r="D220" s="150"/>
    </row>
    <row r="221" spans="1:4">
      <c r="A221" s="134"/>
      <c r="B221" s="149"/>
      <c r="C221" s="149"/>
      <c r="D221" s="150"/>
    </row>
    <row r="222" spans="1:4">
      <c r="A222" s="134"/>
      <c r="B222" s="149"/>
      <c r="C222" s="149"/>
      <c r="D222" s="150"/>
    </row>
    <row r="223" spans="1:4">
      <c r="A223" s="134"/>
      <c r="B223" s="149"/>
      <c r="C223" s="149"/>
      <c r="D223" s="150"/>
    </row>
    <row r="224" spans="1:4">
      <c r="A224" s="134"/>
      <c r="B224" s="149"/>
      <c r="C224" s="149"/>
      <c r="D224" s="150"/>
    </row>
    <row r="225" spans="1:4">
      <c r="A225" s="134"/>
      <c r="B225" s="149"/>
      <c r="C225" s="149"/>
      <c r="D225" s="150"/>
    </row>
    <row r="226" spans="1:4">
      <c r="A226" s="134"/>
      <c r="B226" s="149"/>
      <c r="C226" s="149"/>
      <c r="D226" s="150"/>
    </row>
    <row r="227" spans="1:4">
      <c r="A227" s="134"/>
      <c r="B227" s="149"/>
      <c r="C227" s="149"/>
      <c r="D227" s="150"/>
    </row>
    <row r="228" spans="1:4">
      <c r="A228" s="134"/>
      <c r="B228" s="149"/>
      <c r="C228" s="149"/>
      <c r="D228" s="150"/>
    </row>
    <row r="229" spans="1:4">
      <c r="A229" s="134"/>
      <c r="B229" s="149"/>
      <c r="C229" s="149"/>
      <c r="D229" s="150"/>
    </row>
    <row r="230" spans="1:4">
      <c r="A230" s="134"/>
      <c r="B230" s="149"/>
      <c r="C230" s="149"/>
      <c r="D230" s="150"/>
    </row>
    <row r="231" spans="1:4">
      <c r="A231" s="134"/>
      <c r="B231" s="149"/>
      <c r="C231" s="149"/>
      <c r="D231" s="150"/>
    </row>
    <row r="232" spans="1:4">
      <c r="A232" s="134"/>
      <c r="B232" s="149"/>
      <c r="C232" s="149"/>
      <c r="D232" s="150"/>
    </row>
    <row r="233" spans="1:4">
      <c r="A233" s="134"/>
      <c r="B233" s="149"/>
      <c r="C233" s="149"/>
      <c r="D233" s="150"/>
    </row>
    <row r="234" spans="1:4">
      <c r="A234" s="134"/>
      <c r="B234" s="149"/>
      <c r="C234" s="149"/>
      <c r="D234" s="150"/>
    </row>
    <row r="235" spans="1:4">
      <c r="A235" s="134"/>
      <c r="B235" s="149"/>
      <c r="C235" s="149"/>
      <c r="D235" s="150"/>
    </row>
    <row r="236" spans="1:4">
      <c r="A236" s="134"/>
      <c r="B236" s="149"/>
      <c r="C236" s="149"/>
      <c r="D236" s="150"/>
    </row>
    <row r="237" spans="1:4">
      <c r="A237" s="134"/>
      <c r="B237" s="149"/>
      <c r="C237" s="149"/>
      <c r="D237" s="150"/>
    </row>
    <row r="238" spans="1:4">
      <c r="A238" s="134"/>
      <c r="B238" s="149"/>
      <c r="C238" s="149"/>
      <c r="D238" s="150"/>
    </row>
    <row r="239" spans="1:4">
      <c r="A239" s="134"/>
      <c r="B239" s="149"/>
      <c r="C239" s="149"/>
      <c r="D239" s="150"/>
    </row>
    <row r="240" spans="1:4">
      <c r="A240" s="134"/>
      <c r="B240" s="149"/>
      <c r="C240" s="149"/>
      <c r="D240" s="150"/>
    </row>
    <row r="241" spans="1:4">
      <c r="A241" s="134"/>
      <c r="B241" s="149"/>
      <c r="C241" s="149"/>
      <c r="D241" s="150"/>
    </row>
    <row r="242" spans="1:4">
      <c r="A242" s="134"/>
      <c r="B242" s="149"/>
      <c r="C242" s="149"/>
      <c r="D242" s="150"/>
    </row>
    <row r="243" spans="1:4">
      <c r="A243" s="134"/>
      <c r="B243" s="149"/>
      <c r="C243" s="149"/>
      <c r="D243" s="150"/>
    </row>
    <row r="244" spans="1:4">
      <c r="A244" s="134"/>
      <c r="B244" s="149"/>
      <c r="C244" s="149"/>
      <c r="D244" s="150"/>
    </row>
    <row r="245" spans="1:4">
      <c r="A245" s="134"/>
      <c r="B245" s="149"/>
      <c r="C245" s="149"/>
      <c r="D245" s="150"/>
    </row>
    <row r="246" spans="1:4">
      <c r="A246" s="134"/>
      <c r="B246" s="149"/>
      <c r="C246" s="149"/>
      <c r="D246" s="150"/>
    </row>
    <row r="247" spans="1:4">
      <c r="A247" s="134"/>
      <c r="B247" s="149"/>
      <c r="C247" s="149"/>
      <c r="D247" s="150"/>
    </row>
    <row r="248" spans="1:4">
      <c r="A248" s="134"/>
      <c r="B248" s="149"/>
      <c r="C248" s="149"/>
      <c r="D248" s="150"/>
    </row>
    <row r="249" spans="1:4">
      <c r="A249" s="134"/>
      <c r="B249" s="149"/>
      <c r="C249" s="149"/>
      <c r="D249" s="150"/>
    </row>
    <row r="250" spans="1:4">
      <c r="A250" s="134"/>
      <c r="B250" s="149"/>
      <c r="C250" s="149"/>
      <c r="D250" s="150"/>
    </row>
    <row r="251" spans="1:4">
      <c r="A251" s="134"/>
      <c r="B251" s="149"/>
      <c r="C251" s="149"/>
      <c r="D251" s="150"/>
    </row>
    <row r="252" spans="1:4">
      <c r="A252" s="134"/>
      <c r="B252" s="149"/>
      <c r="C252" s="149"/>
      <c r="D252" s="150"/>
    </row>
    <row r="253" spans="1:4">
      <c r="A253" s="134"/>
      <c r="B253" s="149"/>
      <c r="C253" s="149"/>
      <c r="D253" s="150"/>
    </row>
    <row r="254" spans="1:4">
      <c r="A254" s="134"/>
      <c r="B254" s="149"/>
      <c r="C254" s="149"/>
      <c r="D254" s="150"/>
    </row>
    <row r="255" spans="1:4">
      <c r="A255" s="134"/>
      <c r="B255" s="149"/>
      <c r="C255" s="149"/>
      <c r="D255" s="150"/>
    </row>
    <row r="256" spans="1:4">
      <c r="A256" s="134"/>
      <c r="B256" s="149"/>
      <c r="C256" s="149"/>
      <c r="D256" s="150"/>
    </row>
    <row r="257" spans="1:4">
      <c r="A257" s="134"/>
      <c r="B257" s="149"/>
      <c r="C257" s="149"/>
      <c r="D257" s="150"/>
    </row>
    <row r="258" ht="13.5" customHeight="1" spans="1:4">
      <c r="A258" s="134"/>
      <c r="B258" s="149"/>
      <c r="C258" s="149"/>
      <c r="D258" s="150"/>
    </row>
    <row r="259" spans="1:4">
      <c r="A259" s="134"/>
      <c r="B259" s="149"/>
      <c r="C259" s="149"/>
      <c r="D259" s="150"/>
    </row>
    <row r="260" ht="14" spans="1:4">
      <c r="A260" s="168" t="s">
        <v>269</v>
      </c>
      <c r="B260" s="169"/>
      <c r="C260" s="169"/>
      <c r="D260" s="170"/>
    </row>
    <row r="261" ht="16" spans="1:4">
      <c r="A261" s="84" t="s">
        <v>270</v>
      </c>
      <c r="B261" s="85" t="s">
        <v>271</v>
      </c>
      <c r="C261" s="99">
        <f>1/((2*PI()*7*Rsense*(Vout_nom^3)*(Cout*10^-6))/((1/(fsw))*(M1M2_calc/us)*(Vin_nom^2)))</f>
        <v>1.3833525349202</v>
      </c>
      <c r="D261" s="87" t="s">
        <v>48</v>
      </c>
    </row>
    <row r="262" ht="16" spans="1:4">
      <c r="A262" s="140" t="s">
        <v>272</v>
      </c>
      <c r="B262" s="10" t="s">
        <v>273</v>
      </c>
      <c r="C262" s="171">
        <v>10</v>
      </c>
      <c r="D262" s="139" t="s">
        <v>48</v>
      </c>
    </row>
    <row r="263" ht="16" spans="1:4">
      <c r="A263" s="84" t="s">
        <v>274</v>
      </c>
      <c r="B263" s="85" t="s">
        <v>275</v>
      </c>
      <c r="C263" s="158">
        <f>20*LOG(IMABS(IMPRODUCT((_Rfb2*kOhm)/((_Rfb1*MegOhm)+(_Rfb2*kOhm)),IMDIV((M_3*Vout_nom)/(M1M2_calc),COMPLEX(1,(2*PI()*fv)/(2*PI()*fPWM_PSpole))))))</f>
        <v>-2.38621756660707</v>
      </c>
      <c r="D263" s="87" t="s">
        <v>276</v>
      </c>
    </row>
    <row r="264" ht="16.5" spans="1:4">
      <c r="A264" s="113" t="s">
        <v>277</v>
      </c>
      <c r="B264" s="114" t="s">
        <v>278</v>
      </c>
      <c r="C264" s="172">
        <f>((((g_mv)*fv)/fPWM_PSpole)/((10^(GVL_dB/20))*2*PI()*fv))/uF</f>
        <v>6.35985816247783</v>
      </c>
      <c r="D264" s="121" t="s">
        <v>95</v>
      </c>
    </row>
    <row r="265" ht="16" spans="1:4">
      <c r="A265" s="84" t="s">
        <v>279</v>
      </c>
      <c r="B265" s="85" t="s">
        <v>280</v>
      </c>
      <c r="C265" s="86">
        <v>4.7</v>
      </c>
      <c r="D265" s="92" t="s">
        <v>194</v>
      </c>
    </row>
    <row r="266" ht="16.5" spans="1:4">
      <c r="A266" s="113" t="s">
        <v>281</v>
      </c>
      <c r="B266" s="114" t="s">
        <v>282</v>
      </c>
      <c r="C266" s="172">
        <f>(1/(2*PI()*fPWM_PSpole*Cvcomp*uF))/(kOhm)</f>
        <v>24.4787593867334</v>
      </c>
      <c r="D266" s="116" t="s">
        <v>219</v>
      </c>
    </row>
    <row r="267" ht="16" spans="1:4">
      <c r="A267" s="84" t="s">
        <v>283</v>
      </c>
      <c r="B267" s="85" t="s">
        <v>284</v>
      </c>
      <c r="C267" s="86">
        <v>27</v>
      </c>
      <c r="D267" s="139" t="s">
        <v>221</v>
      </c>
    </row>
    <row r="268" ht="16" spans="1:4">
      <c r="A268" s="84" t="s">
        <v>285</v>
      </c>
      <c r="B268" s="85" t="s">
        <v>286</v>
      </c>
      <c r="C268" s="158">
        <f>1/(2*PI()*(Rvcomp*kOhm)*(Cvcomp*uF))</f>
        <v>1.25417606849405</v>
      </c>
      <c r="D268" s="87" t="s">
        <v>48</v>
      </c>
    </row>
    <row r="269" ht="16" spans="1:4">
      <c r="A269" s="84" t="s">
        <v>287</v>
      </c>
      <c r="B269" s="85" t="s">
        <v>288</v>
      </c>
      <c r="C269" s="86">
        <v>25</v>
      </c>
      <c r="D269" s="87" t="s">
        <v>48</v>
      </c>
    </row>
    <row r="270" ht="16.5" spans="1:4">
      <c r="A270" s="113" t="s">
        <v>289</v>
      </c>
      <c r="B270" s="114" t="s">
        <v>290</v>
      </c>
      <c r="C270" s="172">
        <f>((Cvcomp*uF)/((2*PI()*fpole*(Rvcomp*kOhm)*(Cvcomp*uF))-1))/uF</f>
        <v>0.248238491910195</v>
      </c>
      <c r="D270" s="121" t="s">
        <v>95</v>
      </c>
    </row>
    <row r="271" ht="16" spans="1:4">
      <c r="A271" s="140" t="s">
        <v>291</v>
      </c>
      <c r="B271" s="10" t="s">
        <v>292</v>
      </c>
      <c r="C271" s="86">
        <v>0.22</v>
      </c>
      <c r="D271" s="92" t="s">
        <v>194</v>
      </c>
    </row>
    <row r="272" spans="1:4">
      <c r="A272" s="134"/>
      <c r="B272" s="149"/>
      <c r="C272" s="149"/>
      <c r="D272" s="150"/>
    </row>
    <row r="273" spans="1:4">
      <c r="A273" s="134"/>
      <c r="B273" s="149"/>
      <c r="C273" s="149"/>
      <c r="D273" s="150"/>
    </row>
    <row r="274" spans="1:4">
      <c r="A274" s="134"/>
      <c r="B274" s="149"/>
      <c r="C274" s="149"/>
      <c r="D274" s="150"/>
    </row>
    <row r="275" spans="1:4">
      <c r="A275" s="134"/>
      <c r="B275" s="149"/>
      <c r="C275" s="149"/>
      <c r="D275" s="150"/>
    </row>
    <row r="276" spans="1:4">
      <c r="A276" s="134"/>
      <c r="B276" s="149"/>
      <c r="C276" s="149"/>
      <c r="D276" s="150"/>
    </row>
    <row r="277" spans="1:4">
      <c r="A277" s="134"/>
      <c r="B277" s="149"/>
      <c r="C277" s="149"/>
      <c r="D277" s="150"/>
    </row>
    <row r="278" spans="1:4">
      <c r="A278" s="134"/>
      <c r="B278" s="149"/>
      <c r="C278" s="149"/>
      <c r="D278" s="150"/>
    </row>
    <row r="279" spans="1:4">
      <c r="A279" s="134"/>
      <c r="B279" s="149"/>
      <c r="C279" s="149"/>
      <c r="D279" s="150"/>
    </row>
    <row r="280" spans="1:4">
      <c r="A280" s="134"/>
      <c r="B280" s="149"/>
      <c r="C280" s="149"/>
      <c r="D280" s="150"/>
    </row>
    <row r="281" spans="1:4">
      <c r="A281" s="134"/>
      <c r="B281" s="149"/>
      <c r="C281" s="149"/>
      <c r="D281" s="150"/>
    </row>
    <row r="282" spans="1:4">
      <c r="A282" s="134"/>
      <c r="B282" s="149"/>
      <c r="C282" s="149"/>
      <c r="D282" s="150"/>
    </row>
    <row r="283" spans="1:4">
      <c r="A283" s="134"/>
      <c r="B283" s="149"/>
      <c r="C283" s="149"/>
      <c r="D283" s="150"/>
    </row>
    <row r="284" spans="1:4">
      <c r="A284" s="134"/>
      <c r="B284" s="149"/>
      <c r="C284" s="149"/>
      <c r="D284" s="150"/>
    </row>
    <row r="285" spans="1:4">
      <c r="A285" s="134"/>
      <c r="B285" s="149"/>
      <c r="C285" s="149"/>
      <c r="D285" s="150"/>
    </row>
    <row r="286" spans="1:4">
      <c r="A286" s="134"/>
      <c r="B286" s="149"/>
      <c r="C286" s="149"/>
      <c r="D286" s="150"/>
    </row>
    <row r="287" spans="1:4">
      <c r="A287" s="134"/>
      <c r="B287" s="149"/>
      <c r="C287" s="149"/>
      <c r="D287" s="150"/>
    </row>
    <row r="288" spans="1:4">
      <c r="A288" s="134"/>
      <c r="B288" s="149"/>
      <c r="C288" s="149"/>
      <c r="D288" s="150"/>
    </row>
    <row r="289" spans="1:4">
      <c r="A289" s="134"/>
      <c r="B289" s="149"/>
      <c r="C289" s="173"/>
      <c r="D289" s="150"/>
    </row>
    <row r="290" spans="1:4">
      <c r="A290" s="134"/>
      <c r="B290" s="149"/>
      <c r="C290" s="149"/>
      <c r="D290" s="150"/>
    </row>
    <row r="291" spans="1:4">
      <c r="A291" s="134"/>
      <c r="B291" s="149"/>
      <c r="C291" s="149"/>
      <c r="D291" s="150"/>
    </row>
    <row r="292" spans="1:4">
      <c r="A292" s="134"/>
      <c r="B292" s="149"/>
      <c r="C292" s="149"/>
      <c r="D292" s="150"/>
    </row>
    <row r="293" spans="1:4">
      <c r="A293" s="134"/>
      <c r="B293" s="149"/>
      <c r="C293" s="149"/>
      <c r="D293" s="150"/>
    </row>
    <row r="294" spans="1:4">
      <c r="A294" s="134"/>
      <c r="B294" s="149"/>
      <c r="C294" s="149"/>
      <c r="D294" s="150"/>
    </row>
    <row r="295" spans="1:4">
      <c r="A295" s="134"/>
      <c r="B295" s="149"/>
      <c r="C295" s="149"/>
      <c r="D295" s="150"/>
    </row>
    <row r="296" spans="1:4">
      <c r="A296" s="134"/>
      <c r="B296" s="149"/>
      <c r="C296" s="149"/>
      <c r="D296" s="150"/>
    </row>
    <row r="297" spans="1:4">
      <c r="A297" s="134"/>
      <c r="B297" s="149"/>
      <c r="C297" s="149"/>
      <c r="D297" s="150"/>
    </row>
    <row r="298" spans="1:4">
      <c r="A298" s="134"/>
      <c r="B298" s="149"/>
      <c r="C298" s="149"/>
      <c r="D298" s="150"/>
    </row>
    <row r="299" spans="1:4">
      <c r="A299" s="134"/>
      <c r="B299" s="149"/>
      <c r="C299" s="149"/>
      <c r="D299" s="150"/>
    </row>
    <row r="300" spans="1:4">
      <c r="A300" s="134"/>
      <c r="B300" s="149"/>
      <c r="C300" s="149"/>
      <c r="D300" s="150"/>
    </row>
    <row r="301" spans="1:4">
      <c r="A301" s="134"/>
      <c r="B301" s="149"/>
      <c r="C301" s="149"/>
      <c r="D301" s="150"/>
    </row>
    <row r="302" ht="13.25" spans="1:4">
      <c r="A302" s="174"/>
      <c r="B302" s="175"/>
      <c r="C302" s="175"/>
      <c r="D302" s="176"/>
    </row>
    <row r="303" ht="13.25" spans="1:4">
      <c r="A303" s="174"/>
      <c r="B303" s="175"/>
      <c r="C303" s="175"/>
      <c r="D303" s="176"/>
    </row>
    <row r="305" ht="13.25"/>
    <row r="306" ht="15.5" spans="1:4">
      <c r="A306" s="81" t="s">
        <v>293</v>
      </c>
      <c r="B306" s="82"/>
      <c r="C306" s="82"/>
      <c r="D306" s="83"/>
    </row>
    <row r="307" ht="16" spans="1:4">
      <c r="A307" s="140" t="s">
        <v>294</v>
      </c>
      <c r="B307" s="85" t="s">
        <v>295</v>
      </c>
      <c r="C307" s="86">
        <v>30</v>
      </c>
      <c r="D307" s="87" t="s">
        <v>40</v>
      </c>
    </row>
    <row r="308" ht="16.5" spans="1:4">
      <c r="A308" s="113" t="s">
        <v>296</v>
      </c>
      <c r="B308" s="114" t="s">
        <v>297</v>
      </c>
      <c r="C308" s="115">
        <f>((SQRT(2)*Vac_on)-Vins_ennom)/(Ivins*uA)/MegOhm</f>
        <v>2.72842712474619</v>
      </c>
      <c r="D308" s="116" t="s">
        <v>207</v>
      </c>
    </row>
    <row r="309" ht="16" spans="1:4">
      <c r="A309" s="84" t="s">
        <v>298</v>
      </c>
      <c r="B309" s="85" t="s">
        <v>299</v>
      </c>
      <c r="C309" s="122">
        <v>2.7</v>
      </c>
      <c r="D309" s="139" t="s">
        <v>210</v>
      </c>
    </row>
    <row r="310" ht="16.5" spans="1:4">
      <c r="A310" s="113" t="s">
        <v>300</v>
      </c>
      <c r="B310" s="114" t="s">
        <v>301</v>
      </c>
      <c r="C310" s="115">
        <f>((Vins_ennom*(Rvins1*MegOhm))/((SQRT(2)*(Vac_on))-Vins_ennom-Vf_bridge))/kOhm</f>
        <v>101.563814740936</v>
      </c>
      <c r="D310" s="116" t="s">
        <v>219</v>
      </c>
    </row>
    <row r="311" ht="16" spans="1:4">
      <c r="A311" s="84" t="s">
        <v>302</v>
      </c>
      <c r="B311" s="85" t="s">
        <v>303</v>
      </c>
      <c r="C311" s="122">
        <v>100</v>
      </c>
      <c r="D311" s="139" t="s">
        <v>221</v>
      </c>
    </row>
    <row r="312" ht="16" spans="1:4">
      <c r="A312" s="140" t="s">
        <v>304</v>
      </c>
      <c r="B312" s="10" t="s">
        <v>305</v>
      </c>
      <c r="C312" s="177">
        <f>(SQRT(2)*(Vins_ennom+(Rvins1*MegOhm*Vins_ennom/(Rvins2*kOhm))))/2</f>
        <v>29.698484809835</v>
      </c>
      <c r="D312" s="87" t="s">
        <v>40</v>
      </c>
    </row>
    <row r="313" ht="16" spans="1:4">
      <c r="A313" s="140" t="s">
        <v>306</v>
      </c>
      <c r="B313" s="10" t="s">
        <v>307</v>
      </c>
      <c r="C313" s="177">
        <f>(SQRT(2)*(Vins_enmax+(Rvins1*MegOhm*Vins_enmax/(Rvins2*kOhm))))/2</f>
        <v>31.6783837971573</v>
      </c>
      <c r="D313" s="87" t="s">
        <v>40</v>
      </c>
    </row>
    <row r="314" ht="16" spans="1:4">
      <c r="A314" s="140" t="s">
        <v>308</v>
      </c>
      <c r="B314" s="10" t="s">
        <v>309</v>
      </c>
      <c r="C314" s="177">
        <f>(SQRT(2)*(Vins_enmin+(Rvins1*MegOhm*Vins_enmin/(Rvins2*kOhm))))/2</f>
        <v>27.7185858225127</v>
      </c>
      <c r="D314" s="87" t="s">
        <v>40</v>
      </c>
    </row>
    <row r="315" ht="16" spans="1:4">
      <c r="A315" s="84" t="s">
        <v>310</v>
      </c>
      <c r="B315" s="85" t="s">
        <v>311</v>
      </c>
      <c r="C315" s="128">
        <f>((Vin_rect_max^2)/((Rvins1*MegOhm)+(Rvins2*kOhm)))/mW</f>
        <v>1.78571428571429</v>
      </c>
      <c r="D315" s="87" t="s">
        <v>312</v>
      </c>
    </row>
    <row r="316" ht="13.25"/>
    <row r="317" ht="15.5" spans="1:4">
      <c r="A317" s="81" t="s">
        <v>313</v>
      </c>
      <c r="B317" s="82"/>
      <c r="C317" s="82"/>
      <c r="D317" s="83"/>
    </row>
    <row r="318" ht="16" spans="1:4">
      <c r="A318" s="140" t="s">
        <v>314</v>
      </c>
      <c r="B318" s="10" t="s">
        <v>315</v>
      </c>
      <c r="C318" s="86">
        <v>50</v>
      </c>
      <c r="D318" s="87" t="s">
        <v>40</v>
      </c>
    </row>
    <row r="319" spans="1:4">
      <c r="A319" s="134"/>
      <c r="B319" s="149"/>
      <c r="C319" s="149"/>
      <c r="D319" s="150"/>
    </row>
    <row r="320" ht="15.5" spans="1:4">
      <c r="A320" s="178" t="s">
        <v>316</v>
      </c>
      <c r="B320" s="179" t="s">
        <v>317</v>
      </c>
      <c r="C320" s="180" t="s">
        <v>318</v>
      </c>
      <c r="D320" s="181"/>
    </row>
    <row r="321" ht="15.5" spans="1:4">
      <c r="A321" s="182"/>
      <c r="B321" s="183"/>
      <c r="C321" s="183"/>
      <c r="D321" s="184"/>
    </row>
    <row r="322" ht="15.5" spans="1:4">
      <c r="A322" s="185" t="str">
        <f>IF(C320="YES","ENTER NUMBER OF HALF-LINE CYCLES REQUIRED FOR INPUT LINE HOLD-UP","CVINS CALCULATED BASED UPON NO HOLD-UP REQUIREMENTS")</f>
        <v>ENTER NUMBER OF HALF-LINE CYCLES REQUIRED FOR INPUT LINE HOLD-UP</v>
      </c>
      <c r="B322" s="186"/>
      <c r="C322" s="186"/>
      <c r="D322" s="187"/>
    </row>
    <row r="323" ht="16" spans="1:4">
      <c r="A323" s="140" t="s">
        <v>319</v>
      </c>
      <c r="B323" s="10" t="s">
        <v>320</v>
      </c>
      <c r="C323" s="188">
        <v>2</v>
      </c>
      <c r="D323" s="181"/>
    </row>
    <row r="324" ht="16" spans="1:4">
      <c r="A324" s="140" t="s">
        <v>321</v>
      </c>
      <c r="B324" s="10" t="s">
        <v>322</v>
      </c>
      <c r="C324" s="189">
        <f>IF(HU_rqment="YES",(Ninput_hup/(2*fline_min))/ms,(1/(2*fline_min))/ms)</f>
        <v>22.2222222222222</v>
      </c>
      <c r="D324" s="139" t="s">
        <v>189</v>
      </c>
    </row>
    <row r="325" ht="16.5" spans="1:4">
      <c r="A325" s="113" t="s">
        <v>323</v>
      </c>
      <c r="B325" s="114" t="s">
        <v>324</v>
      </c>
      <c r="C325" s="115">
        <f>(-(tinput_hu*ms)/(Rvins2*kOhm*LN((SQRT(2)*Vins_brnnom*(Rvins1*MegOhm+Rvins2*kOhm))/(2*Rvins2*kOhm*Vacoff_desired))))/uF</f>
        <v>0.197558430314361</v>
      </c>
      <c r="D325" s="121" t="s">
        <v>95</v>
      </c>
    </row>
    <row r="326" ht="16" spans="1:4">
      <c r="A326" s="166" t="s">
        <v>325</v>
      </c>
      <c r="B326" s="10" t="s">
        <v>326</v>
      </c>
      <c r="C326" s="190">
        <v>4.7</v>
      </c>
      <c r="D326" s="92" t="s">
        <v>194</v>
      </c>
    </row>
    <row r="327" ht="16" spans="1:4">
      <c r="A327" s="140" t="s">
        <v>327</v>
      </c>
      <c r="B327" s="10" t="s">
        <v>328</v>
      </c>
      <c r="C327" s="177">
        <f>IF(HU_rqment="NO","No Dropout Req'd",(SQRT(2)*Vins_brnnom*EXP((tinput_hu*ms)/(Cvins_hu*uF*Rvins2*kOhm))*(Rvins1*MegOhm+Rvins2*kOhm))/(2*Rvins2*kOhm))</f>
        <v>17.0212285803331</v>
      </c>
      <c r="D327" s="87" t="s">
        <v>40</v>
      </c>
    </row>
    <row r="328" ht="16" spans="1:4">
      <c r="A328" s="140" t="s">
        <v>329</v>
      </c>
      <c r="B328" s="10" t="s">
        <v>330</v>
      </c>
      <c r="C328" s="177">
        <f>IF(HU_rqment="NO","No Dropout Req'd",(SQRT(2)*Vins_brnmax*EXP((tinput_hu*ms)/(Cvins_hu*uF*Rvins2*kOhm))*(Rvins1*MegOhm+Rvins2*kOhm))/(2*Rvins2*kOhm))</f>
        <v>18.2666843301136</v>
      </c>
      <c r="D328" s="87" t="s">
        <v>40</v>
      </c>
    </row>
    <row r="329" ht="16" spans="1:4">
      <c r="A329" s="140" t="s">
        <v>331</v>
      </c>
      <c r="B329" s="10" t="s">
        <v>332</v>
      </c>
      <c r="C329" s="177">
        <f>IF(HU_rqment="NO","No Dropout Req'd",(SQRT(2)*Vins_brnmin*EXP((tinput_hu*ms)/(Cvins_hu*uF*Rvins2*kOhm))*(Rvins1*MegOhm+Rvins2*kOhm))/(2*Rvins2*kOhm))</f>
        <v>15.7757728305527</v>
      </c>
      <c r="D329" s="87" t="s">
        <v>40</v>
      </c>
    </row>
    <row r="330" ht="16" spans="1:4">
      <c r="A330" s="140" t="s">
        <v>333</v>
      </c>
      <c r="B330" s="10" t="s">
        <v>334</v>
      </c>
      <c r="C330" s="177">
        <f>(SQRT(2)*Vins_brnnom*EXP((1/(2*fline_min))/(Cvins_hu*uF*Rvins2*kOhm))*(Rvins1*MegOhm+Rvins2*kOhm))/(2*Rvins2*kOhm)</f>
        <v>16.6235546282769</v>
      </c>
      <c r="D330" s="87" t="s">
        <v>40</v>
      </c>
    </row>
    <row r="331" ht="16" spans="1:4">
      <c r="A331" s="140" t="s">
        <v>335</v>
      </c>
      <c r="B331" s="10" t="s">
        <v>336</v>
      </c>
      <c r="C331" s="177">
        <f>(SQRT(2)*Vins_brnmax*EXP((1/(2*fline_min))/(Cvins_hu*uF*Rvins2*kOhm))*(Rvins1*MegOhm+Rvins2*kOhm))/(2*Rvins2*kOhm)</f>
        <v>17.8399122840044</v>
      </c>
      <c r="D331" s="87" t="s">
        <v>40</v>
      </c>
    </row>
    <row r="332" ht="16.75" spans="1:4">
      <c r="A332" s="141" t="s">
        <v>337</v>
      </c>
      <c r="B332" s="142" t="s">
        <v>338</v>
      </c>
      <c r="C332" s="191">
        <f>(SQRT(2)*Vins_brnmin*EXP((1/(2*fline_min))/(Cvins_hu*uF*Rvins2*kOhm))*(Rvins1*MegOhm+Rvins2*kOhm))/(2*Rvins2*kOhm)</f>
        <v>15.4071969725493</v>
      </c>
      <c r="D332" s="96" t="s">
        <v>40</v>
      </c>
    </row>
    <row r="333" spans="1:4">
      <c r="A333"/>
      <c r="B333"/>
      <c r="C333"/>
      <c r="D333"/>
    </row>
    <row r="334" spans="1:4">
      <c r="A334"/>
      <c r="B334"/>
      <c r="C334"/>
      <c r="D334"/>
    </row>
  </sheetData>
  <sheetProtection password="E59D" sheet="1" objects="1" scenarios="1"/>
  <mergeCells count="37">
    <mergeCell ref="A1:D1"/>
    <mergeCell ref="A2:D2"/>
    <mergeCell ref="A3:D3"/>
    <mergeCell ref="C7:D7"/>
    <mergeCell ref="A8:D8"/>
    <mergeCell ref="A9:D9"/>
    <mergeCell ref="A10:D10"/>
    <mergeCell ref="A11:D11"/>
    <mergeCell ref="A12:D12"/>
    <mergeCell ref="A21:D21"/>
    <mergeCell ref="A37:D37"/>
    <mergeCell ref="A47:D47"/>
    <mergeCell ref="A55:D55"/>
    <mergeCell ref="A64:D64"/>
    <mergeCell ref="A76:D76"/>
    <mergeCell ref="A94:D94"/>
    <mergeCell ref="A108:D108"/>
    <mergeCell ref="A115:D115"/>
    <mergeCell ref="A121:D121"/>
    <mergeCell ref="A143:D143"/>
    <mergeCell ref="A144:D144"/>
    <mergeCell ref="A260:D260"/>
    <mergeCell ref="A306:D306"/>
    <mergeCell ref="A317:D317"/>
    <mergeCell ref="A321:D321"/>
    <mergeCell ref="A322:D322"/>
    <mergeCell ref="A4:D6"/>
    <mergeCell ref="A92:D93"/>
    <mergeCell ref="A53:D54"/>
    <mergeCell ref="A106:D107"/>
    <mergeCell ref="A19:D20"/>
    <mergeCell ref="A35:D36"/>
    <mergeCell ref="A45:D46"/>
    <mergeCell ref="A62:D63"/>
    <mergeCell ref="A74:D75"/>
    <mergeCell ref="A119:D120"/>
    <mergeCell ref="A141:D142"/>
  </mergeCells>
  <dataValidations count="3">
    <dataValidation type="decimal" operator="greaterThanOrEqual" allowBlank="1" showInputMessage="1" showErrorMessage="1" errorTitle="Minimum turnoff voltage" error="Must be greater than or equal to 60% of Vac(on)" promptTitle="Minimum Turn-Off Voltage" prompt="Turn-Off Voltage Must Be Greater Than or Equal to 60% of the Turn-On Voltage (Vac(on))" sqref="C318">
      <formula1>0.6*C307</formula1>
    </dataValidation>
    <dataValidation type="list" allowBlank="1" showInputMessage="1" showErrorMessage="1" sqref="C320">
      <formula1>"YES,NO"</formula1>
    </dataValidation>
    <dataValidation type="decimal" operator="greaterThanOrEqual" allowBlank="1" showInputMessage="1" showErrorMessage="1" errorTitle="Half-line Dropout" error="Number of half-line cycles for input line hold-up must be greater than 2 x Nholdup used for output capacitor calculation." promptTitle="Half-Line Dropout Cycles" prompt="Enter number of half-line dropout cycles required for inut hold-up.  If no hold-up required, leave blank." sqref="C323">
      <formula1>2*C110</formula1>
    </dataValidation>
  </dataValidations>
  <pageMargins left="0.75" right="0.75" top="1" bottom="1" header="0.5" footer="0.5"/>
  <pageSetup paperSize="1" orientation="portrait"/>
  <headerFooter alignWithMargins="0">
    <oddHeader>&amp;L&amp;F
&amp;D</oddHead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P97"/>
  <sheetViews>
    <sheetView tabSelected="1" zoomScale="115" zoomScaleNormal="115" topLeftCell="B65" workbookViewId="0">
      <selection activeCell="B80" sqref="B80:E81"/>
    </sheetView>
  </sheetViews>
  <sheetFormatPr defaultColWidth="9.13636363636364" defaultRowHeight="12.5"/>
  <cols>
    <col min="1" max="1" width="9.13636363636364" style="21"/>
    <col min="2" max="2" width="39" style="21" customWidth="1"/>
    <col min="3" max="3" width="44.7090909090909" style="21" customWidth="1"/>
    <col min="4" max="4" width="17.5727272727273" style="21" customWidth="1"/>
    <col min="5" max="5" width="66.7090909090909" style="21" customWidth="1"/>
    <col min="6" max="16384" width="9.13636363636364" style="21"/>
  </cols>
  <sheetData>
    <row r="1" ht="20" spans="1:16">
      <c r="A1" s="22" t="s">
        <v>339</v>
      </c>
      <c r="B1" s="22"/>
      <c r="C1" s="22"/>
      <c r="D1" s="22"/>
      <c r="E1" s="22"/>
      <c r="F1" s="22"/>
      <c r="G1" s="23"/>
      <c r="H1" s="23"/>
      <c r="I1" s="23"/>
      <c r="J1" s="23"/>
      <c r="K1" s="23"/>
      <c r="L1" s="23"/>
      <c r="M1" s="23"/>
      <c r="N1" s="23"/>
      <c r="O1" s="23"/>
      <c r="P1" s="23"/>
    </row>
    <row r="2" ht="12.75" customHeight="1" spans="1:7">
      <c r="A2" s="22"/>
      <c r="B2" s="22"/>
      <c r="C2" s="22"/>
      <c r="D2" s="22"/>
      <c r="E2" s="22"/>
      <c r="F2" s="22"/>
      <c r="G2" s="23"/>
    </row>
    <row r="35" ht="13.25"/>
    <row r="36" ht="18" spans="2:5">
      <c r="B36" s="24" t="s">
        <v>340</v>
      </c>
      <c r="C36" s="25"/>
      <c r="D36" s="25"/>
      <c r="E36" s="26"/>
    </row>
    <row r="37" ht="20.75" spans="2:5">
      <c r="B37" s="27" t="s">
        <v>341</v>
      </c>
      <c r="C37" s="28" t="s">
        <v>342</v>
      </c>
      <c r="D37" s="28"/>
      <c r="E37" s="29"/>
    </row>
    <row r="38" ht="20" spans="2:5">
      <c r="B38" s="30" t="s">
        <v>343</v>
      </c>
      <c r="C38" s="31" t="s">
        <v>344</v>
      </c>
      <c r="D38" s="32" t="s">
        <v>345</v>
      </c>
      <c r="E38" s="33"/>
    </row>
    <row r="39" ht="20" spans="2:5">
      <c r="B39" s="34"/>
      <c r="C39" s="35" t="s">
        <v>346</v>
      </c>
      <c r="D39" s="35">
        <f>IF(Vin_max&lt;270,250,350)</f>
        <v>250</v>
      </c>
      <c r="E39" s="36" t="str">
        <f>CALCULATIONS!D23</f>
        <v>VRMS</v>
      </c>
    </row>
    <row r="40" ht="20.75" spans="2:5">
      <c r="B40" s="37"/>
      <c r="C40" s="38" t="s">
        <v>347</v>
      </c>
      <c r="D40" s="39">
        <f>Ifuse</f>
        <v>19.1387559808612</v>
      </c>
      <c r="E40" s="40" t="str">
        <f>CALCULATIONS!D34</f>
        <v>A</v>
      </c>
    </row>
    <row r="41" ht="20" spans="2:5">
      <c r="B41" s="30" t="s">
        <v>348</v>
      </c>
      <c r="C41" s="31" t="s">
        <v>349</v>
      </c>
      <c r="D41" s="41">
        <f>CALCULATIONS!C42</f>
        <v>77.7817459305202</v>
      </c>
      <c r="E41" s="42" t="str">
        <f>CALCULATIONS!D42</f>
        <v>V</v>
      </c>
    </row>
    <row r="42" ht="20" spans="2:5">
      <c r="B42" s="34"/>
      <c r="C42" s="35" t="s">
        <v>347</v>
      </c>
      <c r="D42" s="43">
        <f>Ibridge</f>
        <v>17.2309342805188</v>
      </c>
      <c r="E42" s="36" t="str">
        <f>CALCULATIONS!D41</f>
        <v>A</v>
      </c>
    </row>
    <row r="43" ht="20.75" spans="2:5">
      <c r="B43" s="37"/>
      <c r="C43" s="38" t="s">
        <v>350</v>
      </c>
      <c r="D43" s="39">
        <f>Pbridge</f>
        <v>24.1233079927263</v>
      </c>
      <c r="E43" s="40" t="str">
        <f>CALCULATIONS!D43</f>
        <v>W</v>
      </c>
    </row>
    <row r="44" ht="20" spans="2:5">
      <c r="B44" s="30" t="s">
        <v>351</v>
      </c>
      <c r="C44" s="31" t="s">
        <v>344</v>
      </c>
      <c r="D44" s="32" t="s">
        <v>352</v>
      </c>
      <c r="E44" s="33"/>
    </row>
    <row r="45" ht="20" spans="2:5">
      <c r="B45" s="34"/>
      <c r="C45" s="35" t="s">
        <v>353</v>
      </c>
      <c r="D45" s="43">
        <f>Cin</f>
        <v>4.0894777736883</v>
      </c>
      <c r="E45" s="44" t="s">
        <v>354</v>
      </c>
    </row>
    <row r="46" ht="26.25" spans="2:5">
      <c r="B46" s="34"/>
      <c r="C46" s="35" t="s">
        <v>355</v>
      </c>
      <c r="D46" s="45">
        <f>Vin_max</f>
        <v>50</v>
      </c>
      <c r="E46" s="36" t="s">
        <v>356</v>
      </c>
    </row>
    <row r="47" ht="20" spans="2:5">
      <c r="B47" s="30" t="s">
        <v>357</v>
      </c>
      <c r="C47" s="31" t="s">
        <v>358</v>
      </c>
      <c r="D47" s="46">
        <f>IF(Lbst="",CALCULATIONS!C58,Lbst)</f>
        <v>1</v>
      </c>
      <c r="E47" s="42" t="str">
        <f>CALCULATIONS!D59</f>
        <v>mH</v>
      </c>
    </row>
    <row r="48" ht="20" spans="2:5">
      <c r="B48" s="34"/>
      <c r="C48" s="35" t="s">
        <v>359</v>
      </c>
      <c r="D48" s="43">
        <f>IF(Il_peak_actual="",I_Lpeak,Il_peak_actual)</f>
        <v>18.198038337235</v>
      </c>
      <c r="E48" s="36" t="str">
        <f>CALCULATIONS!D61</f>
        <v>A</v>
      </c>
    </row>
    <row r="49" ht="20" spans="2:5">
      <c r="B49" s="34"/>
      <c r="C49" s="35" t="s">
        <v>360</v>
      </c>
      <c r="D49" s="43">
        <f>Iripple_actual</f>
        <v>0.307692307692308</v>
      </c>
      <c r="E49" s="36" t="str">
        <f>CALCULATIONS!D60</f>
        <v>A</v>
      </c>
    </row>
    <row r="50" ht="20.75" spans="2:5">
      <c r="B50" s="37"/>
      <c r="C50" s="38" t="s">
        <v>97</v>
      </c>
      <c r="D50" s="47">
        <f>Dmax</f>
        <v>0.646446609406726</v>
      </c>
      <c r="E50" s="40"/>
    </row>
    <row r="51" ht="20" spans="2:5">
      <c r="B51" s="30" t="s">
        <v>361</v>
      </c>
      <c r="C51" s="31" t="s">
        <v>344</v>
      </c>
      <c r="D51" s="32" t="s">
        <v>362</v>
      </c>
      <c r="E51" s="33"/>
    </row>
    <row r="52" ht="20" spans="2:5">
      <c r="B52" s="34"/>
      <c r="C52" s="35" t="s">
        <v>363</v>
      </c>
      <c r="D52" s="43">
        <f>Iin_avg_max</f>
        <v>11.4872895203459</v>
      </c>
      <c r="E52" s="36" t="str">
        <f>CALCULATIONS!D33</f>
        <v>A</v>
      </c>
    </row>
    <row r="53" ht="20" spans="2:5">
      <c r="B53" s="34"/>
      <c r="C53" s="35" t="s">
        <v>355</v>
      </c>
      <c r="D53" s="35">
        <f>Vout</f>
        <v>80</v>
      </c>
      <c r="E53" s="36" t="str">
        <f>CALCULATIONS!D14</f>
        <v>V</v>
      </c>
    </row>
    <row r="54" ht="20.75" spans="2:5">
      <c r="B54" s="37"/>
      <c r="C54" s="38" t="s">
        <v>350</v>
      </c>
      <c r="D54" s="39">
        <f>Pdiode</f>
        <v>6.56</v>
      </c>
      <c r="E54" s="40" t="str">
        <f>CALCULATIONS!D72</f>
        <v>W</v>
      </c>
    </row>
    <row r="55" ht="20" spans="2:5">
      <c r="B55" s="30" t="s">
        <v>364</v>
      </c>
      <c r="C55" s="31" t="s">
        <v>344</v>
      </c>
      <c r="D55" s="32" t="s">
        <v>365</v>
      </c>
      <c r="E55" s="33"/>
    </row>
    <row r="56" ht="20" spans="2:5">
      <c r="B56" s="34"/>
      <c r="C56" s="35" t="s">
        <v>366</v>
      </c>
      <c r="D56" s="43">
        <f>Ids_rms</f>
        <v>10.0391641496919</v>
      </c>
      <c r="E56" s="36" t="str">
        <f>CALCULATIONS!D79</f>
        <v>A</v>
      </c>
    </row>
    <row r="57" ht="20" spans="2:5">
      <c r="B57" s="34"/>
      <c r="C57" s="35" t="s">
        <v>359</v>
      </c>
      <c r="D57" s="43">
        <f>Il_peak_actual</f>
        <v>18.198038337235</v>
      </c>
      <c r="E57" s="36" t="str">
        <f>CALCULATIONS!D61</f>
        <v>A</v>
      </c>
    </row>
    <row r="58" ht="20" spans="2:5">
      <c r="B58" s="34"/>
      <c r="C58" s="35" t="s">
        <v>346</v>
      </c>
      <c r="D58" s="45">
        <f>Vin_rect_max</f>
        <v>70.7106781186548</v>
      </c>
      <c r="E58" s="36" t="str">
        <f>CALCULATIONS!D29</f>
        <v>V</v>
      </c>
    </row>
    <row r="59" ht="20.75" spans="2:5">
      <c r="B59" s="37"/>
      <c r="C59" s="38" t="s">
        <v>350</v>
      </c>
      <c r="D59" s="39">
        <f>P_FET</f>
        <v>3.56650448276109</v>
      </c>
      <c r="E59" s="40" t="str">
        <f>CALCULATIONS!D90</f>
        <v>W</v>
      </c>
    </row>
    <row r="60" ht="20" spans="2:5">
      <c r="B60" s="30" t="s">
        <v>367</v>
      </c>
      <c r="C60" s="31" t="s">
        <v>344</v>
      </c>
      <c r="D60" s="32" t="s">
        <v>368</v>
      </c>
      <c r="E60" s="33"/>
    </row>
    <row r="61" ht="20" spans="2:5">
      <c r="B61" s="34"/>
      <c r="C61" s="35" t="s">
        <v>353</v>
      </c>
      <c r="D61" s="35">
        <f>IF(Rsense="",CALCULATIONS!C95,Rsense)</f>
        <v>0.068</v>
      </c>
      <c r="E61" s="44" t="s">
        <v>23</v>
      </c>
    </row>
    <row r="62" ht="20.75" spans="2:5">
      <c r="B62" s="37"/>
      <c r="C62" s="38" t="s">
        <v>350</v>
      </c>
      <c r="D62" s="48">
        <f>P_Rsense</f>
        <v>11.0701576327363</v>
      </c>
      <c r="E62" s="40" t="str">
        <f>CALCULATIONS!D98</f>
        <v>W</v>
      </c>
    </row>
    <row r="63" ht="20" spans="2:5">
      <c r="B63" s="30" t="s">
        <v>369</v>
      </c>
      <c r="C63" s="31" t="s">
        <v>344</v>
      </c>
      <c r="D63" s="49" t="s">
        <v>370</v>
      </c>
      <c r="E63" s="50"/>
    </row>
    <row r="64" ht="20.75" spans="2:5">
      <c r="B64" s="37"/>
      <c r="C64" s="38" t="s">
        <v>353</v>
      </c>
      <c r="D64" s="38">
        <f>Risense_actual</f>
        <v>220</v>
      </c>
      <c r="E64" s="51" t="s">
        <v>23</v>
      </c>
    </row>
    <row r="65" ht="20" spans="2:5">
      <c r="B65" s="30" t="s">
        <v>371</v>
      </c>
      <c r="C65" s="31" t="s">
        <v>344</v>
      </c>
      <c r="D65" s="32" t="s">
        <v>372</v>
      </c>
      <c r="E65" s="33"/>
    </row>
    <row r="66" ht="20.75" spans="2:5">
      <c r="B66" s="37"/>
      <c r="C66" s="38" t="s">
        <v>353</v>
      </c>
      <c r="D66" s="52">
        <f>Cisense</f>
        <v>1112.97163001325</v>
      </c>
      <c r="E66" s="40" t="str">
        <f>CALCULATIONS!D105</f>
        <v>pF</v>
      </c>
    </row>
    <row r="67" ht="20" spans="2:5">
      <c r="B67" s="30" t="s">
        <v>373</v>
      </c>
      <c r="C67" s="31" t="s">
        <v>344</v>
      </c>
      <c r="D67" s="32" t="s">
        <v>374</v>
      </c>
      <c r="E67" s="33"/>
    </row>
    <row r="68" ht="20" spans="2:5">
      <c r="B68" s="34"/>
      <c r="C68" s="35" t="s">
        <v>353</v>
      </c>
      <c r="D68" s="35">
        <f>IF(Cout="",CALCULATIONS!C112,Cout)</f>
        <v>4870</v>
      </c>
      <c r="E68" s="44" t="s">
        <v>354</v>
      </c>
    </row>
    <row r="69" ht="20" spans="2:5">
      <c r="B69" s="34"/>
      <c r="C69" s="35" t="s">
        <v>346</v>
      </c>
      <c r="D69" s="45">
        <f>CALCULATIONS!C134*1.05</f>
        <v>88.7225294117647</v>
      </c>
      <c r="E69" s="36" t="s">
        <v>26</v>
      </c>
    </row>
    <row r="70" ht="25.5" spans="2:5">
      <c r="B70" s="34"/>
      <c r="C70" s="35" t="s">
        <v>375</v>
      </c>
      <c r="D70" s="53">
        <f>Icout_2fline</f>
        <v>2.12132034355964</v>
      </c>
      <c r="E70" s="36" t="s">
        <v>376</v>
      </c>
    </row>
    <row r="71" ht="26.25" spans="2:5">
      <c r="B71" s="37"/>
      <c r="C71" s="38" t="s">
        <v>377</v>
      </c>
      <c r="D71" s="47">
        <f>Icout_HF</f>
        <v>5.45116346989715</v>
      </c>
      <c r="E71" s="40" t="s">
        <v>376</v>
      </c>
    </row>
    <row r="72" ht="20" spans="2:5">
      <c r="B72" s="30" t="s">
        <v>378</v>
      </c>
      <c r="C72" s="31" t="s">
        <v>344</v>
      </c>
      <c r="D72" s="32" t="s">
        <v>379</v>
      </c>
      <c r="E72" s="33"/>
    </row>
    <row r="73" ht="20.75" spans="2:5">
      <c r="B73" s="37"/>
      <c r="C73" s="38" t="s">
        <v>353</v>
      </c>
      <c r="D73" s="38">
        <f>IF(_Rfb1="",CALCULATIONS!C122,_Rfb1)</f>
        <v>1</v>
      </c>
      <c r="E73" s="40" t="s">
        <v>380</v>
      </c>
    </row>
    <row r="74" ht="20" spans="2:5">
      <c r="B74" s="30" t="s">
        <v>381</v>
      </c>
      <c r="C74" s="31" t="s">
        <v>344</v>
      </c>
      <c r="D74" s="32" t="s">
        <v>382</v>
      </c>
      <c r="E74" s="33"/>
    </row>
    <row r="75" ht="20.75" spans="2:5">
      <c r="B75" s="37"/>
      <c r="C75" s="38" t="s">
        <v>353</v>
      </c>
      <c r="D75" s="38">
        <f>IF(_Rfb2="",CALCULATIONS!C126,_Rfb2)</f>
        <v>68</v>
      </c>
      <c r="E75" s="40" t="s">
        <v>383</v>
      </c>
    </row>
    <row r="76" ht="20" spans="2:5">
      <c r="B76" s="30" t="s">
        <v>384</v>
      </c>
      <c r="C76" s="31" t="s">
        <v>344</v>
      </c>
      <c r="D76" s="32" t="s">
        <v>385</v>
      </c>
      <c r="E76" s="33"/>
    </row>
    <row r="77" ht="20.75" spans="2:5">
      <c r="B77" s="37"/>
      <c r="C77" s="38" t="s">
        <v>353</v>
      </c>
      <c r="D77" s="52">
        <f>Cvsense</f>
        <v>147.058823529412</v>
      </c>
      <c r="E77" s="40" t="s">
        <v>146</v>
      </c>
    </row>
    <row r="78" ht="20.25" customHeight="1" spans="2:5">
      <c r="B78" s="30" t="s">
        <v>386</v>
      </c>
      <c r="C78" s="31" t="s">
        <v>344</v>
      </c>
      <c r="D78" s="32" t="s">
        <v>385</v>
      </c>
      <c r="E78" s="33"/>
    </row>
    <row r="79" ht="20.75" spans="2:5">
      <c r="B79" s="37"/>
      <c r="C79" s="38" t="s">
        <v>353</v>
      </c>
      <c r="D79" s="38">
        <f>IF(CALCULATIONS!C175="",CALCULATIONS!C174,CALCULATIONS!C175)</f>
        <v>1500</v>
      </c>
      <c r="E79" s="40" t="s">
        <v>146</v>
      </c>
    </row>
    <row r="80" ht="20.25" customHeight="1" spans="2:5">
      <c r="B80" s="30" t="s">
        <v>387</v>
      </c>
      <c r="C80" s="31" t="s">
        <v>344</v>
      </c>
      <c r="D80" s="32" t="s">
        <v>388</v>
      </c>
      <c r="E80" s="33"/>
    </row>
    <row r="81" ht="20.75" spans="2:5">
      <c r="B81" s="37"/>
      <c r="C81" s="38" t="s">
        <v>353</v>
      </c>
      <c r="D81" s="38">
        <f>IF(CALCULATIONS!C265="",CALCULATIONS!C264,CALCULATIONS!C265)</f>
        <v>4.7</v>
      </c>
      <c r="E81" s="51" t="s">
        <v>354</v>
      </c>
    </row>
    <row r="82" ht="20" spans="2:5">
      <c r="B82" s="34" t="s">
        <v>389</v>
      </c>
      <c r="C82" s="35" t="s">
        <v>344</v>
      </c>
      <c r="D82" s="54" t="s">
        <v>382</v>
      </c>
      <c r="E82" s="55"/>
    </row>
    <row r="83" ht="20.75" spans="2:5">
      <c r="B83" s="37"/>
      <c r="C83" s="38" t="s">
        <v>353</v>
      </c>
      <c r="D83" s="38">
        <f>IF(CALCULATIONS!C267="",CALCULATIONS!C266,CALCULATIONS!C267)</f>
        <v>27</v>
      </c>
      <c r="E83" s="40" t="s">
        <v>383</v>
      </c>
    </row>
    <row r="84" ht="20" spans="2:5">
      <c r="B84" s="30" t="s">
        <v>390</v>
      </c>
      <c r="C84" s="31" t="s">
        <v>344</v>
      </c>
      <c r="D84" s="32" t="s">
        <v>388</v>
      </c>
      <c r="E84" s="33"/>
    </row>
    <row r="85" ht="20.75" spans="2:5">
      <c r="B85" s="37"/>
      <c r="C85" s="38" t="s">
        <v>353</v>
      </c>
      <c r="D85" s="38">
        <f>IF(CALCULATIONS!C271="",CALCULATIONS!C270,CALCULATIONS!C271)</f>
        <v>0.22</v>
      </c>
      <c r="E85" s="51" t="s">
        <v>354</v>
      </c>
    </row>
    <row r="86" ht="20" spans="2:5">
      <c r="B86" s="34" t="s">
        <v>391</v>
      </c>
      <c r="C86" s="35" t="s">
        <v>344</v>
      </c>
      <c r="D86" s="54" t="s">
        <v>379</v>
      </c>
      <c r="E86" s="55"/>
    </row>
    <row r="87" ht="20.75" spans="2:5">
      <c r="B87" s="37"/>
      <c r="C87" s="38" t="s">
        <v>353</v>
      </c>
      <c r="D87" s="38">
        <f>IF(CALCULATIONS!C309="",CALCULATIONS!C308,CALCULATIONS!C309)</f>
        <v>2.7</v>
      </c>
      <c r="E87" s="40" t="s">
        <v>380</v>
      </c>
    </row>
    <row r="88" ht="20" spans="2:5">
      <c r="B88" s="30" t="s">
        <v>392</v>
      </c>
      <c r="C88" s="31" t="s">
        <v>344</v>
      </c>
      <c r="D88" s="32" t="s">
        <v>382</v>
      </c>
      <c r="E88" s="33"/>
    </row>
    <row r="89" ht="20.75" spans="2:5">
      <c r="B89" s="37"/>
      <c r="C89" s="38" t="s">
        <v>353</v>
      </c>
      <c r="D89" s="38">
        <f>IF(CALCULATIONS!C311="",CALCULATIONS!C310,CALCULATIONS!C311)</f>
        <v>100</v>
      </c>
      <c r="E89" s="40" t="s">
        <v>383</v>
      </c>
    </row>
    <row r="90" ht="20" spans="2:5">
      <c r="B90" s="30" t="s">
        <v>393</v>
      </c>
      <c r="C90" s="31" t="s">
        <v>344</v>
      </c>
      <c r="D90" s="32" t="s">
        <v>394</v>
      </c>
      <c r="E90" s="33"/>
    </row>
    <row r="91" ht="20.75" spans="2:5">
      <c r="B91" s="37"/>
      <c r="C91" s="38" t="s">
        <v>353</v>
      </c>
      <c r="D91" s="47">
        <f>Cvins_hu</f>
        <v>4.7</v>
      </c>
      <c r="E91" s="51" t="s">
        <v>354</v>
      </c>
    </row>
    <row r="92" ht="20" spans="2:5">
      <c r="B92" s="34" t="s">
        <v>395</v>
      </c>
      <c r="C92" s="35" t="s">
        <v>344</v>
      </c>
      <c r="D92" s="54" t="s">
        <v>396</v>
      </c>
      <c r="E92" s="55"/>
    </row>
    <row r="93" ht="20" spans="2:5">
      <c r="B93" s="34"/>
      <c r="C93" s="56" t="s">
        <v>397</v>
      </c>
      <c r="D93" s="35">
        <v>0.1</v>
      </c>
      <c r="E93" s="44" t="s">
        <v>354</v>
      </c>
    </row>
    <row r="94" ht="20.75" spans="2:5">
      <c r="B94" s="37"/>
      <c r="C94" s="57"/>
      <c r="D94" s="38">
        <v>1</v>
      </c>
      <c r="E94" s="51" t="s">
        <v>354</v>
      </c>
    </row>
    <row r="95" spans="4:4">
      <c r="D95" s="58"/>
    </row>
    <row r="96" spans="5:5">
      <c r="E96"/>
    </row>
    <row r="97" spans="4:4">
      <c r="D97" s="58"/>
    </row>
  </sheetData>
  <sheetProtection password="E59D" sheet="1" objects="1" scenarios="1"/>
  <mergeCells count="44">
    <mergeCell ref="B36:E36"/>
    <mergeCell ref="C37:E37"/>
    <mergeCell ref="D38:E38"/>
    <mergeCell ref="D44:E44"/>
    <mergeCell ref="D51:E51"/>
    <mergeCell ref="D55:E55"/>
    <mergeCell ref="D60:E60"/>
    <mergeCell ref="D63:E63"/>
    <mergeCell ref="D65:E65"/>
    <mergeCell ref="D67:E67"/>
    <mergeCell ref="D72:E72"/>
    <mergeCell ref="D74:E74"/>
    <mergeCell ref="D76:E76"/>
    <mergeCell ref="D78:E78"/>
    <mergeCell ref="D80:E80"/>
    <mergeCell ref="D82:E82"/>
    <mergeCell ref="D84:E84"/>
    <mergeCell ref="D86:E86"/>
    <mergeCell ref="D88:E88"/>
    <mergeCell ref="D90:E90"/>
    <mergeCell ref="D92:E92"/>
    <mergeCell ref="B38:B40"/>
    <mergeCell ref="B41:B43"/>
    <mergeCell ref="B44:B46"/>
    <mergeCell ref="B47:B50"/>
    <mergeCell ref="B51:B54"/>
    <mergeCell ref="B55:B59"/>
    <mergeCell ref="B60:B62"/>
    <mergeCell ref="B63:B64"/>
    <mergeCell ref="B65:B66"/>
    <mergeCell ref="B67:B71"/>
    <mergeCell ref="B72:B73"/>
    <mergeCell ref="B74:B75"/>
    <mergeCell ref="B76:B77"/>
    <mergeCell ref="B78:B79"/>
    <mergeCell ref="B80:B81"/>
    <mergeCell ref="B82:B83"/>
    <mergeCell ref="B84:B85"/>
    <mergeCell ref="B86:B87"/>
    <mergeCell ref="B88:B89"/>
    <mergeCell ref="B90:B91"/>
    <mergeCell ref="B92:B94"/>
    <mergeCell ref="C93:C94"/>
    <mergeCell ref="A1:F2"/>
  </mergeCells>
  <pageMargins left="0.75" right="0.75" top="1" bottom="1" header="0.5" footer="0.5"/>
  <pageSetup paperSize="1" orientation="portrait"/>
  <headerFooter alignWithMargins="0"/>
  <drawing r:id="rId1"/>
  <legacyDrawing r:id="rId2"/>
  <oleObjects>
    <mc:AlternateContent xmlns:mc="http://schemas.openxmlformats.org/markup-compatibility/2006">
      <mc:Choice Requires="x14">
        <oleObject shapeId="8194" progId="Visio.Drawing.6" r:id="rId3">
          <objectPr defaultSize="0" r:id="rId4">
            <anchor moveWithCells="1">
              <from>
                <xdr:col>1</xdr:col>
                <xdr:colOff>0</xdr:colOff>
                <xdr:row>2</xdr:row>
                <xdr:rowOff>28575</xdr:rowOff>
              </from>
              <to>
                <xdr:col>5</xdr:col>
                <xdr:colOff>152400</xdr:colOff>
                <xdr:row>34</xdr:row>
                <xdr:rowOff>85725</xdr:rowOff>
              </to>
            </anchor>
          </objectPr>
        </oleObject>
      </mc:Choice>
      <mc:Fallback>
        <oleObject shapeId="8194" progId="Visio.Drawing.6"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2:Y382"/>
  <sheetViews>
    <sheetView topLeftCell="A154" workbookViewId="0">
      <selection activeCell="G107" sqref="G107"/>
    </sheetView>
  </sheetViews>
  <sheetFormatPr defaultColWidth="9.13636363636364" defaultRowHeight="12.5"/>
  <cols>
    <col min="1" max="3" width="9.13636363636364" style="1"/>
    <col min="4" max="4" width="29.4272727272727" style="1" customWidth="1"/>
    <col min="5" max="6" width="9.13636363636364" style="1"/>
    <col min="7" max="7" width="12.4272727272727" style="1" customWidth="1"/>
    <col min="8" max="8" width="12.7090909090909" style="1" customWidth="1"/>
    <col min="9" max="9" width="13.4272727272727" style="1" customWidth="1"/>
    <col min="10" max="10" width="20.4272727272727" style="1" customWidth="1"/>
    <col min="11" max="11" width="43.1363636363636" style="1" customWidth="1"/>
    <col min="12" max="12" width="14.4272727272727" style="1" customWidth="1"/>
    <col min="13" max="13" width="24.8545454545455" style="1" customWidth="1"/>
    <col min="14" max="14" width="9.13636363636364" style="1"/>
    <col min="15" max="15" width="16" style="1" customWidth="1"/>
    <col min="16" max="16" width="33.7090909090909" style="1" customWidth="1"/>
    <col min="17" max="17" width="9.13636363636364" style="1"/>
    <col min="18" max="18" width="23.1363636363636" style="1" customWidth="1"/>
    <col min="19" max="19" width="20.7090909090909" style="1" customWidth="1"/>
    <col min="20" max="20" width="19.8545454545455" style="1" customWidth="1"/>
    <col min="21" max="16384" width="9.13636363636364" style="1"/>
  </cols>
  <sheetData>
    <row r="2" ht="16" spans="2:9">
      <c r="B2" s="2" t="s">
        <v>398</v>
      </c>
      <c r="C2" s="2">
        <f>65*kHz</f>
        <v>65000</v>
      </c>
      <c r="G2" s="3" t="s">
        <v>399</v>
      </c>
      <c r="H2" s="3">
        <v>0.66</v>
      </c>
      <c r="I2" s="3" t="s">
        <v>26</v>
      </c>
    </row>
    <row r="3" ht="16" spans="2:9">
      <c r="B3" s="4" t="s">
        <v>400</v>
      </c>
      <c r="C3" s="5">
        <f>10^-3</f>
        <v>0.001</v>
      </c>
      <c r="G3" s="3" t="s">
        <v>401</v>
      </c>
      <c r="H3" s="3">
        <v>1.15</v>
      </c>
      <c r="I3" s="3" t="s">
        <v>26</v>
      </c>
    </row>
    <row r="4" ht="14" spans="2:9">
      <c r="B4" s="4" t="s">
        <v>402</v>
      </c>
      <c r="C4" s="5">
        <f>(10^-6)</f>
        <v>1e-6</v>
      </c>
      <c r="G4" s="3" t="s">
        <v>403</v>
      </c>
      <c r="H4" s="3">
        <v>5</v>
      </c>
      <c r="I4" s="3" t="s">
        <v>26</v>
      </c>
    </row>
    <row r="5" ht="14" spans="2:9">
      <c r="B5" s="4" t="s">
        <v>404</v>
      </c>
      <c r="C5" s="5">
        <f>10^3</f>
        <v>1000</v>
      </c>
      <c r="G5" s="3" t="s">
        <v>405</v>
      </c>
      <c r="H5" s="3">
        <v>5.25</v>
      </c>
      <c r="I5" s="3" t="s">
        <v>26</v>
      </c>
    </row>
    <row r="6" ht="14" spans="2:9">
      <c r="B6" s="4" t="s">
        <v>406</v>
      </c>
      <c r="C6" s="5">
        <f>10^-3</f>
        <v>0.001</v>
      </c>
      <c r="G6" s="3" t="s">
        <v>407</v>
      </c>
      <c r="H6" s="3">
        <v>5.38</v>
      </c>
      <c r="I6" s="3" t="s">
        <v>26</v>
      </c>
    </row>
    <row r="7" ht="14" spans="2:9">
      <c r="B7" s="4" t="s">
        <v>408</v>
      </c>
      <c r="C7" s="5">
        <f>10^-3</f>
        <v>0.001</v>
      </c>
      <c r="G7" s="3" t="s">
        <v>409</v>
      </c>
      <c r="H7" s="3">
        <v>5.12</v>
      </c>
      <c r="I7" s="3" t="s">
        <v>26</v>
      </c>
    </row>
    <row r="8" ht="14" spans="2:9">
      <c r="B8" s="4" t="s">
        <v>410</v>
      </c>
      <c r="C8" s="5">
        <f>10^-3</f>
        <v>0.001</v>
      </c>
      <c r="G8" s="3" t="s">
        <v>411</v>
      </c>
      <c r="H8" s="3">
        <v>4.75</v>
      </c>
      <c r="I8" s="3" t="s">
        <v>26</v>
      </c>
    </row>
    <row r="9" ht="14" spans="2:9">
      <c r="B9" s="4" t="s">
        <v>412</v>
      </c>
      <c r="C9" s="5">
        <f>10^-6</f>
        <v>1e-6</v>
      </c>
      <c r="G9" s="3" t="s">
        <v>413</v>
      </c>
      <c r="H9" s="3">
        <v>4.87</v>
      </c>
      <c r="I9" s="3" t="s">
        <v>26</v>
      </c>
    </row>
    <row r="10" ht="14" spans="2:9">
      <c r="B10" s="4" t="s">
        <v>414</v>
      </c>
      <c r="C10" s="5">
        <f>10^-6</f>
        <v>1e-6</v>
      </c>
      <c r="G10" s="3" t="s">
        <v>415</v>
      </c>
      <c r="H10" s="3">
        <v>4.63</v>
      </c>
      <c r="I10" s="3" t="s">
        <v>26</v>
      </c>
    </row>
    <row r="11" ht="16" spans="2:9">
      <c r="B11" s="4" t="s">
        <v>416</v>
      </c>
      <c r="C11" s="5">
        <f>10^-9</f>
        <v>1e-9</v>
      </c>
      <c r="G11" s="3" t="s">
        <v>417</v>
      </c>
      <c r="H11" s="3">
        <v>0.01</v>
      </c>
      <c r="I11" s="3" t="s">
        <v>189</v>
      </c>
    </row>
    <row r="12" ht="16" spans="2:9">
      <c r="B12" s="4" t="s">
        <v>418</v>
      </c>
      <c r="C12" s="5">
        <f>10^-3</f>
        <v>0.001</v>
      </c>
      <c r="G12" s="3" t="s">
        <v>419</v>
      </c>
      <c r="H12" s="3">
        <v>1.6</v>
      </c>
      <c r="I12" s="3" t="s">
        <v>26</v>
      </c>
    </row>
    <row r="13" ht="16" spans="2:9">
      <c r="B13" s="4" t="s">
        <v>420</v>
      </c>
      <c r="C13" s="5">
        <f>10^-12</f>
        <v>1e-12</v>
      </c>
      <c r="G13" s="3" t="s">
        <v>421</v>
      </c>
      <c r="H13" s="3">
        <v>1.4</v>
      </c>
      <c r="I13" s="3" t="s">
        <v>26</v>
      </c>
    </row>
    <row r="14" ht="16" spans="2:9">
      <c r="B14" s="4" t="s">
        <v>422</v>
      </c>
      <c r="C14" s="5">
        <f>10^6</f>
        <v>1000000</v>
      </c>
      <c r="G14" s="3" t="s">
        <v>423</v>
      </c>
      <c r="H14" s="3">
        <v>1.5</v>
      </c>
      <c r="I14" s="3" t="s">
        <v>26</v>
      </c>
    </row>
    <row r="15" ht="16" spans="2:9">
      <c r="B15" s="4" t="s">
        <v>424</v>
      </c>
      <c r="C15" s="5">
        <f>10^-6</f>
        <v>1e-6</v>
      </c>
      <c r="G15" s="3" t="s">
        <v>425</v>
      </c>
      <c r="H15" s="3">
        <v>0.76</v>
      </c>
      <c r="I15" s="3" t="s">
        <v>26</v>
      </c>
    </row>
    <row r="16" ht="16" spans="2:9">
      <c r="B16" s="4" t="s">
        <v>426</v>
      </c>
      <c r="C16" s="5">
        <f>10^3</f>
        <v>1000</v>
      </c>
      <c r="G16" s="3" t="s">
        <v>427</v>
      </c>
      <c r="H16" s="3">
        <v>0.88</v>
      </c>
      <c r="I16" s="3" t="s">
        <v>26</v>
      </c>
    </row>
    <row r="17" ht="16" spans="2:9">
      <c r="B17" s="4" t="s">
        <v>428</v>
      </c>
      <c r="C17" s="5">
        <f>10^-9</f>
        <v>1e-9</v>
      </c>
      <c r="G17" s="3" t="s">
        <v>429</v>
      </c>
      <c r="H17" s="3">
        <v>0.82</v>
      </c>
      <c r="I17" s="3" t="s">
        <v>26</v>
      </c>
    </row>
    <row r="18" ht="16" spans="2:9">
      <c r="B18" s="4" t="s">
        <v>430</v>
      </c>
      <c r="C18" s="5">
        <f>10^-9</f>
        <v>1e-9</v>
      </c>
      <c r="G18" s="3" t="s">
        <v>431</v>
      </c>
      <c r="H18" s="3">
        <v>0.022</v>
      </c>
      <c r="I18" s="3" t="s">
        <v>36</v>
      </c>
    </row>
    <row r="19" ht="16" spans="2:9">
      <c r="B19" s="4" t="s">
        <v>432</v>
      </c>
      <c r="C19" s="5">
        <f>10^-6</f>
        <v>1e-6</v>
      </c>
      <c r="G19" s="3" t="s">
        <v>433</v>
      </c>
      <c r="H19" s="3">
        <v>15</v>
      </c>
      <c r="I19" s="3" t="s">
        <v>434</v>
      </c>
    </row>
    <row r="20" ht="14" spans="2:3">
      <c r="B20" s="2" t="s">
        <v>435</v>
      </c>
      <c r="C20" s="5">
        <f>10^6</f>
        <v>1000000</v>
      </c>
    </row>
    <row r="21" ht="14" spans="2:3">
      <c r="B21" s="2" t="s">
        <v>436</v>
      </c>
      <c r="C21" s="5">
        <f>10^-3</f>
        <v>0.001</v>
      </c>
    </row>
    <row r="22" ht="14" spans="2:3">
      <c r="B22" s="2" t="s">
        <v>437</v>
      </c>
      <c r="C22" s="5">
        <f>(10^-6)</f>
        <v>1e-6</v>
      </c>
    </row>
    <row r="23" ht="14" spans="1:5">
      <c r="A23" s="6"/>
      <c r="B23" s="2" t="s">
        <v>438</v>
      </c>
      <c r="C23" s="5">
        <f>10^-3</f>
        <v>0.001</v>
      </c>
      <c r="D23" s="6"/>
      <c r="E23" s="6"/>
    </row>
    <row r="24" ht="14" spans="2:5">
      <c r="B24" s="6"/>
      <c r="C24" s="6"/>
      <c r="D24" s="6"/>
      <c r="E24" s="6"/>
    </row>
    <row r="25" ht="14" spans="2:5">
      <c r="B25" s="6"/>
      <c r="E25" s="6"/>
    </row>
    <row r="26" ht="14" spans="2:5">
      <c r="B26" s="6"/>
      <c r="E26" s="6"/>
    </row>
    <row r="27" ht="14" spans="2:5">
      <c r="B27" s="6"/>
      <c r="E27" s="6"/>
    </row>
    <row r="28" ht="14" spans="2:5">
      <c r="B28" s="6"/>
      <c r="E28" s="6"/>
    </row>
    <row r="29" ht="14" spans="2:5">
      <c r="B29" s="6"/>
      <c r="E29" s="6"/>
    </row>
    <row r="30" ht="14" spans="1:5">
      <c r="A30" s="7" t="s">
        <v>439</v>
      </c>
      <c r="B30" s="7"/>
      <c r="C30" s="7"/>
      <c r="D30" s="7"/>
      <c r="E30" s="6"/>
    </row>
    <row r="31" ht="14" spans="5:5">
      <c r="E31" s="6"/>
    </row>
    <row r="32" ht="14" spans="1:12">
      <c r="A32" s="7" t="s">
        <v>253</v>
      </c>
      <c r="B32" s="7" t="s">
        <v>440</v>
      </c>
      <c r="C32" s="7" t="s">
        <v>441</v>
      </c>
      <c r="D32" s="7" t="s">
        <v>250</v>
      </c>
      <c r="F32" s="6"/>
      <c r="I32" s="6"/>
      <c r="L32" s="6"/>
    </row>
    <row r="33" ht="14" spans="1:12">
      <c r="A33" s="7">
        <v>0</v>
      </c>
      <c r="B33" s="8">
        <f>IF(A33&lt;2,(0.064),IF(A33&lt;3,(0.139*A33-0.214),IF(A33&lt;5.5,(0.279*A33-0.632),IF(A33&lt;7,0.903,"VCOMP MUST BE &lt; 7"))))</f>
        <v>0.064</v>
      </c>
      <c r="C33" s="8">
        <f>IF(A33&lt;=1.5,0,IF(A33&lt;5.6,(0.1223*(A33-1.5)^2),IF(A33&lt;7,2.056,"VCOMP MUST BE &lt; 7")))</f>
        <v>0</v>
      </c>
      <c r="D33" s="9">
        <f>B33*C33</f>
        <v>0</v>
      </c>
      <c r="F33" s="6"/>
      <c r="I33" s="6"/>
      <c r="L33" s="6"/>
    </row>
    <row r="34" ht="14" spans="1:12">
      <c r="A34" s="7">
        <f>A33+0.05</f>
        <v>0.05</v>
      </c>
      <c r="B34" s="8">
        <f t="shared" ref="B34:B97" si="0">IF(A34&lt;2,(0.064),IF(A34&lt;3,(0.139*A34-0.214),IF(A34&lt;5.5,(0.279*A34-0.632),IF(A34&lt;7,0.903,"VCOMP MUST BE &lt; 7"))))</f>
        <v>0.064</v>
      </c>
      <c r="C34" s="8">
        <f t="shared" ref="C34:C39" si="1">IF(A34&lt;=1.5,0,IF(A34&lt;5.6,(0.1223*(A34-1.5)^2),IF(A34&lt;7,2.056,"VCOMP MUST BE &lt; 7")))</f>
        <v>0</v>
      </c>
      <c r="D34" s="9">
        <f t="shared" ref="D34:D97" si="2">B34*C34</f>
        <v>0</v>
      </c>
      <c r="F34" s="6"/>
      <c r="I34" s="6"/>
      <c r="L34" s="6"/>
    </row>
    <row r="35" ht="14" spans="1:12">
      <c r="A35" s="7">
        <f>A34+0.05</f>
        <v>0.1</v>
      </c>
      <c r="B35" s="8">
        <f t="shared" si="0"/>
        <v>0.064</v>
      </c>
      <c r="C35" s="8">
        <f t="shared" si="1"/>
        <v>0</v>
      </c>
      <c r="D35" s="9">
        <f t="shared" si="2"/>
        <v>0</v>
      </c>
      <c r="F35" s="6"/>
      <c r="I35" s="6"/>
      <c r="L35" s="6"/>
    </row>
    <row r="36" ht="14" spans="1:12">
      <c r="A36" s="7">
        <f>A35+0.05</f>
        <v>0.15</v>
      </c>
      <c r="B36" s="8">
        <f t="shared" si="0"/>
        <v>0.064</v>
      </c>
      <c r="C36" s="8">
        <f t="shared" si="1"/>
        <v>0</v>
      </c>
      <c r="D36" s="9">
        <f t="shared" si="2"/>
        <v>0</v>
      </c>
      <c r="F36" s="6"/>
      <c r="I36" s="6"/>
      <c r="L36" s="6"/>
    </row>
    <row r="37" ht="14" spans="1:12">
      <c r="A37" s="7">
        <f t="shared" ref="A37:A68" si="3">A36+0.05</f>
        <v>0.2</v>
      </c>
      <c r="B37" s="8">
        <f t="shared" si="0"/>
        <v>0.064</v>
      </c>
      <c r="C37" s="8">
        <f t="shared" si="1"/>
        <v>0</v>
      </c>
      <c r="D37" s="9">
        <f t="shared" si="2"/>
        <v>0</v>
      </c>
      <c r="F37" s="6"/>
      <c r="I37" s="6"/>
      <c r="L37" s="6"/>
    </row>
    <row r="38" ht="14" spans="1:12">
      <c r="A38" s="7">
        <f t="shared" si="3"/>
        <v>0.25</v>
      </c>
      <c r="B38" s="8">
        <f t="shared" si="0"/>
        <v>0.064</v>
      </c>
      <c r="C38" s="8">
        <f t="shared" si="1"/>
        <v>0</v>
      </c>
      <c r="D38" s="9">
        <f t="shared" si="2"/>
        <v>0</v>
      </c>
      <c r="F38" s="6"/>
      <c r="I38" s="6"/>
      <c r="L38" s="6"/>
    </row>
    <row r="39" ht="14" spans="1:12">
      <c r="A39" s="7">
        <f t="shared" si="3"/>
        <v>0.3</v>
      </c>
      <c r="B39" s="8">
        <f t="shared" si="0"/>
        <v>0.064</v>
      </c>
      <c r="C39" s="8">
        <f t="shared" si="1"/>
        <v>0</v>
      </c>
      <c r="D39" s="9">
        <f t="shared" si="2"/>
        <v>0</v>
      </c>
      <c r="F39" s="6"/>
      <c r="I39" s="6"/>
      <c r="L39" s="6"/>
    </row>
    <row r="40" ht="14" spans="1:12">
      <c r="A40" s="7">
        <f t="shared" si="3"/>
        <v>0.35</v>
      </c>
      <c r="B40" s="8">
        <f t="shared" si="0"/>
        <v>0.064</v>
      </c>
      <c r="C40" s="8">
        <f t="shared" ref="C40:C55" si="4">IF(A40&lt;=1.5,0,IF(A40&lt;5.6,(0.1223*(A40-1.5)^2),IF(A40&lt;7,2.056,"VCOMP MUST BE &lt; 7")))</f>
        <v>0</v>
      </c>
      <c r="D40" s="9">
        <f t="shared" si="2"/>
        <v>0</v>
      </c>
      <c r="F40" s="6"/>
      <c r="I40" s="6"/>
      <c r="L40" s="6"/>
    </row>
    <row r="41" ht="14" spans="1:12">
      <c r="A41" s="7">
        <f t="shared" si="3"/>
        <v>0.4</v>
      </c>
      <c r="B41" s="8">
        <f t="shared" si="0"/>
        <v>0.064</v>
      </c>
      <c r="C41" s="8">
        <f t="shared" si="4"/>
        <v>0</v>
      </c>
      <c r="D41" s="9">
        <f t="shared" si="2"/>
        <v>0</v>
      </c>
      <c r="F41" s="6"/>
      <c r="I41" s="6"/>
      <c r="L41" s="6"/>
    </row>
    <row r="42" ht="14" spans="1:12">
      <c r="A42" s="7">
        <f t="shared" si="3"/>
        <v>0.45</v>
      </c>
      <c r="B42" s="8">
        <f t="shared" si="0"/>
        <v>0.064</v>
      </c>
      <c r="C42" s="8">
        <f t="shared" si="4"/>
        <v>0</v>
      </c>
      <c r="D42" s="9">
        <f t="shared" si="2"/>
        <v>0</v>
      </c>
      <c r="F42" s="6"/>
      <c r="I42" s="6"/>
      <c r="L42" s="6"/>
    </row>
    <row r="43" ht="14" spans="1:12">
      <c r="A43" s="7">
        <f t="shared" si="3"/>
        <v>0.5</v>
      </c>
      <c r="B43" s="8">
        <f t="shared" si="0"/>
        <v>0.064</v>
      </c>
      <c r="C43" s="8">
        <f t="shared" si="4"/>
        <v>0</v>
      </c>
      <c r="D43" s="9">
        <f t="shared" si="2"/>
        <v>0</v>
      </c>
      <c r="F43" s="6"/>
      <c r="I43" s="6"/>
      <c r="L43" s="6"/>
    </row>
    <row r="44" ht="14" spans="1:12">
      <c r="A44" s="7">
        <f t="shared" si="3"/>
        <v>0.55</v>
      </c>
      <c r="B44" s="8">
        <f t="shared" si="0"/>
        <v>0.064</v>
      </c>
      <c r="C44" s="8">
        <f t="shared" si="4"/>
        <v>0</v>
      </c>
      <c r="D44" s="9">
        <f t="shared" si="2"/>
        <v>0</v>
      </c>
      <c r="F44" s="6"/>
      <c r="I44" s="6"/>
      <c r="L44" s="6"/>
    </row>
    <row r="45" ht="14" spans="1:12">
      <c r="A45" s="7">
        <f t="shared" si="3"/>
        <v>0.6</v>
      </c>
      <c r="B45" s="8">
        <f t="shared" si="0"/>
        <v>0.064</v>
      </c>
      <c r="C45" s="8">
        <f t="shared" si="4"/>
        <v>0</v>
      </c>
      <c r="D45" s="9">
        <f t="shared" si="2"/>
        <v>0</v>
      </c>
      <c r="F45" s="6"/>
      <c r="I45" s="6"/>
      <c r="L45" s="6"/>
    </row>
    <row r="46" ht="14" spans="1:12">
      <c r="A46" s="7">
        <f t="shared" si="3"/>
        <v>0.65</v>
      </c>
      <c r="B46" s="8">
        <f t="shared" si="0"/>
        <v>0.064</v>
      </c>
      <c r="C46" s="8">
        <f t="shared" si="4"/>
        <v>0</v>
      </c>
      <c r="D46" s="9">
        <f t="shared" si="2"/>
        <v>0</v>
      </c>
      <c r="F46" s="6"/>
      <c r="I46" s="6"/>
      <c r="L46" s="6"/>
    </row>
    <row r="47" ht="14" spans="1:12">
      <c r="A47" s="7">
        <f t="shared" si="3"/>
        <v>0.7</v>
      </c>
      <c r="B47" s="8">
        <f t="shared" si="0"/>
        <v>0.064</v>
      </c>
      <c r="C47" s="8">
        <f t="shared" si="4"/>
        <v>0</v>
      </c>
      <c r="D47" s="9">
        <f t="shared" si="2"/>
        <v>0</v>
      </c>
      <c r="F47" s="6"/>
      <c r="I47" s="6"/>
      <c r="L47" s="6"/>
    </row>
    <row r="48" ht="14" spans="1:12">
      <c r="A48" s="7">
        <f t="shared" si="3"/>
        <v>0.75</v>
      </c>
      <c r="B48" s="8">
        <f t="shared" si="0"/>
        <v>0.064</v>
      </c>
      <c r="C48" s="8">
        <f t="shared" si="4"/>
        <v>0</v>
      </c>
      <c r="D48" s="9">
        <f t="shared" si="2"/>
        <v>0</v>
      </c>
      <c r="F48" s="6"/>
      <c r="I48" s="6"/>
      <c r="L48" s="6"/>
    </row>
    <row r="49" ht="14" spans="1:12">
      <c r="A49" s="7">
        <f t="shared" si="3"/>
        <v>0.8</v>
      </c>
      <c r="B49" s="8">
        <f t="shared" si="0"/>
        <v>0.064</v>
      </c>
      <c r="C49" s="8">
        <f t="shared" si="4"/>
        <v>0</v>
      </c>
      <c r="D49" s="9">
        <f t="shared" si="2"/>
        <v>0</v>
      </c>
      <c r="F49" s="6"/>
      <c r="I49" s="6"/>
      <c r="L49" s="6"/>
    </row>
    <row r="50" ht="14" spans="1:12">
      <c r="A50" s="7">
        <f t="shared" si="3"/>
        <v>0.85</v>
      </c>
      <c r="B50" s="8">
        <f t="shared" si="0"/>
        <v>0.064</v>
      </c>
      <c r="C50" s="8">
        <f t="shared" si="4"/>
        <v>0</v>
      </c>
      <c r="D50" s="9">
        <f t="shared" si="2"/>
        <v>0</v>
      </c>
      <c r="F50" s="6"/>
      <c r="I50" s="6"/>
      <c r="L50" s="6"/>
    </row>
    <row r="51" ht="14" spans="1:12">
      <c r="A51" s="7">
        <f t="shared" si="3"/>
        <v>0.9</v>
      </c>
      <c r="B51" s="8">
        <f t="shared" si="0"/>
        <v>0.064</v>
      </c>
      <c r="C51" s="8">
        <f t="shared" si="4"/>
        <v>0</v>
      </c>
      <c r="D51" s="9">
        <f t="shared" si="2"/>
        <v>0</v>
      </c>
      <c r="F51" s="6"/>
      <c r="I51" s="6"/>
      <c r="L51" s="6"/>
    </row>
    <row r="52" ht="14" spans="1:12">
      <c r="A52" s="7">
        <f t="shared" si="3"/>
        <v>0.95</v>
      </c>
      <c r="B52" s="8">
        <f t="shared" si="0"/>
        <v>0.064</v>
      </c>
      <c r="C52" s="8">
        <f t="shared" si="4"/>
        <v>0</v>
      </c>
      <c r="D52" s="9">
        <f t="shared" si="2"/>
        <v>0</v>
      </c>
      <c r="F52" s="6"/>
      <c r="I52" s="6"/>
      <c r="L52" s="6"/>
    </row>
    <row r="53" ht="14" spans="1:12">
      <c r="A53" s="7">
        <f t="shared" si="3"/>
        <v>1</v>
      </c>
      <c r="B53" s="8">
        <f t="shared" si="0"/>
        <v>0.064</v>
      </c>
      <c r="C53" s="8">
        <f t="shared" si="4"/>
        <v>0</v>
      </c>
      <c r="D53" s="9">
        <f t="shared" si="2"/>
        <v>0</v>
      </c>
      <c r="F53" s="6"/>
      <c r="I53" s="6"/>
      <c r="L53" s="6"/>
    </row>
    <row r="54" ht="14" spans="1:12">
      <c r="A54" s="7">
        <f t="shared" si="3"/>
        <v>1.05</v>
      </c>
      <c r="B54" s="8">
        <f t="shared" si="0"/>
        <v>0.064</v>
      </c>
      <c r="C54" s="8">
        <f t="shared" si="4"/>
        <v>0</v>
      </c>
      <c r="D54" s="9">
        <f t="shared" si="2"/>
        <v>0</v>
      </c>
      <c r="F54" s="6"/>
      <c r="I54" s="6"/>
      <c r="L54" s="6"/>
    </row>
    <row r="55" ht="14" spans="1:12">
      <c r="A55" s="7">
        <f t="shared" si="3"/>
        <v>1.1</v>
      </c>
      <c r="B55" s="8">
        <f t="shared" si="0"/>
        <v>0.064</v>
      </c>
      <c r="C55" s="8">
        <f t="shared" si="4"/>
        <v>0</v>
      </c>
      <c r="D55" s="9">
        <f t="shared" si="2"/>
        <v>0</v>
      </c>
      <c r="F55" s="6"/>
      <c r="I55" s="6"/>
      <c r="L55" s="6"/>
    </row>
    <row r="56" ht="14" spans="1:12">
      <c r="A56" s="7">
        <f t="shared" si="3"/>
        <v>1.15</v>
      </c>
      <c r="B56" s="8">
        <f t="shared" si="0"/>
        <v>0.064</v>
      </c>
      <c r="C56" s="8">
        <f t="shared" ref="C56:C68" si="5">IF(A56&lt;=1.5,0,IF(A56&lt;5.6,(0.1223*(A56-1.5)^2),IF(A56&lt;7,2.056,"VCOMP MUST BE &lt; 7")))</f>
        <v>0</v>
      </c>
      <c r="D56" s="9">
        <f t="shared" si="2"/>
        <v>0</v>
      </c>
      <c r="F56" s="6"/>
      <c r="I56" s="6"/>
      <c r="L56" s="6"/>
    </row>
    <row r="57" ht="14" spans="1:12">
      <c r="A57" s="7">
        <f t="shared" si="3"/>
        <v>1.2</v>
      </c>
      <c r="B57" s="8">
        <f t="shared" si="0"/>
        <v>0.064</v>
      </c>
      <c r="C57" s="8">
        <f t="shared" si="5"/>
        <v>0</v>
      </c>
      <c r="D57" s="9">
        <f t="shared" si="2"/>
        <v>0</v>
      </c>
      <c r="F57" s="6"/>
      <c r="I57" s="6"/>
      <c r="L57" s="6"/>
    </row>
    <row r="58" ht="14" spans="1:12">
      <c r="A58" s="7">
        <f t="shared" si="3"/>
        <v>1.25</v>
      </c>
      <c r="B58" s="8">
        <f t="shared" si="0"/>
        <v>0.064</v>
      </c>
      <c r="C58" s="8">
        <f t="shared" si="5"/>
        <v>0</v>
      </c>
      <c r="D58" s="9">
        <f t="shared" si="2"/>
        <v>0</v>
      </c>
      <c r="F58" s="6"/>
      <c r="I58" s="6"/>
      <c r="L58" s="6"/>
    </row>
    <row r="59" ht="14" spans="1:12">
      <c r="A59" s="7">
        <f t="shared" si="3"/>
        <v>1.3</v>
      </c>
      <c r="B59" s="8">
        <f t="shared" si="0"/>
        <v>0.064</v>
      </c>
      <c r="C59" s="8">
        <f t="shared" si="5"/>
        <v>0</v>
      </c>
      <c r="D59" s="9">
        <f t="shared" si="2"/>
        <v>0</v>
      </c>
      <c r="F59" s="6"/>
      <c r="I59" s="6"/>
      <c r="L59" s="6"/>
    </row>
    <row r="60" ht="14" spans="1:12">
      <c r="A60" s="7">
        <f t="shared" si="3"/>
        <v>1.35</v>
      </c>
      <c r="B60" s="8">
        <f t="shared" si="0"/>
        <v>0.064</v>
      </c>
      <c r="C60" s="8">
        <f t="shared" si="5"/>
        <v>0</v>
      </c>
      <c r="D60" s="9">
        <f t="shared" si="2"/>
        <v>0</v>
      </c>
      <c r="F60" s="6"/>
      <c r="I60" s="6"/>
      <c r="L60" s="6"/>
    </row>
    <row r="61" ht="14" spans="1:12">
      <c r="A61" s="7">
        <f t="shared" si="3"/>
        <v>1.4</v>
      </c>
      <c r="B61" s="8">
        <f t="shared" si="0"/>
        <v>0.064</v>
      </c>
      <c r="C61" s="8">
        <f t="shared" si="5"/>
        <v>0</v>
      </c>
      <c r="D61" s="9">
        <f t="shared" si="2"/>
        <v>0</v>
      </c>
      <c r="F61" s="6"/>
      <c r="I61" s="6"/>
      <c r="L61" s="6"/>
    </row>
    <row r="62" ht="14" spans="1:12">
      <c r="A62" s="7">
        <f t="shared" si="3"/>
        <v>1.45</v>
      </c>
      <c r="B62" s="8">
        <f t="shared" si="0"/>
        <v>0.064</v>
      </c>
      <c r="C62" s="8">
        <f t="shared" si="5"/>
        <v>0</v>
      </c>
      <c r="D62" s="9">
        <f t="shared" si="2"/>
        <v>0</v>
      </c>
      <c r="F62" s="6"/>
      <c r="I62" s="6"/>
      <c r="L62" s="6"/>
    </row>
    <row r="63" ht="14" spans="1:12">
      <c r="A63" s="7">
        <f t="shared" si="3"/>
        <v>1.5</v>
      </c>
      <c r="B63" s="8">
        <f t="shared" si="0"/>
        <v>0.064</v>
      </c>
      <c r="C63" s="8">
        <f t="shared" si="5"/>
        <v>0</v>
      </c>
      <c r="D63" s="9">
        <f t="shared" si="2"/>
        <v>0</v>
      </c>
      <c r="F63" s="6"/>
      <c r="I63" s="6"/>
      <c r="J63" s="6"/>
      <c r="K63" s="6"/>
      <c r="L63" s="6"/>
    </row>
    <row r="64" spans="1:4">
      <c r="A64" s="7">
        <f t="shared" si="3"/>
        <v>1.55</v>
      </c>
      <c r="B64" s="8">
        <f t="shared" si="0"/>
        <v>0.064</v>
      </c>
      <c r="C64" s="8">
        <f t="shared" si="5"/>
        <v>0.000305750000000009</v>
      </c>
      <c r="D64" s="9">
        <f t="shared" si="2"/>
        <v>1.95680000000006e-5</v>
      </c>
    </row>
    <row r="65" spans="1:4">
      <c r="A65" s="7">
        <f t="shared" si="3"/>
        <v>1.6</v>
      </c>
      <c r="B65" s="8">
        <f t="shared" si="0"/>
        <v>0.064</v>
      </c>
      <c r="C65" s="8">
        <f t="shared" si="5"/>
        <v>0.00122300000000002</v>
      </c>
      <c r="D65" s="9">
        <f t="shared" si="2"/>
        <v>7.82720000000012e-5</v>
      </c>
    </row>
    <row r="66" spans="1:4">
      <c r="A66" s="7">
        <f t="shared" si="3"/>
        <v>1.65</v>
      </c>
      <c r="B66" s="8">
        <f t="shared" si="0"/>
        <v>0.064</v>
      </c>
      <c r="C66" s="8">
        <f t="shared" si="5"/>
        <v>0.00275175000000003</v>
      </c>
      <c r="D66" s="9">
        <f t="shared" si="2"/>
        <v>0.000176112000000002</v>
      </c>
    </row>
    <row r="67" spans="1:4">
      <c r="A67" s="7">
        <f t="shared" si="3"/>
        <v>1.7</v>
      </c>
      <c r="B67" s="8">
        <f t="shared" si="0"/>
        <v>0.064</v>
      </c>
      <c r="C67" s="8">
        <f t="shared" si="5"/>
        <v>0.00489200000000004</v>
      </c>
      <c r="D67" s="9">
        <f t="shared" si="2"/>
        <v>0.000313088000000003</v>
      </c>
    </row>
    <row r="68" ht="17.5" spans="1:12">
      <c r="A68" s="7">
        <f t="shared" si="3"/>
        <v>1.75</v>
      </c>
      <c r="B68" s="8">
        <f t="shared" si="0"/>
        <v>0.064</v>
      </c>
      <c r="C68" s="8">
        <f t="shared" si="5"/>
        <v>0.00764375000000006</v>
      </c>
      <c r="D68" s="9">
        <f t="shared" si="2"/>
        <v>0.000489200000000004</v>
      </c>
      <c r="G68" s="2" t="s">
        <v>442</v>
      </c>
      <c r="H68" s="2">
        <v>7</v>
      </c>
      <c r="J68"/>
      <c r="K68"/>
      <c r="L68"/>
    </row>
    <row r="69" ht="17.5" spans="1:12">
      <c r="A69" s="7">
        <f t="shared" ref="A69:A85" si="6">A68+0.05</f>
        <v>1.8</v>
      </c>
      <c r="B69" s="8">
        <f t="shared" si="0"/>
        <v>0.064</v>
      </c>
      <c r="C69" s="8">
        <f t="shared" ref="C69:C85" si="7">IF(A69&lt;=1.5,0,IF(A69&lt;5.6,(0.1223*(A69-1.5)^2),IF(A69&lt;7,2.056,"VCOMP MUST BE &lt; 7")))</f>
        <v>0.0110070000000001</v>
      </c>
      <c r="D69" s="9">
        <f t="shared" si="2"/>
        <v>0.000704448000000005</v>
      </c>
      <c r="G69" s="2" t="s">
        <v>443</v>
      </c>
      <c r="H69" s="2">
        <f>1/(fsw)</f>
        <v>1.53846153846154e-5</v>
      </c>
      <c r="J69"/>
      <c r="K69"/>
      <c r="L69"/>
    </row>
    <row r="70" ht="17.5" spans="1:12">
      <c r="A70" s="7">
        <f t="shared" si="6"/>
        <v>1.85</v>
      </c>
      <c r="B70" s="8">
        <f t="shared" si="0"/>
        <v>0.064</v>
      </c>
      <c r="C70" s="8">
        <f t="shared" si="7"/>
        <v>0.0149817500000001</v>
      </c>
      <c r="D70" s="9">
        <f t="shared" si="2"/>
        <v>0.000958832000000005</v>
      </c>
      <c r="G70" s="2" t="s">
        <v>444</v>
      </c>
      <c r="H70" s="2">
        <f>fsw</f>
        <v>65000</v>
      </c>
      <c r="J70"/>
      <c r="K70"/>
      <c r="L70"/>
    </row>
    <row r="71" ht="17.5" spans="1:12">
      <c r="A71" s="7">
        <f t="shared" si="6"/>
        <v>1.9</v>
      </c>
      <c r="B71" s="8">
        <f t="shared" si="0"/>
        <v>0.064</v>
      </c>
      <c r="C71" s="8">
        <f t="shared" si="7"/>
        <v>0.0195680000000001</v>
      </c>
      <c r="D71" s="9">
        <f t="shared" si="2"/>
        <v>0.00125235200000001</v>
      </c>
      <c r="G71" s="2" t="s">
        <v>445</v>
      </c>
      <c r="H71" s="2">
        <f>42*uSiemens</f>
        <v>4.2e-5</v>
      </c>
      <c r="J71"/>
      <c r="K71"/>
      <c r="L71"/>
    </row>
    <row r="72" ht="16" spans="1:12">
      <c r="A72" s="7">
        <f t="shared" si="6"/>
        <v>1.95</v>
      </c>
      <c r="B72" s="8">
        <f t="shared" si="0"/>
        <v>0.064</v>
      </c>
      <c r="C72" s="8">
        <f t="shared" si="7"/>
        <v>0.0247657500000001</v>
      </c>
      <c r="D72" s="9">
        <f t="shared" si="2"/>
        <v>0.00158500800000001</v>
      </c>
      <c r="G72" s="10" t="s">
        <v>446</v>
      </c>
      <c r="H72" s="2">
        <f>0.95*mSiemens</f>
        <v>0.00095</v>
      </c>
      <c r="J72"/>
      <c r="K72"/>
      <c r="L72"/>
    </row>
    <row r="73" spans="1:12">
      <c r="A73" s="7">
        <f t="shared" si="6"/>
        <v>2</v>
      </c>
      <c r="B73" s="8">
        <f t="shared" si="0"/>
        <v>0.0640000000000001</v>
      </c>
      <c r="C73" s="8">
        <f t="shared" si="7"/>
        <v>0.0305750000000001</v>
      </c>
      <c r="D73" s="9">
        <f t="shared" si="2"/>
        <v>0.00195680000000001</v>
      </c>
      <c r="J73"/>
      <c r="K73"/>
      <c r="L73"/>
    </row>
    <row r="74" ht="14" spans="1:12">
      <c r="A74" s="7">
        <f t="shared" si="6"/>
        <v>2.05</v>
      </c>
      <c r="B74" s="8">
        <f t="shared" si="0"/>
        <v>0.0709500000000002</v>
      </c>
      <c r="C74" s="8">
        <f t="shared" si="7"/>
        <v>0.0369957500000001</v>
      </c>
      <c r="D74" s="9">
        <f t="shared" si="2"/>
        <v>0.00262484846250001</v>
      </c>
      <c r="G74" s="2" t="s">
        <v>250</v>
      </c>
      <c r="H74" s="2">
        <f>M1M2_calc</f>
        <v>0.704719895714518</v>
      </c>
      <c r="J74"/>
      <c r="K74"/>
      <c r="L74"/>
    </row>
    <row r="75" ht="14" spans="1:12">
      <c r="A75" s="7">
        <f t="shared" si="6"/>
        <v>2.1</v>
      </c>
      <c r="B75" s="8">
        <f t="shared" si="0"/>
        <v>0.0779000000000001</v>
      </c>
      <c r="C75" s="8">
        <f t="shared" si="7"/>
        <v>0.0440280000000001</v>
      </c>
      <c r="D75" s="9">
        <f t="shared" si="2"/>
        <v>0.00342978120000001</v>
      </c>
      <c r="G75" s="11"/>
      <c r="H75" s="12"/>
      <c r="J75"/>
      <c r="K75"/>
      <c r="L75"/>
    </row>
    <row r="76" ht="14" spans="1:12">
      <c r="A76" s="7">
        <f t="shared" si="6"/>
        <v>2.15</v>
      </c>
      <c r="B76" s="8">
        <f t="shared" si="0"/>
        <v>0.0848500000000001</v>
      </c>
      <c r="C76" s="8">
        <f t="shared" si="7"/>
        <v>0.0516717500000001</v>
      </c>
      <c r="D76" s="9">
        <f t="shared" si="2"/>
        <v>0.00438434798750001</v>
      </c>
      <c r="G76" s="2" t="s">
        <v>447</v>
      </c>
      <c r="H76" s="2">
        <f>11.3030795592389*SQRT(M1M2_calc)+1.5</f>
        <v>10.988663619803</v>
      </c>
      <c r="J76"/>
      <c r="K76"/>
      <c r="L76"/>
    </row>
    <row r="77" spans="1:12">
      <c r="A77" s="7">
        <f t="shared" si="6"/>
        <v>2.2</v>
      </c>
      <c r="B77" s="8">
        <f t="shared" si="0"/>
        <v>0.0918000000000001</v>
      </c>
      <c r="C77" s="8">
        <f t="shared" si="7"/>
        <v>0.059927</v>
      </c>
      <c r="D77" s="9">
        <f t="shared" si="2"/>
        <v>0.00550129860000001</v>
      </c>
      <c r="F77"/>
      <c r="G77"/>
      <c r="H77"/>
      <c r="I77"/>
      <c r="J77"/>
      <c r="K77"/>
      <c r="L77"/>
    </row>
    <row r="78" ht="17.5" spans="1:12">
      <c r="A78" s="7">
        <f t="shared" si="6"/>
        <v>2.25</v>
      </c>
      <c r="B78" s="8">
        <f t="shared" si="0"/>
        <v>0.09875</v>
      </c>
      <c r="C78" s="8">
        <f t="shared" si="7"/>
        <v>0.06879375</v>
      </c>
      <c r="D78" s="9">
        <f t="shared" si="2"/>
        <v>0.0067933828125</v>
      </c>
      <c r="G78" s="2" t="s">
        <v>448</v>
      </c>
      <c r="H78" s="2">
        <v>0.000173961550184312</v>
      </c>
      <c r="J78" s="14" t="s">
        <v>449</v>
      </c>
      <c r="K78"/>
      <c r="L78"/>
    </row>
    <row r="79" ht="17.5" spans="1:12">
      <c r="A79" s="7">
        <f t="shared" si="6"/>
        <v>2.3</v>
      </c>
      <c r="B79" s="8">
        <f t="shared" si="0"/>
        <v>0.1057</v>
      </c>
      <c r="C79" s="8">
        <f t="shared" si="7"/>
        <v>0.078272</v>
      </c>
      <c r="D79" s="9">
        <f t="shared" si="2"/>
        <v>0.0082733504</v>
      </c>
      <c r="G79" s="2" t="s">
        <v>450</v>
      </c>
      <c r="H79" s="2">
        <v>29.4122837461837</v>
      </c>
      <c r="J79"/>
      <c r="K79"/>
      <c r="L79"/>
    </row>
    <row r="80" ht="17.5" spans="1:12">
      <c r="A80" s="7">
        <f t="shared" si="6"/>
        <v>2.35</v>
      </c>
      <c r="B80" s="8">
        <f t="shared" si="0"/>
        <v>0.11265</v>
      </c>
      <c r="C80" s="8">
        <f t="shared" si="7"/>
        <v>0.0883617499999999</v>
      </c>
      <c r="D80" s="9">
        <f t="shared" si="2"/>
        <v>0.00995395113749999</v>
      </c>
      <c r="G80" s="2" t="s">
        <v>451</v>
      </c>
      <c r="H80" s="2">
        <v>865.082435166025</v>
      </c>
      <c r="J80"/>
      <c r="K80"/>
      <c r="L80"/>
    </row>
    <row r="81" ht="17.5" spans="1:12">
      <c r="A81" s="7">
        <f t="shared" si="6"/>
        <v>2.4</v>
      </c>
      <c r="B81" s="8">
        <f t="shared" si="0"/>
        <v>0.1196</v>
      </c>
      <c r="C81" s="8">
        <f t="shared" si="7"/>
        <v>0.0990629999999999</v>
      </c>
      <c r="D81" s="9">
        <f t="shared" si="2"/>
        <v>0.0118479348</v>
      </c>
      <c r="G81" s="2" t="s">
        <v>452</v>
      </c>
      <c r="H81" s="2">
        <v>0.000134970434590928</v>
      </c>
      <c r="J81"/>
      <c r="K81"/>
      <c r="L81"/>
    </row>
    <row r="82" ht="17.5" spans="1:12">
      <c r="A82" s="7">
        <f t="shared" si="6"/>
        <v>2.45</v>
      </c>
      <c r="B82" s="8">
        <f t="shared" si="0"/>
        <v>0.12655</v>
      </c>
      <c r="C82" s="8">
        <f t="shared" si="7"/>
        <v>0.11037575</v>
      </c>
      <c r="D82" s="9">
        <f t="shared" si="2"/>
        <v>0.0139680511625</v>
      </c>
      <c r="G82" s="2" t="s">
        <v>453</v>
      </c>
      <c r="H82" s="13">
        <v>1.36240383007478e-33</v>
      </c>
      <c r="J82"/>
      <c r="K82"/>
      <c r="L82"/>
    </row>
    <row r="83" ht="17.5" spans="1:12">
      <c r="A83" s="7">
        <f t="shared" si="6"/>
        <v>2.5</v>
      </c>
      <c r="B83" s="8">
        <f t="shared" si="0"/>
        <v>0.1335</v>
      </c>
      <c r="C83" s="8">
        <f t="shared" si="7"/>
        <v>0.1223</v>
      </c>
      <c r="D83" s="9">
        <f t="shared" si="2"/>
        <v>0.01632705</v>
      </c>
      <c r="G83" s="2" t="s">
        <v>454</v>
      </c>
      <c r="H83" s="2">
        <v>2.29445689691539e-6</v>
      </c>
      <c r="J83"/>
      <c r="K83"/>
      <c r="L83"/>
    </row>
    <row r="84" ht="17.5" spans="1:12">
      <c r="A84" s="7">
        <f t="shared" si="6"/>
        <v>2.55</v>
      </c>
      <c r="B84" s="8">
        <f t="shared" si="0"/>
        <v>0.14045</v>
      </c>
      <c r="C84" s="8">
        <f t="shared" si="7"/>
        <v>0.13483575</v>
      </c>
      <c r="D84" s="9">
        <f t="shared" si="2"/>
        <v>0.0189376810874999</v>
      </c>
      <c r="G84" s="2" t="s">
        <v>455</v>
      </c>
      <c r="H84" s="2">
        <v>1.51318944844124</v>
      </c>
      <c r="J84"/>
      <c r="K84"/>
      <c r="L84"/>
    </row>
    <row r="85" ht="14" spans="1:12">
      <c r="A85" s="7">
        <f t="shared" si="6"/>
        <v>2.6</v>
      </c>
      <c r="B85" s="8">
        <f t="shared" si="0"/>
        <v>0.1474</v>
      </c>
      <c r="C85" s="8">
        <f t="shared" si="7"/>
        <v>0.147983</v>
      </c>
      <c r="D85" s="9">
        <f t="shared" si="2"/>
        <v>0.0218126941999999</v>
      </c>
      <c r="G85" s="2" t="s">
        <v>456</v>
      </c>
      <c r="H85" s="2">
        <f>(a_1/((b_1*M1M2_calc+SQRT(c_1*M1M2_calc^2+d_1*M1M2_calc-e_1)+f_1)^(1/3)))+((b_1*M1M2_calc+SQRT(c_1*M1M2_calc^2+d_1*M1M2_calc-e_1)+f_1)^(1/3))+g_1</f>
        <v>4.97416141761771</v>
      </c>
      <c r="J85"/>
      <c r="K85"/>
      <c r="L85"/>
    </row>
    <row r="86" spans="1:12">
      <c r="A86" s="7">
        <f t="shared" ref="A86:A128" si="8">A85+0.05</f>
        <v>2.65</v>
      </c>
      <c r="B86" s="8">
        <f t="shared" si="0"/>
        <v>0.15435</v>
      </c>
      <c r="C86" s="8">
        <f t="shared" ref="C86:C128" si="9">IF(A86&lt;=1.5,0,IF(A86&lt;5.6,(0.1223*(A86-1.5)^2),IF(A86&lt;7,2.056,"VCOMP MUST BE &lt; 7")))</f>
        <v>0.16174175</v>
      </c>
      <c r="D86" s="9">
        <f t="shared" si="2"/>
        <v>0.0249648391124999</v>
      </c>
      <c r="J86"/>
      <c r="K86"/>
      <c r="L86"/>
    </row>
    <row r="87" spans="1:12">
      <c r="A87" s="7">
        <f t="shared" si="8"/>
        <v>2.7</v>
      </c>
      <c r="B87" s="8">
        <f t="shared" si="0"/>
        <v>0.1613</v>
      </c>
      <c r="C87" s="8">
        <f t="shared" si="9"/>
        <v>0.176112</v>
      </c>
      <c r="D87" s="9">
        <f t="shared" si="2"/>
        <v>0.0284068655999999</v>
      </c>
      <c r="F87"/>
      <c r="G87"/>
      <c r="H87"/>
      <c r="J87"/>
      <c r="K87"/>
      <c r="L87"/>
    </row>
    <row r="88" ht="17.5" spans="1:12">
      <c r="A88" s="7">
        <f t="shared" si="8"/>
        <v>2.75</v>
      </c>
      <c r="B88" s="8">
        <f t="shared" si="0"/>
        <v>0.16825</v>
      </c>
      <c r="C88" s="8">
        <f t="shared" si="9"/>
        <v>0.191093749999999</v>
      </c>
      <c r="D88" s="9">
        <f t="shared" si="2"/>
        <v>0.0321515234374999</v>
      </c>
      <c r="G88" s="2" t="s">
        <v>457</v>
      </c>
      <c r="H88" s="2">
        <v>0.0650646117655791</v>
      </c>
      <c r="J88"/>
      <c r="K88"/>
      <c r="L88"/>
    </row>
    <row r="89" ht="17.5" spans="1:12">
      <c r="A89" s="7">
        <f t="shared" si="8"/>
        <v>2.8</v>
      </c>
      <c r="B89" s="8">
        <f t="shared" si="0"/>
        <v>0.1752</v>
      </c>
      <c r="C89" s="8">
        <f t="shared" si="9"/>
        <v>0.206686999999999</v>
      </c>
      <c r="D89" s="9">
        <f t="shared" si="2"/>
        <v>0.0362115623999998</v>
      </c>
      <c r="G89" s="2" t="s">
        <v>458</v>
      </c>
      <c r="H89" s="2">
        <v>14.6534316871668</v>
      </c>
      <c r="J89"/>
      <c r="K89"/>
      <c r="L89"/>
    </row>
    <row r="90" ht="17.5" spans="1:12">
      <c r="A90" s="7">
        <f t="shared" si="8"/>
        <v>2.85</v>
      </c>
      <c r="B90" s="8">
        <f t="shared" si="0"/>
        <v>0.18215</v>
      </c>
      <c r="C90" s="8">
        <f t="shared" si="9"/>
        <v>0.222891749999999</v>
      </c>
      <c r="D90" s="9">
        <f t="shared" si="2"/>
        <v>0.0405997322624998</v>
      </c>
      <c r="G90" s="2" t="s">
        <v>459</v>
      </c>
      <c r="H90" s="2">
        <v>214.723060210464</v>
      </c>
      <c r="J90"/>
      <c r="K90"/>
      <c r="L90"/>
    </row>
    <row r="91" ht="17.5" spans="1:12">
      <c r="A91" s="7">
        <f t="shared" si="8"/>
        <v>2.9</v>
      </c>
      <c r="B91" s="8">
        <f t="shared" si="0"/>
        <v>0.1891</v>
      </c>
      <c r="C91" s="8">
        <f t="shared" si="9"/>
        <v>0.239707999999999</v>
      </c>
      <c r="D91" s="9">
        <f t="shared" si="2"/>
        <v>0.0453287827999998</v>
      </c>
      <c r="G91" s="2" t="s">
        <v>460</v>
      </c>
      <c r="H91" s="2">
        <v>0.486392202252173</v>
      </c>
      <c r="J91"/>
      <c r="K91"/>
      <c r="L91"/>
    </row>
    <row r="92" ht="17.5" spans="1:12">
      <c r="A92" s="7">
        <f t="shared" si="8"/>
        <v>2.95</v>
      </c>
      <c r="B92" s="8">
        <f t="shared" si="0"/>
        <v>0.19605</v>
      </c>
      <c r="C92" s="8">
        <f t="shared" si="9"/>
        <v>0.257135749999999</v>
      </c>
      <c r="D92" s="9">
        <f t="shared" si="2"/>
        <v>0.0504114637874998</v>
      </c>
      <c r="G92" s="2" t="s">
        <v>461</v>
      </c>
      <c r="H92" s="13">
        <v>5.3371370618859e-30</v>
      </c>
      <c r="J92"/>
      <c r="K92"/>
      <c r="L92"/>
    </row>
    <row r="93" ht="17.5" spans="1:12">
      <c r="A93" s="7">
        <f t="shared" si="8"/>
        <v>3</v>
      </c>
      <c r="B93" s="8">
        <f t="shared" si="0"/>
        <v>0.204999999999999</v>
      </c>
      <c r="C93" s="8">
        <f t="shared" si="9"/>
        <v>0.275174999999999</v>
      </c>
      <c r="D93" s="9">
        <f t="shared" si="2"/>
        <v>0.0564108749999996</v>
      </c>
      <c r="G93" s="2" t="s">
        <v>462</v>
      </c>
      <c r="H93" s="2">
        <v>0.0165965288075879</v>
      </c>
      <c r="J93"/>
      <c r="K93"/>
      <c r="L93"/>
    </row>
    <row r="94" ht="17.5" spans="1:12">
      <c r="A94" s="7">
        <f t="shared" si="8"/>
        <v>3.05</v>
      </c>
      <c r="B94" s="8">
        <f t="shared" si="0"/>
        <v>0.218949999999999</v>
      </c>
      <c r="C94" s="8">
        <f t="shared" si="9"/>
        <v>0.293825749999999</v>
      </c>
      <c r="D94" s="9">
        <f t="shared" si="2"/>
        <v>0.0643331479624996</v>
      </c>
      <c r="G94" s="2" t="s">
        <v>463</v>
      </c>
      <c r="H94" s="2">
        <v>1.75507765830346</v>
      </c>
      <c r="J94"/>
      <c r="K94"/>
      <c r="L94"/>
    </row>
    <row r="95" ht="14" spans="1:12">
      <c r="A95" s="7">
        <f t="shared" si="8"/>
        <v>3.1</v>
      </c>
      <c r="B95" s="8">
        <f t="shared" si="0"/>
        <v>0.232899999999999</v>
      </c>
      <c r="C95" s="8">
        <f t="shared" si="9"/>
        <v>0.313087999999999</v>
      </c>
      <c r="D95" s="9">
        <f t="shared" si="2"/>
        <v>0.0729181951999995</v>
      </c>
      <c r="G95" s="2" t="s">
        <v>464</v>
      </c>
      <c r="H95" s="2">
        <f>(a_2/((b_2*M1M2_calc+SQRT(c_2*M1M2_calc^2+d_2*M1M2_calc-e_2)+f_2)^(1/3)))+((b_2*M1M2_calc+SQRT(c_2*M1M2_calc^2+d_2*M1M2_calc-e_2)+f_2)^(1/3))+g_2</f>
        <v>4.52389752018411</v>
      </c>
      <c r="J95"/>
      <c r="K95"/>
      <c r="L95"/>
    </row>
    <row r="96" spans="1:12">
      <c r="A96" s="7">
        <f t="shared" si="8"/>
        <v>3.15</v>
      </c>
      <c r="B96" s="8">
        <f t="shared" si="0"/>
        <v>0.246849999999999</v>
      </c>
      <c r="C96" s="8">
        <f t="shared" si="9"/>
        <v>0.332961749999999</v>
      </c>
      <c r="D96" s="9">
        <f t="shared" si="2"/>
        <v>0.0821916079874994</v>
      </c>
      <c r="G96"/>
      <c r="H96"/>
      <c r="J96"/>
      <c r="K96"/>
      <c r="L96"/>
    </row>
    <row r="97" spans="1:12">
      <c r="A97" s="7">
        <f t="shared" si="8"/>
        <v>3.2</v>
      </c>
      <c r="B97" s="8">
        <f t="shared" si="0"/>
        <v>0.260799999999999</v>
      </c>
      <c r="C97" s="8">
        <f t="shared" si="9"/>
        <v>0.353446999999999</v>
      </c>
      <c r="D97" s="9">
        <f t="shared" si="2"/>
        <v>0.0921789775999993</v>
      </c>
      <c r="J97"/>
      <c r="K97"/>
      <c r="L97"/>
    </row>
    <row r="98" ht="14" spans="1:12">
      <c r="A98" s="7">
        <f t="shared" si="8"/>
        <v>3.25</v>
      </c>
      <c r="B98" s="8">
        <f t="shared" ref="B98:B161" si="10">IF(A98&lt;2,(0.064),IF(A98&lt;3,(0.139*A98-0.214),IF(A98&lt;5.5,(0.279*A98-0.632),IF(A98&lt;7,0.903,"VCOMP MUST BE &lt; 7"))))</f>
        <v>0.274749999999999</v>
      </c>
      <c r="C98" s="8">
        <f t="shared" si="9"/>
        <v>0.374543749999999</v>
      </c>
      <c r="D98" s="9">
        <f t="shared" ref="D98:D161" si="11">B98*C98</f>
        <v>0.102905895312499</v>
      </c>
      <c r="G98" s="11"/>
      <c r="H98" s="12"/>
      <c r="J98"/>
      <c r="K98"/>
      <c r="L98"/>
    </row>
    <row r="99" ht="17.5" spans="1:12">
      <c r="A99" s="7">
        <f t="shared" si="8"/>
        <v>3.3</v>
      </c>
      <c r="B99" s="8">
        <f t="shared" si="10"/>
        <v>0.288699999999999</v>
      </c>
      <c r="C99" s="8">
        <f t="shared" si="9"/>
        <v>0.396251999999998</v>
      </c>
      <c r="D99" s="9">
        <f t="shared" si="11"/>
        <v>0.114397952399999</v>
      </c>
      <c r="G99" s="2" t="s">
        <v>465</v>
      </c>
      <c r="H99" s="2">
        <v>3.00914348240785</v>
      </c>
      <c r="J99"/>
      <c r="K99"/>
      <c r="L99"/>
    </row>
    <row r="100" ht="17.5" spans="1:12">
      <c r="A100" s="7">
        <f t="shared" si="8"/>
        <v>3.35</v>
      </c>
      <c r="B100" s="8">
        <f t="shared" si="10"/>
        <v>0.302649999999999</v>
      </c>
      <c r="C100" s="8">
        <f t="shared" si="9"/>
        <v>0.418571749999998</v>
      </c>
      <c r="D100" s="9">
        <f t="shared" si="11"/>
        <v>0.126680740137499</v>
      </c>
      <c r="G100" s="2" t="s">
        <v>466</v>
      </c>
      <c r="H100" s="2">
        <v>1.5</v>
      </c>
      <c r="J100"/>
      <c r="K100"/>
      <c r="L100"/>
    </row>
    <row r="101" ht="14" spans="1:12">
      <c r="A101" s="7">
        <f t="shared" si="8"/>
        <v>3.4</v>
      </c>
      <c r="B101" s="8">
        <f t="shared" si="10"/>
        <v>0.316599999999999</v>
      </c>
      <c r="C101" s="8">
        <f t="shared" si="9"/>
        <v>0.441502999999998</v>
      </c>
      <c r="D101" s="9">
        <f t="shared" si="11"/>
        <v>0.139779849799999</v>
      </c>
      <c r="G101" s="2" t="s">
        <v>467</v>
      </c>
      <c r="H101" s="2">
        <f>a_3*SQRT(M1M2_calc)+b_3</f>
        <v>4.02610362854185</v>
      </c>
      <c r="J101"/>
      <c r="K101"/>
      <c r="L101"/>
    </row>
    <row r="102" spans="1:12">
      <c r="A102" s="7">
        <f t="shared" si="8"/>
        <v>3.45</v>
      </c>
      <c r="B102" s="8">
        <f t="shared" si="10"/>
        <v>0.330549999999999</v>
      </c>
      <c r="C102" s="8">
        <f t="shared" si="9"/>
        <v>0.465045749999998</v>
      </c>
      <c r="D102" s="9">
        <f t="shared" si="11"/>
        <v>0.153720872662499</v>
      </c>
      <c r="J102"/>
      <c r="K102"/>
      <c r="L102"/>
    </row>
    <row r="103" spans="1:12">
      <c r="A103" s="7">
        <f t="shared" si="8"/>
        <v>3.5</v>
      </c>
      <c r="B103" s="8">
        <f t="shared" si="10"/>
        <v>0.344499999999999</v>
      </c>
      <c r="C103" s="8">
        <f t="shared" si="9"/>
        <v>0.489199999999998</v>
      </c>
      <c r="D103" s="9">
        <f t="shared" si="11"/>
        <v>0.168529399999999</v>
      </c>
      <c r="F103"/>
      <c r="G103"/>
      <c r="H103"/>
      <c r="J103"/>
      <c r="K103"/>
      <c r="L103"/>
    </row>
    <row r="104" spans="1:12">
      <c r="A104" s="7">
        <f t="shared" si="8"/>
        <v>3.55</v>
      </c>
      <c r="B104" s="8">
        <f t="shared" si="10"/>
        <v>0.358449999999999</v>
      </c>
      <c r="C104" s="8">
        <f t="shared" si="9"/>
        <v>0.513965749999998</v>
      </c>
      <c r="D104" s="9">
        <f t="shared" si="11"/>
        <v>0.184231023087499</v>
      </c>
      <c r="F104"/>
      <c r="G104"/>
      <c r="H104"/>
      <c r="J104"/>
      <c r="K104"/>
      <c r="L104"/>
    </row>
    <row r="105" spans="1:12">
      <c r="A105" s="7">
        <f t="shared" si="8"/>
        <v>3.59999999999999</v>
      </c>
      <c r="B105" s="8">
        <f t="shared" si="10"/>
        <v>0.372399999999999</v>
      </c>
      <c r="C105" s="8">
        <f t="shared" si="9"/>
        <v>0.539342999999998</v>
      </c>
      <c r="D105" s="9">
        <f t="shared" si="11"/>
        <v>0.200851333199998</v>
      </c>
      <c r="F105"/>
      <c r="G105" s="14" t="s">
        <v>253</v>
      </c>
      <c r="H105">
        <f>IF(VCOMP1&gt;=1.5,IF(VCOMP1&lt;2,VCOMP1,IF(VCOMP2&gt;=2,IF(VCOMP2&lt;3,VCOMP2,IF(VCOMP3&gt;=3,IF(VCOMP3&lt;5.5,VCOMP3,IF(VCOMP4&gt;=5.5,IF(VCOMP4&lt;5.6,VCOMP4,5.7))))))))</f>
        <v>4.52389752018411</v>
      </c>
      <c r="J105"/>
      <c r="K105"/>
      <c r="L105"/>
    </row>
    <row r="106" spans="1:12">
      <c r="A106" s="7">
        <f t="shared" si="8"/>
        <v>3.64999999999999</v>
      </c>
      <c r="B106" s="8">
        <f t="shared" si="10"/>
        <v>0.386349999999999</v>
      </c>
      <c r="C106" s="8">
        <f t="shared" si="9"/>
        <v>0.565331749999997</v>
      </c>
      <c r="D106" s="9">
        <f t="shared" si="11"/>
        <v>0.218415921612498</v>
      </c>
      <c r="F106"/>
      <c r="G106"/>
      <c r="H106"/>
      <c r="J106"/>
      <c r="K106"/>
      <c r="L106"/>
    </row>
    <row r="107" spans="1:12">
      <c r="A107" s="7">
        <f t="shared" si="8"/>
        <v>3.69999999999999</v>
      </c>
      <c r="B107" s="8">
        <f t="shared" si="10"/>
        <v>0.400299999999999</v>
      </c>
      <c r="C107" s="8">
        <f t="shared" si="9"/>
        <v>0.591931999999997</v>
      </c>
      <c r="D107" s="9">
        <f t="shared" si="11"/>
        <v>0.236950379599998</v>
      </c>
      <c r="F107"/>
      <c r="G107" s="14"/>
      <c r="H107"/>
      <c r="J107"/>
      <c r="K107"/>
      <c r="L107"/>
    </row>
    <row r="108" spans="1:12">
      <c r="A108" s="7">
        <f t="shared" si="8"/>
        <v>3.74999999999999</v>
      </c>
      <c r="B108" s="8">
        <f t="shared" si="10"/>
        <v>0.414249999999999</v>
      </c>
      <c r="C108" s="8">
        <f t="shared" si="9"/>
        <v>0.619143749999997</v>
      </c>
      <c r="D108" s="9">
        <f t="shared" si="11"/>
        <v>0.256480298437498</v>
      </c>
      <c r="F108"/>
      <c r="G108"/>
      <c r="H108"/>
      <c r="J108"/>
      <c r="K108"/>
      <c r="L108"/>
    </row>
    <row r="109" spans="1:12">
      <c r="A109" s="7">
        <f t="shared" si="8"/>
        <v>3.79999999999999</v>
      </c>
      <c r="B109" s="8">
        <f t="shared" si="10"/>
        <v>0.428199999999998</v>
      </c>
      <c r="C109" s="8">
        <f t="shared" si="9"/>
        <v>0.646966999999997</v>
      </c>
      <c r="D109" s="9">
        <f t="shared" si="11"/>
        <v>0.277031269399998</v>
      </c>
      <c r="F109"/>
      <c r="G109"/>
      <c r="H109"/>
      <c r="J109"/>
      <c r="K109"/>
      <c r="L109"/>
    </row>
    <row r="110" spans="1:12">
      <c r="A110" s="7">
        <f t="shared" si="8"/>
        <v>3.84999999999999</v>
      </c>
      <c r="B110" s="8">
        <f t="shared" si="10"/>
        <v>0.442149999999999</v>
      </c>
      <c r="C110" s="8">
        <f t="shared" si="9"/>
        <v>0.675401749999997</v>
      </c>
      <c r="D110" s="9">
        <f t="shared" si="11"/>
        <v>0.298628883762498</v>
      </c>
      <c r="J110"/>
      <c r="K110"/>
      <c r="L110"/>
    </row>
    <row r="111" spans="1:12">
      <c r="A111" s="7">
        <f t="shared" si="8"/>
        <v>3.89999999999999</v>
      </c>
      <c r="B111" s="8">
        <f t="shared" si="10"/>
        <v>0.456099999999999</v>
      </c>
      <c r="C111" s="8">
        <f t="shared" si="9"/>
        <v>0.704447999999997</v>
      </c>
      <c r="D111" s="9">
        <f t="shared" si="11"/>
        <v>0.321298732799997</v>
      </c>
      <c r="J111"/>
      <c r="K111"/>
      <c r="L111"/>
    </row>
    <row r="112" spans="1:12">
      <c r="A112" s="7">
        <f t="shared" si="8"/>
        <v>3.94999999999999</v>
      </c>
      <c r="B112" s="8">
        <f t="shared" si="10"/>
        <v>0.470049999999998</v>
      </c>
      <c r="C112" s="8">
        <f t="shared" si="9"/>
        <v>0.734105749999996</v>
      </c>
      <c r="D112" s="9">
        <f t="shared" si="11"/>
        <v>0.345066407787497</v>
      </c>
      <c r="J112"/>
      <c r="K112"/>
      <c r="L112"/>
    </row>
    <row r="113" spans="1:12">
      <c r="A113" s="7">
        <f t="shared" si="8"/>
        <v>3.99999999999999</v>
      </c>
      <c r="B113" s="8">
        <f t="shared" si="10"/>
        <v>0.483999999999998</v>
      </c>
      <c r="C113" s="8">
        <f t="shared" si="9"/>
        <v>0.764374999999996</v>
      </c>
      <c r="D113" s="9">
        <f t="shared" si="11"/>
        <v>0.369957499999997</v>
      </c>
      <c r="J113"/>
      <c r="K113"/>
      <c r="L113"/>
    </row>
    <row r="114" spans="1:12">
      <c r="A114" s="7">
        <f t="shared" si="8"/>
        <v>4.04999999999999</v>
      </c>
      <c r="B114" s="8">
        <f t="shared" si="10"/>
        <v>0.497949999999998</v>
      </c>
      <c r="C114" s="8">
        <f t="shared" si="9"/>
        <v>0.795255749999996</v>
      </c>
      <c r="D114" s="9">
        <f t="shared" si="11"/>
        <v>0.395997600712497</v>
      </c>
      <c r="J114"/>
      <c r="K114"/>
      <c r="L114"/>
    </row>
    <row r="115" spans="1:12">
      <c r="A115" s="7">
        <f t="shared" si="8"/>
        <v>4.09999999999999</v>
      </c>
      <c r="B115" s="8">
        <f t="shared" si="10"/>
        <v>0.511899999999998</v>
      </c>
      <c r="C115" s="8">
        <f t="shared" si="9"/>
        <v>0.826747999999996</v>
      </c>
      <c r="D115" s="9">
        <f t="shared" si="11"/>
        <v>0.423212301199997</v>
      </c>
      <c r="J115"/>
      <c r="K115"/>
      <c r="L115"/>
    </row>
    <row r="116" spans="1:12">
      <c r="A116" s="7">
        <f t="shared" si="8"/>
        <v>4.14999999999999</v>
      </c>
      <c r="B116" s="8">
        <f t="shared" si="10"/>
        <v>0.525849999999998</v>
      </c>
      <c r="C116" s="8">
        <f t="shared" si="9"/>
        <v>0.858851749999996</v>
      </c>
      <c r="D116" s="9">
        <f t="shared" si="11"/>
        <v>0.451627192737496</v>
      </c>
      <c r="J116"/>
      <c r="K116"/>
      <c r="L116"/>
    </row>
    <row r="117" spans="1:12">
      <c r="A117" s="7">
        <f t="shared" si="8"/>
        <v>4.19999999999999</v>
      </c>
      <c r="B117" s="8">
        <f t="shared" si="10"/>
        <v>0.539799999999998</v>
      </c>
      <c r="C117" s="8">
        <f t="shared" si="9"/>
        <v>0.891566999999995</v>
      </c>
      <c r="D117" s="9">
        <f t="shared" si="11"/>
        <v>0.481267866599996</v>
      </c>
      <c r="J117"/>
      <c r="K117"/>
      <c r="L117"/>
    </row>
    <row r="118" spans="1:12">
      <c r="A118" s="7">
        <f t="shared" si="8"/>
        <v>4.24999999999999</v>
      </c>
      <c r="B118" s="8">
        <f t="shared" si="10"/>
        <v>0.553749999999998</v>
      </c>
      <c r="C118" s="8">
        <f t="shared" si="9"/>
        <v>0.924893749999995</v>
      </c>
      <c r="D118" s="9">
        <f t="shared" si="11"/>
        <v>0.512159914062496</v>
      </c>
      <c r="J118"/>
      <c r="K118"/>
      <c r="L118"/>
    </row>
    <row r="119" spans="1:12">
      <c r="A119" s="7">
        <f t="shared" si="8"/>
        <v>4.29999999999999</v>
      </c>
      <c r="B119" s="8">
        <f t="shared" si="10"/>
        <v>0.567699999999998</v>
      </c>
      <c r="C119" s="8">
        <f t="shared" si="9"/>
        <v>0.958831999999995</v>
      </c>
      <c r="D119" s="9">
        <f t="shared" si="11"/>
        <v>0.544328926399995</v>
      </c>
      <c r="J119"/>
      <c r="K119"/>
      <c r="L119"/>
    </row>
    <row r="120" spans="1:12">
      <c r="A120" s="7">
        <f t="shared" si="8"/>
        <v>4.34999999999999</v>
      </c>
      <c r="B120" s="8">
        <f t="shared" si="10"/>
        <v>0.581649999999998</v>
      </c>
      <c r="C120" s="8">
        <f t="shared" si="9"/>
        <v>0.993381749999995</v>
      </c>
      <c r="D120" s="9">
        <f t="shared" si="11"/>
        <v>0.577800494887495</v>
      </c>
      <c r="J120"/>
      <c r="K120"/>
      <c r="L120"/>
    </row>
    <row r="121" spans="1:12">
      <c r="A121" s="7">
        <f t="shared" si="8"/>
        <v>4.39999999999999</v>
      </c>
      <c r="B121" s="8">
        <f t="shared" si="10"/>
        <v>0.595599999999998</v>
      </c>
      <c r="C121" s="8">
        <f t="shared" si="9"/>
        <v>1.02854299999999</v>
      </c>
      <c r="D121" s="9">
        <f t="shared" si="11"/>
        <v>0.612600210799995</v>
      </c>
      <c r="J121"/>
      <c r="K121"/>
      <c r="L121"/>
    </row>
    <row r="122" spans="1:12">
      <c r="A122" s="7">
        <f t="shared" si="8"/>
        <v>4.44999999999999</v>
      </c>
      <c r="B122" s="8">
        <f t="shared" si="10"/>
        <v>0.609549999999998</v>
      </c>
      <c r="C122" s="8">
        <f t="shared" si="9"/>
        <v>1.06431574999999</v>
      </c>
      <c r="D122" s="9">
        <f t="shared" si="11"/>
        <v>0.648753665412494</v>
      </c>
      <c r="J122"/>
      <c r="K122"/>
      <c r="L122"/>
    </row>
    <row r="123" spans="1:12">
      <c r="A123" s="7">
        <f t="shared" si="8"/>
        <v>4.49999999999999</v>
      </c>
      <c r="B123" s="8">
        <f t="shared" si="10"/>
        <v>0.623499999999998</v>
      </c>
      <c r="C123" s="8">
        <f t="shared" si="9"/>
        <v>1.10069999999999</v>
      </c>
      <c r="D123" s="9">
        <f t="shared" si="11"/>
        <v>0.686286449999994</v>
      </c>
      <c r="J123"/>
      <c r="K123"/>
      <c r="L123"/>
    </row>
    <row r="124" spans="1:12">
      <c r="A124" s="7">
        <f t="shared" si="8"/>
        <v>4.54999999999999</v>
      </c>
      <c r="B124" s="8">
        <f t="shared" si="10"/>
        <v>0.637449999999998</v>
      </c>
      <c r="C124" s="8">
        <f t="shared" si="9"/>
        <v>1.13769574999999</v>
      </c>
      <c r="D124" s="9">
        <f t="shared" si="11"/>
        <v>0.725224155837494</v>
      </c>
      <c r="J124"/>
      <c r="K124"/>
      <c r="L124"/>
    </row>
    <row r="125" spans="1:12">
      <c r="A125" s="7">
        <f t="shared" si="8"/>
        <v>4.59999999999999</v>
      </c>
      <c r="B125" s="8">
        <f t="shared" si="10"/>
        <v>0.651399999999998</v>
      </c>
      <c r="C125" s="8">
        <f t="shared" si="9"/>
        <v>1.17530299999999</v>
      </c>
      <c r="D125" s="9">
        <f t="shared" si="11"/>
        <v>0.765592374199993</v>
      </c>
      <c r="J125"/>
      <c r="K125"/>
      <c r="L125"/>
    </row>
    <row r="126" spans="1:12">
      <c r="A126" s="7">
        <f t="shared" si="8"/>
        <v>4.64999999999999</v>
      </c>
      <c r="B126" s="8">
        <f t="shared" si="10"/>
        <v>0.665349999999998</v>
      </c>
      <c r="C126" s="8">
        <f t="shared" si="9"/>
        <v>1.21352174999999</v>
      </c>
      <c r="D126" s="9">
        <f t="shared" si="11"/>
        <v>0.807416696362493</v>
      </c>
      <c r="J126"/>
      <c r="K126"/>
      <c r="L126"/>
    </row>
    <row r="127" spans="1:12">
      <c r="A127" s="7">
        <f t="shared" si="8"/>
        <v>4.69999999999999</v>
      </c>
      <c r="B127" s="8">
        <f t="shared" si="10"/>
        <v>0.679299999999998</v>
      </c>
      <c r="C127" s="8">
        <f t="shared" si="9"/>
        <v>1.25235199999999</v>
      </c>
      <c r="D127" s="9">
        <f t="shared" si="11"/>
        <v>0.850722713599993</v>
      </c>
      <c r="J127"/>
      <c r="K127"/>
      <c r="L127"/>
    </row>
    <row r="128" spans="1:12">
      <c r="A128" s="7">
        <f t="shared" si="8"/>
        <v>4.74999999999999</v>
      </c>
      <c r="B128" s="8">
        <f t="shared" si="10"/>
        <v>0.693249999999998</v>
      </c>
      <c r="C128" s="8">
        <f t="shared" si="9"/>
        <v>1.29179374999999</v>
      </c>
      <c r="D128" s="9">
        <f t="shared" si="11"/>
        <v>0.895536017187492</v>
      </c>
      <c r="J128"/>
      <c r="K128"/>
      <c r="L128"/>
    </row>
    <row r="129" spans="1:12">
      <c r="A129" s="7">
        <f t="shared" ref="A129:A174" si="12">A128+0.05</f>
        <v>4.79999999999999</v>
      </c>
      <c r="B129" s="8">
        <f t="shared" si="10"/>
        <v>0.707199999999997</v>
      </c>
      <c r="C129" s="8">
        <f t="shared" ref="C129:C174" si="13">IF(A129&lt;=1.5,0,IF(A129&lt;5.6,(0.1223*(A129-1.5)^2),IF(A129&lt;7,2.056,"VCOMP MUST BE &lt; 7")))</f>
        <v>1.33184699999999</v>
      </c>
      <c r="D129" s="9">
        <f t="shared" si="11"/>
        <v>0.941882198399991</v>
      </c>
      <c r="J129"/>
      <c r="K129"/>
      <c r="L129"/>
    </row>
    <row r="130" spans="1:12">
      <c r="A130" s="7">
        <f t="shared" si="12"/>
        <v>4.84999999999999</v>
      </c>
      <c r="B130" s="8">
        <f t="shared" si="10"/>
        <v>0.721149999999998</v>
      </c>
      <c r="C130" s="8">
        <f t="shared" si="13"/>
        <v>1.37251174999999</v>
      </c>
      <c r="D130" s="9">
        <f t="shared" si="11"/>
        <v>0.989786848512491</v>
      </c>
      <c r="J130"/>
      <c r="K130"/>
      <c r="L130"/>
    </row>
    <row r="131" spans="1:12">
      <c r="A131" s="7">
        <f t="shared" si="12"/>
        <v>4.89999999999999</v>
      </c>
      <c r="B131" s="8">
        <f t="shared" si="10"/>
        <v>0.735099999999998</v>
      </c>
      <c r="C131" s="8">
        <f t="shared" si="13"/>
        <v>1.41378799999999</v>
      </c>
      <c r="D131" s="9">
        <f t="shared" si="11"/>
        <v>1.03927555879999</v>
      </c>
      <c r="J131"/>
      <c r="K131"/>
      <c r="L131"/>
    </row>
    <row r="132" spans="1:12">
      <c r="A132" s="7">
        <f t="shared" si="12"/>
        <v>4.94999999999999</v>
      </c>
      <c r="B132" s="8">
        <f t="shared" si="10"/>
        <v>0.749049999999997</v>
      </c>
      <c r="C132" s="8">
        <f t="shared" si="13"/>
        <v>1.45567574999999</v>
      </c>
      <c r="D132" s="9">
        <f t="shared" si="11"/>
        <v>1.09037392053749</v>
      </c>
      <c r="J132"/>
      <c r="K132"/>
      <c r="L132"/>
    </row>
    <row r="133" spans="1:12">
      <c r="A133" s="7">
        <f t="shared" si="12"/>
        <v>4.99999999999999</v>
      </c>
      <c r="B133" s="8">
        <f t="shared" si="10"/>
        <v>0.762999999999997</v>
      </c>
      <c r="C133" s="8">
        <f t="shared" si="13"/>
        <v>1.49817499999999</v>
      </c>
      <c r="D133" s="9">
        <f t="shared" si="11"/>
        <v>1.14310752499999</v>
      </c>
      <c r="J133"/>
      <c r="K133"/>
      <c r="L133"/>
    </row>
    <row r="134" spans="1:12">
      <c r="A134" s="7">
        <f t="shared" si="12"/>
        <v>5.04999999999999</v>
      </c>
      <c r="B134" s="8">
        <f t="shared" si="10"/>
        <v>0.776949999999997</v>
      </c>
      <c r="C134" s="8">
        <f t="shared" si="13"/>
        <v>1.54128574999999</v>
      </c>
      <c r="D134" s="9">
        <f t="shared" si="11"/>
        <v>1.19750196346249</v>
      </c>
      <c r="J134"/>
      <c r="K134"/>
      <c r="L134"/>
    </row>
    <row r="135" spans="1:12">
      <c r="A135" s="7">
        <f t="shared" si="12"/>
        <v>5.09999999999999</v>
      </c>
      <c r="B135" s="8">
        <f t="shared" si="10"/>
        <v>0.790899999999997</v>
      </c>
      <c r="C135" s="8">
        <f t="shared" si="13"/>
        <v>1.58500799999999</v>
      </c>
      <c r="D135" s="9">
        <f t="shared" si="11"/>
        <v>1.25358282719999</v>
      </c>
      <c r="J135"/>
      <c r="K135"/>
      <c r="L135"/>
    </row>
    <row r="136" spans="1:12">
      <c r="A136" s="7">
        <f t="shared" si="12"/>
        <v>5.14999999999999</v>
      </c>
      <c r="B136" s="8">
        <f t="shared" si="10"/>
        <v>0.804849999999997</v>
      </c>
      <c r="C136" s="8">
        <f t="shared" si="13"/>
        <v>1.62934174999999</v>
      </c>
      <c r="D136" s="9">
        <f t="shared" si="11"/>
        <v>1.31137570748749</v>
      </c>
      <c r="J136"/>
      <c r="K136"/>
      <c r="L136"/>
    </row>
    <row r="137" spans="1:12">
      <c r="A137" s="7">
        <f t="shared" si="12"/>
        <v>5.19999999999999</v>
      </c>
      <c r="B137" s="8">
        <f t="shared" si="10"/>
        <v>0.818799999999997</v>
      </c>
      <c r="C137" s="8">
        <f t="shared" si="13"/>
        <v>1.67428699999999</v>
      </c>
      <c r="D137" s="9">
        <f t="shared" si="11"/>
        <v>1.37090619559999</v>
      </c>
      <c r="J137"/>
      <c r="K137"/>
      <c r="L137"/>
    </row>
    <row r="138" spans="1:12">
      <c r="A138" s="7">
        <f t="shared" si="12"/>
        <v>5.24999999999999</v>
      </c>
      <c r="B138" s="8">
        <f t="shared" si="10"/>
        <v>0.832749999999997</v>
      </c>
      <c r="C138" s="8">
        <f t="shared" si="13"/>
        <v>1.71984374999999</v>
      </c>
      <c r="D138" s="9">
        <f t="shared" si="11"/>
        <v>1.43219988281249</v>
      </c>
      <c r="J138"/>
      <c r="K138"/>
      <c r="L138"/>
    </row>
    <row r="139" spans="1:12">
      <c r="A139" s="7">
        <f t="shared" si="12"/>
        <v>5.29999999999999</v>
      </c>
      <c r="B139" s="8">
        <f t="shared" si="10"/>
        <v>0.846699999999997</v>
      </c>
      <c r="C139" s="8">
        <f t="shared" si="13"/>
        <v>1.76601199999999</v>
      </c>
      <c r="D139" s="9">
        <f t="shared" si="11"/>
        <v>1.49528236039999</v>
      </c>
      <c r="J139"/>
      <c r="K139"/>
      <c r="L139"/>
    </row>
    <row r="140" spans="1:12">
      <c r="A140" s="7">
        <f t="shared" si="12"/>
        <v>5.34999999999999</v>
      </c>
      <c r="B140" s="8">
        <f t="shared" si="10"/>
        <v>0.860649999999997</v>
      </c>
      <c r="C140" s="8">
        <f t="shared" si="13"/>
        <v>1.81279174999999</v>
      </c>
      <c r="D140" s="9">
        <f t="shared" si="11"/>
        <v>1.56017921963749</v>
      </c>
      <c r="J140"/>
      <c r="K140"/>
      <c r="L140"/>
    </row>
    <row r="141" spans="1:12">
      <c r="A141" s="7">
        <f t="shared" si="12"/>
        <v>5.39999999999999</v>
      </c>
      <c r="B141" s="8">
        <f t="shared" si="10"/>
        <v>0.874599999999997</v>
      </c>
      <c r="C141" s="8">
        <f t="shared" si="13"/>
        <v>1.86018299999999</v>
      </c>
      <c r="D141" s="9">
        <f t="shared" si="11"/>
        <v>1.62691605179999</v>
      </c>
      <c r="J141"/>
      <c r="K141"/>
      <c r="L141"/>
    </row>
    <row r="142" spans="1:12">
      <c r="A142" s="7">
        <f t="shared" si="12"/>
        <v>5.44999999999999</v>
      </c>
      <c r="B142" s="8">
        <f t="shared" si="10"/>
        <v>0.888549999999997</v>
      </c>
      <c r="C142" s="8">
        <f t="shared" si="13"/>
        <v>1.90818574999999</v>
      </c>
      <c r="D142" s="9">
        <f t="shared" si="11"/>
        <v>1.69551844816248</v>
      </c>
      <c r="J142"/>
      <c r="K142"/>
      <c r="L142"/>
    </row>
    <row r="143" spans="1:12">
      <c r="A143" s="7">
        <f t="shared" si="12"/>
        <v>5.49999999999999</v>
      </c>
      <c r="B143" s="8">
        <f t="shared" si="10"/>
        <v>0.902499999999997</v>
      </c>
      <c r="C143" s="8">
        <f t="shared" si="13"/>
        <v>1.95679999999999</v>
      </c>
      <c r="D143" s="9">
        <f t="shared" si="11"/>
        <v>1.76601199999998</v>
      </c>
      <c r="J143"/>
      <c r="K143"/>
      <c r="L143"/>
    </row>
    <row r="144" spans="1:12">
      <c r="A144" s="7">
        <f t="shared" si="12"/>
        <v>5.54999999999999</v>
      </c>
      <c r="B144" s="8">
        <f t="shared" si="10"/>
        <v>0.903</v>
      </c>
      <c r="C144" s="8">
        <f t="shared" si="13"/>
        <v>2.00602574999999</v>
      </c>
      <c r="D144" s="9">
        <f t="shared" si="11"/>
        <v>1.81144125224999</v>
      </c>
      <c r="J144"/>
      <c r="K144"/>
      <c r="L144"/>
    </row>
    <row r="145" spans="1:12">
      <c r="A145" s="7">
        <f t="shared" si="12"/>
        <v>5.59999999999999</v>
      </c>
      <c r="B145" s="8">
        <f t="shared" si="10"/>
        <v>0.903</v>
      </c>
      <c r="C145" s="8">
        <f t="shared" si="13"/>
        <v>2.05586299999999</v>
      </c>
      <c r="D145" s="9">
        <f t="shared" si="11"/>
        <v>1.85644428899999</v>
      </c>
      <c r="J145"/>
      <c r="K145"/>
      <c r="L145"/>
    </row>
    <row r="146" spans="1:12">
      <c r="A146" s="7">
        <f t="shared" si="12"/>
        <v>5.64999999999999</v>
      </c>
      <c r="B146" s="8">
        <f t="shared" si="10"/>
        <v>0.903</v>
      </c>
      <c r="C146" s="8">
        <f t="shared" si="13"/>
        <v>2.056</v>
      </c>
      <c r="D146" s="9">
        <f t="shared" si="11"/>
        <v>1.856568</v>
      </c>
      <c r="J146"/>
      <c r="K146"/>
      <c r="L146"/>
    </row>
    <row r="147" spans="1:12">
      <c r="A147" s="7">
        <f t="shared" si="12"/>
        <v>5.69999999999999</v>
      </c>
      <c r="B147" s="8">
        <f t="shared" si="10"/>
        <v>0.903</v>
      </c>
      <c r="C147" s="8">
        <f t="shared" si="13"/>
        <v>2.056</v>
      </c>
      <c r="D147" s="9">
        <f t="shared" si="11"/>
        <v>1.856568</v>
      </c>
      <c r="J147"/>
      <c r="K147"/>
      <c r="L147"/>
    </row>
    <row r="148" spans="1:12">
      <c r="A148" s="7">
        <f t="shared" si="12"/>
        <v>5.74999999999999</v>
      </c>
      <c r="B148" s="8">
        <f t="shared" si="10"/>
        <v>0.903</v>
      </c>
      <c r="C148" s="8">
        <f t="shared" si="13"/>
        <v>2.056</v>
      </c>
      <c r="D148" s="9">
        <f t="shared" si="11"/>
        <v>1.856568</v>
      </c>
      <c r="J148"/>
      <c r="K148"/>
      <c r="L148"/>
    </row>
    <row r="149" spans="1:12">
      <c r="A149" s="7">
        <f t="shared" si="12"/>
        <v>5.79999999999999</v>
      </c>
      <c r="B149" s="8">
        <f t="shared" si="10"/>
        <v>0.903</v>
      </c>
      <c r="C149" s="8">
        <f t="shared" si="13"/>
        <v>2.056</v>
      </c>
      <c r="D149" s="9">
        <f t="shared" si="11"/>
        <v>1.856568</v>
      </c>
      <c r="J149"/>
      <c r="K149"/>
      <c r="L149"/>
    </row>
    <row r="150" spans="1:12">
      <c r="A150" s="7">
        <f t="shared" si="12"/>
        <v>5.84999999999999</v>
      </c>
      <c r="B150" s="8">
        <f t="shared" si="10"/>
        <v>0.903</v>
      </c>
      <c r="C150" s="8">
        <f t="shared" si="13"/>
        <v>2.056</v>
      </c>
      <c r="D150" s="9">
        <f t="shared" si="11"/>
        <v>1.856568</v>
      </c>
      <c r="J150"/>
      <c r="K150"/>
      <c r="L150"/>
    </row>
    <row r="151" spans="1:12">
      <c r="A151" s="7">
        <f t="shared" si="12"/>
        <v>5.89999999999999</v>
      </c>
      <c r="B151" s="8">
        <f t="shared" si="10"/>
        <v>0.903</v>
      </c>
      <c r="C151" s="8">
        <f t="shared" si="13"/>
        <v>2.056</v>
      </c>
      <c r="D151" s="9">
        <f t="shared" si="11"/>
        <v>1.856568</v>
      </c>
      <c r="J151"/>
      <c r="K151"/>
      <c r="L151"/>
    </row>
    <row r="152" spans="1:12">
      <c r="A152" s="7">
        <f t="shared" si="12"/>
        <v>5.94999999999999</v>
      </c>
      <c r="B152" s="8">
        <f t="shared" si="10"/>
        <v>0.903</v>
      </c>
      <c r="C152" s="8">
        <f t="shared" si="13"/>
        <v>2.056</v>
      </c>
      <c r="D152" s="9">
        <f t="shared" si="11"/>
        <v>1.856568</v>
      </c>
      <c r="J152"/>
      <c r="K152"/>
      <c r="L152"/>
    </row>
    <row r="153" spans="1:12">
      <c r="A153" s="7">
        <f t="shared" si="12"/>
        <v>5.99999999999999</v>
      </c>
      <c r="B153" s="8">
        <f t="shared" si="10"/>
        <v>0.903</v>
      </c>
      <c r="C153" s="8">
        <f t="shared" si="13"/>
        <v>2.056</v>
      </c>
      <c r="D153" s="9">
        <f t="shared" si="11"/>
        <v>1.856568</v>
      </c>
      <c r="J153"/>
      <c r="K153"/>
      <c r="L153"/>
    </row>
    <row r="154" spans="1:12">
      <c r="A154" s="7">
        <f t="shared" si="12"/>
        <v>6.04999999999999</v>
      </c>
      <c r="B154" s="8">
        <f t="shared" si="10"/>
        <v>0.903</v>
      </c>
      <c r="C154" s="8">
        <f t="shared" si="13"/>
        <v>2.056</v>
      </c>
      <c r="D154" s="9">
        <f t="shared" si="11"/>
        <v>1.856568</v>
      </c>
      <c r="J154"/>
      <c r="K154"/>
      <c r="L154"/>
    </row>
    <row r="155" spans="1:12">
      <c r="A155" s="7">
        <f t="shared" si="12"/>
        <v>6.09999999999999</v>
      </c>
      <c r="B155" s="8">
        <f t="shared" si="10"/>
        <v>0.903</v>
      </c>
      <c r="C155" s="8">
        <f t="shared" si="13"/>
        <v>2.056</v>
      </c>
      <c r="D155" s="9">
        <f t="shared" si="11"/>
        <v>1.856568</v>
      </c>
      <c r="J155"/>
      <c r="K155"/>
      <c r="L155"/>
    </row>
    <row r="156" spans="1:12">
      <c r="A156" s="7">
        <f t="shared" si="12"/>
        <v>6.14999999999999</v>
      </c>
      <c r="B156" s="8">
        <f t="shared" si="10"/>
        <v>0.903</v>
      </c>
      <c r="C156" s="8">
        <f t="shared" si="13"/>
        <v>2.056</v>
      </c>
      <c r="D156" s="9">
        <f t="shared" si="11"/>
        <v>1.856568</v>
      </c>
      <c r="J156"/>
      <c r="K156"/>
      <c r="L156"/>
    </row>
    <row r="157" spans="1:12">
      <c r="A157" s="7">
        <f t="shared" si="12"/>
        <v>6.19999999999999</v>
      </c>
      <c r="B157" s="8">
        <f t="shared" si="10"/>
        <v>0.903</v>
      </c>
      <c r="C157" s="8">
        <f t="shared" si="13"/>
        <v>2.056</v>
      </c>
      <c r="D157" s="9">
        <f t="shared" si="11"/>
        <v>1.856568</v>
      </c>
      <c r="J157"/>
      <c r="K157"/>
      <c r="L157"/>
    </row>
    <row r="158" spans="1:12">
      <c r="A158" s="7">
        <f t="shared" si="12"/>
        <v>6.24999999999999</v>
      </c>
      <c r="B158" s="8">
        <f t="shared" si="10"/>
        <v>0.903</v>
      </c>
      <c r="C158" s="8">
        <f t="shared" si="13"/>
        <v>2.056</v>
      </c>
      <c r="D158" s="9">
        <f t="shared" si="11"/>
        <v>1.856568</v>
      </c>
      <c r="J158"/>
      <c r="K158"/>
      <c r="L158"/>
    </row>
    <row r="159" spans="1:12">
      <c r="A159" s="7">
        <f t="shared" si="12"/>
        <v>6.29999999999999</v>
      </c>
      <c r="B159" s="8">
        <f t="shared" si="10"/>
        <v>0.903</v>
      </c>
      <c r="C159" s="8">
        <f t="shared" si="13"/>
        <v>2.056</v>
      </c>
      <c r="D159" s="9">
        <f t="shared" si="11"/>
        <v>1.856568</v>
      </c>
      <c r="J159"/>
      <c r="K159"/>
      <c r="L159"/>
    </row>
    <row r="160" spans="1:12">
      <c r="A160" s="7">
        <f t="shared" si="12"/>
        <v>6.34999999999999</v>
      </c>
      <c r="B160" s="8">
        <f t="shared" si="10"/>
        <v>0.903</v>
      </c>
      <c r="C160" s="8">
        <f t="shared" si="13"/>
        <v>2.056</v>
      </c>
      <c r="D160" s="9">
        <f t="shared" si="11"/>
        <v>1.856568</v>
      </c>
      <c r="J160"/>
      <c r="K160"/>
      <c r="L160"/>
    </row>
    <row r="161" spans="1:12">
      <c r="A161" s="7">
        <f t="shared" si="12"/>
        <v>6.39999999999999</v>
      </c>
      <c r="B161" s="8">
        <f t="shared" si="10"/>
        <v>0.903</v>
      </c>
      <c r="C161" s="8">
        <f t="shared" si="13"/>
        <v>2.056</v>
      </c>
      <c r="D161" s="9">
        <f t="shared" si="11"/>
        <v>1.856568</v>
      </c>
      <c r="J161"/>
      <c r="K161"/>
      <c r="L161"/>
    </row>
    <row r="162" spans="1:12">
      <c r="A162" s="7">
        <f t="shared" si="12"/>
        <v>6.44999999999999</v>
      </c>
      <c r="B162" s="8">
        <f t="shared" ref="B162:B174" si="14">IF(A162&lt;2,(0.064),IF(A162&lt;3,(0.139*A162-0.214),IF(A162&lt;5.5,(0.279*A162-0.632),IF(A162&lt;7,0.903,"VCOMP MUST BE &lt; 7"))))</f>
        <v>0.903</v>
      </c>
      <c r="C162" s="8">
        <f t="shared" si="13"/>
        <v>2.056</v>
      </c>
      <c r="D162" s="9">
        <f t="shared" ref="D162:D173" si="15">B162*C162</f>
        <v>1.856568</v>
      </c>
      <c r="J162"/>
      <c r="K162"/>
      <c r="L162"/>
    </row>
    <row r="163" spans="1:12">
      <c r="A163" s="7">
        <f t="shared" si="12"/>
        <v>6.49999999999998</v>
      </c>
      <c r="B163" s="8">
        <f t="shared" si="14"/>
        <v>0.903</v>
      </c>
      <c r="C163" s="8">
        <f t="shared" si="13"/>
        <v>2.056</v>
      </c>
      <c r="D163" s="9">
        <f t="shared" si="15"/>
        <v>1.856568</v>
      </c>
      <c r="J163"/>
      <c r="K163"/>
      <c r="L163"/>
    </row>
    <row r="164" spans="1:12">
      <c r="A164" s="7">
        <f t="shared" si="12"/>
        <v>6.54999999999998</v>
      </c>
      <c r="B164" s="8">
        <f t="shared" si="14"/>
        <v>0.903</v>
      </c>
      <c r="C164" s="8">
        <f t="shared" si="13"/>
        <v>2.056</v>
      </c>
      <c r="D164" s="9">
        <f t="shared" si="15"/>
        <v>1.856568</v>
      </c>
      <c r="J164"/>
      <c r="K164"/>
      <c r="L164"/>
    </row>
    <row r="165" spans="1:12">
      <c r="A165" s="7">
        <f t="shared" si="12"/>
        <v>6.59999999999998</v>
      </c>
      <c r="B165" s="8">
        <f t="shared" si="14"/>
        <v>0.903</v>
      </c>
      <c r="C165" s="8">
        <f t="shared" si="13"/>
        <v>2.056</v>
      </c>
      <c r="D165" s="9">
        <f t="shared" si="15"/>
        <v>1.856568</v>
      </c>
      <c r="J165"/>
      <c r="K165"/>
      <c r="L165"/>
    </row>
    <row r="166" spans="1:12">
      <c r="A166" s="7">
        <f t="shared" si="12"/>
        <v>6.64999999999998</v>
      </c>
      <c r="B166" s="8">
        <f t="shared" si="14"/>
        <v>0.903</v>
      </c>
      <c r="C166" s="8">
        <f t="shared" si="13"/>
        <v>2.056</v>
      </c>
      <c r="D166" s="9">
        <f t="shared" si="15"/>
        <v>1.856568</v>
      </c>
      <c r="J166"/>
      <c r="K166"/>
      <c r="L166"/>
    </row>
    <row r="167" spans="1:12">
      <c r="A167" s="7">
        <f t="shared" si="12"/>
        <v>6.69999999999998</v>
      </c>
      <c r="B167" s="8">
        <f t="shared" si="14"/>
        <v>0.903</v>
      </c>
      <c r="C167" s="8">
        <f t="shared" si="13"/>
        <v>2.056</v>
      </c>
      <c r="D167" s="9">
        <f t="shared" si="15"/>
        <v>1.856568</v>
      </c>
      <c r="J167"/>
      <c r="K167"/>
      <c r="L167"/>
    </row>
    <row r="168" spans="1:12">
      <c r="A168" s="7">
        <f t="shared" si="12"/>
        <v>6.74999999999998</v>
      </c>
      <c r="B168" s="8">
        <f t="shared" si="14"/>
        <v>0.903</v>
      </c>
      <c r="C168" s="8">
        <f t="shared" si="13"/>
        <v>2.056</v>
      </c>
      <c r="D168" s="9">
        <f t="shared" si="15"/>
        <v>1.856568</v>
      </c>
      <c r="J168"/>
      <c r="K168"/>
      <c r="L168"/>
    </row>
    <row r="169" spans="1:12">
      <c r="A169" s="7">
        <f t="shared" si="12"/>
        <v>6.79999999999998</v>
      </c>
      <c r="B169" s="8">
        <f t="shared" si="14"/>
        <v>0.903</v>
      </c>
      <c r="C169" s="8">
        <f t="shared" si="13"/>
        <v>2.056</v>
      </c>
      <c r="D169" s="9">
        <f t="shared" si="15"/>
        <v>1.856568</v>
      </c>
      <c r="J169"/>
      <c r="K169"/>
      <c r="L169"/>
    </row>
    <row r="170" spans="1:12">
      <c r="A170" s="7">
        <f t="shared" si="12"/>
        <v>6.84999999999998</v>
      </c>
      <c r="B170" s="8">
        <f t="shared" si="14"/>
        <v>0.903</v>
      </c>
      <c r="C170" s="8">
        <f t="shared" si="13"/>
        <v>2.056</v>
      </c>
      <c r="D170" s="9">
        <f t="shared" si="15"/>
        <v>1.856568</v>
      </c>
      <c r="J170"/>
      <c r="K170"/>
      <c r="L170"/>
    </row>
    <row r="171" spans="1:12">
      <c r="A171" s="7">
        <f t="shared" si="12"/>
        <v>6.89999999999998</v>
      </c>
      <c r="B171" s="8">
        <f t="shared" si="14"/>
        <v>0.903</v>
      </c>
      <c r="C171" s="8">
        <f t="shared" si="13"/>
        <v>2.056</v>
      </c>
      <c r="D171" s="9">
        <f t="shared" si="15"/>
        <v>1.856568</v>
      </c>
      <c r="J171"/>
      <c r="K171"/>
      <c r="L171"/>
    </row>
    <row r="172" spans="1:12">
      <c r="A172" s="7">
        <f t="shared" si="12"/>
        <v>6.94999999999998</v>
      </c>
      <c r="B172" s="8">
        <f t="shared" si="14"/>
        <v>0.903</v>
      </c>
      <c r="C172" s="8">
        <f t="shared" si="13"/>
        <v>2.056</v>
      </c>
      <c r="D172" s="9">
        <f t="shared" si="15"/>
        <v>1.856568</v>
      </c>
      <c r="J172"/>
      <c r="K172"/>
      <c r="L172"/>
    </row>
    <row r="173" spans="1:12">
      <c r="A173" s="7">
        <f t="shared" si="12"/>
        <v>6.99999999999998</v>
      </c>
      <c r="B173" s="8">
        <f t="shared" si="14"/>
        <v>0.903</v>
      </c>
      <c r="C173" s="8">
        <f t="shared" si="13"/>
        <v>2.056</v>
      </c>
      <c r="D173" s="9">
        <f t="shared" si="15"/>
        <v>1.856568</v>
      </c>
      <c r="J173"/>
      <c r="K173"/>
      <c r="L173"/>
    </row>
    <row r="174" spans="1:12">
      <c r="A174" s="7">
        <f t="shared" si="12"/>
        <v>7.04999999999998</v>
      </c>
      <c r="B174" s="8" t="str">
        <f t="shared" si="14"/>
        <v>VCOMP MUST BE &lt; 7</v>
      </c>
      <c r="C174" s="8" t="str">
        <f t="shared" si="13"/>
        <v>VCOMP MUST BE &lt; 7</v>
      </c>
      <c r="D174" s="7"/>
      <c r="J174"/>
      <c r="K174"/>
      <c r="L174"/>
    </row>
    <row r="175" spans="1:12">
      <c r="A175" s="7"/>
      <c r="B175" s="8"/>
      <c r="C175" s="8"/>
      <c r="D175" s="7"/>
      <c r="J175"/>
      <c r="K175"/>
      <c r="L175"/>
    </row>
    <row r="176" spans="1:4">
      <c r="A176" s="7"/>
      <c r="B176" s="8"/>
      <c r="C176" s="8"/>
      <c r="D176" s="7"/>
    </row>
    <row r="177" spans="1:4">
      <c r="A177" s="7"/>
      <c r="B177" s="8"/>
      <c r="C177" s="8"/>
      <c r="D177" s="7"/>
    </row>
    <row r="178" spans="1:4">
      <c r="A178" s="7"/>
      <c r="B178" s="8"/>
      <c r="C178" s="8"/>
      <c r="D178" s="7"/>
    </row>
    <row r="179" spans="1:4">
      <c r="A179" s="7"/>
      <c r="B179" s="8"/>
      <c r="C179" s="8"/>
      <c r="D179" s="7"/>
    </row>
    <row r="180" spans="1:4">
      <c r="A180" s="7"/>
      <c r="B180" s="8"/>
      <c r="C180" s="8"/>
      <c r="D180" s="7"/>
    </row>
    <row r="181" spans="1:4">
      <c r="A181" s="7"/>
      <c r="B181" s="8"/>
      <c r="C181" s="8"/>
      <c r="D181" s="7"/>
    </row>
    <row r="182" spans="1:4">
      <c r="A182" s="7"/>
      <c r="B182" s="8"/>
      <c r="C182" s="8"/>
      <c r="D182" s="7"/>
    </row>
    <row r="183" spans="1:4">
      <c r="A183" s="7"/>
      <c r="B183" s="8"/>
      <c r="C183" s="8"/>
      <c r="D183" s="7"/>
    </row>
    <row r="184" spans="1:4">
      <c r="A184" s="7"/>
      <c r="B184" s="8"/>
      <c r="C184" s="8"/>
      <c r="D184" s="7"/>
    </row>
    <row r="185" spans="1:4">
      <c r="A185" s="7"/>
      <c r="B185" s="8"/>
      <c r="C185" s="8"/>
      <c r="D185" s="7"/>
    </row>
    <row r="186" spans="1:4">
      <c r="A186" s="7"/>
      <c r="B186" s="8"/>
      <c r="C186" s="8"/>
      <c r="D186" s="7"/>
    </row>
    <row r="187" spans="1:4">
      <c r="A187" s="7"/>
      <c r="B187" s="8"/>
      <c r="C187" s="8"/>
      <c r="D187" s="7"/>
    </row>
    <row r="188" spans="1:4">
      <c r="A188" s="7"/>
      <c r="B188" s="8"/>
      <c r="C188" s="8"/>
      <c r="D188" s="7"/>
    </row>
    <row r="189" spans="1:4">
      <c r="A189" s="7"/>
      <c r="B189" s="8"/>
      <c r="C189" s="8"/>
      <c r="D189" s="7"/>
    </row>
    <row r="190" spans="1:4">
      <c r="A190" s="7"/>
      <c r="B190" s="8"/>
      <c r="C190" s="8"/>
      <c r="D190" s="7"/>
    </row>
    <row r="191" spans="1:4">
      <c r="A191" s="7"/>
      <c r="B191" s="8"/>
      <c r="C191" s="8"/>
      <c r="D191" s="7"/>
    </row>
    <row r="192" spans="1:4">
      <c r="A192" s="7"/>
      <c r="B192" s="8"/>
      <c r="C192" s="8"/>
      <c r="D192" s="7"/>
    </row>
    <row r="193" spans="1:4">
      <c r="A193" s="7"/>
      <c r="B193" s="8"/>
      <c r="C193" s="8"/>
      <c r="D193" s="7"/>
    </row>
    <row r="194" spans="1:4">
      <c r="A194" s="7"/>
      <c r="B194" s="8"/>
      <c r="C194" s="8"/>
      <c r="D194" s="7"/>
    </row>
    <row r="195" spans="1:4">
      <c r="A195" s="7"/>
      <c r="B195" s="8"/>
      <c r="C195" s="8"/>
      <c r="D195" s="7"/>
    </row>
    <row r="196" spans="1:4">
      <c r="A196" s="7"/>
      <c r="B196" s="8"/>
      <c r="C196" s="8"/>
      <c r="D196" s="7"/>
    </row>
    <row r="197" spans="1:4">
      <c r="A197" s="7"/>
      <c r="B197" s="8"/>
      <c r="C197" s="8"/>
      <c r="D197" s="7"/>
    </row>
    <row r="198" spans="1:4">
      <c r="A198" s="7"/>
      <c r="B198" s="8"/>
      <c r="C198" s="8"/>
      <c r="D198" s="7"/>
    </row>
    <row r="201" spans="1:16">
      <c r="A201" s="7" t="s">
        <v>468</v>
      </c>
      <c r="B201" s="7"/>
      <c r="C201" s="7"/>
      <c r="D201" s="7"/>
      <c r="E201" s="7"/>
      <c r="F201" s="7"/>
      <c r="G201" s="7" t="s">
        <v>469</v>
      </c>
      <c r="H201" s="7"/>
      <c r="I201" s="7"/>
      <c r="J201" s="7"/>
      <c r="K201" s="7"/>
      <c r="L201" s="7"/>
      <c r="M201" s="7"/>
      <c r="N201" s="7"/>
      <c r="O201" s="7"/>
      <c r="P201" s="1" t="s">
        <v>470</v>
      </c>
    </row>
    <row r="202" spans="1:20">
      <c r="A202" s="15" t="s">
        <v>471</v>
      </c>
      <c r="G202" s="15" t="s">
        <v>471</v>
      </c>
      <c r="J202" s="7"/>
      <c r="K202" s="7"/>
      <c r="L202" s="7"/>
      <c r="O202" s="15" t="s">
        <v>472</v>
      </c>
      <c r="P202" s="7" t="s">
        <v>473</v>
      </c>
      <c r="Q202" s="7"/>
      <c r="R202" s="7" t="s">
        <v>474</v>
      </c>
      <c r="S202" s="7"/>
      <c r="T202" s="7"/>
    </row>
    <row r="203" spans="1:20">
      <c r="A203" s="15"/>
      <c r="B203" s="1" t="s">
        <v>475</v>
      </c>
      <c r="C203" s="16" t="s">
        <v>476</v>
      </c>
      <c r="D203" s="7" t="s">
        <v>477</v>
      </c>
      <c r="E203" s="7"/>
      <c r="F203" s="1" t="s">
        <v>478</v>
      </c>
      <c r="G203" s="15"/>
      <c r="H203" s="1" t="s">
        <v>475</v>
      </c>
      <c r="I203" s="16" t="s">
        <v>476</v>
      </c>
      <c r="J203" s="1" t="s">
        <v>479</v>
      </c>
      <c r="K203" s="7" t="s">
        <v>480</v>
      </c>
      <c r="L203" s="7"/>
      <c r="M203" s="20" t="s">
        <v>481</v>
      </c>
      <c r="N203" s="20"/>
      <c r="O203" s="15"/>
      <c r="Q203" s="1" t="s">
        <v>276</v>
      </c>
      <c r="S203" s="1" t="s">
        <v>276</v>
      </c>
      <c r="T203" s="1" t="s">
        <v>482</v>
      </c>
    </row>
    <row r="204" spans="1:25">
      <c r="A204" s="15"/>
      <c r="B204" s="1" t="s">
        <v>48</v>
      </c>
      <c r="C204" s="1" t="s">
        <v>483</v>
      </c>
      <c r="E204" s="1" t="s">
        <v>276</v>
      </c>
      <c r="F204" s="1" t="s">
        <v>484</v>
      </c>
      <c r="G204" s="15"/>
      <c r="H204" s="1" t="s">
        <v>48</v>
      </c>
      <c r="I204" s="1" t="s">
        <v>483</v>
      </c>
      <c r="J204" s="1" t="s">
        <v>485</v>
      </c>
      <c r="L204" s="18" t="s">
        <v>276</v>
      </c>
      <c r="N204" s="1" t="s">
        <v>276</v>
      </c>
      <c r="O204" s="1" t="s">
        <v>484</v>
      </c>
      <c r="W204" s="1" t="s">
        <v>486</v>
      </c>
      <c r="X204" s="1" t="s">
        <v>487</v>
      </c>
      <c r="Y204" s="1" t="s">
        <v>488</v>
      </c>
    </row>
    <row r="205" spans="1:25">
      <c r="A205" s="1">
        <v>1</v>
      </c>
      <c r="B205" s="1">
        <f>10^A205</f>
        <v>10</v>
      </c>
      <c r="C205" s="1">
        <f t="shared" ref="C205:C236" si="16">2*PI()*B205</f>
        <v>62.8318530717959</v>
      </c>
      <c r="D205" s="1" t="str">
        <f t="shared" ref="D205:D236" si="17">IMDIV((7*Rsense*Vout_nom)/((1/(fsw/kHz)*kHz)*M1M2_calc*Lbst*mH),IMPRODUCT((COMPLEX(0,C205*1)),COMPLEX(1,(C205/(2*PI()*f_iavgactual*kHz)))))</f>
        <v>-0.0604707492051942-54.8726235709552i</v>
      </c>
      <c r="E205" s="1">
        <f t="shared" ref="E205:E236" si="18">20*LOG(IMABS(D205))</f>
        <v>34.7871197780571</v>
      </c>
      <c r="F205" s="1">
        <f t="shared" ref="F205:F236" si="19">180/PI()*IMARGUMENT(D205)</f>
        <v>-90.0631410908647</v>
      </c>
      <c r="G205" s="1">
        <v>-2</v>
      </c>
      <c r="H205" s="17">
        <f>10^G205</f>
        <v>0.01</v>
      </c>
      <c r="I205" s="17">
        <f>2*PI()*H205</f>
        <v>0.0628318530717959</v>
      </c>
      <c r="J205" s="17">
        <f>(CALCULATIONS!$C$127*10^3)/((CALCULATIONS!$C$123*10^6)+(CALCULATIONS!$C$127*10^3))</f>
        <v>0.0636704119850187</v>
      </c>
      <c r="K205" s="17" t="str">
        <f t="shared" ref="K205:K236" si="20">IMDIV((M_3*Vout_nom)/(M1M2_calc),COMPLEX(1,(I205/(2*PI()*fPWM_PSpole))))</f>
        <v>87.0787339055003-0.629476085866452i</v>
      </c>
      <c r="L205" s="1">
        <f t="shared" ref="L205:L236" si="21">20*LOG(IMABS(K205))</f>
        <v>38.7984690564858</v>
      </c>
      <c r="M205" s="1" t="str">
        <f t="shared" ref="M205:M253" si="22">IMPRODUCT(J205,K205)</f>
        <v>5.54433886289702-0.040079001721834i</v>
      </c>
      <c r="N205" s="1">
        <f t="shared" ref="N205:N236" si="23">20*LOG(IMABS(M205))</f>
        <v>14.8772222567597</v>
      </c>
      <c r="O205" s="1">
        <f t="shared" ref="O205:O236" si="24">180/PI()*IMARGUMENT(M205)</f>
        <v>-0.414173394607376</v>
      </c>
      <c r="P205" s="1" t="str">
        <f>IMPRODUCT(42*10^-6,IMDIV((COMPLEX(1,I205*(CALCULATIONS!C267*10^3)*(CALCULATIONS!C265*10^-6))),IMPRODUCT((COMPLEX(0,data!I205*((CALCULATIONS!C265*10^-6)+(CALCULATIONS!C271*10^-6)))),(COMPLEX(1,I205*((CALCULATIONS!C267*10^3)*(CALCULATIONS!C265*10^-6)*(CALCULATIONS!C271*10^-6))/((CALCULATIONS!C265*10^-6)+(CALCULATIONS!C271*10^-6)))))))</f>
        <v>1.03485263466489-135.864344768704i</v>
      </c>
      <c r="Q205" s="1">
        <f t="shared" ref="Q205:Q236" si="25">20*LOG(IMABS(P205))</f>
        <v>42.6623619251803</v>
      </c>
      <c r="R205" s="1" t="str">
        <f t="shared" ref="R205:R265" si="26">IMPRODUCT((M205),(P205))</f>
        <v>0.292266371823187-753.319442643692i</v>
      </c>
      <c r="S205" s="1">
        <f t="shared" ref="S205:S236" si="27">20*LOG(IMABS(R205))</f>
        <v>57.53958418194</v>
      </c>
      <c r="T205" s="1">
        <f t="shared" ref="T205:T236" si="28">(180/PI()*IMARGUMENT(R205))+180</f>
        <v>90.0222291206239</v>
      </c>
      <c r="W205" s="1" t="str">
        <f>COMPLEX(1,I205*(CALCULATIONS!C267*10^3)*(CALCULATIONS!C265*10^-6))</f>
        <v>1+0.0079733621548109i</v>
      </c>
      <c r="X205" s="1" t="str">
        <f>COMPLEX(0,data!I205*((CALCULATIONS!C265*10^-6)+(CALCULATIONS!C271*10^-6)))</f>
        <v>3.09132717113236E-07i</v>
      </c>
      <c r="Y205" s="1" t="str">
        <f>COMPLEX(1,I205*((CALCULATIONS!C267*10^3)*(CALCULATIONS!C265*10^-6)*(CALCULATIONS!C271*10^-6))/((CALCULATIONS!C265*10^-6)+(CALCULATIONS!C271*10^-6)))</f>
        <v>1+0.00035653245407691i</v>
      </c>
    </row>
    <row r="206" spans="1:20">
      <c r="A206" s="1">
        <v>1.1</v>
      </c>
      <c r="B206" s="1">
        <f t="shared" ref="B206:B265" si="29">10^A206</f>
        <v>12.5892541179417</v>
      </c>
      <c r="C206" s="1">
        <f t="shared" si="16"/>
        <v>79.1006165022013</v>
      </c>
      <c r="D206" s="1" t="str">
        <f t="shared" si="17"/>
        <v>-0.0604707062515195-43.5868432551116i</v>
      </c>
      <c r="E206" s="1">
        <f t="shared" si="18"/>
        <v>32.7871166931688</v>
      </c>
      <c r="F206" s="1">
        <f t="shared" si="19"/>
        <v>-90.0794899049968</v>
      </c>
      <c r="G206" s="1">
        <v>-1.9</v>
      </c>
      <c r="H206" s="17">
        <f t="shared" ref="H206:H265" si="30">10^G206</f>
        <v>0.0125892541179417</v>
      </c>
      <c r="I206" s="17">
        <f t="shared" ref="I206:I265" si="31">2*PI()*H206</f>
        <v>0.0791006165022012</v>
      </c>
      <c r="J206" s="17">
        <f>(CALCULATIONS!$C$127*10^3)/((CALCULATIONS!$C$123*10^6)+(CALCULATIONS!$C$127*10^3))</f>
        <v>0.0636704119850187</v>
      </c>
      <c r="K206" s="17" t="str">
        <f t="shared" si="20"/>
        <v>87.0760726475897-0.792439221731783i</v>
      </c>
      <c r="L206" s="1">
        <f t="shared" si="21"/>
        <v>38.7983363274904</v>
      </c>
      <c r="M206" s="1" t="str">
        <f t="shared" si="22"/>
        <v>5.54416941950945-0.0504549317207502i</v>
      </c>
      <c r="N206" s="1">
        <f t="shared" si="23"/>
        <v>14.8770895277644</v>
      </c>
      <c r="O206" s="1">
        <f t="shared" si="24"/>
        <v>-0.521408099530647</v>
      </c>
      <c r="P206" s="1" t="str">
        <f>IMPRODUCT(42*10^-6,IMDIV((COMPLEX(1,I206*(CALCULATIONS!C267*10^3)*(CALCULATIONS!C265*10^-6))),IMPRODUCT((COMPLEX(0,data!I206*((CALCULATIONS!C265*10^-6)+(CALCULATIONS!C271*10^-6)))),(COMPLEX(1,I206*((CALCULATIONS!C267*10^3)*(CALCULATIONS!C265*10^-6)*(CALCULATIONS!C271*10^-6))/((CALCULATIONS!C265*10^-6)+(CALCULATIONS!C271*10^-6)))))))</f>
        <v>1.03485255772472-107.921056559162i</v>
      </c>
      <c r="Q206" s="1">
        <f t="shared" si="25"/>
        <v>40.6625230783589</v>
      </c>
      <c r="R206" s="1" t="str">
        <f t="shared" si="26"/>
        <v>0.292248364314793-598.384834911597i</v>
      </c>
      <c r="S206" s="1">
        <f t="shared" si="27"/>
        <v>55.5396126061232</v>
      </c>
      <c r="T206" s="1">
        <f t="shared" si="28"/>
        <v>90.0279829894351</v>
      </c>
    </row>
    <row r="207" spans="1:20">
      <c r="A207" s="1">
        <v>1.2</v>
      </c>
      <c r="B207" s="1">
        <f t="shared" si="29"/>
        <v>15.8489319246111</v>
      </c>
      <c r="C207" s="1">
        <f t="shared" si="16"/>
        <v>99.5817762032062</v>
      </c>
      <c r="D207" s="1" t="str">
        <f t="shared" si="17"/>
        <v>-0.0604706381746568-34.6222212829024i</v>
      </c>
      <c r="E207" s="1">
        <f t="shared" si="18"/>
        <v>30.7871118039548</v>
      </c>
      <c r="F207" s="1">
        <f t="shared" si="19"/>
        <v>-90.1000718238285</v>
      </c>
      <c r="G207" s="1">
        <v>-1.8</v>
      </c>
      <c r="H207" s="17">
        <f t="shared" si="30"/>
        <v>0.0158489319246111</v>
      </c>
      <c r="I207" s="17">
        <f t="shared" si="31"/>
        <v>0.0995817762032061</v>
      </c>
      <c r="J207" s="17">
        <f>(CALCULATIONS!$C$127*10^3)/((CALCULATIONS!$C$123*10^6)+(CALCULATIONS!$C$127*10^3))</f>
        <v>0.0636704119850187</v>
      </c>
      <c r="K207" s="17" t="str">
        <f t="shared" si="20"/>
        <v>87.0718551712272-0.997573554334786i</v>
      </c>
      <c r="L207" s="1">
        <f t="shared" si="21"/>
        <v>38.7981259745181</v>
      </c>
      <c r="M207" s="1" t="str">
        <f t="shared" si="22"/>
        <v>5.54390089105192-0.0635159191898553i</v>
      </c>
      <c r="N207" s="1">
        <f t="shared" si="23"/>
        <v>14.876879174792</v>
      </c>
      <c r="O207" s="1">
        <f t="shared" si="24"/>
        <v>-0.656403308423295</v>
      </c>
      <c r="P207" s="1" t="str">
        <f>IMPRODUCT(42*10^-6,IMDIV((COMPLEX(1,I207*(CALCULATIONS!C267*10^3)*(CALCULATIONS!C265*10^-6))),IMPRODUCT((COMPLEX(0,data!I207*((CALCULATIONS!C265*10^-6)+(CALCULATIONS!C271*10^-6)))),(COMPLEX(1,I207*((CALCULATIONS!C267*10^3)*(CALCULATIONS!C265*10^-6)*(CALCULATIONS!C271*10^-6))/((CALCULATIONS!C265*10^-6)+(CALCULATIONS!C271*10^-6)))))))</f>
        <v>1.0348524357828-85.7249581474772i</v>
      </c>
      <c r="Q207" s="1">
        <f t="shared" si="25"/>
        <v>38.6627784766369</v>
      </c>
      <c r="R207" s="1" t="str">
        <f t="shared" si="26"/>
        <v>0.292219826594625-475.316401462872i</v>
      </c>
      <c r="S207" s="1">
        <f t="shared" si="27"/>
        <v>53.539657651429</v>
      </c>
      <c r="T207" s="1">
        <f t="shared" si="28"/>
        <v>90.0352248746161</v>
      </c>
    </row>
    <row r="208" spans="1:20">
      <c r="A208" s="1">
        <v>1.3</v>
      </c>
      <c r="B208" s="1">
        <f t="shared" si="29"/>
        <v>19.9526231496888</v>
      </c>
      <c r="C208" s="1">
        <f t="shared" si="16"/>
        <v>125.366028613816</v>
      </c>
      <c r="D208" s="1" t="str">
        <f t="shared" si="17"/>
        <v>-0.0604705302804151-27.5013588447191i</v>
      </c>
      <c r="E208" s="1">
        <f t="shared" si="18"/>
        <v>28.7871040550841</v>
      </c>
      <c r="F208" s="1">
        <f t="shared" si="19"/>
        <v>-90.1259828870942</v>
      </c>
      <c r="G208" s="1">
        <v>-1.7</v>
      </c>
      <c r="H208" s="17">
        <f t="shared" si="30"/>
        <v>0.0199526231496888</v>
      </c>
      <c r="I208" s="17">
        <f t="shared" si="31"/>
        <v>0.125366028613816</v>
      </c>
      <c r="J208" s="17">
        <f>(CALCULATIONS!$C$127*10^3)/((CALCULATIONS!$C$123*10^6)+(CALCULATIONS!$C$127*10^3))</f>
        <v>0.0636704119850187</v>
      </c>
      <c r="K208" s="17" t="str">
        <f t="shared" si="20"/>
        <v>87.0651717584394-1.25577430026488i</v>
      </c>
      <c r="L208" s="1">
        <f t="shared" si="21"/>
        <v>38.7977926083929</v>
      </c>
      <c r="M208" s="1" t="str">
        <f t="shared" si="22"/>
        <v>5.54347535540625-0.0799556670580635i</v>
      </c>
      <c r="N208" s="1">
        <f t="shared" si="23"/>
        <v>14.8765458086669</v>
      </c>
      <c r="O208" s="1">
        <f t="shared" si="24"/>
        <v>-0.826341661175883</v>
      </c>
      <c r="P208" s="1" t="str">
        <f>IMPRODUCT(42*10^-6,IMDIV((COMPLEX(1,I208*(CALCULATIONS!C267*10^3)*(CALCULATIONS!C265*10^-6))),IMPRODUCT((COMPLEX(0,data!I208*((CALCULATIONS!C265*10^-6)+(CALCULATIONS!C271*10^-6)))),(COMPLEX(1,I208*((CALCULATIONS!C267*10^3)*(CALCULATIONS!C265*10^-6)*(CALCULATIONS!C271*10^-6))/((CALCULATIONS!C265*10^-6)+(CALCULATIONS!C271*10^-6)))))))</f>
        <v>1.03485224251793-68.0940263547046i</v>
      </c>
      <c r="Q208" s="1">
        <f t="shared" si="25"/>
        <v>36.6631832247429</v>
      </c>
      <c r="R208" s="1" t="str">
        <f t="shared" si="26"/>
        <v>0.292174603025275-377.560299249046i</v>
      </c>
      <c r="S208" s="1">
        <f t="shared" si="27"/>
        <v>51.5397290334098</v>
      </c>
      <c r="T208" s="1">
        <f t="shared" si="28"/>
        <v>90.0443382641818</v>
      </c>
    </row>
    <row r="209" spans="1:20">
      <c r="A209" s="1">
        <v>1.4</v>
      </c>
      <c r="B209" s="1">
        <f t="shared" si="29"/>
        <v>25.1188643150958</v>
      </c>
      <c r="C209" s="1">
        <f t="shared" si="16"/>
        <v>157.826479197648</v>
      </c>
      <c r="D209" s="1" t="str">
        <f t="shared" si="17"/>
        <v>-0.0604703592803546-21.8450440495143i</v>
      </c>
      <c r="E209" s="1">
        <f t="shared" si="18"/>
        <v>26.78709177398</v>
      </c>
      <c r="F209" s="1">
        <f t="shared" si="19"/>
        <v>-90.1586029085133</v>
      </c>
      <c r="G209" s="1">
        <v>-1.6</v>
      </c>
      <c r="H209" s="17">
        <f t="shared" si="30"/>
        <v>0.0251188643150958</v>
      </c>
      <c r="I209" s="17">
        <f t="shared" si="31"/>
        <v>0.157826479197647</v>
      </c>
      <c r="J209" s="17">
        <f>(CALCULATIONS!$C$127*10^3)/((CALCULATIONS!$C$123*10^6)+(CALCULATIONS!$C$127*10^3))</f>
        <v>0.0636704119850187</v>
      </c>
      <c r="K209" s="17" t="str">
        <f t="shared" si="20"/>
        <v>87.0545813644089-1.58073387809723i</v>
      </c>
      <c r="L209" s="1">
        <f t="shared" si="21"/>
        <v>38.7972643111019</v>
      </c>
      <c r="M209" s="1" t="str">
        <f t="shared" si="22"/>
        <v>5.54280106065525-0.100645977257127i</v>
      </c>
      <c r="N209" s="1">
        <f t="shared" si="23"/>
        <v>14.8760175113759</v>
      </c>
      <c r="O209" s="1">
        <f t="shared" si="24"/>
        <v>-1.04026033290707</v>
      </c>
      <c r="P209" s="1" t="str">
        <f>IMPRODUCT(42*10^-6,IMDIV((COMPLEX(1,I209*(CALCULATIONS!C267*10^3)*(CALCULATIONS!C265*10^-6))),IMPRODUCT((COMPLEX(0,data!I209*((CALCULATIONS!C265*10^-6)+(CALCULATIONS!C271*10^-6)))),(COMPLEX(1,I209*((CALCULATIONS!C267*10^3)*(CALCULATIONS!C265*10^-6)*(CALCULATIONS!C271*10^-6))/((CALCULATIONS!C265*10^-6)+(CALCULATIONS!C271*10^-6)))))))</f>
        <v>1.03485193621391-54.0893497712782i</v>
      </c>
      <c r="Q209" s="1">
        <f t="shared" si="25"/>
        <v>34.6638246296934</v>
      </c>
      <c r="R209" s="1" t="str">
        <f t="shared" si="26"/>
        <v>0.292102942734745-299.91065896683i</v>
      </c>
      <c r="S209" s="1">
        <f t="shared" si="27"/>
        <v>49.5398421410693</v>
      </c>
      <c r="T209" s="1">
        <f t="shared" si="28"/>
        <v>90.0558041537025</v>
      </c>
    </row>
    <row r="210" spans="1:20">
      <c r="A210" s="1">
        <v>1.5</v>
      </c>
      <c r="B210" s="1">
        <f t="shared" si="29"/>
        <v>31.6227766016838</v>
      </c>
      <c r="C210" s="1">
        <f t="shared" si="16"/>
        <v>198.691765315922</v>
      </c>
      <c r="D210" s="1" t="str">
        <f t="shared" si="17"/>
        <v>-0.0604700882655038-17.3520575088709i</v>
      </c>
      <c r="E210" s="1">
        <f t="shared" si="18"/>
        <v>24.7870723098128</v>
      </c>
      <c r="F210" s="1">
        <f t="shared" si="19"/>
        <v>-90.1996689336198</v>
      </c>
      <c r="G210" s="1">
        <v>-1.5</v>
      </c>
      <c r="H210" s="17">
        <f t="shared" si="30"/>
        <v>0.0316227766016838</v>
      </c>
      <c r="I210" s="17">
        <f t="shared" si="31"/>
        <v>0.198691765315922</v>
      </c>
      <c r="J210" s="17">
        <f>(CALCULATIONS!$C$127*10^3)/((CALCULATIONS!$C$123*10^6)+(CALCULATIONS!$C$127*10^3))</f>
        <v>0.0636704119850187</v>
      </c>
      <c r="K210" s="17" t="str">
        <f t="shared" si="20"/>
        <v>87.037801997416-1.98964248012502i</v>
      </c>
      <c r="L210" s="1">
        <f t="shared" si="21"/>
        <v>38.7964271479387</v>
      </c>
      <c r="M210" s="1" t="str">
        <f t="shared" si="22"/>
        <v>5.54173271144596-0.126681356412454i</v>
      </c>
      <c r="N210" s="1">
        <f t="shared" si="23"/>
        <v>14.8751803482127</v>
      </c>
      <c r="O210" s="1">
        <f t="shared" si="24"/>
        <v>-1.30952601736237</v>
      </c>
      <c r="P210" s="1" t="str">
        <f>IMPRODUCT(42*10^-6,IMDIV((COMPLEX(1,I210*(CALCULATIONS!C267*10^3)*(CALCULATIONS!C265*10^-6))),IMPRODUCT((COMPLEX(0,data!I210*((CALCULATIONS!C265*10^-6)+(CALCULATIONS!C271*10^-6)))),(COMPLEX(1,I210*((CALCULATIONS!C267*10^3)*(CALCULATIONS!C265*10^-6)*(CALCULATIONS!C271*10^-6))/((CALCULATIONS!C265*10^-6)+(CALCULATIONS!C271*10^-6)))))))</f>
        <v>1.03485145075512-42.9651283006546i</v>
      </c>
      <c r="Q210" s="1">
        <f t="shared" si="25"/>
        <v>32.6648409932547</v>
      </c>
      <c r="R210" s="1" t="str">
        <f t="shared" si="26"/>
        <v>0.291989404574917-238.232353340677i</v>
      </c>
      <c r="S210" s="1">
        <f t="shared" si="27"/>
        <v>47.5400213414673</v>
      </c>
      <c r="T210" s="1">
        <f t="shared" si="28"/>
        <v>90.0702245179248</v>
      </c>
    </row>
    <row r="211" spans="1:20">
      <c r="A211" s="1">
        <v>1.6</v>
      </c>
      <c r="B211" s="1">
        <f t="shared" si="29"/>
        <v>39.8107170553498</v>
      </c>
      <c r="C211" s="1">
        <f t="shared" si="16"/>
        <v>250.138112470457</v>
      </c>
      <c r="D211" s="1" t="str">
        <f t="shared" si="17"/>
        <v>-0.0604696587408874-13.7831313063069i</v>
      </c>
      <c r="E211" s="1">
        <f t="shared" si="18"/>
        <v>22.7870414613656</v>
      </c>
      <c r="F211" s="1">
        <f t="shared" si="19"/>
        <v>-90.2513676993131</v>
      </c>
      <c r="G211" s="1">
        <v>-1.4</v>
      </c>
      <c r="H211" s="17">
        <f t="shared" si="30"/>
        <v>0.0398107170553497</v>
      </c>
      <c r="I211" s="17">
        <f t="shared" si="31"/>
        <v>0.250138112470457</v>
      </c>
      <c r="J211" s="17">
        <f>(CALCULATIONS!$C$127*10^3)/((CALCULATIONS!$C$123*10^6)+(CALCULATIONS!$C$127*10^3))</f>
        <v>0.0636704119850187</v>
      </c>
      <c r="K211" s="17" t="str">
        <f t="shared" si="20"/>
        <v>87.011221738429-2.50404654043497i</v>
      </c>
      <c r="L211" s="1">
        <f t="shared" si="21"/>
        <v>38.7951006642104</v>
      </c>
      <c r="M211" s="1" t="str">
        <f t="shared" si="22"/>
        <v>5.54004033540559-0.159433674859155i</v>
      </c>
      <c r="N211" s="1">
        <f t="shared" si="23"/>
        <v>14.8738538644844</v>
      </c>
      <c r="O211" s="1">
        <f t="shared" si="24"/>
        <v>-1.64842772829433</v>
      </c>
      <c r="P211" s="1" t="str">
        <f>IMPRODUCT(42*10^-6,IMDIV((COMPLEX(1,I211*(CALCULATIONS!C267*10^3)*(CALCULATIONS!C265*10^-6))),IMPRODUCT((COMPLEX(0,data!I211*((CALCULATIONS!C265*10^-6)+(CALCULATIONS!C271*10^-6)))),(COMPLEX(1,I211*((CALCULATIONS!C267*10^3)*(CALCULATIONS!C265*10^-6)*(CALCULATIONS!C271*10^-6))/((CALCULATIONS!C265*10^-6)+(CALCULATIONS!C271*10^-6)))))))</f>
        <v>1.03485068135573-34.1289565845165i</v>
      </c>
      <c r="Q211" s="1">
        <f t="shared" si="25"/>
        <v>30.6664513319285</v>
      </c>
      <c r="R211" s="1" t="str">
        <f t="shared" si="26"/>
        <v>0.291809548454681-189.240786130587i</v>
      </c>
      <c r="S211" s="1">
        <f t="shared" si="27"/>
        <v>45.5403051964129</v>
      </c>
      <c r="T211" s="1">
        <f t="shared" si="28"/>
        <v>90.0883500995652</v>
      </c>
    </row>
    <row r="212" spans="1:20">
      <c r="A212" s="1">
        <v>1.7</v>
      </c>
      <c r="B212" s="1">
        <f t="shared" si="29"/>
        <v>50.1187233627272</v>
      </c>
      <c r="C212" s="1">
        <f t="shared" si="16"/>
        <v>314.905226247286</v>
      </c>
      <c r="D212" s="1" t="str">
        <f t="shared" si="17"/>
        <v>-0.0604689780027463-10.9482071085093i</v>
      </c>
      <c r="E212" s="1">
        <f t="shared" si="18"/>
        <v>20.7869925703203</v>
      </c>
      <c r="F212" s="1">
        <f t="shared" si="19"/>
        <v>-90.3164519968689</v>
      </c>
      <c r="G212" s="1">
        <v>-1.3</v>
      </c>
      <c r="H212" s="17">
        <f t="shared" si="30"/>
        <v>0.0501187233627272</v>
      </c>
      <c r="I212" s="17">
        <f t="shared" si="31"/>
        <v>0.314905226247286</v>
      </c>
      <c r="J212" s="17">
        <f>(CALCULATIONS!$C$127*10^3)/((CALCULATIONS!$C$123*10^6)+(CALCULATIONS!$C$127*10^3))</f>
        <v>0.0636704119850187</v>
      </c>
      <c r="K212" s="17" t="str">
        <f t="shared" si="20"/>
        <v>86.9691281055243-3.15088277397763i</v>
      </c>
      <c r="L212" s="1">
        <f t="shared" si="21"/>
        <v>38.7929991587396</v>
      </c>
      <c r="M212" s="1" t="str">
        <f t="shared" si="22"/>
        <v>5.5373602164566-0.200618004335654i</v>
      </c>
      <c r="N212" s="1">
        <f t="shared" si="23"/>
        <v>14.8717523590136</v>
      </c>
      <c r="O212" s="1">
        <f t="shared" si="24"/>
        <v>-2.07491280573357</v>
      </c>
      <c r="P212" s="1" t="str">
        <f>IMPRODUCT(42*10^-6,IMDIV((COMPLEX(1,I212*(CALCULATIONS!C267*10^3)*(CALCULATIONS!C265*10^-6))),IMPRODUCT((COMPLEX(0,data!I212*((CALCULATIONS!C265*10^-6)+(CALCULATIONS!C271*10^-6)))),(COMPLEX(1,I212*((CALCULATIONS!C267*10^3)*(CALCULATIONS!C265*10^-6)*(CALCULATIONS!C271*10^-6))/((CALCULATIONS!C265*10^-6)+(CALCULATIONS!C271*10^-6)))))))</f>
        <v>1.0348494619422-27.1102762570623i</v>
      </c>
      <c r="Q212" s="1">
        <f t="shared" si="25"/>
        <v>28.6690023193569</v>
      </c>
      <c r="R212" s="1" t="str">
        <f t="shared" si="26"/>
        <v>0.291524720900154-150.326974636847i</v>
      </c>
      <c r="S212" s="1">
        <f t="shared" si="27"/>
        <v>43.5407546783705</v>
      </c>
      <c r="T212" s="1">
        <f t="shared" si="28"/>
        <v>90.1111118961372</v>
      </c>
    </row>
    <row r="213" spans="1:20">
      <c r="A213" s="1">
        <v>1.8</v>
      </c>
      <c r="B213" s="1">
        <f t="shared" si="29"/>
        <v>63.0957344480194</v>
      </c>
      <c r="C213" s="1">
        <f t="shared" si="16"/>
        <v>396.4421916295</v>
      </c>
      <c r="D213" s="1" t="str">
        <f t="shared" si="17"/>
        <v>-0.0604678991368952-8.69631486659406i</v>
      </c>
      <c r="E213" s="1">
        <f t="shared" si="18"/>
        <v>18.7869150843628</v>
      </c>
      <c r="F213" s="1">
        <f t="shared" si="19"/>
        <v>-90.3983870911374</v>
      </c>
      <c r="G213" s="1">
        <v>-1.2</v>
      </c>
      <c r="H213" s="17">
        <f t="shared" si="30"/>
        <v>0.0630957344480193</v>
      </c>
      <c r="I213" s="17">
        <f t="shared" si="31"/>
        <v>0.3964421916295</v>
      </c>
      <c r="J213" s="17">
        <f>(CALCULATIONS!$C$127*10^3)/((CALCULATIONS!$C$123*10^6)+(CALCULATIONS!$C$127*10^3))</f>
        <v>0.0636704119850187</v>
      </c>
      <c r="K213" s="17" t="str">
        <f t="shared" si="20"/>
        <v>86.9024975551286-3.96368732495534i</v>
      </c>
      <c r="L213" s="1">
        <f t="shared" si="21"/>
        <v>38.7896705786255</v>
      </c>
      <c r="M213" s="1" t="str">
        <f t="shared" si="22"/>
        <v>5.53311782186212-0.252369604959703i</v>
      </c>
      <c r="N213" s="1">
        <f t="shared" si="23"/>
        <v>14.8684237788994</v>
      </c>
      <c r="O213" s="1">
        <f t="shared" si="24"/>
        <v>-2.61149304342325</v>
      </c>
      <c r="P213" s="1" t="str">
        <f>IMPRODUCT(42*10^-6,IMDIV((COMPLEX(1,I213*(CALCULATIONS!C267*10^3)*(CALCULATIONS!C265*10^-6))),IMPRODUCT((COMPLEX(0,data!I213*((CALCULATIONS!C265*10^-6)+(CALCULATIONS!C271*10^-6)))),(COMPLEX(1,I213*((CALCULATIONS!C267*10^3)*(CALCULATIONS!C265*10^-6)*(CALCULATIONS!C271*10^-6))/((CALCULATIONS!C265*10^-6)+(CALCULATIONS!C271*10^-6)))))))</f>
        <v>1.0348475293079-21.5353169958025i</v>
      </c>
      <c r="Q213" s="1">
        <f t="shared" si="25"/>
        <v>26.6730422828308</v>
      </c>
      <c r="R213" s="1" t="str">
        <f t="shared" si="26"/>
        <v>0.29107386441087-119.41861033109i</v>
      </c>
      <c r="S213" s="1">
        <f t="shared" si="27"/>
        <v>41.5414660617302</v>
      </c>
      <c r="T213" s="1">
        <f t="shared" si="28"/>
        <v>90.1396538687257</v>
      </c>
    </row>
    <row r="214" spans="1:20">
      <c r="A214" s="1">
        <v>1.9</v>
      </c>
      <c r="B214" s="1">
        <f t="shared" si="29"/>
        <v>79.4328234724282</v>
      </c>
      <c r="C214" s="1">
        <f t="shared" si="16"/>
        <v>499.091149349751</v>
      </c>
      <c r="D214" s="1" t="str">
        <f t="shared" si="17"/>
        <v>-0.0604661893286079-6.90753311160589i</v>
      </c>
      <c r="E214" s="1">
        <f t="shared" si="18"/>
        <v>16.7867922802281</v>
      </c>
      <c r="F214" s="1">
        <f t="shared" si="19"/>
        <v>-90.5015349054517</v>
      </c>
      <c r="G214" s="1">
        <v>-1.1</v>
      </c>
      <c r="H214" s="17">
        <f t="shared" si="30"/>
        <v>0.0794328234724281</v>
      </c>
      <c r="I214" s="17">
        <f t="shared" si="31"/>
        <v>0.49909114934975</v>
      </c>
      <c r="J214" s="17">
        <f>(CALCULATIONS!$C$127*10^3)/((CALCULATIONS!$C$123*10^6)+(CALCULATIONS!$C$127*10^3))</f>
        <v>0.0636704119850187</v>
      </c>
      <c r="K214" s="17" t="str">
        <f t="shared" si="20"/>
        <v>86.7971041295923-4.98393495237392i</v>
      </c>
      <c r="L214" s="1">
        <f t="shared" si="21"/>
        <v>38.7844003548239</v>
      </c>
      <c r="M214" s="1" t="str">
        <f t="shared" si="22"/>
        <v>5.52640737903771-0.317329191724182i</v>
      </c>
      <c r="N214" s="1">
        <f t="shared" si="23"/>
        <v>14.8631535550978</v>
      </c>
      <c r="O214" s="1">
        <f t="shared" si="24"/>
        <v>-3.28634486843605</v>
      </c>
      <c r="P214" s="1" t="str">
        <f>IMPRODUCT(42*10^-6,IMDIV((COMPLEX(1,I214*(CALCULATIONS!C267*10^3)*(CALCULATIONS!C265*10^-6))),IMPRODUCT((COMPLEX(0,data!I214*((CALCULATIONS!C265*10^-6)+(CALCULATIONS!C271*10^-6)))),(COMPLEX(1,I214*((CALCULATIONS!C267*10^3)*(CALCULATIONS!C265*10^-6)*(CALCULATIONS!C271*10^-6))/((CALCULATIONS!C265*10^-6)+(CALCULATIONS!C271*10^-6)))))))</f>
        <v>1.03484446630373-17.1071918882787i</v>
      </c>
      <c r="Q214" s="1">
        <f t="shared" si="25"/>
        <v>24.6794374744344</v>
      </c>
      <c r="R214" s="1" t="str">
        <f t="shared" si="26"/>
        <v>0.290360720159312-94.8696978440499i</v>
      </c>
      <c r="S214" s="1">
        <f t="shared" si="27"/>
        <v>39.5425910295323</v>
      </c>
      <c r="T214" s="1">
        <f t="shared" si="28"/>
        <v>90.1753604389276</v>
      </c>
    </row>
    <row r="215" spans="1:20">
      <c r="A215" s="1">
        <v>2</v>
      </c>
      <c r="B215" s="1">
        <f t="shared" si="29"/>
        <v>100</v>
      </c>
      <c r="C215" s="1">
        <f t="shared" si="16"/>
        <v>628.318530717959</v>
      </c>
      <c r="D215" s="1" t="str">
        <f t="shared" si="17"/>
        <v>-0.0604634796631509-5.48660270122997i</v>
      </c>
      <c r="E215" s="1">
        <f t="shared" si="18"/>
        <v>14.7865976559038</v>
      </c>
      <c r="F215" s="1">
        <f t="shared" si="19"/>
        <v>-90.6313856055614</v>
      </c>
      <c r="G215" s="1">
        <v>-1</v>
      </c>
      <c r="H215" s="17">
        <f t="shared" si="30"/>
        <v>0.1</v>
      </c>
      <c r="I215" s="17">
        <f t="shared" si="31"/>
        <v>0.628318530717959</v>
      </c>
      <c r="J215" s="17">
        <f>(CALCULATIONS!$C$127*10^3)/((CALCULATIONS!$C$123*10^6)+(CALCULATIONS!$C$127*10^3))</f>
        <v>0.0636704119850187</v>
      </c>
      <c r="K215" s="17" t="str">
        <f t="shared" si="20"/>
        <v>86.6305894478608-6.2623653234465i</v>
      </c>
      <c r="L215" s="1">
        <f t="shared" si="21"/>
        <v>38.7760606913985</v>
      </c>
      <c r="M215" s="1" t="str">
        <f t="shared" si="22"/>
        <v>5.51580532065031-0.398727380144534i</v>
      </c>
      <c r="N215" s="1">
        <f t="shared" si="23"/>
        <v>14.8548138916724</v>
      </c>
      <c r="O215" s="1">
        <f t="shared" si="24"/>
        <v>-4.13461418157895</v>
      </c>
      <c r="P215" s="1" t="str">
        <f>IMPRODUCT(42*10^-6,IMDIV((COMPLEX(1,I215*(CALCULATIONS!C267*10^3)*(CALCULATIONS!C265*10^-6))),IMPRODUCT((COMPLEX(0,data!I215*((CALCULATIONS!C265*10^-6)+(CALCULATIONS!C271*10^-6)))),(COMPLEX(1,I215*((CALCULATIONS!C267*10^3)*(CALCULATIONS!C265*10^-6)*(CALCULATIONS!C271*10^-6))/((CALCULATIONS!C265*10^-6)+(CALCULATIONS!C271*10^-6)))))))</f>
        <v>1.03483961180642-13.5900871200792i</v>
      </c>
      <c r="Q215" s="1">
        <f t="shared" si="25"/>
        <v>22.6895538420131</v>
      </c>
      <c r="R215" s="1" t="str">
        <f t="shared" si="26"/>
        <v>0.289234003496398-75.3728937323195i</v>
      </c>
      <c r="S215" s="1">
        <f t="shared" si="27"/>
        <v>37.5443677336855</v>
      </c>
      <c r="T215" s="1">
        <f t="shared" si="28"/>
        <v>90.2198642712167</v>
      </c>
    </row>
    <row r="216" spans="1:20">
      <c r="A216" s="1">
        <v>2.1</v>
      </c>
      <c r="B216" s="1">
        <f t="shared" si="29"/>
        <v>125.892541179417</v>
      </c>
      <c r="C216" s="1">
        <f t="shared" si="16"/>
        <v>791.006165022012</v>
      </c>
      <c r="D216" s="1" t="str">
        <f t="shared" si="17"/>
        <v>-0.060459185630243-4.35785392754678i</v>
      </c>
      <c r="E216" s="1">
        <f t="shared" si="18"/>
        <v>12.7862892150018</v>
      </c>
      <c r="F216" s="1">
        <f t="shared" si="19"/>
        <v>-90.7948485658481</v>
      </c>
      <c r="G216" s="1">
        <v>-0.9</v>
      </c>
      <c r="H216" s="17">
        <f t="shared" si="30"/>
        <v>0.125892541179417</v>
      </c>
      <c r="I216" s="17">
        <f t="shared" si="31"/>
        <v>0.791006165022012</v>
      </c>
      <c r="J216" s="17">
        <f>(CALCULATIONS!$C$127*10^3)/((CALCULATIONS!$C$123*10^6)+(CALCULATIONS!$C$127*10^3))</f>
        <v>0.0636704119850187</v>
      </c>
      <c r="K216" s="17" t="str">
        <f t="shared" si="20"/>
        <v>86.3679862022719-7.85995253204202i</v>
      </c>
      <c r="L216" s="1">
        <f t="shared" si="21"/>
        <v>38.7628759321997</v>
      </c>
      <c r="M216" s="1" t="str">
        <f t="shared" si="22"/>
        <v>5.49908526381506-0.500446415897806i</v>
      </c>
      <c r="N216" s="1">
        <f t="shared" si="23"/>
        <v>14.8416291324736</v>
      </c>
      <c r="O216" s="1">
        <f t="shared" si="24"/>
        <v>-5.19990133983788</v>
      </c>
      <c r="P216" s="1" t="str">
        <f>IMPRODUCT(42*10^-6,IMDIV((COMPLEX(1,I216*(CALCULATIONS!C267*10^3)*(CALCULATIONS!C265*10^-6))),IMPRODUCT((COMPLEX(0,data!I216*((CALCULATIONS!C265*10^-6)+(CALCULATIONS!C271*10^-6)))),(COMPLEX(1,I216*((CALCULATIONS!C267*10^3)*(CALCULATIONS!C265*10^-6)*(CALCULATIONS!C271*10^-6))/((CALCULATIONS!C265*10^-6)+(CALCULATIONS!C271*10^-6)))))))</f>
        <v>1.03483191803997-10.7967040267421i</v>
      </c>
      <c r="Q216" s="1">
        <f t="shared" si="25"/>
        <v>20.7055388963482</v>
      </c>
      <c r="R216" s="1" t="str">
        <f t="shared" si="26"/>
        <v>0.287457117326579-59.88987393567i</v>
      </c>
      <c r="S216" s="1">
        <f t="shared" si="27"/>
        <v>35.5471680288219</v>
      </c>
      <c r="T216" s="1">
        <f t="shared" si="28"/>
        <v>90.2750039707147</v>
      </c>
    </row>
    <row r="217" spans="1:20">
      <c r="A217" s="1">
        <v>2.2</v>
      </c>
      <c r="B217" s="1">
        <f t="shared" si="29"/>
        <v>158.489319246112</v>
      </c>
      <c r="C217" s="1">
        <f t="shared" si="16"/>
        <v>995.817762032063</v>
      </c>
      <c r="D217" s="1" t="str">
        <f t="shared" si="17"/>
        <v>-0.0604523812959175-3.46117683802253i</v>
      </c>
      <c r="E217" s="1">
        <f t="shared" si="18"/>
        <v>10.7858004139831</v>
      </c>
      <c r="F217" s="1">
        <f t="shared" si="19"/>
        <v>-91.0006175160932</v>
      </c>
      <c r="G217" s="1">
        <v>-0.8</v>
      </c>
      <c r="H217" s="17">
        <f t="shared" si="30"/>
        <v>0.158489319246111</v>
      </c>
      <c r="I217" s="17">
        <f t="shared" si="31"/>
        <v>0.995817762032061</v>
      </c>
      <c r="J217" s="17">
        <f>(CALCULATIONS!$C$127*10^3)/((CALCULATIONS!$C$123*10^6)+(CALCULATIONS!$C$127*10^3))</f>
        <v>0.0636704119850187</v>
      </c>
      <c r="K217" s="17" t="str">
        <f t="shared" si="20"/>
        <v>85.9550336689427-9.84778241849477i</v>
      </c>
      <c r="L217" s="1">
        <f t="shared" si="21"/>
        <v>38.742061144953</v>
      </c>
      <c r="M217" s="1" t="str">
        <f t="shared" si="22"/>
        <v>5.47279240588774-0.627012363724386i</v>
      </c>
      <c r="N217" s="1">
        <f t="shared" si="23"/>
        <v>14.820814345227</v>
      </c>
      <c r="O217" s="1">
        <f t="shared" si="24"/>
        <v>-6.53582315984883</v>
      </c>
      <c r="P217" s="1" t="str">
        <f>IMPRODUCT(42*10^-6,IMDIV((COMPLEX(1,I217*(CALCULATIONS!C267*10^3)*(CALCULATIONS!C265*10^-6))),IMPRODUCT((COMPLEX(0,data!I217*((CALCULATIONS!C265*10^-6)+(CALCULATIONS!C271*10^-6)))),(COMPLEX(1,I217*((CALCULATIONS!C267*10^3)*(CALCULATIONS!C265*10^-6)*(CALCULATIONS!C271*10^-6))/((CALCULATIONS!C265*10^-6)+(CALCULATIONS!C271*10^-6)))))))</f>
        <v>1.03481972447625-8.57828475173855i</v>
      </c>
      <c r="Q217" s="1">
        <f t="shared" si="25"/>
        <v>18.7307531108033</v>
      </c>
      <c r="R217" s="1" t="str">
        <f t="shared" si="26"/>
        <v>0.284662930688019-47.5960164063298i</v>
      </c>
      <c r="S217" s="1">
        <f t="shared" si="27"/>
        <v>33.5515674560303</v>
      </c>
      <c r="T217" s="1">
        <f t="shared" si="28"/>
        <v>90.3426713258322</v>
      </c>
    </row>
    <row r="218" spans="1:20">
      <c r="A218" s="1">
        <v>2.3</v>
      </c>
      <c r="B218" s="1">
        <f t="shared" si="29"/>
        <v>199.526231496888</v>
      </c>
      <c r="C218" s="1">
        <f t="shared" si="16"/>
        <v>1253.66028613816</v>
      </c>
      <c r="D218" s="1" t="str">
        <f t="shared" si="17"/>
        <v>-0.0604416002894733-2.74882017902237i</v>
      </c>
      <c r="E218" s="1">
        <f t="shared" si="18"/>
        <v>8.78502582925049</v>
      </c>
      <c r="F218" s="1">
        <f t="shared" si="19"/>
        <v>-91.2596279254694</v>
      </c>
      <c r="G218" s="1">
        <v>-0.7</v>
      </c>
      <c r="H218" s="17">
        <f t="shared" si="30"/>
        <v>0.199526231496888</v>
      </c>
      <c r="I218" s="17">
        <f t="shared" si="31"/>
        <v>1.25366028613816</v>
      </c>
      <c r="J218" s="17">
        <f>(CALCULATIONS!$C$127*10^3)/((CALCULATIONS!$C$123*10^6)+(CALCULATIONS!$C$127*10^3))</f>
        <v>0.0636704119850187</v>
      </c>
      <c r="K218" s="17" t="str">
        <f t="shared" si="20"/>
        <v>85.3085760857234-12.3043824846367i</v>
      </c>
      <c r="L218" s="1">
        <f t="shared" si="21"/>
        <v>38.7092749278497</v>
      </c>
      <c r="M218" s="1" t="str">
        <f t="shared" si="22"/>
        <v>5.43163218523332-0.783425102018067i</v>
      </c>
      <c r="N218" s="1">
        <f t="shared" si="23"/>
        <v>14.7880281281237</v>
      </c>
      <c r="O218" s="1">
        <f t="shared" si="24"/>
        <v>-8.20738809139374</v>
      </c>
      <c r="P218" s="1" t="str">
        <f>IMPRODUCT(42*10^-6,IMDIV((COMPLEX(1,I218*(CALCULATIONS!C267*10^3)*(CALCULATIONS!C265*10^-6))),IMPRODUCT((COMPLEX(0,data!I218*((CALCULATIONS!C265*10^-6)+(CALCULATIONS!C271*10^-6)))),(COMPLEX(1,I218*((CALCULATIONS!C267*10^3)*(CALCULATIONS!C265*10^-6)*(CALCULATIONS!C271*10^-6))/((CALCULATIONS!C265*10^-6)+(CALCULATIONS!C271*10^-6)))))))</f>
        <v>1.03480039956871-6.81669033789651i</v>
      </c>
      <c r="Q218" s="1">
        <f t="shared" si="25"/>
        <v>16.7704162830405</v>
      </c>
      <c r="R218" s="1" t="str">
        <f t="shared" si="26"/>
        <v>0.28028883219756-37.8364432446881i</v>
      </c>
      <c r="S218" s="1">
        <f t="shared" si="27"/>
        <v>31.5584444111642</v>
      </c>
      <c r="T218" s="1">
        <f t="shared" si="28"/>
        <v>90.4244340111906</v>
      </c>
    </row>
    <row r="219" spans="1:20">
      <c r="A219" s="1">
        <v>2.4</v>
      </c>
      <c r="B219" s="1">
        <f t="shared" si="29"/>
        <v>251.188643150958</v>
      </c>
      <c r="C219" s="1">
        <f t="shared" si="16"/>
        <v>1578.26479197648</v>
      </c>
      <c r="D219" s="1" t="str">
        <f t="shared" si="17"/>
        <v>-0.0604245214202902-2.18284850264796i</v>
      </c>
      <c r="E219" s="1">
        <f t="shared" si="18"/>
        <v>6.78379847809734</v>
      </c>
      <c r="F219" s="1">
        <f t="shared" si="19"/>
        <v>-91.5856282148704</v>
      </c>
      <c r="G219" s="1">
        <v>-0.6</v>
      </c>
      <c r="H219" s="17">
        <f t="shared" si="30"/>
        <v>0.251188643150958</v>
      </c>
      <c r="I219" s="17">
        <f t="shared" si="31"/>
        <v>1.57826479197648</v>
      </c>
      <c r="J219" s="17">
        <f>(CALCULATIONS!$C$127*10^3)/((CALCULATIONS!$C$123*10^6)+(CALCULATIONS!$C$127*10^3))</f>
        <v>0.0636704119850187</v>
      </c>
      <c r="K219" s="17" t="str">
        <f t="shared" si="20"/>
        <v>84.3036934961694-15.3078335763042i</v>
      </c>
      <c r="L219" s="1">
        <f t="shared" si="21"/>
        <v>38.6578140198685</v>
      </c>
      <c r="M219" s="1" t="str">
        <f t="shared" si="22"/>
        <v>5.36765089675985-0.974656070401391i</v>
      </c>
      <c r="N219" s="1">
        <f t="shared" si="23"/>
        <v>14.7365672201424</v>
      </c>
      <c r="O219" s="1">
        <f t="shared" si="24"/>
        <v>-10.2916153456939</v>
      </c>
      <c r="P219" s="1" t="str">
        <f>IMPRODUCT(42*10^-6,IMDIV((COMPLEX(1,I219*(CALCULATIONS!C267*10^3)*(CALCULATIONS!C265*10^-6))),IMPRODUCT((COMPLEX(0,data!I219*((CALCULATIONS!C265*10^-6)+(CALCULATIONS!C271*10^-6)))),(COMPLEX(1,I219*((CALCULATIONS!C267*10^3)*(CALCULATIONS!C265*10^-6)*(CALCULATIONS!C271*10^-6))/((CALCULATIONS!C265*10^-6)+(CALCULATIONS!C271*10^-6)))))))</f>
        <v>1.03476977313273-5.41810937665213i</v>
      </c>
      <c r="Q219" s="1">
        <f t="shared" si="25"/>
        <v>14.832542487157</v>
      </c>
      <c r="R219" s="1" t="str">
        <f t="shared" si="26"/>
        <v>0.27348970664319-30.0910642951814i</v>
      </c>
      <c r="S219" s="1">
        <f t="shared" si="27"/>
        <v>29.5691097072994</v>
      </c>
      <c r="T219" s="1">
        <f t="shared" si="28"/>
        <v>90.5207318136028</v>
      </c>
    </row>
    <row r="220" spans="1:20">
      <c r="A220" s="1">
        <v>2.5</v>
      </c>
      <c r="B220" s="1">
        <f t="shared" si="29"/>
        <v>316.227766016838</v>
      </c>
      <c r="C220" s="1">
        <f t="shared" si="16"/>
        <v>1986.91765315922</v>
      </c>
      <c r="D220" s="1" t="str">
        <f t="shared" si="17"/>
        <v>-0.0603974729987652-1.73312203591228i</v>
      </c>
      <c r="E220" s="1">
        <f t="shared" si="18"/>
        <v>4.78185396783409</v>
      </c>
      <c r="F220" s="1">
        <f t="shared" si="19"/>
        <v>-91.9958897118999</v>
      </c>
      <c r="G220" s="1">
        <v>-0.5</v>
      </c>
      <c r="H220" s="17">
        <f t="shared" si="30"/>
        <v>0.316227766016838</v>
      </c>
      <c r="I220" s="17">
        <f t="shared" si="31"/>
        <v>1.98691765315922</v>
      </c>
      <c r="J220" s="17">
        <f>(CALCULATIONS!$C$127*10^3)/((CALCULATIONS!$C$123*10^6)+(CALCULATIONS!$C$127*10^3))</f>
        <v>0.0636704119850187</v>
      </c>
      <c r="K220" s="17" t="str">
        <f t="shared" si="20"/>
        <v>82.7586663578933-18.9182348824763i</v>
      </c>
      <c r="L220" s="1">
        <f t="shared" si="21"/>
        <v>38.5774828319125</v>
      </c>
      <c r="M220" s="1" t="str">
        <f t="shared" si="22"/>
        <v>5.26927838233777-1.20453180899662i</v>
      </c>
      <c r="N220" s="1">
        <f t="shared" si="23"/>
        <v>14.6562360321864</v>
      </c>
      <c r="O220" s="1">
        <f t="shared" si="24"/>
        <v>-12.8762965852471</v>
      </c>
      <c r="P220" s="1" t="str">
        <f>IMPRODUCT(42*10^-6,IMDIV((COMPLEX(1,I220*(CALCULATIONS!C267*10^3)*(CALCULATIONS!C265*10^-6))),IMPRODUCT((COMPLEX(0,data!I220*((CALCULATIONS!C265*10^-6)+(CALCULATIONS!C271*10^-6)))),(COMPLEX(1,I220*((CALCULATIONS!C267*10^3)*(CALCULATIONS!C265*10^-6)*(CALCULATIONS!C271*10^-6))/((CALCULATIONS!C265*10^-6)+(CALCULATIONS!C271*10^-6)))))))</f>
        <v>1.03472123721614-4.30806216759887i</v>
      </c>
      <c r="Q220" s="1">
        <f t="shared" si="25"/>
        <v>12.929213544419</v>
      </c>
      <c r="R220" s="1" t="str">
        <f t="shared" si="26"/>
        <v>0.263036331001032-23.9467334931671i</v>
      </c>
      <c r="S220" s="1">
        <f t="shared" si="27"/>
        <v>27.5854495766054</v>
      </c>
      <c r="T220" s="1">
        <f t="shared" si="28"/>
        <v>90.629324477877</v>
      </c>
    </row>
    <row r="221" spans="1:20">
      <c r="A221" s="1">
        <v>2.6</v>
      </c>
      <c r="B221" s="1">
        <f t="shared" si="29"/>
        <v>398.107170553498</v>
      </c>
      <c r="C221" s="1">
        <f t="shared" si="16"/>
        <v>2501.38112470457</v>
      </c>
      <c r="D221" s="1" t="str">
        <f t="shared" si="17"/>
        <v>-0.0603546537080608-1.37569176728692i</v>
      </c>
      <c r="E221" s="1">
        <f t="shared" si="18"/>
        <v>2.77877390904615</v>
      </c>
      <c r="F221" s="1">
        <f t="shared" si="19"/>
        <v>-92.5120822186444</v>
      </c>
      <c r="G221" s="1">
        <v>-0.4</v>
      </c>
      <c r="H221" s="17">
        <f t="shared" si="30"/>
        <v>0.398107170553497</v>
      </c>
      <c r="I221" s="17">
        <f t="shared" si="31"/>
        <v>2.50138112470457</v>
      </c>
      <c r="J221" s="17">
        <f>(CALCULATIONS!$C$127*10^3)/((CALCULATIONS!$C$123*10^6)+(CALCULATIONS!$C$127*10^3))</f>
        <v>0.0636704119850187</v>
      </c>
      <c r="K221" s="17" t="str">
        <f t="shared" si="20"/>
        <v>80.4226917651621-23.1443897768052i</v>
      </c>
      <c r="L221" s="1">
        <f t="shared" si="21"/>
        <v>38.4531340466619</v>
      </c>
      <c r="M221" s="1" t="str">
        <f t="shared" si="22"/>
        <v>5.12054591763204-1.47361283223104i</v>
      </c>
      <c r="N221" s="1">
        <f t="shared" si="23"/>
        <v>14.5318872469359</v>
      </c>
      <c r="O221" s="1">
        <f t="shared" si="24"/>
        <v>-16.0549888825553</v>
      </c>
      <c r="P221" s="1" t="str">
        <f>IMPRODUCT(42*10^-6,IMDIV((COMPLEX(1,I221*(CALCULATIONS!C267*10^3)*(CALCULATIONS!C265*10^-6))),IMPRODUCT((COMPLEX(0,data!I221*((CALCULATIONS!C265*10^-6)+(CALCULATIONS!C271*10^-6)))),(COMPLEX(1,I221*((CALCULATIONS!C267*10^3)*(CALCULATIONS!C265*10^-6)*(CALCULATIONS!C271*10^-6))/((CALCULATIONS!C265*10^-6)+(CALCULATIONS!C271*10^-6)))))))</f>
        <v>1.03464432229829-3.42743432135513i</v>
      </c>
      <c r="Q221" s="1">
        <f t="shared" si="25"/>
        <v>11.0781331810354</v>
      </c>
      <c r="R221" s="1" t="str">
        <f t="shared" si="26"/>
        <v>0.247232563167671-19.0749999723007i</v>
      </c>
      <c r="S221" s="1">
        <f t="shared" si="27"/>
        <v>25.6100204279713</v>
      </c>
      <c r="T221" s="1">
        <f t="shared" si="28"/>
        <v>90.7425734897077</v>
      </c>
    </row>
    <row r="222" spans="1:20">
      <c r="A222" s="1">
        <v>2.7</v>
      </c>
      <c r="B222" s="1">
        <f t="shared" si="29"/>
        <v>501.187233627273</v>
      </c>
      <c r="C222" s="1">
        <f t="shared" si="16"/>
        <v>3149.05226247286</v>
      </c>
      <c r="D222" s="1" t="str">
        <f t="shared" si="17"/>
        <v>-0.0602869139324506-1.09152435094134i</v>
      </c>
      <c r="E222" s="1">
        <f t="shared" si="18"/>
        <v>0.773896814953249</v>
      </c>
      <c r="F222" s="1">
        <f t="shared" si="19"/>
        <v>-93.1613401409237</v>
      </c>
      <c r="G222" s="1">
        <v>-0.3</v>
      </c>
      <c r="H222" s="17">
        <f t="shared" si="30"/>
        <v>0.501187233627272</v>
      </c>
      <c r="I222" s="17">
        <f t="shared" si="31"/>
        <v>3.14905226247286</v>
      </c>
      <c r="J222" s="17">
        <f>(CALCULATIONS!$C$127*10^3)/((CALCULATIONS!$C$123*10^6)+(CALCULATIONS!$C$127*10^3))</f>
        <v>0.0636704119850187</v>
      </c>
      <c r="K222" s="17" t="str">
        <f t="shared" si="20"/>
        <v>76.9789800813411-27.8894071471389i</v>
      </c>
      <c r="L222" s="1">
        <f t="shared" si="21"/>
        <v>38.2630695241715</v>
      </c>
      <c r="M222" s="1" t="str">
        <f t="shared" si="22"/>
        <v>4.90128337596554-1.77573004307626i</v>
      </c>
      <c r="N222" s="1">
        <f t="shared" si="23"/>
        <v>14.3418227244455</v>
      </c>
      <c r="O222" s="1">
        <f t="shared" si="24"/>
        <v>-19.9154008847567</v>
      </c>
      <c r="P222" s="1" t="str">
        <f>IMPRODUCT(42*10^-6,IMDIV((COMPLEX(1,I222*(CALCULATIONS!C267*10^3)*(CALCULATIONS!C265*10^-6))),IMPRODUCT((COMPLEX(0,data!I222*((CALCULATIONS!C265*10^-6)+(CALCULATIONS!C271*10^-6)))),(COMPLEX(1,I222*((CALCULATIONS!C267*10^3)*(CALCULATIONS!C265*10^-6)*(CALCULATIONS!C271*10^-6))/((CALCULATIONS!C265*10^-6)+(CALCULATIONS!C271*10^-6)))))))</f>
        <v>1.03452244378871-2.72932854026566i</v>
      </c>
      <c r="Q222" s="1">
        <f t="shared" si="25"/>
        <v>9.30412627270519</v>
      </c>
      <c r="R222" s="1" t="str">
        <f t="shared" si="26"/>
        <v>0.223936969429643-15.2142451856247i</v>
      </c>
      <c r="S222" s="1">
        <f t="shared" si="27"/>
        <v>23.6459489971507</v>
      </c>
      <c r="T222" s="1">
        <f t="shared" si="28"/>
        <v>90.8432700156845</v>
      </c>
    </row>
    <row r="223" spans="1:20">
      <c r="A223" s="1">
        <v>2.8</v>
      </c>
      <c r="B223" s="1">
        <f t="shared" si="29"/>
        <v>630.957344480193</v>
      </c>
      <c r="C223" s="1">
        <f t="shared" si="16"/>
        <v>3964.421916295</v>
      </c>
      <c r="D223" s="1" t="str">
        <f t="shared" si="17"/>
        <v>-0.0601798645423975-0.865489058094866i</v>
      </c>
      <c r="E223" s="1">
        <f t="shared" si="18"/>
        <v>-1.23382165684731</v>
      </c>
      <c r="F223" s="1">
        <f t="shared" si="19"/>
        <v>-93.9775331551344</v>
      </c>
      <c r="G223" s="1">
        <v>-0.2</v>
      </c>
      <c r="H223" s="17">
        <f t="shared" si="30"/>
        <v>0.630957344480193</v>
      </c>
      <c r="I223" s="17">
        <f t="shared" si="31"/>
        <v>3.964421916295</v>
      </c>
      <c r="J223" s="17">
        <f>(CALCULATIONS!$C$127*10^3)/((CALCULATIONS!$C$123*10^6)+(CALCULATIONS!$C$127*10^3))</f>
        <v>0.0636704119850187</v>
      </c>
      <c r="K223" s="17" t="str">
        <f t="shared" si="20"/>
        <v>72.0867842686088-32.879316606639i</v>
      </c>
      <c r="L223" s="1">
        <f t="shared" si="21"/>
        <v>37.9779045216495</v>
      </c>
      <c r="M223" s="1" t="str">
        <f t="shared" si="22"/>
        <v>4.58979525305749-2.09343963413057i</v>
      </c>
      <c r="N223" s="1">
        <f t="shared" si="23"/>
        <v>14.0566577219234</v>
      </c>
      <c r="O223" s="1">
        <f t="shared" si="24"/>
        <v>-24.5180804477198</v>
      </c>
      <c r="P223" s="1" t="str">
        <f>IMPRODUCT(42*10^-6,IMDIV((COMPLEX(1,I223*(CALCULATIONS!C267*10^3)*(CALCULATIONS!C265*10^-6))),IMPRODUCT((COMPLEX(0,data!I223*((CALCULATIONS!C265*10^-6)+(CALCULATIONS!C271*10^-6)))),(COMPLEX(1,I223*((CALCULATIONS!C267*10^3)*(CALCULATIONS!C265*10^-6)*(CALCULATIONS!C271*10^-6))/((CALCULATIONS!C265*10^-6)+(CALCULATIONS!C271*10^-6)))))))</f>
        <v>1.03432933817499-2.17656684237143i</v>
      </c>
      <c r="Q223" s="1">
        <f t="shared" si="25"/>
        <v>7.63972796043776</v>
      </c>
      <c r="R223" s="1" t="str">
        <f t="shared" si="26"/>
        <v>0.190848592298888-12.1553021923583i</v>
      </c>
      <c r="S223" s="1">
        <f t="shared" si="27"/>
        <v>21.6963856823612</v>
      </c>
      <c r="T223" s="1">
        <f t="shared" si="28"/>
        <v>90.8995186039792</v>
      </c>
    </row>
    <row r="224" spans="1:20">
      <c r="A224" s="1">
        <v>2.9</v>
      </c>
      <c r="B224" s="1">
        <f t="shared" si="29"/>
        <v>794.328234724282</v>
      </c>
      <c r="C224" s="1">
        <f t="shared" si="16"/>
        <v>4990.91149349751</v>
      </c>
      <c r="D224" s="1" t="str">
        <f t="shared" si="17"/>
        <v>-0.0600109792393185-0.685553084720957i</v>
      </c>
      <c r="E224" s="1">
        <f t="shared" si="18"/>
        <v>-3.24602658047814</v>
      </c>
      <c r="F224" s="1">
        <f t="shared" si="19"/>
        <v>-95.0027251094404</v>
      </c>
      <c r="G224" s="1">
        <v>-0.1</v>
      </c>
      <c r="H224" s="17">
        <f t="shared" si="30"/>
        <v>0.794328234724281</v>
      </c>
      <c r="I224" s="17">
        <f t="shared" si="31"/>
        <v>4.9909114934975</v>
      </c>
      <c r="J224" s="17">
        <f>(CALCULATIONS!$C$127*10^3)/((CALCULATIONS!$C$123*10^6)+(CALCULATIONS!$C$127*10^3))</f>
        <v>0.0636704119850187</v>
      </c>
      <c r="K224" s="17" t="str">
        <f t="shared" si="20"/>
        <v>65.490353434107-37.6049022368577i</v>
      </c>
      <c r="L224" s="1">
        <f t="shared" si="21"/>
        <v>37.5611213393183</v>
      </c>
      <c r="M224" s="1" t="str">
        <f t="shared" si="22"/>
        <v>4.16979778419408-2.39431961807708i</v>
      </c>
      <c r="N224" s="1">
        <f t="shared" si="23"/>
        <v>13.6398745395922</v>
      </c>
      <c r="O224" s="1">
        <f t="shared" si="24"/>
        <v>-29.8646670439577</v>
      </c>
      <c r="P224" s="1" t="str">
        <f>IMPRODUCT(42*10^-6,IMDIV((COMPLEX(1,I224*(CALCULATIONS!C267*10^3)*(CALCULATIONS!C265*10^-6))),IMPRODUCT((COMPLEX(0,data!I224*((CALCULATIONS!C265*10^-6)+(CALCULATIONS!C271*10^-6)))),(COMPLEX(1,I224*((CALCULATIONS!C267*10^3)*(CALCULATIONS!C265*10^-6)*(CALCULATIONS!C271*10^-6))/((CALCULATIONS!C265*10^-6)+(CALCULATIONS!C271*10^-6)))))))</f>
        <v>1.03402343402878-1.73971005299794i</v>
      </c>
      <c r="Q224" s="1">
        <f t="shared" si="25"/>
        <v>6.12338267758121</v>
      </c>
      <c r="R224" s="1" t="str">
        <f t="shared" si="26"/>
        <v>0.146246714359076-9.73002171777751i</v>
      </c>
      <c r="S224" s="1">
        <f t="shared" si="27"/>
        <v>19.7632572171734</v>
      </c>
      <c r="T224" s="1">
        <f t="shared" si="28"/>
        <v>90.8611171511201</v>
      </c>
    </row>
    <row r="225" spans="1:20">
      <c r="A225" s="1">
        <v>3</v>
      </c>
      <c r="B225" s="1">
        <f t="shared" si="29"/>
        <v>1000</v>
      </c>
      <c r="C225" s="1">
        <f t="shared" si="16"/>
        <v>6283.18530717959</v>
      </c>
      <c r="D225" s="1" t="str">
        <f t="shared" si="17"/>
        <v>-0.0597452471429609-0.542142854143402i</v>
      </c>
      <c r="E225" s="1">
        <f t="shared" si="18"/>
        <v>-5.26530009568608</v>
      </c>
      <c r="F225" s="1">
        <f t="shared" si="19"/>
        <v>-96.288735740608</v>
      </c>
      <c r="G225" s="1">
        <v>0</v>
      </c>
      <c r="H225" s="17">
        <f t="shared" si="30"/>
        <v>1</v>
      </c>
      <c r="I225" s="17">
        <f t="shared" si="31"/>
        <v>6.28318530717959</v>
      </c>
      <c r="J225" s="17">
        <f>(CALCULATIONS!$C$127*10^3)/((CALCULATIONS!$C$123*10^6)+(CALCULATIONS!$C$127*10^3))</f>
        <v>0.0636704119850187</v>
      </c>
      <c r="K225" s="17" t="str">
        <f t="shared" si="20"/>
        <v>57.1953914941854-41.3454922374395i</v>
      </c>
      <c r="L225" s="1">
        <f t="shared" si="21"/>
        <v>36.9729583674677</v>
      </c>
      <c r="M225" s="1" t="str">
        <f t="shared" si="22"/>
        <v>3.64165414007922-2.63248452448117i</v>
      </c>
      <c r="N225" s="1">
        <f t="shared" si="23"/>
        <v>13.0517115677417</v>
      </c>
      <c r="O225" s="1">
        <f t="shared" si="24"/>
        <v>-35.8624713926219</v>
      </c>
      <c r="P225" s="1" t="str">
        <f>IMPRODUCT(42*10^-6,IMDIV((COMPLEX(1,I225*(CALCULATIONS!C267*10^3)*(CALCULATIONS!C265*10^-6))),IMPRODUCT((COMPLEX(0,data!I225*((CALCULATIONS!C265*10^-6)+(CALCULATIONS!C271*10^-6)))),(COMPLEX(1,I225*((CALCULATIONS!C267*10^3)*(CALCULATIONS!C265*10^-6)*(CALCULATIONS!C271*10^-6))/((CALCULATIONS!C265*10^-6)+(CALCULATIONS!C271*10^-6)))))))</f>
        <v>1.03353897909813-1.39548877696174i</v>
      </c>
      <c r="Q225" s="1">
        <f t="shared" si="25"/>
        <v>4.79372546210559</v>
      </c>
      <c r="R225" s="1" t="str">
        <f t="shared" si="26"/>
        <v>0.0901888927270204-7.8026628499807i</v>
      </c>
      <c r="S225" s="1">
        <f t="shared" si="27"/>
        <v>17.8454370298473</v>
      </c>
      <c r="T225" s="1">
        <f t="shared" si="28"/>
        <v>90.6622370976616</v>
      </c>
    </row>
    <row r="226" spans="1:20">
      <c r="A226" s="1">
        <v>3.1</v>
      </c>
      <c r="B226" s="1">
        <f t="shared" si="29"/>
        <v>1258.92541179417</v>
      </c>
      <c r="C226" s="1">
        <f t="shared" si="16"/>
        <v>7910.06165022013</v>
      </c>
      <c r="D226" s="1" t="str">
        <f t="shared" si="17"/>
        <v>-0.0593288771442276-0.427638211770057i</v>
      </c>
      <c r="E226" s="1">
        <f t="shared" si="18"/>
        <v>-7.29567242568919</v>
      </c>
      <c r="F226" s="1">
        <f t="shared" si="19"/>
        <v>-97.8985765930781</v>
      </c>
      <c r="G226" s="1">
        <v>0.1</v>
      </c>
      <c r="H226" s="17">
        <f t="shared" si="30"/>
        <v>1.25892541179417</v>
      </c>
      <c r="I226" s="17">
        <f t="shared" si="31"/>
        <v>7.91006165022012</v>
      </c>
      <c r="J226" s="17">
        <f>(CALCULATIONS!$C$127*10^3)/((CALCULATIONS!$C$123*10^6)+(CALCULATIONS!$C$127*10^3))</f>
        <v>0.0636704119850187</v>
      </c>
      <c r="K226" s="17" t="str">
        <f t="shared" si="20"/>
        <v>47.6333946396551-43.3489580191075i</v>
      </c>
      <c r="L226" s="1">
        <f t="shared" si="21"/>
        <v>36.1784633275251</v>
      </c>
      <c r="M226" s="1" t="str">
        <f t="shared" si="22"/>
        <v>3.03283786095182-2.76004601619785i</v>
      </c>
      <c r="N226" s="1">
        <f t="shared" si="23"/>
        <v>12.2572165277991</v>
      </c>
      <c r="O226" s="1">
        <f t="shared" si="24"/>
        <v>-42.3038845981672</v>
      </c>
      <c r="P226" s="1" t="str">
        <f>IMPRODUCT(42*10^-6,IMDIV((COMPLEX(1,I226*(CALCULATIONS!C267*10^3)*(CALCULATIONS!C265*10^-6))),IMPRODUCT((COMPLEX(0,data!I226*((CALCULATIONS!C265*10^-6)+(CALCULATIONS!C271*10^-6)))),(COMPLEX(1,I226*((CALCULATIONS!C267*10^3)*(CALCULATIONS!C265*10^-6)*(CALCULATIONS!C271*10^-6))/((CALCULATIONS!C265*10^-6)+(CALCULATIONS!C271*10^-6)))))))</f>
        <v>1.03277209894957-1.12556166567762i</v>
      </c>
      <c r="Q226" s="1">
        <f t="shared" si="25"/>
        <v>3.68009158559896</v>
      </c>
      <c r="R226" s="1" t="str">
        <f t="shared" si="26"/>
        <v>0.0256283320904033-6.26414455184913i</v>
      </c>
      <c r="S226" s="1">
        <f t="shared" si="27"/>
        <v>15.937308113398</v>
      </c>
      <c r="T226" s="1">
        <f t="shared" si="28"/>
        <v>90.2344114283675</v>
      </c>
    </row>
    <row r="227" spans="1:20">
      <c r="A227" s="1">
        <v>3.2</v>
      </c>
      <c r="B227" s="1">
        <f t="shared" si="29"/>
        <v>1584.89319246112</v>
      </c>
      <c r="C227" s="1">
        <f t="shared" si="16"/>
        <v>9958.17762032063</v>
      </c>
      <c r="D227" s="1" t="str">
        <f t="shared" si="17"/>
        <v>-0.058680733006452-0.335974182598216i</v>
      </c>
      <c r="E227" s="1">
        <f t="shared" si="18"/>
        <v>-9.34337841379896</v>
      </c>
      <c r="F227" s="1">
        <f t="shared" si="19"/>
        <v>-99.9072570381664</v>
      </c>
      <c r="G227" s="1">
        <v>0.2</v>
      </c>
      <c r="H227" s="17">
        <f t="shared" si="30"/>
        <v>1.58489319246111</v>
      </c>
      <c r="I227" s="17">
        <f t="shared" si="31"/>
        <v>9.95817762032062</v>
      </c>
      <c r="J227" s="17">
        <f>(CALCULATIONS!$C$127*10^3)/((CALCULATIONS!$C$123*10^6)+(CALCULATIONS!$C$127*10^3))</f>
        <v>0.0636704119850187</v>
      </c>
      <c r="K227" s="17" t="str">
        <f t="shared" si="20"/>
        <v>37.6559165578073-43.1420077686815i</v>
      </c>
      <c r="L227" s="1">
        <f t="shared" si="21"/>
        <v>35.1576802266562</v>
      </c>
      <c r="M227" s="1" t="str">
        <f t="shared" si="22"/>
        <v>2.39756772090908-2.74686940849283i</v>
      </c>
      <c r="N227" s="1">
        <f t="shared" si="23"/>
        <v>11.2364334269301</v>
      </c>
      <c r="O227" s="1">
        <f t="shared" si="24"/>
        <v>-48.8843591478322</v>
      </c>
      <c r="P227" s="1" t="str">
        <f>IMPRODUCT(42*10^-6,IMDIV((COMPLEX(1,I227*(CALCULATIONS!C267*10^3)*(CALCULATIONS!C265*10^-6))),IMPRODUCT((COMPLEX(0,data!I227*((CALCULATIONS!C265*10^-6)+(CALCULATIONS!C271*10^-6)))),(COMPLEX(1,I227*((CALCULATIONS!C267*10^3)*(CALCULATIONS!C265*10^-6)*(CALCULATIONS!C271*10^-6))/((CALCULATIONS!C265*10^-6)+(CALCULATIONS!C271*10^-6)))))))</f>
        <v>1.03155900423728-0.91553361139774i</v>
      </c>
      <c r="Q227" s="1">
        <f t="shared" si="25"/>
        <v>2.79282608821915</v>
      </c>
      <c r="R227" s="1" t="str">
        <f t="shared" si="26"/>
        <v>-0.0416186988229993-5.02861170588925i</v>
      </c>
      <c r="S227" s="1">
        <f t="shared" si="27"/>
        <v>14.0292595151493</v>
      </c>
      <c r="T227" s="1">
        <f t="shared" si="28"/>
        <v>89.5258092120652</v>
      </c>
    </row>
    <row r="228" spans="1:20">
      <c r="A228" s="1">
        <v>3.3</v>
      </c>
      <c r="B228" s="1">
        <f t="shared" si="29"/>
        <v>1995.26231496888</v>
      </c>
      <c r="C228" s="1">
        <f t="shared" si="16"/>
        <v>12536.6028613816</v>
      </c>
      <c r="D228" s="1" t="str">
        <f t="shared" si="17"/>
        <v>-0.0576820081926591-0.26233168434842i</v>
      </c>
      <c r="E228" s="1">
        <f t="shared" si="18"/>
        <v>-11.4179299965714</v>
      </c>
      <c r="F228" s="1">
        <f t="shared" si="19"/>
        <v>-102.400968081475</v>
      </c>
      <c r="G228" s="1">
        <v>0.3</v>
      </c>
      <c r="H228" s="17">
        <f t="shared" si="30"/>
        <v>1.99526231496888</v>
      </c>
      <c r="I228" s="17">
        <f t="shared" si="31"/>
        <v>12.5366028613816</v>
      </c>
      <c r="J228" s="17">
        <f>(CALCULATIONS!$C$127*10^3)/((CALCULATIONS!$C$123*10^6)+(CALCULATIONS!$C$127*10^3))</f>
        <v>0.0636704119850187</v>
      </c>
      <c r="K228" s="17" t="str">
        <f t="shared" si="20"/>
        <v>28.2706754483521-40.7758773825983i</v>
      </c>
      <c r="L228" s="1">
        <f t="shared" si="21"/>
        <v>33.9127098458411</v>
      </c>
      <c r="M228" s="1" t="str">
        <f t="shared" si="22"/>
        <v>1.80000555289133-2.59621691200064i</v>
      </c>
      <c r="N228" s="1">
        <f t="shared" si="23"/>
        <v>9.99146304611503</v>
      </c>
      <c r="O228" s="1">
        <f t="shared" si="24"/>
        <v>-55.2657094020919</v>
      </c>
      <c r="P228" s="1" t="str">
        <f>IMPRODUCT(42*10^-6,IMDIV((COMPLEX(1,I228*(CALCULATIONS!C267*10^3)*(CALCULATIONS!C265*10^-6))),IMPRODUCT((COMPLEX(0,data!I228*((CALCULATIONS!C265*10^-6)+(CALCULATIONS!C271*10^-6)))),(COMPLEX(1,I228*((CALCULATIONS!C267*10^3)*(CALCULATIONS!C265*10^-6)*(CALCULATIONS!C271*10^-6))/((CALCULATIONS!C265*10^-6)+(CALCULATIONS!C271*10^-6)))))))</f>
        <v>1.02964220534742-0.754179153491656i</v>
      </c>
      <c r="Q228" s="1">
        <f t="shared" si="25"/>
        <v>2.11907558475887</v>
      </c>
      <c r="R228" s="1" t="str">
        <f t="shared" si="26"/>
        <v>-0.104650985856733-4.03070117099247i</v>
      </c>
      <c r="S228" s="1">
        <f t="shared" si="27"/>
        <v>12.1105386308739</v>
      </c>
      <c r="T228" s="1">
        <f t="shared" si="28"/>
        <v>88.5127369200217</v>
      </c>
    </row>
    <row r="229" spans="1:20">
      <c r="A229" s="1">
        <v>3.4</v>
      </c>
      <c r="B229" s="1">
        <f t="shared" si="29"/>
        <v>2511.88643150958</v>
      </c>
      <c r="C229" s="1">
        <f t="shared" si="16"/>
        <v>15782.6479197648</v>
      </c>
      <c r="D229" s="1" t="str">
        <f t="shared" si="17"/>
        <v>-0.0561669437592278-0.202904261715795i</v>
      </c>
      <c r="E229" s="1">
        <f t="shared" si="18"/>
        <v>-13.5335257851525</v>
      </c>
      <c r="F229" s="1">
        <f t="shared" si="19"/>
        <v>-105.472886845686</v>
      </c>
      <c r="G229" s="1">
        <v>0.4</v>
      </c>
      <c r="H229" s="17">
        <f t="shared" si="30"/>
        <v>2.51188643150958</v>
      </c>
      <c r="I229" s="17">
        <f t="shared" si="31"/>
        <v>15.7826479197648</v>
      </c>
      <c r="J229" s="17">
        <f>(CALCULATIONS!$C$127*10^3)/((CALCULATIONS!$C$123*10^6)+(CALCULATIONS!$C$127*10^3))</f>
        <v>0.0636704119850187</v>
      </c>
      <c r="K229" s="17" t="str">
        <f t="shared" si="20"/>
        <v>20.2655174427087-36.7980518391844i</v>
      </c>
      <c r="L229" s="1">
        <f t="shared" si="21"/>
        <v>32.4669249685428</v>
      </c>
      <c r="M229" s="1" t="str">
        <f t="shared" si="22"/>
        <v>1.29031384466685-2.34294712084695i</v>
      </c>
      <c r="N229" s="1">
        <f t="shared" si="23"/>
        <v>8.54567816881682</v>
      </c>
      <c r="O229" s="1">
        <f t="shared" si="24"/>
        <v>-61.1574310477311</v>
      </c>
      <c r="P229" s="1" t="str">
        <f>IMPRODUCT(42*10^-6,IMDIV((COMPLEX(1,I229*(CALCULATIONS!C267*10^3)*(CALCULATIONS!C265*10^-6))),IMPRODUCT((COMPLEX(0,data!I229*((CALCULATIONS!C265*10^-6)+(CALCULATIONS!C271*10^-6)))),(COMPLEX(1,I229*((CALCULATIONS!C267*10^3)*(CALCULATIONS!C265*10^-6)*(CALCULATIONS!C271*10^-6))/((CALCULATIONS!C265*10^-6)+(CALCULATIONS!C271*10^-6)))))))</f>
        <v>1.02661883254661-0.632825033492589i</v>
      </c>
      <c r="Q229" s="1">
        <f t="shared" si="25"/>
        <v>1.62687971814877</v>
      </c>
      <c r="R229" s="1" t="str">
        <f t="shared" si="26"/>
        <v>-0.158015097390727-3.22185653988959i</v>
      </c>
      <c r="S229" s="1">
        <f t="shared" si="27"/>
        <v>10.1725578869656</v>
      </c>
      <c r="T229" s="1">
        <f t="shared" si="28"/>
        <v>87.1921935710446</v>
      </c>
    </row>
    <row r="230" spans="1:20">
      <c r="A230" s="1">
        <v>3.5</v>
      </c>
      <c r="B230" s="1">
        <f t="shared" si="29"/>
        <v>3162.27766016838</v>
      </c>
      <c r="C230" s="1">
        <f t="shared" si="16"/>
        <v>19869.1765315922</v>
      </c>
      <c r="D230" s="1" t="str">
        <f t="shared" si="17"/>
        <v>-0.0539222418735863-0.154731350463645i</v>
      </c>
      <c r="E230" s="1">
        <f t="shared" si="18"/>
        <v>-15.7106543139569</v>
      </c>
      <c r="F230" s="1">
        <f t="shared" si="19"/>
        <v>-109.21290646884</v>
      </c>
      <c r="G230" s="1">
        <v>0.5</v>
      </c>
      <c r="H230" s="17">
        <f t="shared" si="30"/>
        <v>3.16227766016838</v>
      </c>
      <c r="I230" s="17">
        <f t="shared" si="31"/>
        <v>19.8691765315922</v>
      </c>
      <c r="J230" s="17">
        <f>(CALCULATIONS!$C$127*10^3)/((CALCULATIONS!$C$123*10^6)+(CALCULATIONS!$C$127*10^3))</f>
        <v>0.0636704119850187</v>
      </c>
      <c r="K230" s="17" t="str">
        <f t="shared" si="20"/>
        <v>13.9879858416228-31.9758658918184i</v>
      </c>
      <c r="L230" s="1">
        <f t="shared" si="21"/>
        <v>30.85689983777</v>
      </c>
      <c r="M230" s="1" t="str">
        <f t="shared" si="22"/>
        <v>0.890620821376732-2.03591655490978i</v>
      </c>
      <c r="N230" s="1">
        <f t="shared" si="23"/>
        <v>6.93565303804395</v>
      </c>
      <c r="O230" s="1">
        <f t="shared" si="24"/>
        <v>-66.3728113196904</v>
      </c>
      <c r="P230" s="1" t="str">
        <f>IMPRODUCT(42*10^-6,IMDIV((COMPLEX(1,I230*(CALCULATIONS!C267*10^3)*(CALCULATIONS!C265*10^-6))),IMPRODUCT((COMPLEX(0,data!I230*((CALCULATIONS!C265*10^-6)+(CALCULATIONS!C271*10^-6)))),(COMPLEX(1,I230*((CALCULATIONS!C267*10^3)*(CALCULATIONS!C265*10^-6)*(CALCULATIONS!C271*10^-6))/((CALCULATIONS!C265*10^-6)+(CALCULATIONS!C271*10^-6)))))))</f>
        <v>1.02186331079991-0.544850066056645i</v>
      </c>
      <c r="Q230" s="1">
        <f t="shared" si="25"/>
        <v>1.27450223386278</v>
      </c>
      <c r="R230" s="1" t="str">
        <f t="shared" si="26"/>
        <v>-0.199176528229048-2.56568324467099i</v>
      </c>
      <c r="S230" s="1">
        <f t="shared" si="27"/>
        <v>8.21015527190672</v>
      </c>
      <c r="T230" s="1">
        <f t="shared" si="28"/>
        <v>85.5609750397473</v>
      </c>
    </row>
    <row r="231" spans="1:20">
      <c r="A231" s="1">
        <v>3.6</v>
      </c>
      <c r="B231" s="1">
        <f t="shared" si="29"/>
        <v>3981.07170553498</v>
      </c>
      <c r="C231" s="1">
        <f t="shared" si="16"/>
        <v>25013.8112470457</v>
      </c>
      <c r="D231" s="1" t="str">
        <f t="shared" si="17"/>
        <v>-0.0507102556189453-0.115586250414823i</v>
      </c>
      <c r="E231" s="1">
        <f t="shared" si="18"/>
        <v>-17.9773757181171</v>
      </c>
      <c r="F231" s="1">
        <f t="shared" si="19"/>
        <v>-113.688128663783</v>
      </c>
      <c r="G231" s="1">
        <v>0.6</v>
      </c>
      <c r="H231" s="17">
        <f t="shared" si="30"/>
        <v>3.98107170553497</v>
      </c>
      <c r="I231" s="17">
        <f t="shared" si="31"/>
        <v>25.0138112470457</v>
      </c>
      <c r="J231" s="17">
        <f>(CALCULATIONS!$C$127*10^3)/((CALCULATIONS!$C$123*10^6)+(CALCULATIONS!$C$127*10^3))</f>
        <v>0.0636704119850187</v>
      </c>
      <c r="K231" s="17" t="str">
        <f t="shared" si="20"/>
        <v>9.38197125845624-26.9998423224322i</v>
      </c>
      <c r="L231" s="1">
        <f t="shared" si="21"/>
        <v>29.1222889788213</v>
      </c>
      <c r="M231" s="1" t="str">
        <f t="shared" si="22"/>
        <v>0.597353975257513-1.7190910841998i</v>
      </c>
      <c r="N231" s="1">
        <f t="shared" si="23"/>
        <v>5.2010421790953</v>
      </c>
      <c r="O231" s="1">
        <f t="shared" si="24"/>
        <v>-70.8385580404164</v>
      </c>
      <c r="P231" s="1" t="str">
        <f>IMPRODUCT(42*10^-6,IMDIV((COMPLEX(1,I231*(CALCULATIONS!C267*10^3)*(CALCULATIONS!C265*10^-6))),IMPRODUCT((COMPLEX(0,data!I231*((CALCULATIONS!C265*10^-6)+(CALCULATIONS!C271*10^-6)))),(COMPLEX(1,I231*((CALCULATIONS!C267*10^3)*(CALCULATIONS!C265*10^-6)*(CALCULATIONS!C271*10^-6))/((CALCULATIONS!C265*10^-6)+(CALCULATIONS!C271*10^-6)))))))</f>
        <v>1.01441590540104-0.485259170475996i</v>
      </c>
      <c r="Q231" s="1">
        <f t="shared" si="25"/>
        <v>1.0192436035136</v>
      </c>
      <c r="R231" s="1" t="str">
        <f t="shared" si="26"/>
        <v>-0.228239339835715-2.03374483315939i</v>
      </c>
      <c r="S231" s="1">
        <f t="shared" si="27"/>
        <v>6.22028578260887</v>
      </c>
      <c r="T231" s="1">
        <f t="shared" si="28"/>
        <v>83.5967084477814</v>
      </c>
    </row>
    <row r="232" spans="1:20">
      <c r="A232" s="1">
        <v>3.7</v>
      </c>
      <c r="B232" s="1">
        <f t="shared" si="29"/>
        <v>5011.87233627273</v>
      </c>
      <c r="C232" s="1">
        <f t="shared" si="16"/>
        <v>31490.5226247287</v>
      </c>
      <c r="D232" s="1" t="str">
        <f t="shared" si="17"/>
        <v>-0.0463358148287075-0.0838932811570229i</v>
      </c>
      <c r="E232" s="1">
        <f t="shared" si="18"/>
        <v>-20.3691656692712</v>
      </c>
      <c r="F232" s="1">
        <f t="shared" si="19"/>
        <v>-118.912684465544</v>
      </c>
      <c r="G232" s="1">
        <v>0.7</v>
      </c>
      <c r="H232" s="17">
        <f t="shared" si="30"/>
        <v>5.01187233627272</v>
      </c>
      <c r="I232" s="17">
        <f t="shared" si="31"/>
        <v>31.4905226247286</v>
      </c>
      <c r="J232" s="17">
        <f>(CALCULATIONS!$C$127*10^3)/((CALCULATIONS!$C$123*10^6)+(CALCULATIONS!$C$127*10^3))</f>
        <v>0.0636704119850187</v>
      </c>
      <c r="K232" s="17" t="str">
        <f t="shared" si="20"/>
        <v>6.16472729656084-22.3347450619887i</v>
      </c>
      <c r="L232" s="1">
        <f t="shared" si="21"/>
        <v>27.2984866959064</v>
      </c>
      <c r="M232" s="1" t="str">
        <f t="shared" si="22"/>
        <v>0.392510726747319-1.42206241967718i</v>
      </c>
      <c r="N232" s="1">
        <f t="shared" si="23"/>
        <v>3.37723989618034</v>
      </c>
      <c r="O232" s="1">
        <f t="shared" si="24"/>
        <v>-74.5696900633564</v>
      </c>
      <c r="P232" s="1" t="str">
        <f>IMPRODUCT(42*10^-6,IMDIV((COMPLEX(1,I232*(CALCULATIONS!C267*10^3)*(CALCULATIONS!C265*10^-6))),IMPRODUCT((COMPLEX(0,data!I232*((CALCULATIONS!C265*10^-6)+(CALCULATIONS!C271*10^-6)))),(COMPLEX(1,I232*((CALCULATIONS!C267*10^3)*(CALCULATIONS!C265*10^-6)*(CALCULATIONS!C271*10^-6))/((CALCULATIONS!C265*10^-6)+(CALCULATIONS!C271*10^-6)))))))</f>
        <v>1.00283238575498-0.450279902888025i</v>
      </c>
      <c r="Q232" s="1">
        <f t="shared" si="25"/>
        <v>0.82219624098123</v>
      </c>
      <c r="R232" s="1" t="str">
        <f t="shared" si="26"/>
        <v>-0.246703659694516-1.60282994093966i</v>
      </c>
      <c r="S232" s="1">
        <f t="shared" si="27"/>
        <v>4.19943613716159</v>
      </c>
      <c r="T232" s="1">
        <f t="shared" si="28"/>
        <v>81.2498415906853</v>
      </c>
    </row>
    <row r="233" spans="1:20">
      <c r="A233" s="1">
        <v>3.8</v>
      </c>
      <c r="B233" s="1">
        <f t="shared" si="29"/>
        <v>6309.57344480194</v>
      </c>
      <c r="C233" s="1">
        <f t="shared" si="16"/>
        <v>39644.21916295</v>
      </c>
      <c r="D233" s="1" t="str">
        <f t="shared" si="17"/>
        <v>-0.0407627937653581-0.0586238474439237i</v>
      </c>
      <c r="E233" s="1">
        <f t="shared" si="18"/>
        <v>-22.9256942988875</v>
      </c>
      <c r="F233" s="1">
        <f t="shared" si="19"/>
        <v>-124.811964827535</v>
      </c>
      <c r="G233" s="1">
        <v>0.8</v>
      </c>
      <c r="H233" s="17">
        <f t="shared" si="30"/>
        <v>6.30957344480193</v>
      </c>
      <c r="I233" s="17">
        <f t="shared" si="31"/>
        <v>39.64421916295</v>
      </c>
      <c r="J233" s="17">
        <f>(CALCULATIONS!$C$127*10^3)/((CALCULATIONS!$C$123*10^6)+(CALCULATIONS!$C$127*10^3))</f>
        <v>0.0636704119850187</v>
      </c>
      <c r="K233" s="17" t="str">
        <f t="shared" si="20"/>
        <v>3.99402367383379-18.2170380103331i</v>
      </c>
      <c r="L233" s="1">
        <f t="shared" si="21"/>
        <v>25.4134543446653</v>
      </c>
      <c r="M233" s="1" t="str">
        <f t="shared" si="22"/>
        <v>0.254301132790915-1.15988631526465i</v>
      </c>
      <c r="N233" s="1">
        <f t="shared" si="23"/>
        <v>1.49220754493925</v>
      </c>
      <c r="O233" s="1">
        <f t="shared" si="24"/>
        <v>-77.6337617189983</v>
      </c>
      <c r="P233" s="1" t="str">
        <f>IMPRODUCT(42*10^-6,IMDIV((COMPLEX(1,I233*(CALCULATIONS!C267*10^3)*(CALCULATIONS!C265*10^-6))),IMPRODUCT((COMPLEX(0,data!I233*((CALCULATIONS!C265*10^-6)+(CALCULATIONS!C271*10^-6)))),(COMPLEX(1,I233*((CALCULATIONS!C267*10^3)*(CALCULATIONS!C265*10^-6)*(CALCULATIONS!C271*10^-6))/((CALCULATIONS!C265*10^-6)+(CALCULATIONS!C271*10^-6)))))))</f>
        <v>0.985005997369728-0.436913658399834i</v>
      </c>
      <c r="Q233" s="1">
        <f t="shared" si="25"/>
        <v>0.648809805845749</v>
      </c>
      <c r="R233" s="1" t="str">
        <f t="shared" si="26"/>
        <v>-0.256282032393215-1.25360261506566i</v>
      </c>
      <c r="S233" s="1">
        <f t="shared" si="27"/>
        <v>2.14101735078503</v>
      </c>
      <c r="T233" s="1">
        <f t="shared" si="28"/>
        <v>78.4458656003863</v>
      </c>
    </row>
    <row r="234" spans="1:20">
      <c r="A234" s="1">
        <v>3.9</v>
      </c>
      <c r="B234" s="1">
        <f t="shared" si="29"/>
        <v>7943.28234724282</v>
      </c>
      <c r="C234" s="1">
        <f t="shared" si="16"/>
        <v>49909.114934975</v>
      </c>
      <c r="D234" s="1" t="str">
        <f t="shared" si="17"/>
        <v>-0.0342365426403855-0.0391111221893194i</v>
      </c>
      <c r="E234" s="1">
        <f t="shared" si="18"/>
        <v>-25.6834347033053</v>
      </c>
      <c r="F234" s="1">
        <f t="shared" si="19"/>
        <v>-131.197796697614</v>
      </c>
      <c r="G234" s="1">
        <v>0.9</v>
      </c>
      <c r="H234" s="17">
        <f t="shared" si="30"/>
        <v>7.94328234724282</v>
      </c>
      <c r="I234" s="17">
        <f t="shared" si="31"/>
        <v>49.9091149349751</v>
      </c>
      <c r="J234" s="17">
        <f>(CALCULATIONS!$C$127*10^3)/((CALCULATIONS!$C$123*10^6)+(CALCULATIONS!$C$127*10^3))</f>
        <v>0.0636704119850187</v>
      </c>
      <c r="K234" s="17" t="str">
        <f t="shared" si="20"/>
        <v>2.56344728649979-14.7194479100122i</v>
      </c>
      <c r="L234" s="1">
        <f t="shared" si="21"/>
        <v>23.4875919096917</v>
      </c>
      <c r="M234" s="1" t="str">
        <f t="shared" si="22"/>
        <v>0.16321574483332-0.937193312622499i</v>
      </c>
      <c r="N234" s="1">
        <f t="shared" si="23"/>
        <v>-0.433654890034354</v>
      </c>
      <c r="O234" s="1">
        <f t="shared" si="24"/>
        <v>-80.1208061324329</v>
      </c>
      <c r="P234" s="1" t="str">
        <f>IMPRODUCT(42*10^-6,IMDIV((COMPLEX(1,I234*(CALCULATIONS!C267*10^3)*(CALCULATIONS!C265*10^-6))),IMPRODUCT((COMPLEX(0,data!I234*((CALCULATIONS!C265*10^-6)+(CALCULATIONS!C271*10^-6)))),(COMPLEX(1,I234*((CALCULATIONS!C267*10^3)*(CALCULATIONS!C265*10^-6)*(CALCULATIONS!C271*10^-6))/((CALCULATIONS!C265*10^-6)+(CALCULATIONS!C271*10^-6)))))))</f>
        <v>0.958015701786284-0.44235629398459i</v>
      </c>
      <c r="Q234" s="1">
        <f t="shared" si="25"/>
        <v>0.466797590555865</v>
      </c>
      <c r="R234" s="1" t="str">
        <f t="shared" si="26"/>
        <v>-0.258210114189766-0.970045421105858i</v>
      </c>
      <c r="S234" s="1">
        <f t="shared" si="27"/>
        <v>0.0331427005215133</v>
      </c>
      <c r="T234" s="1">
        <f t="shared" si="28"/>
        <v>75.0944298466872</v>
      </c>
    </row>
    <row r="235" spans="1:20">
      <c r="A235" s="1">
        <v>4</v>
      </c>
      <c r="B235" s="1">
        <f t="shared" si="29"/>
        <v>10000</v>
      </c>
      <c r="C235" s="1">
        <f t="shared" si="16"/>
        <v>62831.8530717959</v>
      </c>
      <c r="D235" s="1" t="str">
        <f t="shared" si="17"/>
        <v>-0.0273073912225611-0.024779388695447i</v>
      </c>
      <c r="E235" s="1">
        <f t="shared" si="18"/>
        <v>-28.6655315920376</v>
      </c>
      <c r="F235" s="1">
        <f t="shared" si="19"/>
        <v>-137.778637978754</v>
      </c>
      <c r="G235" s="18">
        <v>1</v>
      </c>
      <c r="H235" s="19">
        <f t="shared" si="30"/>
        <v>10</v>
      </c>
      <c r="I235" s="19">
        <f t="shared" si="31"/>
        <v>62.8318530717959</v>
      </c>
      <c r="J235" s="19">
        <f>(CALCULATIONS!$C$127*10^3)/((CALCULATIONS!$C$123*10^6)+(CALCULATIONS!$C$127*10^3))</f>
        <v>0.0636704119850187</v>
      </c>
      <c r="K235" s="17" t="str">
        <f t="shared" si="20"/>
        <v>1.63518962744296-11.8204838330476i</v>
      </c>
      <c r="L235" s="18">
        <f t="shared" si="21"/>
        <v>21.5350292331189</v>
      </c>
      <c r="M235" s="1" t="str">
        <f t="shared" si="22"/>
        <v>0.104113197252923-0.752615075512394i</v>
      </c>
      <c r="N235" s="18">
        <f t="shared" si="23"/>
        <v>-2.38621756660707</v>
      </c>
      <c r="O235" s="1">
        <f t="shared" si="24"/>
        <v>-82.123960292296</v>
      </c>
      <c r="P235" s="18" t="str">
        <f>IMPRODUCT(42*10^-6,IMDIV((COMPLEX(1,I235*(CALCULATIONS!C267*10^3)*(CALCULATIONS!C265*10^-6))),IMPRODUCT((COMPLEX(0,data!I235*((CALCULATIONS!C265*10^-6)+(CALCULATIONS!C271*10^-6)))),(COMPLEX(1,I235*((CALCULATIONS!C267*10^3)*(CALCULATIONS!C265*10^-6)*(CALCULATIONS!C271*10^-6))/((CALCULATIONS!C265*10^-6)+(CALCULATIONS!C271*10^-6)))))))</f>
        <v>0.918142698297107-0.463211645226817i</v>
      </c>
      <c r="Q235" s="1">
        <f t="shared" si="25"/>
        <v>0.243013377797878</v>
      </c>
      <c r="R235" s="1" t="str">
        <f t="shared" si="26"/>
        <v>-0.253029295496463-0.739234481599381i</v>
      </c>
      <c r="S235" s="1">
        <f t="shared" si="27"/>
        <v>-2.1432041888092</v>
      </c>
      <c r="T235" s="1">
        <f t="shared" si="28"/>
        <v>71.1046647463194</v>
      </c>
    </row>
    <row r="236" spans="1:20">
      <c r="A236" s="1">
        <v>4.1</v>
      </c>
      <c r="B236" s="1">
        <f t="shared" si="29"/>
        <v>12589.2541179417</v>
      </c>
      <c r="C236" s="1">
        <f t="shared" si="16"/>
        <v>79100.6165022012</v>
      </c>
      <c r="D236" s="1" t="str">
        <f t="shared" si="17"/>
        <v>-0.0206753985171494-0.0149026761925957i</v>
      </c>
      <c r="E236" s="1">
        <f t="shared" si="18"/>
        <v>-31.873794822384</v>
      </c>
      <c r="F236" s="1">
        <f t="shared" si="19"/>
        <v>-144.216212232033</v>
      </c>
      <c r="G236" s="1">
        <v>1.1</v>
      </c>
      <c r="H236" s="17">
        <f t="shared" si="30"/>
        <v>12.5892541179417</v>
      </c>
      <c r="I236" s="17">
        <f t="shared" si="31"/>
        <v>79.1006165022013</v>
      </c>
      <c r="J236" s="17">
        <f>(CALCULATIONS!$C$127*10^3)/((CALCULATIONS!$C$123*10^6)+(CALCULATIONS!$C$127*10^3))</f>
        <v>0.0636704119850187</v>
      </c>
      <c r="K236" s="17" t="str">
        <f t="shared" si="20"/>
        <v>1.03893433298839-9.45486273359779i</v>
      </c>
      <c r="L236" s="1">
        <f t="shared" si="21"/>
        <v>19.5652289807836</v>
      </c>
      <c r="M236" s="1" t="str">
        <f t="shared" si="22"/>
        <v>0.0661493770067514-0.601995005509971i</v>
      </c>
      <c r="N236" s="1">
        <f t="shared" si="23"/>
        <v>-4.35601781894245</v>
      </c>
      <c r="O236" s="1">
        <f t="shared" si="24"/>
        <v>-83.7292912194162</v>
      </c>
      <c r="P236" s="1" t="str">
        <f>IMPRODUCT(42*10^-6,IMDIV((COMPLEX(1,I236*(CALCULATIONS!C267*10^3)*(CALCULATIONS!C265*10^-6))),IMPRODUCT((COMPLEX(0,data!I236*((CALCULATIONS!C265*10^-6)+(CALCULATIONS!C271*10^-6)))),(COMPLEX(1,I236*((CALCULATIONS!C267*10^3)*(CALCULATIONS!C265*10^-6)*(CALCULATIONS!C271*10^-6))/((CALCULATIONS!C265*10^-6)+(CALCULATIONS!C271*10^-6)))))))</f>
        <v>0.861326259209379-0.494524959799332i</v>
      </c>
      <c r="Q236" s="1">
        <f t="shared" si="25"/>
        <v>-0.0593026734935719</v>
      </c>
      <c r="R236" s="1" t="str">
        <f t="shared" si="26"/>
        <v>-0.240725360452961-0.551226624163647i</v>
      </c>
      <c r="S236" s="1">
        <f t="shared" si="27"/>
        <v>-4.41532049243603</v>
      </c>
      <c r="T236" s="1">
        <f t="shared" si="28"/>
        <v>66.4086965441649</v>
      </c>
    </row>
    <row r="237" spans="1:20">
      <c r="A237" s="1">
        <v>4.2</v>
      </c>
      <c r="B237" s="1">
        <f t="shared" si="29"/>
        <v>15848.9319246111</v>
      </c>
      <c r="C237" s="1">
        <f t="shared" ref="C237:C265" si="32">2*PI()*B237</f>
        <v>99581.7762032062</v>
      </c>
      <c r="D237" s="1" t="str">
        <f t="shared" ref="D237:D265" si="33">IMDIV((7*Rsense*Vout_nom)/((1/(fsw/kHz)*kHz)*M1M2_calc*Lbst*mH),IMPRODUCT((COMPLEX(0,C237*1)),COMPLEX(1,(C237/(2*PI()*f_iavgactual*kHz)))))</f>
        <v>-0.0149290114247626-0.00854754559709159i</v>
      </c>
      <c r="E237" s="1">
        <f t="shared" ref="E237:E265" si="34">20*LOG(IMABS(D237))</f>
        <v>-35.288023211537</v>
      </c>
      <c r="F237" s="1">
        <f t="shared" ref="F237:F265" si="35">180/PI()*IMARGUMENT(D237)</f>
        <v>-150.206878248532</v>
      </c>
      <c r="G237" s="1">
        <v>1.2</v>
      </c>
      <c r="H237" s="17">
        <f t="shared" si="30"/>
        <v>15.8489319246111</v>
      </c>
      <c r="I237" s="17">
        <f t="shared" si="31"/>
        <v>99.5817762032062</v>
      </c>
      <c r="J237" s="17">
        <f>(CALCULATIONS!$C$127*10^3)/((CALCULATIONS!$C$123*10^6)+(CALCULATIONS!$C$127*10^3))</f>
        <v>0.0636704119850187</v>
      </c>
      <c r="K237" s="17" t="str">
        <f t="shared" ref="K237:K265" si="36">IMDIV((M_3*Vout_nom)/(M1M2_calc),COMPLEX(1,(I237/(2*PI()*fPWM_PSpole))))</f>
        <v>0.658422154952949-7.54347691429721i</v>
      </c>
      <c r="L237" s="1">
        <f t="shared" ref="L237:L265" si="37">20*LOG(IMABS(K237))</f>
        <v>17.5843923555539</v>
      </c>
      <c r="M237" s="1" t="str">
        <f t="shared" si="22"/>
        <v>0.0419220098659181-0.480296282932781i</v>
      </c>
      <c r="N237" s="1">
        <f t="shared" ref="N237:N265" si="38">20*LOG(IMABS(M237))</f>
        <v>-6.33685444417212</v>
      </c>
      <c r="O237" s="1">
        <f t="shared" ref="O237:O265" si="39">180/PI()*IMARGUMENT(M237)</f>
        <v>-85.0116577202378</v>
      </c>
      <c r="P237" s="1" t="str">
        <f>IMPRODUCT(42*10^-6,IMDIV((COMPLEX(1,I237*(CALCULATIONS!C267*10^3)*(CALCULATIONS!C265*10^-6))),IMPRODUCT((COMPLEX(0,data!I237*((CALCULATIONS!C265*10^-6)+(CALCULATIONS!C271*10^-6)))),(COMPLEX(1,I237*((CALCULATIONS!C267*10^3)*(CALCULATIONS!C265*10^-6)*(CALCULATIONS!C271*10^-6))/((CALCULATIONS!C265*10^-6)+(CALCULATIONS!C271*10^-6)))))))</f>
        <v>0.784395677188649-0.528959590794961i</v>
      </c>
      <c r="Q237" s="1">
        <f t="shared" ref="Q237:Q265" si="40">20*LOG(IMABS(P237))</f>
        <v>-0.481406567150959</v>
      </c>
      <c r="R237" s="1" t="str">
        <f t="shared" si="26"/>
        <v>-0.221173881962579-0.398917377286228i</v>
      </c>
      <c r="S237" s="1">
        <f t="shared" ref="S237:S265" si="41">20*LOG(IMABS(R237))</f>
        <v>-6.81826101132308</v>
      </c>
      <c r="T237" s="1">
        <f t="shared" ref="T237:T265" si="42">(180/PI()*IMARGUMENT(R237))+180</f>
        <v>60.9944662714853</v>
      </c>
    </row>
    <row r="238" spans="1:20">
      <c r="A238" s="1">
        <v>4.3</v>
      </c>
      <c r="B238" s="1">
        <f t="shared" si="29"/>
        <v>19952.6231496888</v>
      </c>
      <c r="C238" s="1">
        <f t="shared" si="32"/>
        <v>125366.028613816</v>
      </c>
      <c r="D238" s="1" t="str">
        <f t="shared" si="33"/>
        <v>-0.0103638064467694-0.00471334977166769i</v>
      </c>
      <c r="E238" s="1">
        <f t="shared" si="34"/>
        <v>-38.8731407798865</v>
      </c>
      <c r="F238" s="1">
        <f t="shared" si="35"/>
        <v>-155.544460479766</v>
      </c>
      <c r="G238" s="1">
        <v>1.3</v>
      </c>
      <c r="H238" s="17">
        <f t="shared" si="30"/>
        <v>19.9526231496888</v>
      </c>
      <c r="I238" s="17">
        <f t="shared" si="31"/>
        <v>125.366028613816</v>
      </c>
      <c r="J238" s="17">
        <f>(CALCULATIONS!$C$127*10^3)/((CALCULATIONS!$C$123*10^6)+(CALCULATIONS!$C$127*10^3))</f>
        <v>0.0636704119850187</v>
      </c>
      <c r="K238" s="17" t="str">
        <f t="shared" si="36"/>
        <v>0.416598717266689-6.00876277047156i</v>
      </c>
      <c r="L238" s="1">
        <f t="shared" si="37"/>
        <v>15.5965272811842</v>
      </c>
      <c r="M238" s="1" t="str">
        <f t="shared" si="22"/>
        <v>0.0265250119608004-0.382580401116167i</v>
      </c>
      <c r="N238" s="1">
        <f t="shared" si="38"/>
        <v>-8.32471951854178</v>
      </c>
      <c r="O238" s="1">
        <f t="shared" si="39"/>
        <v>-86.0339235920161</v>
      </c>
      <c r="P238" s="1" t="str">
        <f>IMPRODUCT(42*10^-6,IMDIV((COMPLEX(1,I238*(CALCULATIONS!C267*10^3)*(CALCULATIONS!C265*10^-6))),IMPRODUCT((COMPLEX(0,data!I238*((CALCULATIONS!C265*10^-6)+(CALCULATIONS!C271*10^-6)))),(COMPLEX(1,I238*((CALCULATIONS!C267*10^3)*(CALCULATIONS!C265*10^-6)*(CALCULATIONS!C271*10^-6))/((CALCULATIONS!C265*10^-6)+(CALCULATIONS!C271*10^-6)))))))</f>
        <v>0.687127915300554-0.556899439803521i</v>
      </c>
      <c r="Q238" s="1">
        <f t="shared" si="40"/>
        <v>-1.06636796911683</v>
      </c>
      <c r="R238" s="1" t="str">
        <f t="shared" si="26"/>
        <v>-0.194832734889453-0.277653437755553i</v>
      </c>
      <c r="S238" s="1">
        <f t="shared" si="41"/>
        <v>-9.39108748765861</v>
      </c>
      <c r="T238" s="1">
        <f t="shared" si="42"/>
        <v>54.9422022373101</v>
      </c>
    </row>
    <row r="239" spans="1:20">
      <c r="A239" s="1">
        <v>4.4</v>
      </c>
      <c r="B239" s="1">
        <f t="shared" si="29"/>
        <v>25118.8643150959</v>
      </c>
      <c r="C239" s="1">
        <f t="shared" si="32"/>
        <v>157826.479197648</v>
      </c>
      <c r="D239" s="1" t="str">
        <f t="shared" si="33"/>
        <v>-0.00698063418467604-0.00252176873219496i</v>
      </c>
      <c r="E239" s="1">
        <f t="shared" si="34"/>
        <v>-42.5893849184584</v>
      </c>
      <c r="F239" s="1">
        <f t="shared" si="35"/>
        <v>-160.137639948312</v>
      </c>
      <c r="G239" s="1">
        <v>1.4</v>
      </c>
      <c r="H239" s="17">
        <f t="shared" si="30"/>
        <v>25.1188643150958</v>
      </c>
      <c r="I239" s="17">
        <f t="shared" si="31"/>
        <v>157.826479197648</v>
      </c>
      <c r="J239" s="17">
        <f>(CALCULATIONS!$C$127*10^3)/((CALCULATIONS!$C$123*10^6)+(CALCULATIONS!$C$127*10^3))</f>
        <v>0.0636704119850187</v>
      </c>
      <c r="K239" s="17" t="str">
        <f t="shared" si="36"/>
        <v>0.263320904825909-4.781371279326i</v>
      </c>
      <c r="L239" s="1">
        <f t="shared" si="37"/>
        <v>13.6042013847393</v>
      </c>
      <c r="M239" s="1" t="str">
        <f t="shared" si="22"/>
        <v>0.0167657504945335-0.304431879208022i</v>
      </c>
      <c r="N239" s="1">
        <f t="shared" si="38"/>
        <v>-10.3170454149868</v>
      </c>
      <c r="O239" s="1">
        <f t="shared" si="39"/>
        <v>-86.8477764182673</v>
      </c>
      <c r="P239" s="1" t="str">
        <f>IMPRODUCT(42*10^-6,IMDIV((COMPLEX(1,I239*(CALCULATIONS!C267*10^3)*(CALCULATIONS!C265*10^-6))),IMPRODUCT((COMPLEX(0,data!I239*((CALCULATIONS!C265*10^-6)+(CALCULATIONS!C271*10^-6)))),(COMPLEX(1,I239*((CALCULATIONS!C267*10^3)*(CALCULATIONS!C265*10^-6)*(CALCULATIONS!C271*10^-6))/((CALCULATIONS!C265*10^-6)+(CALCULATIONS!C271*10^-6)))))))</f>
        <v>0.574266126088708-0.568383382668717i</v>
      </c>
      <c r="Q239" s="1">
        <f t="shared" si="40"/>
        <v>-1.85192410167053</v>
      </c>
      <c r="R239" s="1" t="str">
        <f t="shared" si="26"/>
        <v>-0.163406018708984-0.184354289909759i</v>
      </c>
      <c r="S239" s="1">
        <f t="shared" si="41"/>
        <v>-12.1689695166573</v>
      </c>
      <c r="T239" s="1">
        <f t="shared" si="42"/>
        <v>48.4471988908317</v>
      </c>
    </row>
    <row r="240" spans="1:20">
      <c r="A240" s="1">
        <v>4.5</v>
      </c>
      <c r="B240" s="1">
        <f t="shared" si="29"/>
        <v>31622.7766016838</v>
      </c>
      <c r="C240" s="1">
        <f t="shared" si="32"/>
        <v>198691.765315922</v>
      </c>
      <c r="D240" s="1" t="str">
        <f t="shared" si="33"/>
        <v>-0.00460046962077818-0.00132011736243977i</v>
      </c>
      <c r="E240" s="1">
        <f t="shared" si="34"/>
        <v>-46.4003120436342</v>
      </c>
      <c r="F240" s="1">
        <f t="shared" si="35"/>
        <v>-163.989022720473</v>
      </c>
      <c r="G240" s="1">
        <v>1.5</v>
      </c>
      <c r="H240" s="17">
        <f t="shared" si="30"/>
        <v>31.6227766016838</v>
      </c>
      <c r="I240" s="17">
        <f t="shared" si="31"/>
        <v>198.691765315922</v>
      </c>
      <c r="J240" s="17">
        <f>(CALCULATIONS!$C$127*10^3)/((CALCULATIONS!$C$123*10^6)+(CALCULATIONS!$C$127*10^3))</f>
        <v>0.0636704119850187</v>
      </c>
      <c r="K240" s="17" t="str">
        <f t="shared" si="36"/>
        <v>0.166329867135107-3.80222112428097i</v>
      </c>
      <c r="L240" s="1">
        <f t="shared" si="37"/>
        <v>11.6090504032875</v>
      </c>
      <c r="M240" s="1" t="str">
        <f t="shared" si="22"/>
        <v>0.0105902911659057-0.24208898544111i</v>
      </c>
      <c r="N240" s="1">
        <f t="shared" si="38"/>
        <v>-12.3121963964386</v>
      </c>
      <c r="O240" s="1">
        <f t="shared" si="39"/>
        <v>-87.4951674350429</v>
      </c>
      <c r="P240" s="1" t="str">
        <f>IMPRODUCT(42*10^-6,IMDIV((COMPLEX(1,I240*(CALCULATIONS!C267*10^3)*(CALCULATIONS!C265*10^-6))),IMPRODUCT((COMPLEX(0,data!I240*((CALCULATIONS!C265*10^-6)+(CALCULATIONS!C271*10^-6)))),(COMPLEX(1,I240*((CALCULATIONS!C267*10^3)*(CALCULATIONS!C265*10^-6)*(CALCULATIONS!C271*10^-6))/((CALCULATIONS!C265*10^-6)+(CALCULATIONS!C271*10^-6)))))))</f>
        <v>0.455650655166672-0.556689395389676i</v>
      </c>
      <c r="Q240" s="1">
        <f t="shared" si="40"/>
        <v>-2.86072356265284</v>
      </c>
      <c r="R240" s="1" t="str">
        <f t="shared" si="26"/>
        <v>-0.129942897827561-0.116203507611025i</v>
      </c>
      <c r="S240" s="1">
        <f t="shared" si="41"/>
        <v>-15.1729199590914</v>
      </c>
      <c r="T240" s="1">
        <f t="shared" si="42"/>
        <v>41.8051816907855</v>
      </c>
    </row>
    <row r="241" spans="1:20">
      <c r="A241" s="1">
        <v>4.6</v>
      </c>
      <c r="B241" s="1">
        <f t="shared" si="29"/>
        <v>39810.7170553497</v>
      </c>
      <c r="C241" s="1">
        <f t="shared" si="32"/>
        <v>250138.112470457</v>
      </c>
      <c r="D241" s="1" t="str">
        <f t="shared" si="33"/>
        <v>-0.00298655001462935-0.000680738272079176i</v>
      </c>
      <c r="E241" s="1">
        <f t="shared" si="34"/>
        <v>-50.2766357943523</v>
      </c>
      <c r="F241" s="1">
        <f t="shared" si="35"/>
        <v>-167.159675732808</v>
      </c>
      <c r="G241" s="1">
        <v>1.6</v>
      </c>
      <c r="H241" s="17">
        <f t="shared" si="30"/>
        <v>39.8107170553498</v>
      </c>
      <c r="I241" s="17">
        <f t="shared" si="31"/>
        <v>250.138112470457</v>
      </c>
      <c r="J241" s="17">
        <f>(CALCULATIONS!$C$127*10^3)/((CALCULATIONS!$C$123*10^6)+(CALCULATIONS!$C$127*10^3))</f>
        <v>0.0636704119850187</v>
      </c>
      <c r="K241" s="17" t="str">
        <f t="shared" si="36"/>
        <v>0.105021077990605-3.02234196648431i</v>
      </c>
      <c r="L241" s="1">
        <f t="shared" si="37"/>
        <v>9.6121127152117</v>
      </c>
      <c r="M241" s="1" t="str">
        <f t="shared" si="22"/>
        <v>0.0066867353027726-0.192433758165668i</v>
      </c>
      <c r="N241" s="1">
        <f t="shared" si="38"/>
        <v>-14.3091340845143</v>
      </c>
      <c r="O241" s="1">
        <f t="shared" si="39"/>
        <v>-88.0098729664431</v>
      </c>
      <c r="P241" s="1" t="str">
        <f>IMPRODUCT(42*10^-6,IMDIV((COMPLEX(1,I241*(CALCULATIONS!C267*10^3)*(CALCULATIONS!C265*10^-6))),IMPRODUCT((COMPLEX(0,data!I241*((CALCULATIONS!C265*10^-6)+(CALCULATIONS!C271*10^-6)))),(COMPLEX(1,I241*((CALCULATIONS!C267*10^3)*(CALCULATIONS!C265*10^-6)*(CALCULATIONS!C271*10^-6))/((CALCULATIONS!C265*10^-6)+(CALCULATIONS!C271*10^-6)))))))</f>
        <v>0.343275374881539-0.521366123590036i</v>
      </c>
      <c r="Q241" s="1">
        <f t="shared" si="40"/>
        <v>-4.09313485212027</v>
      </c>
      <c r="R241" s="1" t="str">
        <f t="shared" si="26"/>
        <v>-0.0980330509749039-0.0695440077384623i</v>
      </c>
      <c r="S241" s="1">
        <f t="shared" si="41"/>
        <v>-18.4022689366346</v>
      </c>
      <c r="T241" s="1">
        <f t="shared" si="42"/>
        <v>35.3516412372092</v>
      </c>
    </row>
    <row r="242" spans="1:20">
      <c r="A242" s="1">
        <v>4.7</v>
      </c>
      <c r="B242" s="1">
        <f t="shared" si="29"/>
        <v>50118.7233627273</v>
      </c>
      <c r="C242" s="1">
        <f t="shared" si="32"/>
        <v>314905.226247286</v>
      </c>
      <c r="D242" s="1" t="str">
        <f t="shared" si="33"/>
        <v>-0.00191936881674788-0.000347511203553263i</v>
      </c>
      <c r="E242" s="1">
        <f t="shared" si="34"/>
        <v>-54.1967493683701</v>
      </c>
      <c r="F242" s="1">
        <f t="shared" si="35"/>
        <v>-169.737490437868</v>
      </c>
      <c r="G242" s="1">
        <v>1.7</v>
      </c>
      <c r="H242" s="17">
        <f t="shared" si="30"/>
        <v>50.1187233627272</v>
      </c>
      <c r="I242" s="17">
        <f t="shared" si="31"/>
        <v>314.905226247286</v>
      </c>
      <c r="J242" s="17">
        <f>(CALCULATIONS!$C$127*10^3)/((CALCULATIONS!$C$123*10^6)+(CALCULATIONS!$C$127*10^3))</f>
        <v>0.0636704119850187</v>
      </c>
      <c r="K242" s="17" t="str">
        <f t="shared" si="36"/>
        <v>0.06629332496854-2.4018005035031i</v>
      </c>
      <c r="L242" s="1">
        <f t="shared" si="37"/>
        <v>7.61404601503585</v>
      </c>
      <c r="M242" s="1" t="str">
        <f t="shared" si="22"/>
        <v>0.00422092331260367-0.152923627563868i</v>
      </c>
      <c r="N242" s="1">
        <f t="shared" si="38"/>
        <v>-16.3072007846902</v>
      </c>
      <c r="O242" s="1">
        <f t="shared" si="39"/>
        <v>-88.4189512873019</v>
      </c>
      <c r="P242" s="1" t="str">
        <f>IMPRODUCT(42*10^-6,IMDIV((COMPLEX(1,I242*(CALCULATIONS!C267*10^3)*(CALCULATIONS!C265*10^-6))),IMPRODUCT((COMPLEX(0,data!I242*((CALCULATIONS!C265*10^-6)+(CALCULATIONS!C271*10^-6)))),(COMPLEX(1,I242*((CALCULATIONS!C267*10^3)*(CALCULATIONS!C265*10^-6)*(CALCULATIONS!C271*10^-6))/((CALCULATIONS!C265*10^-6)+(CALCULATIONS!C271*10^-6)))))))</f>
        <v>0.246805195402762-0.468123432162989i</v>
      </c>
      <c r="Q242" s="1">
        <f t="shared" si="40"/>
        <v>-5.52760775250397</v>
      </c>
      <c r="R242" s="1" t="str">
        <f t="shared" si="26"/>
        <v>-0.0705453875910653-0.0397182588905924i</v>
      </c>
      <c r="S242" s="1">
        <f t="shared" si="41"/>
        <v>-21.8348085371941</v>
      </c>
      <c r="T242" s="1">
        <f t="shared" si="42"/>
        <v>29.3802546316165</v>
      </c>
    </row>
    <row r="243" spans="1:20">
      <c r="A243" s="1">
        <v>4.8</v>
      </c>
      <c r="B243" s="1">
        <f t="shared" si="29"/>
        <v>63095.7344480193</v>
      </c>
      <c r="C243" s="1">
        <f t="shared" si="32"/>
        <v>396442.1916295</v>
      </c>
      <c r="D243" s="1" t="str">
        <f t="shared" si="33"/>
        <v>-0.0012253935801271-0.000176232489641534i</v>
      </c>
      <c r="E243" s="1">
        <f t="shared" si="34"/>
        <v>-58.1455777082513</v>
      </c>
      <c r="F243" s="1">
        <f t="shared" si="35"/>
        <v>-171.816006255064</v>
      </c>
      <c r="G243" s="1">
        <v>1.8</v>
      </c>
      <c r="H243" s="17">
        <f t="shared" si="30"/>
        <v>63.0957344480194</v>
      </c>
      <c r="I243" s="17">
        <f t="shared" si="31"/>
        <v>396.4421916295</v>
      </c>
      <c r="J243" s="17">
        <f>(CALCULATIONS!$C$127*10^3)/((CALCULATIONS!$C$123*10^6)+(CALCULATIONS!$C$127*10^3))</f>
        <v>0.0636704119850187</v>
      </c>
      <c r="K243" s="17" t="str">
        <f t="shared" si="36"/>
        <v>0.0418400147582736-1.9083540846235i</v>
      </c>
      <c r="L243" s="1">
        <f t="shared" si="37"/>
        <v>5.61526628772714</v>
      </c>
      <c r="M243" s="1" t="str">
        <f t="shared" si="22"/>
        <v>0.00266397097711854-0.121505690781271i</v>
      </c>
      <c r="N243" s="1">
        <f t="shared" si="38"/>
        <v>-18.3059805119989</v>
      </c>
      <c r="O243" s="1">
        <f t="shared" si="39"/>
        <v>-88.7440107276085</v>
      </c>
      <c r="P243" s="1" t="str">
        <f>IMPRODUCT(42*10^-6,IMDIV((COMPLEX(1,I243*(CALCULATIONS!C267*10^3)*(CALCULATIONS!C265*10^-6))),IMPRODUCT((COMPLEX(0,data!I243*((CALCULATIONS!C265*10^-6)+(CALCULATIONS!C271*10^-6)))),(COMPLEX(1,I243*((CALCULATIONS!C267*10^3)*(CALCULATIONS!C265*10^-6)*(CALCULATIONS!C271*10^-6))/((CALCULATIONS!C265*10^-6)+(CALCULATIONS!C271*10^-6)))))))</f>
        <v>0.170752149042718-0.405651508988791i</v>
      </c>
      <c r="Q243" s="1">
        <f t="shared" si="40"/>
        <v>-7.128492073298</v>
      </c>
      <c r="R243" s="1" t="str">
        <f t="shared" si="26"/>
        <v>-0.0488340880468176-0.0218280016685925i</v>
      </c>
      <c r="S243" s="1">
        <f t="shared" si="41"/>
        <v>-25.4344725852969</v>
      </c>
      <c r="T243" s="1">
        <f t="shared" si="42"/>
        <v>24.0838260948021</v>
      </c>
    </row>
    <row r="244" spans="1:20">
      <c r="A244" s="1">
        <v>4.9</v>
      </c>
      <c r="B244" s="1">
        <f t="shared" si="29"/>
        <v>79432.8234724282</v>
      </c>
      <c r="C244" s="1">
        <f t="shared" si="32"/>
        <v>499091.149349751</v>
      </c>
      <c r="D244" s="1" t="str">
        <f t="shared" si="33"/>
        <v>-0.000778996695956029-0.0000889909804288264i</v>
      </c>
      <c r="E244" s="1">
        <f t="shared" si="34"/>
        <v>-62.1129775588976</v>
      </c>
      <c r="F244" s="1">
        <f t="shared" si="35"/>
        <v>-173.482900046827</v>
      </c>
      <c r="G244" s="1">
        <v>1.9</v>
      </c>
      <c r="H244" s="17">
        <f t="shared" si="30"/>
        <v>79.4328234724282</v>
      </c>
      <c r="I244" s="17">
        <f t="shared" si="31"/>
        <v>499.091149349751</v>
      </c>
      <c r="J244" s="17">
        <f>(CALCULATIONS!$C$127*10^3)/((CALCULATIONS!$C$123*10^6)+(CALCULATIONS!$C$127*10^3))</f>
        <v>0.0636704119850187</v>
      </c>
      <c r="K244" s="17" t="str">
        <f t="shared" si="36"/>
        <v>0.0264039462925569-1.51612835621336i</v>
      </c>
      <c r="L244" s="1">
        <f t="shared" si="37"/>
        <v>3.61603640419903</v>
      </c>
      <c r="M244" s="1" t="str">
        <f t="shared" si="22"/>
        <v>0.0016811501384774-0.0965325170622738i</v>
      </c>
      <c r="N244" s="1">
        <f t="shared" si="38"/>
        <v>-20.305210395527</v>
      </c>
      <c r="O244" s="1">
        <f t="shared" si="39"/>
        <v>-89.0022732828371</v>
      </c>
      <c r="P244" s="1" t="str">
        <f>IMPRODUCT(42*10^-6,IMDIV((COMPLEX(1,I244*(CALCULATIONS!C267*10^3)*(CALCULATIONS!C265*10^-6))),IMPRODUCT((COMPLEX(0,data!I244*((CALCULATIONS!C265*10^-6)+(CALCULATIONS!C271*10^-6)))),(COMPLEX(1,I244*((CALCULATIONS!C267*10^3)*(CALCULATIONS!C265*10^-6)*(CALCULATIONS!C271*10^-6))/((CALCULATIONS!C265*10^-6)+(CALCULATIONS!C271*10^-6)))))))</f>
        <v>0.114723105247044-0.342004448820469i</v>
      </c>
      <c r="Q244" s="1">
        <f t="shared" si="40"/>
        <v>-8.85627796962475</v>
      </c>
      <c r="R244" s="1" t="str">
        <f t="shared" si="26"/>
        <v>-0.0328216835268628-0.0116494709411917i</v>
      </c>
      <c r="S244" s="1">
        <f t="shared" si="41"/>
        <v>-29.1614883651518</v>
      </c>
      <c r="T244" s="1">
        <f t="shared" si="42"/>
        <v>19.54141019888</v>
      </c>
    </row>
    <row r="245" spans="1:20">
      <c r="A245" s="1">
        <v>5</v>
      </c>
      <c r="B245" s="1">
        <f t="shared" si="29"/>
        <v>100000</v>
      </c>
      <c r="C245" s="1">
        <f t="shared" si="32"/>
        <v>628318.530717959</v>
      </c>
      <c r="D245" s="1" t="str">
        <f t="shared" si="33"/>
        <v>-0.00049386154294989-0.0000448141934714655i</v>
      </c>
      <c r="E245" s="1">
        <f t="shared" si="34"/>
        <v>-66.0922816262411</v>
      </c>
      <c r="F245" s="1">
        <f t="shared" si="35"/>
        <v>-174.81504227841</v>
      </c>
      <c r="G245" s="1">
        <v>2</v>
      </c>
      <c r="H245" s="17">
        <f t="shared" si="30"/>
        <v>100</v>
      </c>
      <c r="I245" s="17">
        <f t="shared" si="31"/>
        <v>628.318530717959</v>
      </c>
      <c r="J245" s="17">
        <f>(CALCULATIONS!$C$127*10^3)/((CALCULATIONS!$C$123*10^6)+(CALCULATIONS!$C$127*10^3))</f>
        <v>0.0636704119850187</v>
      </c>
      <c r="K245" s="17" t="str">
        <f t="shared" si="36"/>
        <v>0.0166616281891223-1.20443833141083i</v>
      </c>
      <c r="L245" s="1">
        <f t="shared" si="37"/>
        <v>1.61652238511781</v>
      </c>
      <c r="M245" s="1" t="str">
        <f t="shared" si="22"/>
        <v>0.00106085273114262-0.076687084771476i</v>
      </c>
      <c r="N245" s="1">
        <f t="shared" si="38"/>
        <v>-22.3047244146082</v>
      </c>
      <c r="O245" s="1">
        <f t="shared" si="39"/>
        <v>-89.2074479350752</v>
      </c>
      <c r="P245" s="1" t="str">
        <f>IMPRODUCT(42*10^-6,IMDIV((COMPLEX(1,I245*(CALCULATIONS!C267*10^3)*(CALCULATIONS!C265*10^-6))),IMPRODUCT((COMPLEX(0,data!I245*((CALCULATIONS!C265*10^-6)+(CALCULATIONS!C271*10^-6)))),(COMPLEX(1,I245*((CALCULATIONS!C267*10^3)*(CALCULATIONS!C265*10^-6)*(CALCULATIONS!C271*10^-6))/((CALCULATIONS!C265*10^-6)+(CALCULATIONS!C271*10^-6)))))))</f>
        <v>0.0754731296097748-0.282672598747393i</v>
      </c>
      <c r="Q245" s="1">
        <f t="shared" si="40"/>
        <v>-10.6752627907853</v>
      </c>
      <c r="R245" s="1" t="str">
        <f t="shared" si="26"/>
        <v>-0.0215972716670403-0.00608768828675375i</v>
      </c>
      <c r="S245" s="1">
        <f t="shared" si="41"/>
        <v>-32.9799872053936</v>
      </c>
      <c r="T245" s="1">
        <f t="shared" si="42"/>
        <v>15.7417124522337</v>
      </c>
    </row>
    <row r="246" spans="1:20">
      <c r="A246" s="1">
        <v>5.1</v>
      </c>
      <c r="B246" s="1">
        <f t="shared" si="29"/>
        <v>125892.541179417</v>
      </c>
      <c r="C246" s="1">
        <f t="shared" si="32"/>
        <v>791006.165022013</v>
      </c>
      <c r="D246" s="1" t="str">
        <f t="shared" si="33"/>
        <v>-0.00031254757011609-0.0000225282005005088i</v>
      </c>
      <c r="E246" s="1">
        <f t="shared" si="34"/>
        <v>-70.0791724469214</v>
      </c>
      <c r="F246" s="1">
        <f t="shared" si="35"/>
        <v>-175.877291944018</v>
      </c>
      <c r="G246" s="1">
        <v>2.1</v>
      </c>
      <c r="H246" s="17">
        <f t="shared" si="30"/>
        <v>125.892541179417</v>
      </c>
      <c r="I246" s="17">
        <f t="shared" si="31"/>
        <v>791.006165022012</v>
      </c>
      <c r="J246" s="17">
        <f>(CALCULATIONS!$C$127*10^3)/((CALCULATIONS!$C$123*10^6)+(CALCULATIONS!$C$127*10^3))</f>
        <v>0.0636704119850187</v>
      </c>
      <c r="K246" s="17" t="str">
        <f t="shared" si="36"/>
        <v>0.0105135190245281-0.956786931259234i</v>
      </c>
      <c r="L246" s="1">
        <f t="shared" si="37"/>
        <v>-0.383170953668617</v>
      </c>
      <c r="M246" s="1" t="str">
        <f t="shared" si="22"/>
        <v>0.000669400087704036-0.0609190180951572i</v>
      </c>
      <c r="N246" s="1">
        <f t="shared" si="38"/>
        <v>-24.3044177533946</v>
      </c>
      <c r="O246" s="1">
        <f t="shared" si="39"/>
        <v>-89.3704386991487</v>
      </c>
      <c r="P246" s="1" t="str">
        <f>IMPRODUCT(42*10^-6,IMDIV((COMPLEX(1,I246*(CALCULATIONS!C267*10^3)*(CALCULATIONS!C265*10^-6))),IMPRODUCT((COMPLEX(0,data!I246*((CALCULATIONS!C265*10^-6)+(CALCULATIONS!C271*10^-6)))),(COMPLEX(1,I246*((CALCULATIONS!C267*10^3)*(CALCULATIONS!C265*10^-6)*(CALCULATIONS!C271*10^-6))/((CALCULATIONS!C265*10^-6)+(CALCULATIONS!C271*10^-6)))))))</f>
        <v>0.0489374651095105-0.230446778365215i</v>
      </c>
      <c r="Q246" s="1">
        <f t="shared" si="40"/>
        <v>-12.5570237542679</v>
      </c>
      <c r="R246" s="1" t="str">
        <f t="shared" si="26"/>
        <v>-0.0140058327177649-0.00313548341618618i</v>
      </c>
      <c r="S246" s="1">
        <f t="shared" si="41"/>
        <v>-36.8614415076626</v>
      </c>
      <c r="T246" s="1">
        <f t="shared" si="42"/>
        <v>12.6187349363483</v>
      </c>
    </row>
    <row r="247" spans="1:20">
      <c r="A247" s="1">
        <v>5.2</v>
      </c>
      <c r="B247" s="1">
        <f t="shared" si="29"/>
        <v>158489.319246112</v>
      </c>
      <c r="C247" s="1">
        <f t="shared" si="32"/>
        <v>995817.762032063</v>
      </c>
      <c r="D247" s="1" t="str">
        <f t="shared" si="33"/>
        <v>-0.000197581055341357-0.0000113124240554232i</v>
      </c>
      <c r="E247" s="1">
        <f t="shared" si="34"/>
        <v>-74.0708807074297</v>
      </c>
      <c r="F247" s="1">
        <f t="shared" si="35"/>
        <v>-176.723130629222</v>
      </c>
      <c r="G247" s="1">
        <v>2.2</v>
      </c>
      <c r="H247" s="17">
        <f t="shared" si="30"/>
        <v>158.489319246112</v>
      </c>
      <c r="I247" s="17">
        <f t="shared" si="31"/>
        <v>995.817762032063</v>
      </c>
      <c r="J247" s="17">
        <f>(CALCULATIONS!$C$127*10^3)/((CALCULATIONS!$C$123*10^6)+(CALCULATIONS!$C$127*10^3))</f>
        <v>0.0636704119850187</v>
      </c>
      <c r="K247" s="17" t="str">
        <f t="shared" si="36"/>
        <v>0.00663387761279966-0.760036737038464i</v>
      </c>
      <c r="L247" s="1">
        <f t="shared" si="37"/>
        <v>-2.38297745238153</v>
      </c>
      <c r="M247" s="1" t="str">
        <f t="shared" si="22"/>
        <v>0.000422381720665147-0.0483918521709883i</v>
      </c>
      <c r="N247" s="1">
        <f t="shared" si="38"/>
        <v>-26.3042242521076</v>
      </c>
      <c r="O247" s="1">
        <f t="shared" si="39"/>
        <v>-89.4999142560419</v>
      </c>
      <c r="P247" s="1" t="str">
        <f>IMPRODUCT(42*10^-6,IMDIV((COMPLEX(1,I247*(CALCULATIONS!C267*10^3)*(CALCULATIONS!C265*10^-6))),IMPRODUCT((COMPLEX(0,data!I247*((CALCULATIONS!C265*10^-6)+(CALCULATIONS!C271*10^-6)))),(COMPLEX(1,I247*((CALCULATIONS!C267*10^3)*(CALCULATIONS!C265*10^-6)*(CALCULATIONS!C271*10^-6))/((CALCULATIONS!C265*10^-6)+(CALCULATIONS!C271*10^-6)))))))</f>
        <v>0.0314258904313615-0.18614941516563i</v>
      </c>
      <c r="Q247" s="1">
        <f t="shared" si="40"/>
        <v>-14.4807215855352</v>
      </c>
      <c r="R247" s="1" t="str">
        <f t="shared" si="26"/>
        <v>-0.00899484125873726-0.00159938315437459i</v>
      </c>
      <c r="S247" s="1">
        <f t="shared" si="41"/>
        <v>-40.7849458376428</v>
      </c>
      <c r="T247" s="1">
        <f t="shared" si="42"/>
        <v>10.0824520159586</v>
      </c>
    </row>
    <row r="248" spans="1:20">
      <c r="A248" s="1">
        <v>5.3</v>
      </c>
      <c r="B248" s="1">
        <f t="shared" si="29"/>
        <v>199526.231496888</v>
      </c>
      <c r="C248" s="1">
        <f t="shared" si="32"/>
        <v>1253660.28613816</v>
      </c>
      <c r="D248" s="1" t="str">
        <f t="shared" si="33"/>
        <v>-0.000124815721040657-5.67648723747538E-06i</v>
      </c>
      <c r="E248" s="1">
        <f t="shared" si="34"/>
        <v>-78.0656408162209</v>
      </c>
      <c r="F248" s="1">
        <f t="shared" si="35"/>
        <v>-177.39604272482</v>
      </c>
      <c r="G248" s="1">
        <v>2.3</v>
      </c>
      <c r="H248" s="17">
        <f t="shared" si="30"/>
        <v>199.526231496888</v>
      </c>
      <c r="I248" s="17">
        <f t="shared" si="31"/>
        <v>1253.66028613816</v>
      </c>
      <c r="J248" s="17">
        <f>(CALCULATIONS!$C$127*10^3)/((CALCULATIONS!$C$123*10^6)+(CALCULATIONS!$C$127*10^3))</f>
        <v>0.0636704119850187</v>
      </c>
      <c r="K248" s="17" t="str">
        <f t="shared" si="36"/>
        <v>0.00418581147844669-0.603735612555956i</v>
      </c>
      <c r="L248" s="1">
        <f t="shared" si="37"/>
        <v>-4.38285535688702</v>
      </c>
      <c r="M248" s="1" t="str">
        <f t="shared" si="22"/>
        <v>0.000266512341324321-0.0384400951814654i</v>
      </c>
      <c r="N248" s="1">
        <f t="shared" si="38"/>
        <v>-28.304102156613</v>
      </c>
      <c r="O248" s="1">
        <f t="shared" si="39"/>
        <v>-89.6027640512098</v>
      </c>
      <c r="P248" s="1" t="str">
        <f>IMPRODUCT(42*10^-6,IMDIV((COMPLEX(1,I248*(CALCULATIONS!C267*10^3)*(CALCULATIONS!C265*10^-6))),IMPRODUCT((COMPLEX(0,data!I248*((CALCULATIONS!C265*10^-6)+(CALCULATIONS!C271*10^-6)))),(COMPLEX(1,I248*((CALCULATIONS!C267*10^3)*(CALCULATIONS!C265*10^-6)*(CALCULATIONS!C271*10^-6))/((CALCULATIONS!C265*10^-6)+(CALCULATIONS!C271*10^-6)))))))</f>
        <v>0.0200531298455759-0.149462435803093i</v>
      </c>
      <c r="Q248" s="1">
        <f t="shared" si="40"/>
        <v>-16.4318762049956</v>
      </c>
      <c r="R248" s="1" t="str">
        <f t="shared" si="26"/>
        <v>-0.00574000585173853-0.000810677803656141i</v>
      </c>
      <c r="S248" s="1">
        <f t="shared" si="41"/>
        <v>-44.7359783616086</v>
      </c>
      <c r="T248" s="1">
        <f t="shared" si="42"/>
        <v>8.03888195653334</v>
      </c>
    </row>
    <row r="249" spans="1:20">
      <c r="A249" s="1">
        <v>5.4</v>
      </c>
      <c r="B249" s="1">
        <f t="shared" si="29"/>
        <v>251188.643150958</v>
      </c>
      <c r="C249" s="1">
        <f t="shared" si="32"/>
        <v>1578264.79197648</v>
      </c>
      <c r="D249" s="1" t="str">
        <f t="shared" si="33"/>
        <v>-0.0000788134303021096-2.84715169073296E-06i</v>
      </c>
      <c r="E249" s="1">
        <f t="shared" si="34"/>
        <v>-82.0623314125006</v>
      </c>
      <c r="F249" s="1">
        <f t="shared" si="35"/>
        <v>-177.931077644056</v>
      </c>
      <c r="G249" s="1">
        <v>2.4</v>
      </c>
      <c r="H249" s="17">
        <f t="shared" si="30"/>
        <v>251.188643150958</v>
      </c>
      <c r="I249" s="17">
        <f t="shared" si="31"/>
        <v>1578.26479197648</v>
      </c>
      <c r="J249" s="17">
        <f>(CALCULATIONS!$C$127*10^3)/((CALCULATIONS!$C$123*10^6)+(CALCULATIONS!$C$127*10^3))</f>
        <v>0.0636704119850187</v>
      </c>
      <c r="K249" s="17" t="str">
        <f t="shared" si="36"/>
        <v>0.00264111534484963-0.4795727503519i</v>
      </c>
      <c r="L249" s="1">
        <f t="shared" si="37"/>
        <v>-6.38277831807189</v>
      </c>
      <c r="M249" s="1" t="str">
        <f t="shared" si="22"/>
        <v>0.000168160902106531-0.030534594591694i</v>
      </c>
      <c r="N249" s="1">
        <f t="shared" si="38"/>
        <v>-30.3040251177979</v>
      </c>
      <c r="O249" s="1">
        <f t="shared" si="39"/>
        <v>-89.684462404267</v>
      </c>
      <c r="P249" s="1" t="str">
        <f>IMPRODUCT(42*10^-6,IMDIV((COMPLEX(1,I249*(CALCULATIONS!C267*10^3)*(CALCULATIONS!C265*10^-6))),IMPRODUCT((COMPLEX(0,data!I249*((CALCULATIONS!C265*10^-6)+(CALCULATIONS!C271*10^-6)))),(COMPLEX(1,I249*((CALCULATIONS!C267*10^3)*(CALCULATIONS!C265*10^-6)*(CALCULATIONS!C271*10^-6))/((CALCULATIONS!C265*10^-6)+(CALCULATIONS!C271*10^-6)))))))</f>
        <v>0.0127438033029828-0.119538398407436i</v>
      </c>
      <c r="Q249" s="1">
        <f t="shared" si="40"/>
        <v>-18.4007705911604</v>
      </c>
      <c r="R249" s="1" t="str">
        <f t="shared" si="26"/>
        <v>-0.00364791352405176-0.000409228552325435i</v>
      </c>
      <c r="S249" s="1">
        <f t="shared" si="41"/>
        <v>-48.7047957089583</v>
      </c>
      <c r="T249" s="1">
        <f t="shared" si="42"/>
        <v>6.40076765318796</v>
      </c>
    </row>
    <row r="250" spans="1:20">
      <c r="A250" s="1">
        <v>5.5</v>
      </c>
      <c r="B250" s="1">
        <f t="shared" si="29"/>
        <v>316227.766016838</v>
      </c>
      <c r="C250" s="1">
        <f t="shared" si="32"/>
        <v>1986917.65315922</v>
      </c>
      <c r="D250" s="1" t="str">
        <f t="shared" si="33"/>
        <v>-0.0000497518425490337-1.42764275337697E-06i</v>
      </c>
      <c r="E250" s="1">
        <f t="shared" si="34"/>
        <v>-86.0602420216104</v>
      </c>
      <c r="F250" s="1">
        <f t="shared" si="35"/>
        <v>-178.356332951558</v>
      </c>
      <c r="G250" s="1">
        <v>2.5</v>
      </c>
      <c r="H250" s="17">
        <f t="shared" si="30"/>
        <v>316.227766016838</v>
      </c>
      <c r="I250" s="17">
        <f t="shared" si="31"/>
        <v>1986.91765315922</v>
      </c>
      <c r="J250" s="17">
        <f>(CALCULATIONS!$C$127*10^3)/((CALCULATIONS!$C$123*10^6)+(CALCULATIONS!$C$127*10^3))</f>
        <v>0.0636704119850187</v>
      </c>
      <c r="K250" s="17" t="str">
        <f t="shared" si="36"/>
        <v>0.00166644977627862-0.380942439927105i</v>
      </c>
      <c r="L250" s="1">
        <f t="shared" si="37"/>
        <v>-8.3827297091625</v>
      </c>
      <c r="M250" s="1" t="str">
        <f t="shared" si="22"/>
        <v>0.000106103543808002-0.024254762092737i</v>
      </c>
      <c r="N250" s="1">
        <f t="shared" si="38"/>
        <v>-32.3039765088885</v>
      </c>
      <c r="O250" s="1">
        <f t="shared" si="39"/>
        <v>-89.7493586434802</v>
      </c>
      <c r="P250" s="1" t="str">
        <f>IMPRODUCT(42*10^-6,IMDIV((COMPLEX(1,I250*(CALCULATIONS!C267*10^3)*(CALCULATIONS!C265*10^-6))),IMPRODUCT((COMPLEX(0,data!I250*((CALCULATIONS!C265*10^-6)+(CALCULATIONS!C271*10^-6)))),(COMPLEX(1,I250*((CALCULATIONS!C267*10^3)*(CALCULATIONS!C265*10^-6)*(CALCULATIONS!C271*10^-6))/((CALCULATIONS!C265*10^-6)+(CALCULATIONS!C271*10^-6)))))))</f>
        <v>0.0080775054399551-0.0953666039868352i</v>
      </c>
      <c r="Q250" s="1">
        <f t="shared" si="40"/>
        <v>-20.3810285505478</v>
      </c>
      <c r="R250" s="1" t="str">
        <f t="shared" si="26"/>
        <v>-0.00231223723934064-0.000206036707392837i</v>
      </c>
      <c r="S250" s="1">
        <f t="shared" si="41"/>
        <v>-52.6850050594364</v>
      </c>
      <c r="T250" s="1">
        <f t="shared" si="42"/>
        <v>5.09201101728152</v>
      </c>
    </row>
    <row r="251" spans="1:20">
      <c r="A251" s="1">
        <v>5.6</v>
      </c>
      <c r="B251" s="1">
        <f t="shared" si="29"/>
        <v>398107.170553497</v>
      </c>
      <c r="C251" s="1">
        <f t="shared" si="32"/>
        <v>2501381.12470457</v>
      </c>
      <c r="D251" s="1" t="str">
        <f t="shared" si="33"/>
        <v>-0.0000314008245842821-7.15733637965489E-07i</v>
      </c>
      <c r="E251" s="1">
        <f t="shared" si="34"/>
        <v>-90.0589231876841</v>
      </c>
      <c r="F251" s="1">
        <f t="shared" si="35"/>
        <v>-178.694256676916</v>
      </c>
      <c r="G251" s="1">
        <v>2.6</v>
      </c>
      <c r="H251" s="17">
        <f t="shared" si="30"/>
        <v>398.107170553498</v>
      </c>
      <c r="I251" s="17">
        <f t="shared" si="31"/>
        <v>2501.38112470457</v>
      </c>
      <c r="J251" s="17">
        <f>(CALCULATIONS!$C$127*10^3)/((CALCULATIONS!$C$123*10^6)+(CALCULATIONS!$C$127*10^3))</f>
        <v>0.0636704119850187</v>
      </c>
      <c r="K251" s="17" t="str">
        <f t="shared" si="36"/>
        <v>0.00105146615111176-0.302595472799004i</v>
      </c>
      <c r="L251" s="1">
        <f t="shared" si="37"/>
        <v>-10.3826990387341</v>
      </c>
      <c r="M251" s="1" t="str">
        <f t="shared" si="22"/>
        <v>0.0000669472830295877-0.0192663784179141i</v>
      </c>
      <c r="N251" s="1">
        <f t="shared" si="38"/>
        <v>-34.3039458384602</v>
      </c>
      <c r="O251" s="1">
        <f t="shared" si="39"/>
        <v>-89.8009080250553</v>
      </c>
      <c r="P251" s="1" t="str">
        <f>IMPRODUCT(42*10^-6,IMDIV((COMPLEX(1,I251*(CALCULATIONS!C267*10^3)*(CALCULATIONS!C265*10^-6))),IMPRODUCT((COMPLEX(0,data!I251*((CALCULATIONS!C265*10^-6)+(CALCULATIONS!C271*10^-6)))),(COMPLEX(1,I251*((CALCULATIONS!C267*10^3)*(CALCULATIONS!C265*10^-6)*(CALCULATIONS!C271*10^-6))/((CALCULATIONS!C265*10^-6)+(CALCULATIONS!C271*10^-6)))))))</f>
        <v>0.00511128468820175-0.0759613660403946i</v>
      </c>
      <c r="Q251" s="1">
        <f t="shared" si="40"/>
        <v>-22.3685256427404</v>
      </c>
      <c r="R251" s="1" t="str">
        <f t="shared" si="26"/>
        <v>-0.00146315823665327-0.000103561352076205i</v>
      </c>
      <c r="S251" s="1">
        <f t="shared" si="41"/>
        <v>-56.6724714812005</v>
      </c>
      <c r="T251" s="1">
        <f t="shared" si="42"/>
        <v>4.04860481401337</v>
      </c>
    </row>
    <row r="252" spans="1:20">
      <c r="A252" s="1">
        <v>5.7</v>
      </c>
      <c r="B252" s="1">
        <f t="shared" si="29"/>
        <v>501187.233627273</v>
      </c>
      <c r="C252" s="1">
        <f t="shared" si="32"/>
        <v>3149052.26247287</v>
      </c>
      <c r="D252" s="1" t="str">
        <f t="shared" si="33"/>
        <v>-0.0000198163783788525-3.58785317361256E-07i</v>
      </c>
      <c r="E252" s="1">
        <f t="shared" si="34"/>
        <v>-94.058090853618</v>
      </c>
      <c r="F252" s="1">
        <f t="shared" si="35"/>
        <v>-178.962744945544</v>
      </c>
      <c r="G252" s="1">
        <v>2.7</v>
      </c>
      <c r="H252" s="17">
        <f t="shared" si="30"/>
        <v>501.187233627273</v>
      </c>
      <c r="I252" s="17">
        <f t="shared" si="31"/>
        <v>3149.05226247286</v>
      </c>
      <c r="J252" s="17">
        <f>(CALCULATIONS!$C$127*10^3)/((CALCULATIONS!$C$123*10^6)+(CALCULATIONS!$C$127*10^3))</f>
        <v>0.0636704119850187</v>
      </c>
      <c r="K252" s="17" t="str">
        <f t="shared" si="36"/>
        <v>0.000663433246719568-0.240361198773471i</v>
      </c>
      <c r="L252" s="1">
        <f t="shared" si="37"/>
        <v>-12.3826796868907</v>
      </c>
      <c r="M252" s="1" t="str">
        <f t="shared" si="22"/>
        <v>0.0000422410681431935-0.0153038965511199i</v>
      </c>
      <c r="N252" s="1">
        <f t="shared" si="38"/>
        <v>-36.3039264866167</v>
      </c>
      <c r="O252" s="1">
        <f t="shared" si="39"/>
        <v>-89.8418553881007</v>
      </c>
      <c r="P252" s="1" t="str">
        <f>IMPRODUCT(42*10^-6,IMDIV((COMPLEX(1,I252*(CALCULATIONS!C267*10^3)*(CALCULATIONS!C265*10^-6))),IMPRODUCT((COMPLEX(0,data!I252*((CALCULATIONS!C265*10^-6)+(CALCULATIONS!C271*10^-6)))),(COMPLEX(1,I252*((CALCULATIONS!C267*10^3)*(CALCULATIONS!C265*10^-6)*(CALCULATIONS!C271*10^-6))/((CALCULATIONS!C265*10^-6)+(CALCULATIONS!C271*10^-6)))))))</f>
        <v>0.0032308917347562-0.0604434902113694i</v>
      </c>
      <c r="Q252" s="1">
        <f t="shared" si="40"/>
        <v>-24.360618205609</v>
      </c>
      <c r="R252" s="1" t="str">
        <f t="shared" si="26"/>
        <v>-0.000924884445065494-0.0000519984304654081i</v>
      </c>
      <c r="S252" s="1">
        <f t="shared" si="41"/>
        <v>-60.6645446922257</v>
      </c>
      <c r="T252" s="1">
        <f t="shared" si="42"/>
        <v>3.21786956268153</v>
      </c>
    </row>
    <row r="253" spans="1:20">
      <c r="A253" s="1">
        <v>5.8</v>
      </c>
      <c r="B253" s="1">
        <f t="shared" si="29"/>
        <v>630957.344480194</v>
      </c>
      <c r="C253" s="1">
        <f t="shared" si="32"/>
        <v>3964421.916295</v>
      </c>
      <c r="D253" s="1" t="str">
        <f t="shared" si="33"/>
        <v>-0.0000125048017576681-1.79840369818087E-07i</v>
      </c>
      <c r="E253" s="1">
        <f t="shared" si="34"/>
        <v>-98.0575656042366</v>
      </c>
      <c r="F253" s="1">
        <f t="shared" si="35"/>
        <v>-179.176045805919</v>
      </c>
      <c r="G253" s="1">
        <v>2.8</v>
      </c>
      <c r="H253" s="17">
        <f t="shared" si="30"/>
        <v>630.957344480193</v>
      </c>
      <c r="I253" s="17">
        <f t="shared" si="31"/>
        <v>3964.421916295</v>
      </c>
      <c r="J253" s="17">
        <f>(CALCULATIONS!$C$127*10^3)/((CALCULATIONS!$C$123*10^6)+(CALCULATIONS!$C$127*10^3))</f>
        <v>0.0636704119850187</v>
      </c>
      <c r="K253" s="17" t="str">
        <f t="shared" si="36"/>
        <v>0.000418599256484328-0.190926223508146i</v>
      </c>
      <c r="L253" s="1">
        <f t="shared" si="37"/>
        <v>-14.3826674766586</v>
      </c>
      <c r="M253" s="1" t="str">
        <f t="shared" si="22"/>
        <v>0.0000266523871169797-0.0121563513095074i</v>
      </c>
      <c r="N253" s="1">
        <f t="shared" si="38"/>
        <v>-38.3039142763846</v>
      </c>
      <c r="O253" s="1">
        <f t="shared" si="39"/>
        <v>-89.8743811518726</v>
      </c>
      <c r="P253" s="1" t="str">
        <f>IMPRODUCT(42*10^-6,IMDIV((COMPLEX(1,I253*(CALCULATIONS!C267*10^3)*(CALCULATIONS!C265*10^-6))),IMPRODUCT((COMPLEX(0,data!I253*((CALCULATIONS!C265*10^-6)+(CALCULATIONS!C271*10^-6)))),(COMPLEX(1,I253*((CALCULATIONS!C267*10^3)*(CALCULATIONS!C265*10^-6)*(CALCULATIONS!C271*10^-6))/((CALCULATIONS!C265*10^-6)+(CALCULATIONS!C271*10^-6)))))))</f>
        <v>0.0020409063611609-0.0480648692824398i</v>
      </c>
      <c r="Q253" s="1">
        <f t="shared" si="40"/>
        <v>-26.3556215020454</v>
      </c>
      <c r="R253" s="1" t="str">
        <f t="shared" si="26"/>
        <v>-0.000584239041616482-0.0000260910182189229i</v>
      </c>
      <c r="S253" s="1">
        <f t="shared" si="41"/>
        <v>-64.6595357784301</v>
      </c>
      <c r="T253" s="1">
        <f t="shared" si="42"/>
        <v>2.55702293275777</v>
      </c>
    </row>
    <row r="254" spans="1:20">
      <c r="A254" s="1">
        <v>5.9</v>
      </c>
      <c r="B254" s="1">
        <f t="shared" si="29"/>
        <v>794328.234724283</v>
      </c>
      <c r="C254" s="1">
        <f t="shared" si="32"/>
        <v>4990911.49349752</v>
      </c>
      <c r="D254" s="1" t="str">
        <f t="shared" si="33"/>
        <v>-7.89059867796938E-06-9.01405764835916E-08i</v>
      </c>
      <c r="E254" s="1">
        <f t="shared" si="34"/>
        <v>-102.057234161593</v>
      </c>
      <c r="F254" s="1">
        <f t="shared" si="35"/>
        <v>-179.345493269256</v>
      </c>
      <c r="G254" s="1">
        <v>2.9</v>
      </c>
      <c r="H254" s="17">
        <f t="shared" si="30"/>
        <v>794.328234724282</v>
      </c>
      <c r="I254" s="17">
        <f t="shared" si="31"/>
        <v>4990.91149349751</v>
      </c>
      <c r="J254" s="17">
        <f>(CALCULATIONS!$C$127*10^3)/((CALCULATIONS!$C$123*10^6)+(CALCULATIONS!$C$127*10^3))</f>
        <v>0.0636704119850187</v>
      </c>
      <c r="K254" s="17" t="str">
        <f t="shared" si="36"/>
        <v>0.000264118743804934-0.15165835911543i</v>
      </c>
      <c r="L254" s="1">
        <f t="shared" si="37"/>
        <v>-16.3826597725053</v>
      </c>
      <c r="M254" s="1" t="str">
        <f t="shared" ref="M254:M265" si="43">IMPRODUCT(J254,K254)</f>
        <v>0.0000168165492310258-0.00965615020585134i</v>
      </c>
      <c r="N254" s="1">
        <f t="shared" si="38"/>
        <v>-40.3039065722313</v>
      </c>
      <c r="O254" s="1">
        <f t="shared" si="39"/>
        <v>-89.9002173431158</v>
      </c>
      <c r="P254" s="1" t="str">
        <f>IMPRODUCT(42*10^-6,IMDIV((COMPLEX(1,I254*(CALCULATIONS!C267*10^3)*(CALCULATIONS!C265*10^-6))),IMPRODUCT((COMPLEX(0,data!I254*((CALCULATIONS!C265*10^-6)+(CALCULATIONS!C271*10^-6)))),(COMPLEX(1,I254*((CALCULATIONS!C267*10^3)*(CALCULATIONS!C265*10^-6)*(CALCULATIONS!C271*10^-6))/((CALCULATIONS!C265*10^-6)+(CALCULATIONS!C271*10^-6)))))))</f>
        <v>0.00128866276623281-0.0382058446872773i</v>
      </c>
      <c r="Q254" s="1">
        <f t="shared" si="40"/>
        <v>-28.3524658227857</v>
      </c>
      <c r="R254" s="1" t="str">
        <f t="shared" si="26"/>
        <v>-0.000368899704180926-0.0000130860117035284i</v>
      </c>
      <c r="S254" s="1">
        <f t="shared" si="41"/>
        <v>-68.656372395017</v>
      </c>
      <c r="T254" s="1">
        <f t="shared" si="42"/>
        <v>2.0316063692201</v>
      </c>
    </row>
    <row r="255" spans="1:20">
      <c r="A255" s="1">
        <v>6</v>
      </c>
      <c r="B255" s="1">
        <f t="shared" si="29"/>
        <v>1000000</v>
      </c>
      <c r="C255" s="1">
        <f t="shared" si="32"/>
        <v>6283185.30717959</v>
      </c>
      <c r="D255" s="1" t="str">
        <f t="shared" si="33"/>
        <v>-4.97887094533131E-06-4.51794817796078E-08i</v>
      </c>
      <c r="E255" s="1">
        <f t="shared" si="34"/>
        <v>-106.057025022407</v>
      </c>
      <c r="F255" s="1">
        <f t="shared" si="35"/>
        <v>-179.480098478429</v>
      </c>
      <c r="G255" s="1">
        <v>3</v>
      </c>
      <c r="H255" s="17">
        <f t="shared" si="30"/>
        <v>1000</v>
      </c>
      <c r="I255" s="17">
        <f t="shared" si="31"/>
        <v>6283.18530717959</v>
      </c>
      <c r="J255" s="17">
        <f>(CALCULATIONS!$C$127*10^3)/((CALCULATIONS!$C$123*10^6)+(CALCULATIONS!$C$127*10^3))</f>
        <v>0.0636704119850187</v>
      </c>
      <c r="K255" s="17" t="str">
        <f t="shared" si="36"/>
        <v>0.000166647847745174-0.120466651513952i</v>
      </c>
      <c r="L255" s="1">
        <f t="shared" si="37"/>
        <v>-18.3826549115061</v>
      </c>
      <c r="M255" s="1" t="str">
        <f t="shared" si="43"/>
        <v>0.0000106105371223519-0.007670161332349i</v>
      </c>
      <c r="N255" s="1">
        <f t="shared" si="38"/>
        <v>-42.3039017112322</v>
      </c>
      <c r="O255" s="1">
        <f t="shared" si="39"/>
        <v>-89.9207397887295</v>
      </c>
      <c r="P255" s="1" t="str">
        <f>IMPRODUCT(42*10^-6,IMDIV((COMPLEX(1,I255*(CALCULATIONS!C267*10^3)*(CALCULATIONS!C265*10^-6))),IMPRODUCT((COMPLEX(0,data!I255*((CALCULATIONS!C265*10^-6)+(CALCULATIONS!C271*10^-6)))),(COMPLEX(1,I255*((CALCULATIONS!C267*10^3)*(CALCULATIONS!C265*10^-6)*(CALCULATIONS!C271*10^-6))/((CALCULATIONS!C265*10^-6)+(CALCULATIONS!C271*10^-6)))))))</f>
        <v>0.000813465068668719-0.0303613094819316i</v>
      </c>
      <c r="Q255" s="1">
        <f t="shared" si="40"/>
        <v>-30.350473538579</v>
      </c>
      <c r="R255" s="1" t="str">
        <f t="shared" si="26"/>
        <v>-0.000232867510686484-6.56155811626068E-06i</v>
      </c>
      <c r="S255" s="1">
        <f t="shared" si="41"/>
        <v>-72.6543752498111</v>
      </c>
      <c r="T255" s="1">
        <f t="shared" si="42"/>
        <v>1.61400848751771</v>
      </c>
    </row>
    <row r="256" spans="1:20">
      <c r="A256" s="1">
        <v>6.10000000000001</v>
      </c>
      <c r="B256" s="1">
        <f t="shared" si="29"/>
        <v>1258925.4117942</v>
      </c>
      <c r="C256" s="1">
        <f t="shared" si="32"/>
        <v>7910061.65022032</v>
      </c>
      <c r="D256" s="1" t="str">
        <f t="shared" si="33"/>
        <v>-3.14155064670166E-06-2.26440675334987E-08i</v>
      </c>
      <c r="E256" s="1">
        <f t="shared" si="34"/>
        <v>-110.05689305932</v>
      </c>
      <c r="F256" s="1">
        <f t="shared" si="35"/>
        <v>-179.587023359272</v>
      </c>
      <c r="G256" s="1">
        <v>3.1</v>
      </c>
      <c r="H256" s="17">
        <f t="shared" si="30"/>
        <v>1258.92541179417</v>
      </c>
      <c r="I256" s="17">
        <f t="shared" si="31"/>
        <v>7910.06165022013</v>
      </c>
      <c r="J256" s="17">
        <f>(CALCULATIONS!$C$127*10^3)/((CALCULATIONS!$C$123*10^6)+(CALCULATIONS!$C$127*10^3))</f>
        <v>0.0636704119850187</v>
      </c>
      <c r="K256" s="17" t="str">
        <f t="shared" si="36"/>
        <v>0.000105147757734334-0.0956901302187339i</v>
      </c>
      <c r="L256" s="1">
        <f t="shared" si="37"/>
        <v>-20.3826518444202</v>
      </c>
      <c r="M256" s="1" t="str">
        <f t="shared" si="43"/>
        <v>6.69480105424598E-06-0.00609263001392688i</v>
      </c>
      <c r="N256" s="1">
        <f t="shared" si="38"/>
        <v>-44.3038986441463</v>
      </c>
      <c r="O256" s="1">
        <f t="shared" si="39"/>
        <v>-89.9370413614767</v>
      </c>
      <c r="P256" s="1" t="str">
        <f>IMPRODUCT(42*10^-6,IMDIV((COMPLEX(1,I256*(CALCULATIONS!C267*10^3)*(CALCULATIONS!C265*10^-6))),IMPRODUCT((COMPLEX(0,data!I256*((CALCULATIONS!C265*10^-6)+(CALCULATIONS!C271*10^-6)))),(COMPLEX(1,I256*((CALCULATIONS!C267*10^3)*(CALCULATIONS!C265*10^-6)*(CALCULATIONS!C271*10^-6))/((CALCULATIONS!C265*10^-6)+(CALCULATIONS!C271*10^-6)))))))</f>
        <v>0.000513410696287444-0.0241235303566893i</v>
      </c>
      <c r="Q256" s="1">
        <f t="shared" si="40"/>
        <v>-32.3492160199243</v>
      </c>
      <c r="R256" s="1" t="str">
        <f t="shared" si="26"/>
        <v>-0.000146972307910571-3.28952365413608E-06i</v>
      </c>
      <c r="S256" s="1">
        <f t="shared" si="41"/>
        <v>-76.6531146640706</v>
      </c>
      <c r="T256" s="1">
        <f t="shared" si="42"/>
        <v>1.2821759538237</v>
      </c>
    </row>
    <row r="257" spans="1:20">
      <c r="A257" s="1">
        <v>6.20000000000001</v>
      </c>
      <c r="B257" s="1">
        <f t="shared" si="29"/>
        <v>1584893.19246115</v>
      </c>
      <c r="C257" s="1">
        <f t="shared" si="32"/>
        <v>9958177.62032086</v>
      </c>
      <c r="D257" s="1" t="str">
        <f t="shared" si="33"/>
        <v>-1.98222245740374E-06-1.13491351544775E-08i</v>
      </c>
      <c r="E257" s="1">
        <f t="shared" si="34"/>
        <v>-114.056809794177</v>
      </c>
      <c r="F257" s="1">
        <f t="shared" si="35"/>
        <v>-179.671958897527</v>
      </c>
      <c r="G257" s="1">
        <v>3.2</v>
      </c>
      <c r="H257" s="17">
        <f t="shared" si="30"/>
        <v>1584.89319246112</v>
      </c>
      <c r="I257" s="17">
        <f t="shared" si="31"/>
        <v>9958.17762032063</v>
      </c>
      <c r="J257" s="17">
        <f>(CALCULATIONS!$C$127*10^3)/((CALCULATIONS!$C$123*10^6)+(CALCULATIONS!$C$127*10^3))</f>
        <v>0.0636704119850187</v>
      </c>
      <c r="K257" s="17" t="str">
        <f t="shared" si="36"/>
        <v>0.0000663437795606585-0.0760094060867096i</v>
      </c>
      <c r="L257" s="1">
        <f t="shared" si="37"/>
        <v>-22.3826499092188</v>
      </c>
      <c r="M257" s="1" t="str">
        <f t="shared" si="43"/>
        <v>4.22413577727039E-06-0.00483955020027739i</v>
      </c>
      <c r="N257" s="1">
        <f t="shared" si="38"/>
        <v>-46.3038967089448</v>
      </c>
      <c r="O257" s="1">
        <f t="shared" si="39"/>
        <v>-89.949990168373</v>
      </c>
      <c r="P257" s="1" t="str">
        <f>IMPRODUCT(42*10^-6,IMDIV((COMPLEX(1,I257*(CALCULATIONS!C267*10^3)*(CALCULATIONS!C265*10^-6))),IMPRODUCT((COMPLEX(0,data!I257*((CALCULATIONS!C265*10^-6)+(CALCULATIONS!C271*10^-6)))),(COMPLEX(1,I257*((CALCULATIONS!C267*10^3)*(CALCULATIONS!C265*10^-6)*(CALCULATIONS!C271*10^-6))/((CALCULATIONS!C265*10^-6)+(CALCULATIONS!C271*10^-6)))))))</f>
        <v>0.000323999570404959-0.0191653533021255i</v>
      </c>
      <c r="Q257" s="1">
        <f t="shared" si="40"/>
        <v>-34.3484223911495</v>
      </c>
      <c r="R257" s="1" t="str">
        <f t="shared" si="26"/>
        <v>-0.0000927503207935112-1.64896924041064E-06i</v>
      </c>
      <c r="S257" s="1">
        <f t="shared" si="41"/>
        <v>-80.6523191000943</v>
      </c>
      <c r="T257" s="1">
        <f t="shared" si="42"/>
        <v>1.01853044668141</v>
      </c>
    </row>
    <row r="258" spans="1:20">
      <c r="A258" s="1">
        <v>6.30000000000001</v>
      </c>
      <c r="B258" s="1">
        <f t="shared" si="29"/>
        <v>1995262.31496893</v>
      </c>
      <c r="C258" s="1">
        <f t="shared" si="32"/>
        <v>12536602.8613819</v>
      </c>
      <c r="D258" s="1" t="str">
        <f t="shared" si="33"/>
        <v>-1.25071294795517E-06-5.68811046206268E-09i</v>
      </c>
      <c r="E258" s="1">
        <f t="shared" si="34"/>
        <v>-118.056757256602</v>
      </c>
      <c r="F258" s="1">
        <f t="shared" si="35"/>
        <v>-179.739426639416</v>
      </c>
      <c r="G258" s="1">
        <v>3.3</v>
      </c>
      <c r="H258" s="17">
        <f t="shared" si="30"/>
        <v>1995.26231496888</v>
      </c>
      <c r="I258" s="17">
        <f t="shared" si="31"/>
        <v>12536.6028613816</v>
      </c>
      <c r="J258" s="17">
        <f>(CALCULATIONS!$C$127*10^3)/((CALCULATIONS!$C$123*10^6)+(CALCULATIONS!$C$127*10^3))</f>
        <v>0.0636704119850187</v>
      </c>
      <c r="K258" s="17" t="str">
        <f t="shared" si="36"/>
        <v>0.0000418601067434472-0.0603764343342839i</v>
      </c>
      <c r="L258" s="1">
        <f t="shared" si="37"/>
        <v>-24.3826486881887</v>
      </c>
      <c r="M258" s="1" t="str">
        <f t="shared" si="43"/>
        <v>2.66525024209214E-06-0.00384419244825028i</v>
      </c>
      <c r="N258" s="1">
        <f t="shared" si="38"/>
        <v>-48.3038954879147</v>
      </c>
      <c r="O258" s="1">
        <f t="shared" si="39"/>
        <v>-89.960275775002</v>
      </c>
      <c r="P258" s="1" t="str">
        <f>IMPRODUCT(42*10^-6,IMDIV((COMPLEX(1,I258*(CALCULATIONS!C267*10^3)*(CALCULATIONS!C265*10^-6))),IMPRODUCT((COMPLEX(0,data!I258*((CALCULATIONS!C265*10^-6)+(CALCULATIONS!C271*10^-6)))),(COMPLEX(1,I258*((CALCULATIONS!C267*10^3)*(CALCULATIONS!C265*10^-6)*(CALCULATIONS!C271*10^-6))/((CALCULATIONS!C265*10^-6)+(CALCULATIONS!C271*10^-6)))))))</f>
        <v>0.000204453531664389-0.0152252617470758i</v>
      </c>
      <c r="Q258" s="1">
        <f t="shared" si="40"/>
        <v>-36.3479215703144</v>
      </c>
      <c r="R258" s="1" t="str">
        <f t="shared" si="26"/>
        <v>-0.0000585282913109179-8.26537854999654E-07i</v>
      </c>
      <c r="S258" s="1">
        <f t="shared" si="41"/>
        <v>-84.6518170582291</v>
      </c>
      <c r="T258" s="1">
        <f t="shared" si="42"/>
        <v>0.809078513092601</v>
      </c>
    </row>
    <row r="259" spans="1:20">
      <c r="A259" s="1">
        <v>6.40000000000001</v>
      </c>
      <c r="B259" s="1">
        <f t="shared" si="29"/>
        <v>2511886.43150964</v>
      </c>
      <c r="C259" s="1">
        <f t="shared" si="32"/>
        <v>15782647.9197651</v>
      </c>
      <c r="D259" s="1" t="str">
        <f t="shared" si="33"/>
        <v>-7.89152543854093E-07-2.85083010708673E-09i</v>
      </c>
      <c r="E259" s="1">
        <f t="shared" si="34"/>
        <v>-122.056724107307</v>
      </c>
      <c r="F259" s="1">
        <f t="shared" si="35"/>
        <v>-179.793018695847</v>
      </c>
      <c r="G259" s="1">
        <v>3.4</v>
      </c>
      <c r="H259" s="17">
        <f t="shared" si="30"/>
        <v>2511.88643150958</v>
      </c>
      <c r="I259" s="17">
        <f t="shared" si="31"/>
        <v>15782.6479197648</v>
      </c>
      <c r="J259" s="17">
        <f>(CALCULATIONS!$C$127*10^3)/((CALCULATIONS!$C$123*10^6)+(CALCULATIONS!$C$127*10^3))</f>
        <v>0.0636704119850187</v>
      </c>
      <c r="K259" s="17" t="str">
        <f t="shared" si="36"/>
        <v>0.0000264119464758578-0.0479587150113485i</v>
      </c>
      <c r="L259" s="1">
        <f t="shared" si="37"/>
        <v>-26.3826479177707</v>
      </c>
      <c r="M259" s="1" t="str">
        <f t="shared" si="43"/>
        <v>1.68165951344413E-06-0.00305355114304466i</v>
      </c>
      <c r="N259" s="1">
        <f t="shared" si="38"/>
        <v>-50.3038947174967</v>
      </c>
      <c r="O259" s="1">
        <f t="shared" si="39"/>
        <v>-89.9684459246157</v>
      </c>
      <c r="P259" s="1" t="str">
        <f>IMPRODUCT(42*10^-6,IMDIV((COMPLEX(1,I259*(CALCULATIONS!C267*10^3)*(CALCULATIONS!C265*10^-6))),IMPRODUCT((COMPLEX(0,data!I259*((CALCULATIONS!C265*10^-6)+(CALCULATIONS!C271*10^-6)))),(COMPLEX(1,I259*((CALCULATIONS!C267*10^3)*(CALCULATIONS!C265*10^-6)*(CALCULATIONS!C271*10^-6))/((CALCULATIONS!C265*10^-6)+(CALCULATIONS!C271*10^-6)))))))</f>
        <v>0.000129010863710195-0.0120946976860166i</v>
      </c>
      <c r="Q259" s="1">
        <f t="shared" si="40"/>
        <v>-38.3476055438924</v>
      </c>
      <c r="R259" s="1" t="str">
        <f t="shared" si="26"/>
        <v>-0.0000369315609915693-4.14280433773365E-07i</v>
      </c>
      <c r="S259" s="1">
        <f t="shared" si="41"/>
        <v>-88.6515002613891</v>
      </c>
      <c r="T259" s="1">
        <f t="shared" si="42"/>
        <v>0.642689456329549</v>
      </c>
    </row>
    <row r="260" spans="1:20">
      <c r="A260" s="1">
        <v>6.50000000000001</v>
      </c>
      <c r="B260" s="1">
        <f t="shared" si="29"/>
        <v>3162277.66016845</v>
      </c>
      <c r="C260" s="1">
        <f t="shared" si="32"/>
        <v>19869176.5315927</v>
      </c>
      <c r="D260" s="1" t="str">
        <f t="shared" si="33"/>
        <v>-4.97923991490468E-07-1.42880653612636E-09i</v>
      </c>
      <c r="E260" s="1">
        <f t="shared" si="34"/>
        <v>-126.056703191385</v>
      </c>
      <c r="F260" s="1">
        <f t="shared" si="35"/>
        <v>-179.835588642112</v>
      </c>
      <c r="G260" s="1">
        <v>3.5</v>
      </c>
      <c r="H260" s="17">
        <f t="shared" si="30"/>
        <v>3162.27766016838</v>
      </c>
      <c r="I260" s="17">
        <f t="shared" si="31"/>
        <v>19869.1765315922</v>
      </c>
      <c r="J260" s="17">
        <f>(CALCULATIONS!$C$127*10^3)/((CALCULATIONS!$C$123*10^6)+(CALCULATIONS!$C$127*10^3))</f>
        <v>0.0636704119850187</v>
      </c>
      <c r="K260" s="17" t="str">
        <f t="shared" si="36"/>
        <v>0.0000166648134762343-0.0380949656985364i</v>
      </c>
      <c r="L260" s="1">
        <f t="shared" si="37"/>
        <v>-28.3826474316697</v>
      </c>
      <c r="M260" s="1" t="str">
        <f t="shared" si="43"/>
        <v>1.06105553968533E-06-0.00242552216058097i</v>
      </c>
      <c r="N260" s="1">
        <f t="shared" si="38"/>
        <v>-52.3038942313957</v>
      </c>
      <c r="O260" s="1">
        <f t="shared" si="39"/>
        <v>-89.9749357060665</v>
      </c>
      <c r="P260" s="1" t="str">
        <f>IMPRODUCT(42*10^-6,IMDIV((COMPLEX(1,I260*(CALCULATIONS!C267*10^3)*(CALCULATIONS!C265*10^-6))),IMPRODUCT((COMPLEX(0,data!I260*((CALCULATIONS!C265*10^-6)+(CALCULATIONS!C271*10^-6)))),(COMPLEX(1,I260*((CALCULATIONS!C267*10^3)*(CALCULATIONS!C265*10^-6)*(CALCULATIONS!C271*10^-6))/((CALCULATIONS!C265*10^-6)+(CALCULATIONS!C271*10^-6)))))))</f>
        <v>0.0000814040971371659-0.00960758211241731i</v>
      </c>
      <c r="Q260" s="1">
        <f t="shared" si="40"/>
        <v>-40.3474061328197</v>
      </c>
      <c r="R260" s="1" t="str">
        <f t="shared" si="26"/>
        <v>-0.0000233033169490013-2.07641619791644E-07i</v>
      </c>
      <c r="S260" s="1">
        <f t="shared" si="41"/>
        <v>-92.6513003642154</v>
      </c>
      <c r="T260" s="1">
        <f t="shared" si="42"/>
        <v>0.510514174974531</v>
      </c>
    </row>
    <row r="261" spans="1:20">
      <c r="A261" s="1">
        <v>6.60000000000001</v>
      </c>
      <c r="B261" s="1">
        <f t="shared" si="29"/>
        <v>3981071.70553508</v>
      </c>
      <c r="C261" s="1">
        <f t="shared" si="32"/>
        <v>25013811.2470464</v>
      </c>
      <c r="D261" s="1" t="str">
        <f t="shared" si="33"/>
        <v>-3.14169754104441E-07-7.1610177127783E-10i</v>
      </c>
      <c r="E261" s="1">
        <f t="shared" si="34"/>
        <v>-130.056689994279</v>
      </c>
      <c r="F261" s="1">
        <f t="shared" si="35"/>
        <v>-179.869403284037</v>
      </c>
      <c r="G261" s="1">
        <v>3.6</v>
      </c>
      <c r="H261" s="17">
        <f t="shared" si="30"/>
        <v>3981.07170553498</v>
      </c>
      <c r="I261" s="17">
        <f t="shared" si="31"/>
        <v>25013.8112470457</v>
      </c>
      <c r="J261" s="17">
        <f>(CALCULATIONS!$C$127*10^3)/((CALCULATIONS!$C$123*10^6)+(CALCULATIONS!$C$127*10^3))</f>
        <v>0.0636704119850187</v>
      </c>
      <c r="K261" s="17" t="str">
        <f t="shared" si="36"/>
        <v>0.0000105147871998016-0.0302599089922267i</v>
      </c>
      <c r="L261" s="1">
        <f t="shared" si="37"/>
        <v>-30.3826471249606</v>
      </c>
      <c r="M261" s="1" t="str">
        <f t="shared" si="43"/>
        <v>6.69480832946169E-07-0.00192666087216425i</v>
      </c>
      <c r="N261" s="1">
        <f t="shared" si="38"/>
        <v>-54.3038939246866</v>
      </c>
      <c r="O261" s="1">
        <f t="shared" si="39"/>
        <v>-89.9800907231765</v>
      </c>
      <c r="P261" s="1" t="str">
        <f>IMPRODUCT(42*10^-6,IMDIV((COMPLEX(1,I261*(CALCULATIONS!C267*10^3)*(CALCULATIONS!C265*10^-6))),IMPRODUCT((COMPLEX(0,data!I261*((CALCULATIONS!C265*10^-6)+(CALCULATIONS!C271*10^-6)))),(COMPLEX(1,I261*((CALCULATIONS!C267*10^3)*(CALCULATIONS!C265*10^-6)*(CALCULATIONS!C271*10^-6))/((CALCULATIONS!C265*10^-6)+(CALCULATIONS!C271*10^-6)))))))</f>
        <v>0.0000513640040470007-0.00763178538149496i</v>
      </c>
      <c r="Q261" s="1">
        <f t="shared" si="40"/>
        <v>-42.3472803082087</v>
      </c>
      <c r="R261" s="1" t="str">
        <f t="shared" si="26"/>
        <v>-0.0000147038278920652-1.04070350869112E-07i</v>
      </c>
      <c r="S261" s="1">
        <f t="shared" si="41"/>
        <v>-96.6511742328954</v>
      </c>
      <c r="T261" s="1">
        <f t="shared" si="42"/>
        <v>0.405519729664178</v>
      </c>
    </row>
    <row r="262" spans="1:20">
      <c r="A262" s="1">
        <v>6.70000000000001</v>
      </c>
      <c r="B262" s="1">
        <f t="shared" si="29"/>
        <v>5011872.33627285</v>
      </c>
      <c r="C262" s="1">
        <f t="shared" si="32"/>
        <v>31490522.6247294</v>
      </c>
      <c r="D262" s="1" t="str">
        <f t="shared" si="33"/>
        <v>-1.98228093832824E-07-3.58901753872563E-10i</v>
      </c>
      <c r="E262" s="1">
        <f t="shared" si="34"/>
        <v>-134.056681667447</v>
      </c>
      <c r="F262" s="1">
        <f t="shared" si="35"/>
        <v>-179.896263274849</v>
      </c>
      <c r="G262" s="1">
        <v>3.7</v>
      </c>
      <c r="H262" s="17">
        <f t="shared" si="30"/>
        <v>5011.87233627273</v>
      </c>
      <c r="I262" s="17">
        <f t="shared" si="31"/>
        <v>31490.5226247287</v>
      </c>
      <c r="J262" s="17">
        <f>(CALCULATIONS!$C$127*10^3)/((CALCULATIONS!$C$123*10^6)+(CALCULATIONS!$C$127*10^3))</f>
        <v>0.0636704119850187</v>
      </c>
      <c r="K262" s="17" t="str">
        <f t="shared" si="36"/>
        <v>6.63438250498719E-06-0.0240363011637631i</v>
      </c>
      <c r="L262" s="1">
        <f t="shared" si="37"/>
        <v>-32.3826469314403</v>
      </c>
      <c r="M262" s="1" t="str">
        <f t="shared" si="43"/>
        <v>4.22413867358735E-07-0.00153040119769278i</v>
      </c>
      <c r="N262" s="1">
        <f t="shared" si="38"/>
        <v>-56.3038937311664</v>
      </c>
      <c r="O262" s="1">
        <f t="shared" si="39"/>
        <v>-89.9841854990513</v>
      </c>
      <c r="P262" s="1" t="str">
        <f>IMPRODUCT(42*10^-6,IMDIV((COMPLEX(1,I262*(CALCULATIONS!C267*10^3)*(CALCULATIONS!C265*10^-6))),IMPRODUCT((COMPLEX(0,data!I262*((CALCULATIONS!C265*10^-6)+(CALCULATIONS!C271*10^-6)))),(COMPLEX(1,I262*((CALCULATIONS!C267*10^3)*(CALCULATIONS!C265*10^-6)*(CALCULATIONS!C271*10^-6))/((CALCULATIONS!C265*10^-6)+(CALCULATIONS!C271*10^-6)))))))</f>
        <v>0.0000324090892361077-0.00606224868725347i</v>
      </c>
      <c r="Q262" s="1">
        <f t="shared" si="40"/>
        <v>-44.3472009163631</v>
      </c>
      <c r="R262" s="1" t="str">
        <f t="shared" si="26"/>
        <v>-9.27765896163547E-06-5.21596868959446E-08i</v>
      </c>
      <c r="S262" s="1">
        <f t="shared" si="41"/>
        <v>-100.65109464753</v>
      </c>
      <c r="T262" s="1">
        <f t="shared" si="42"/>
        <v>0.322117728830733</v>
      </c>
    </row>
    <row r="263" spans="1:20">
      <c r="A263" s="1">
        <v>6.80000000000001</v>
      </c>
      <c r="B263" s="1">
        <f t="shared" si="29"/>
        <v>6309573.44480208</v>
      </c>
      <c r="C263" s="1">
        <f t="shared" si="32"/>
        <v>39644219.1629509</v>
      </c>
      <c r="D263" s="1" t="str">
        <f t="shared" si="33"/>
        <v>-1.25073622994037E-07-1.79877194773936E-10i</v>
      </c>
      <c r="E263" s="1">
        <f t="shared" si="34"/>
        <v>-138.056676413563</v>
      </c>
      <c r="F263" s="1">
        <f t="shared" si="35"/>
        <v>-179.917598957007</v>
      </c>
      <c r="G263" s="1">
        <v>3.8</v>
      </c>
      <c r="H263" s="17">
        <f t="shared" si="30"/>
        <v>6309.57344480194</v>
      </c>
      <c r="I263" s="17">
        <f t="shared" si="31"/>
        <v>39644.21916295</v>
      </c>
      <c r="J263" s="17">
        <f>(CALCULATIONS!$C$127*10^3)/((CALCULATIONS!$C$123*10^6)+(CALCULATIONS!$C$127*10^3))</f>
        <v>0.0636704119850187</v>
      </c>
      <c r="K263" s="17" t="str">
        <f t="shared" si="36"/>
        <v>4.18601248530346E-06-0.01909271320951i</v>
      </c>
      <c r="L263" s="1">
        <f t="shared" si="37"/>
        <v>-34.3826468093372</v>
      </c>
      <c r="M263" s="1" t="str">
        <f t="shared" si="43"/>
        <v>2.66525139513703E-07-0.00121564091596131i</v>
      </c>
      <c r="N263" s="1">
        <f t="shared" si="38"/>
        <v>-58.3038936090633</v>
      </c>
      <c r="O263" s="1">
        <f t="shared" si="39"/>
        <v>-89.9874380952606</v>
      </c>
      <c r="P263" s="1" t="str">
        <f>IMPRODUCT(42*10^-6,IMDIV((COMPLEX(1,I263*(CALCULATIONS!C267*10^3)*(CALCULATIONS!C265*10^-6))),IMPRODUCT((COMPLEX(0,data!I263*((CALCULATIONS!C265*10^-6)+(CALCULATIONS!C271*10^-6)))),(COMPLEX(1,I263*((CALCULATIONS!C267*10^3)*(CALCULATIONS!C265*10^-6)*(CALCULATIONS!C271*10^-6))/((CALCULATIONS!C265*10^-6)+(CALCULATIONS!C271*10^-6)))))))</f>
        <v>0.0000204489892211333-0.00481546846442063i</v>
      </c>
      <c r="Q263" s="1">
        <f t="shared" si="40"/>
        <v>-46.3471508227452</v>
      </c>
      <c r="R263" s="1" t="str">
        <f t="shared" si="26"/>
        <v>-5.85387504470139E-06-2.6142071391565E-08i</v>
      </c>
      <c r="S263" s="1">
        <f t="shared" si="41"/>
        <v>-104.651044431808</v>
      </c>
      <c r="T263" s="1">
        <f t="shared" si="42"/>
        <v>0.255868188167852</v>
      </c>
    </row>
    <row r="264" spans="1:20">
      <c r="A264" s="1">
        <v>6.90000000000001</v>
      </c>
      <c r="B264" s="1">
        <f t="shared" si="29"/>
        <v>7943282.34724301</v>
      </c>
      <c r="C264" s="1">
        <f t="shared" si="32"/>
        <v>49909114.9349763</v>
      </c>
      <c r="D264" s="1" t="str">
        <f t="shared" si="33"/>
        <v>-7.89161812657159E-08-9.01522224547571E-11i</v>
      </c>
      <c r="E264" s="1">
        <f t="shared" si="34"/>
        <v>-142.056673098583</v>
      </c>
      <c r="F264" s="1">
        <f t="shared" si="35"/>
        <v>-179.934546508326</v>
      </c>
      <c r="G264" s="1">
        <v>3.9</v>
      </c>
      <c r="H264" s="17">
        <f t="shared" si="30"/>
        <v>7943.28234724282</v>
      </c>
      <c r="I264" s="17">
        <f t="shared" si="31"/>
        <v>49909.114934975</v>
      </c>
      <c r="J264" s="17">
        <f>(CALCULATIONS!$C$127*10^3)/((CALCULATIONS!$C$123*10^6)+(CALCULATIONS!$C$127*10^3))</f>
        <v>0.0636704119850187</v>
      </c>
      <c r="K264" s="17" t="str">
        <f t="shared" si="36"/>
        <v>0.0000026411953685416-0.0151658814488428i</v>
      </c>
      <c r="L264" s="1">
        <f t="shared" si="37"/>
        <v>-36.3826467322954</v>
      </c>
      <c r="M264" s="1" t="str">
        <f t="shared" si="43"/>
        <v>1.68165997247967E-07-0.000965617919963773i</v>
      </c>
      <c r="N264" s="1">
        <f t="shared" si="38"/>
        <v>-60.3038935320214</v>
      </c>
      <c r="O264" s="1">
        <f t="shared" si="39"/>
        <v>-89.9900217243246</v>
      </c>
      <c r="P264" s="1" t="str">
        <f>IMPRODUCT(42*10^-6,IMDIV((COMPLEX(1,I264*(CALCULATIONS!C267*10^3)*(CALCULATIONS!C265*10^-6))),IMPRODUCT((COMPLEX(0,data!I264*((CALCULATIONS!C265*10^-6)+(CALCULATIONS!C271*10^-6)))),(COMPLEX(1,I264*((CALCULATIONS!C267*10^3)*(CALCULATIONS!C265*10^-6)*(CALCULATIONS!C271*10^-6))/((CALCULATIONS!C265*10^-6)+(CALCULATIONS!C271*10^-6)))))))</f>
        <v>0.000012902534026572-0.00382508921144417i</v>
      </c>
      <c r="Q264" s="1">
        <f t="shared" si="40"/>
        <v>-48.3471192155106</v>
      </c>
      <c r="R264" s="1" t="str">
        <f t="shared" si="26"/>
        <v>-3.69357251826309E-06-1.31021680108052E-08i</v>
      </c>
      <c r="S264" s="1">
        <f t="shared" si="41"/>
        <v>-108.651012747532</v>
      </c>
      <c r="T264" s="1">
        <f t="shared" si="42"/>
        <v>0.203243818026181</v>
      </c>
    </row>
    <row r="265" spans="1:20">
      <c r="A265" s="1">
        <v>7.00000000000001</v>
      </c>
      <c r="B265" s="1">
        <f t="shared" si="29"/>
        <v>10000000.0000003</v>
      </c>
      <c r="C265" s="1">
        <f t="shared" si="32"/>
        <v>62831853.0717975</v>
      </c>
      <c r="D265" s="1" t="str">
        <f t="shared" si="33"/>
        <v>-4.97927681486981E-08-4.51831647381772E-11i</v>
      </c>
      <c r="E265" s="1">
        <f t="shared" si="34"/>
        <v>-146.056671006971</v>
      </c>
      <c r="F265" s="1">
        <f t="shared" si="35"/>
        <v>-179.948008435156</v>
      </c>
      <c r="G265" s="1">
        <v>4</v>
      </c>
      <c r="H265" s="17">
        <f t="shared" si="30"/>
        <v>10000</v>
      </c>
      <c r="I265" s="17">
        <f t="shared" si="31"/>
        <v>62831.8530717959</v>
      </c>
      <c r="J265" s="17">
        <f>(CALCULATIONS!$C$127*10^3)/((CALCULATIONS!$C$123*10^6)+(CALCULATIONS!$C$127*10^3))</f>
        <v>0.0636704119850187</v>
      </c>
      <c r="K265" s="17" t="str">
        <f t="shared" si="36"/>
        <v>1.66648163464114E-06-0.0120466879741343i</v>
      </c>
      <c r="L265" s="1">
        <f t="shared" si="37"/>
        <v>-38.3826466836853</v>
      </c>
      <c r="M265" s="1" t="str">
        <f t="shared" si="43"/>
        <v>1.06105572243069E-07-0.000767017586368101i</v>
      </c>
      <c r="N265" s="1">
        <f t="shared" si="38"/>
        <v>-62.3038934834113</v>
      </c>
      <c r="O265" s="1">
        <f t="shared" si="39"/>
        <v>-89.9920739738676</v>
      </c>
      <c r="P265" s="1" t="str">
        <f>IMPRODUCT(42*10^-6,IMDIV((COMPLEX(1,I265*(CALCULATIONS!C267*10^3)*(CALCULATIONS!C265*10^-6))),IMPRODUCT((COMPLEX(0,data!I265*((CALCULATIONS!C265*10^-6)+(CALCULATIONS!C271*10^-6)))),(COMPLEX(1,I265*((CALCULATIONS!C267*10^3)*(CALCULATIONS!C265*10^-6)*(CALCULATIONS!C271*10^-6))/((CALCULATIONS!C265*10^-6)+(CALCULATIONS!C271*10^-6)))))))</f>
        <v>8.14098606494057E-06-0.00303838971614933i</v>
      </c>
      <c r="Q265" s="1">
        <f t="shared" si="40"/>
        <v>-50.3470992725749</v>
      </c>
      <c r="R265" s="1" t="str">
        <f t="shared" si="26"/>
        <v>-2.33049748272253E-06-6.56666956171654E-09i</v>
      </c>
      <c r="S265" s="1">
        <f t="shared" si="41"/>
        <v>-112.650992755986</v>
      </c>
      <c r="T265" s="1">
        <f t="shared" si="42"/>
        <v>0.161442549675343</v>
      </c>
    </row>
    <row r="271" spans="1:4">
      <c r="A271" s="7" t="s">
        <v>489</v>
      </c>
      <c r="B271" s="7"/>
      <c r="C271" s="7"/>
      <c r="D271" s="7"/>
    </row>
    <row r="272" spans="1:4">
      <c r="A272" s="7" t="s">
        <v>490</v>
      </c>
      <c r="B272" s="7" t="s">
        <v>491</v>
      </c>
      <c r="C272" s="7" t="s">
        <v>492</v>
      </c>
      <c r="D272" s="7" t="s">
        <v>493</v>
      </c>
    </row>
    <row r="273" spans="1:4">
      <c r="A273" s="7">
        <v>0</v>
      </c>
      <c r="B273" s="7">
        <f t="shared" ref="B273:B283" si="44">SIN(4*PI()*A273/100)</f>
        <v>0</v>
      </c>
      <c r="C273" s="7">
        <f>ABS(CALCULATIONS!C24*B273)</f>
        <v>0</v>
      </c>
      <c r="D273" s="7">
        <f>((1/(fsw/kHz)*kHz)*M1M2_calc*data!C273)/(7*Rsense*Vout_nom)</f>
        <v>0</v>
      </c>
    </row>
    <row r="274" spans="1:4">
      <c r="A274" s="7">
        <v>0.1</v>
      </c>
      <c r="B274" s="7">
        <f t="shared" si="44"/>
        <v>0.0125660398833526</v>
      </c>
      <c r="C274" s="7">
        <f>ABS(CALCULATIONS!C24*B274)</f>
        <v>0.376981196500578</v>
      </c>
      <c r="D274" s="7">
        <f>((1/(fsw/kHz)*kHz)*M1M2_calc*data!C274)/(7*Rsense*Vout_nom)</f>
        <v>0.109341132437841</v>
      </c>
    </row>
    <row r="275" spans="1:4">
      <c r="A275" s="7">
        <v>0.2</v>
      </c>
      <c r="B275" s="7">
        <f t="shared" si="44"/>
        <v>0.0251300954433375</v>
      </c>
      <c r="C275" s="7">
        <f>ABS(CALCULATIONS!C24*B275)</f>
        <v>0.753902863300125</v>
      </c>
      <c r="D275" s="7">
        <f>((1/(fsw/kHz)*kHz)*M1M2_calc*data!C275)/(7*Rsense*Vout_nom)</f>
        <v>0.218664998643347</v>
      </c>
    </row>
    <row r="276" spans="1:4">
      <c r="A276" s="7">
        <v>0.3</v>
      </c>
      <c r="B276" s="7">
        <f t="shared" si="44"/>
        <v>0.0376901826699345</v>
      </c>
      <c r="C276" s="7">
        <f>ABS(CALCULATIONS!C24*B276)</f>
        <v>1.13070548009803</v>
      </c>
      <c r="D276" s="7">
        <f>((1/(fsw/kHz)*kHz)*M1M2_calc*data!C276)/(7*Rsense*Vout_nom)</f>
        <v>0.327954335110722</v>
      </c>
    </row>
    <row r="277" spans="1:4">
      <c r="A277" s="7">
        <v>0.4</v>
      </c>
      <c r="B277" s="7">
        <f t="shared" si="44"/>
        <v>0.0502443181797696</v>
      </c>
      <c r="C277" s="7">
        <f>ABS(CALCULATIONS!C24*B277)</f>
        <v>1.50732954539309</v>
      </c>
      <c r="D277" s="7">
        <f>((1/(fsw/kHz)*kHz)*M1M2_calc*data!C277)/(7*Rsense*Vout_nom)</f>
        <v>0.437191883786817</v>
      </c>
    </row>
    <row r="278" spans="1:4">
      <c r="A278" s="7">
        <v>0.5</v>
      </c>
      <c r="B278" s="7">
        <f t="shared" si="44"/>
        <v>0.0627905195293134</v>
      </c>
      <c r="C278" s="7">
        <f>ABS(CALCULATIONS!C24*B278)</f>
        <v>1.8837155858794</v>
      </c>
      <c r="D278" s="7">
        <f>((1/(fsw/kHz)*kHz)*M1M2_calc*data!C278)/(7*Rsense*Vout_nom)</f>
        <v>0.546360394796372</v>
      </c>
    </row>
    <row r="279" spans="1:4">
      <c r="A279" s="7">
        <v>0.6</v>
      </c>
      <c r="B279" s="7">
        <f t="shared" si="44"/>
        <v>0.0753268055279327</v>
      </c>
      <c r="C279" s="7">
        <f>ABS(CALCULATIONS!C24*B279)</f>
        <v>2.25980416583798</v>
      </c>
      <c r="D279" s="7">
        <f>((1/(fsw/kHz)*kHz)*M1M2_calc*data!C279)/(7*Rsense*Vout_nom)</f>
        <v>0.655442629165977</v>
      </c>
    </row>
    <row r="280" spans="1:4">
      <c r="A280" s="7">
        <v>0.7</v>
      </c>
      <c r="B280" s="7">
        <f t="shared" si="44"/>
        <v>0.0878511965507432</v>
      </c>
      <c r="C280" s="7">
        <f>ABS(CALCULATIONS!C24*B280)</f>
        <v>2.6355358965223</v>
      </c>
      <c r="D280" s="7">
        <f>((1/(fsw/kHz)*kHz)*M1M2_calc*data!C280)/(7*Rsense*Vout_nom)</f>
        <v>0.764421361546306</v>
      </c>
    </row>
    <row r="281" spans="1:4">
      <c r="A281" s="7">
        <v>0.8</v>
      </c>
      <c r="B281" s="7">
        <f t="shared" si="44"/>
        <v>0.100361714851215</v>
      </c>
      <c r="C281" s="7">
        <f>ABS(CALCULATIONS!C24*B281)</f>
        <v>3.01085144553645</v>
      </c>
      <c r="D281" s="7">
        <f>((1/(fsw/kHz)*kHz)*M1M2_calc*data!C281)/(7*Rsense*Vout_nom)</f>
        <v>0.873279382932194</v>
      </c>
    </row>
    <row r="282" spans="1:4">
      <c r="A282" s="7">
        <v>0.9</v>
      </c>
      <c r="B282" s="7">
        <f t="shared" si="44"/>
        <v>0.112856384873482</v>
      </c>
      <c r="C282" s="7">
        <f>ABS(CALCULATIONS!C24*B282)</f>
        <v>3.38569154620446</v>
      </c>
      <c r="D282" s="7">
        <f>((1/(fsw/kHz)*kHz)*M1M2_calc*data!C282)/(7*Rsense*Vout_nom)</f>
        <v>0.981999503380142</v>
      </c>
    </row>
    <row r="283" spans="1:4">
      <c r="A283" s="7">
        <v>1</v>
      </c>
      <c r="B283" s="7">
        <f t="shared" si="44"/>
        <v>0.125333233564304</v>
      </c>
      <c r="C283" s="7">
        <f>ABS(CALCULATIONS!C24*B283)</f>
        <v>3.75999700692912</v>
      </c>
      <c r="D283" s="7">
        <f>((1/(fsw/kHz)*kHz)*M1M2_calc*data!C283)/(7*Rsense*Vout_nom)</f>
        <v>1.0905645547228</v>
      </c>
    </row>
    <row r="284" spans="1:4">
      <c r="A284" s="7">
        <v>2</v>
      </c>
      <c r="B284" s="7">
        <f t="shared" ref="B284:B347" si="45">SIN(4*PI()*A284/100)</f>
        <v>0.248689887164855</v>
      </c>
      <c r="C284" s="7">
        <f>ABS(CALCULATIONS!C24*B284)</f>
        <v>7.46069661494565</v>
      </c>
      <c r="D284" s="7">
        <f>((1/(fsw/kHz)*kHz)*M1M2_calc*data!C284)/(7*Rsense*Vout_nom)</f>
        <v>2.16393025494594</v>
      </c>
    </row>
    <row r="285" spans="1:4">
      <c r="A285" s="7">
        <v>3</v>
      </c>
      <c r="B285" s="7">
        <f t="shared" si="45"/>
        <v>0.368124552684678</v>
      </c>
      <c r="C285" s="7">
        <f>ABS(CALCULATIONS!C24*B285)</f>
        <v>11.0437365805403</v>
      </c>
      <c r="D285" s="7">
        <f>((1/(fsw/kHz)*kHz)*M1M2_calc*data!C285)/(7*Rsense*Vout_nom)</f>
        <v>3.2031694823793</v>
      </c>
    </row>
    <row r="286" spans="1:4">
      <c r="A286" s="7">
        <v>4</v>
      </c>
      <c r="B286" s="7">
        <f t="shared" si="45"/>
        <v>0.481753674101715</v>
      </c>
      <c r="C286" s="7">
        <f>ABS(CALCULATIONS!C24*B286)</f>
        <v>14.4526102230514</v>
      </c>
      <c r="D286" s="7">
        <f>((1/(fsw/kHz)*kHz)*M1M2_calc*data!C286)/(7*Rsense*Vout_nom)</f>
        <v>4.19189281359484</v>
      </c>
    </row>
    <row r="287" spans="1:4">
      <c r="A287" s="7">
        <v>5</v>
      </c>
      <c r="B287" s="7">
        <f t="shared" si="45"/>
        <v>0.587785252292473</v>
      </c>
      <c r="C287" s="7">
        <f>ABS(CALCULATIONS!C24*B287)</f>
        <v>17.6335575687742</v>
      </c>
      <c r="D287" s="7">
        <f>((1/(fsw/kHz)*kHz)*M1M2_calc*data!C287)/(7*Rsense*Vout_nom)</f>
        <v>5.11450749102461</v>
      </c>
    </row>
    <row r="288" spans="1:4">
      <c r="A288" s="7">
        <v>6</v>
      </c>
      <c r="B288" s="7">
        <f t="shared" si="45"/>
        <v>0.684547105928689</v>
      </c>
      <c r="C288" s="7">
        <f>ABS(CALCULATIONS!C24*B288)</f>
        <v>20.5364131778607</v>
      </c>
      <c r="D288" s="7">
        <f>((1/(fsw/kHz)*kHz)*M1M2_calc*data!C288)/(7*Rsense*Vout_nom)</f>
        <v>5.95646333006224</v>
      </c>
    </row>
    <row r="289" spans="1:4">
      <c r="A289" s="7">
        <v>7</v>
      </c>
      <c r="B289" s="7">
        <f t="shared" si="45"/>
        <v>0.770513242775789</v>
      </c>
      <c r="C289" s="7">
        <f>ABS(CALCULATIONS!C24*B289)</f>
        <v>23.1153972832737</v>
      </c>
      <c r="D289" s="7">
        <f>((1/(fsw/kHz)*kHz)*M1M2_calc*data!C289)/(7*Rsense*Vout_nom)</f>
        <v>6.70448218416606</v>
      </c>
    </row>
    <row r="290" spans="1:4">
      <c r="A290" s="7">
        <v>8</v>
      </c>
      <c r="B290" s="7">
        <f t="shared" si="45"/>
        <v>0.844327925502015</v>
      </c>
      <c r="C290" s="7">
        <f>ABS(CALCULATIONS!C24*B290)</f>
        <v>25.3298377650605</v>
      </c>
      <c r="D290" s="7">
        <f>((1/(fsw/kHz)*kHz)*M1M2_calc*data!C290)/(7*Rsense*Vout_nom)</f>
        <v>7.34676734916206</v>
      </c>
    </row>
    <row r="291" spans="1:4">
      <c r="A291" s="7">
        <v>9</v>
      </c>
      <c r="B291" s="7">
        <f t="shared" si="45"/>
        <v>0.90482705246602</v>
      </c>
      <c r="C291" s="7">
        <f>ABS(CALCULATIONS!C24*B291)</f>
        <v>27.1448115739806</v>
      </c>
      <c r="D291" s="7">
        <f>((1/(fsw/kHz)*kHz)*M1M2_calc*data!C291)/(7*Rsense*Vout_nom)</f>
        <v>7.8731896043157</v>
      </c>
    </row>
    <row r="292" spans="1:4">
      <c r="A292" s="7">
        <v>10</v>
      </c>
      <c r="B292" s="7">
        <f t="shared" si="45"/>
        <v>0.951056516295154</v>
      </c>
      <c r="C292" s="7">
        <f>ABS(CALCULATIONS!C24*B292)</f>
        <v>28.5316954888546</v>
      </c>
      <c r="D292" s="7">
        <f>((1/(fsw/kHz)*kHz)*M1M2_calc*data!C292)/(7*Rsense*Vout_nom)</f>
        <v>8.27544695619377</v>
      </c>
    </row>
    <row r="293" spans="1:4">
      <c r="A293" s="7">
        <v>11</v>
      </c>
      <c r="B293" s="7">
        <f t="shared" si="45"/>
        <v>0.982287250728689</v>
      </c>
      <c r="C293" s="7">
        <f>ABS(CALCULATIONS!C24*B293)</f>
        <v>29.4686175218607</v>
      </c>
      <c r="D293" s="7">
        <f>((1/(fsw/kHz)*kHz)*M1M2_calc*data!C293)/(7*Rsense*Vout_nom)</f>
        <v>8.54719556606028</v>
      </c>
    </row>
    <row r="294" spans="1:4">
      <c r="A294" s="7">
        <v>12</v>
      </c>
      <c r="B294" s="7">
        <f t="shared" si="45"/>
        <v>0.998026728428272</v>
      </c>
      <c r="C294" s="7">
        <f>ABS(CALCULATIONS!C24*B294)</f>
        <v>29.9408018528482</v>
      </c>
      <c r="D294" s="7">
        <f>((1/(fsw/kHz)*kHz)*M1M2_calc*data!C294)/(7*Rsense*Vout_nom)</f>
        <v>8.68414979600288</v>
      </c>
    </row>
    <row r="295" spans="1:4">
      <c r="A295" s="7">
        <v>13</v>
      </c>
      <c r="B295" s="7">
        <f t="shared" si="45"/>
        <v>0.998026728428272</v>
      </c>
      <c r="C295" s="7">
        <f>ABS(CALCULATIONS!C24*B295)</f>
        <v>29.9408018528482</v>
      </c>
      <c r="D295" s="7">
        <f>((1/(fsw/kHz)*kHz)*M1M2_calc*data!C295)/(7*Rsense*Vout_nom)</f>
        <v>8.68414979600288</v>
      </c>
    </row>
    <row r="296" spans="1:4">
      <c r="A296" s="7">
        <v>14</v>
      </c>
      <c r="B296" s="7">
        <f t="shared" si="45"/>
        <v>0.982287250728689</v>
      </c>
      <c r="C296" s="7">
        <f>ABS(CALCULATIONS!C24*B296)</f>
        <v>29.4686175218607</v>
      </c>
      <c r="D296" s="7">
        <f>((1/(fsw/kHz)*kHz)*M1M2_calc*data!C296)/(7*Rsense*Vout_nom)</f>
        <v>8.54719556606028</v>
      </c>
    </row>
    <row r="297" spans="1:4">
      <c r="A297" s="7">
        <v>15</v>
      </c>
      <c r="B297" s="7">
        <f t="shared" si="45"/>
        <v>0.951056516295154</v>
      </c>
      <c r="C297" s="7">
        <f>ABS(CALCULATIONS!C24*B297)</f>
        <v>28.5316954888546</v>
      </c>
      <c r="D297" s="7">
        <f>((1/(fsw/kHz)*kHz)*M1M2_calc*data!C297)/(7*Rsense*Vout_nom)</f>
        <v>8.27544695619377</v>
      </c>
    </row>
    <row r="298" spans="1:4">
      <c r="A298" s="7">
        <v>16</v>
      </c>
      <c r="B298" s="7">
        <f t="shared" si="45"/>
        <v>0.904827052466019</v>
      </c>
      <c r="C298" s="7">
        <f>ABS(CALCULATIONS!C24*B298)</f>
        <v>27.1448115739806</v>
      </c>
      <c r="D298" s="7">
        <f>((1/(fsw/kHz)*kHz)*M1M2_calc*data!C298)/(7*Rsense*Vout_nom)</f>
        <v>7.87318960431569</v>
      </c>
    </row>
    <row r="299" spans="1:4">
      <c r="A299" s="7">
        <v>17</v>
      </c>
      <c r="B299" s="7">
        <f t="shared" si="45"/>
        <v>0.844327925502015</v>
      </c>
      <c r="C299" s="7">
        <f>ABS(CALCULATIONS!C24*B299)</f>
        <v>25.3298377650605</v>
      </c>
      <c r="D299" s="7">
        <f>((1/(fsw/kHz)*kHz)*M1M2_calc*data!C299)/(7*Rsense*Vout_nom)</f>
        <v>7.34676734916206</v>
      </c>
    </row>
    <row r="300" spans="1:4">
      <c r="A300" s="7">
        <v>18</v>
      </c>
      <c r="B300" s="7">
        <f t="shared" si="45"/>
        <v>0.770513242775789</v>
      </c>
      <c r="C300" s="7">
        <f>ABS(CALCULATIONS!C24*B300)</f>
        <v>23.1153972832737</v>
      </c>
      <c r="D300" s="7">
        <f>((1/(fsw/kHz)*kHz)*M1M2_calc*data!C300)/(7*Rsense*Vout_nom)</f>
        <v>6.70448218416606</v>
      </c>
    </row>
    <row r="301" spans="1:4">
      <c r="A301" s="7">
        <v>19</v>
      </c>
      <c r="B301" s="7">
        <f t="shared" si="45"/>
        <v>0.684547105928689</v>
      </c>
      <c r="C301" s="7">
        <f>ABS(CALCULATIONS!C24*B301)</f>
        <v>20.5364131778607</v>
      </c>
      <c r="D301" s="7">
        <f>((1/(fsw/kHz)*kHz)*M1M2_calc*data!C301)/(7*Rsense*Vout_nom)</f>
        <v>5.95646333006224</v>
      </c>
    </row>
    <row r="302" spans="1:4">
      <c r="A302" s="7">
        <v>20</v>
      </c>
      <c r="B302" s="7">
        <f t="shared" si="45"/>
        <v>0.587785252292473</v>
      </c>
      <c r="C302" s="7">
        <f>ABS(CALCULATIONS!C24*B302)</f>
        <v>17.6335575687742</v>
      </c>
      <c r="D302" s="7">
        <f>((1/(fsw/kHz)*kHz)*M1M2_calc*data!C302)/(7*Rsense*Vout_nom)</f>
        <v>5.11450749102461</v>
      </c>
    </row>
    <row r="303" spans="1:4">
      <c r="A303" s="7">
        <v>21</v>
      </c>
      <c r="B303" s="7">
        <f t="shared" si="45"/>
        <v>0.481753674101715</v>
      </c>
      <c r="C303" s="7">
        <f>ABS(CALCULATIONS!C24*B303)</f>
        <v>14.4526102230514</v>
      </c>
      <c r="D303" s="7">
        <f>((1/(fsw/kHz)*kHz)*M1M2_calc*data!C303)/(7*Rsense*Vout_nom)</f>
        <v>4.19189281359484</v>
      </c>
    </row>
    <row r="304" spans="1:4">
      <c r="A304" s="7">
        <v>22</v>
      </c>
      <c r="B304" s="7">
        <f t="shared" si="45"/>
        <v>0.368124552684678</v>
      </c>
      <c r="C304" s="7">
        <f>ABS(CALCULATIONS!C24*B304)</f>
        <v>11.0437365805403</v>
      </c>
      <c r="D304" s="7">
        <f>((1/(fsw/kHz)*kHz)*M1M2_calc*data!C304)/(7*Rsense*Vout_nom)</f>
        <v>3.2031694823793</v>
      </c>
    </row>
    <row r="305" spans="1:4">
      <c r="A305" s="7">
        <v>23</v>
      </c>
      <c r="B305" s="7">
        <f t="shared" si="45"/>
        <v>0.248689887164855</v>
      </c>
      <c r="C305" s="7">
        <f>ABS(CALCULATIONS!C24*B305)</f>
        <v>7.46069661494565</v>
      </c>
      <c r="D305" s="7">
        <f>((1/(fsw/kHz)*kHz)*M1M2_calc*data!C305)/(7*Rsense*Vout_nom)</f>
        <v>2.16393025494594</v>
      </c>
    </row>
    <row r="306" spans="1:4">
      <c r="A306" s="7">
        <v>24</v>
      </c>
      <c r="B306" s="7">
        <f t="shared" si="45"/>
        <v>0.125333233564305</v>
      </c>
      <c r="C306" s="7">
        <f>ABS(CALCULATIONS!C24*B306)</f>
        <v>3.75999700692915</v>
      </c>
      <c r="D306" s="7">
        <f>((1/(fsw/kHz)*kHz)*M1M2_calc*data!C306)/(7*Rsense*Vout_nom)</f>
        <v>1.09056455472281</v>
      </c>
    </row>
    <row r="307" spans="1:4">
      <c r="A307" s="7">
        <v>25</v>
      </c>
      <c r="B307" s="7">
        <f t="shared" si="45"/>
        <v>1.22514845490862e-16</v>
      </c>
      <c r="C307" s="7">
        <f>ABS(CALCULATIONS!C24*B307)</f>
        <v>3.67544536472586e-15</v>
      </c>
      <c r="D307" s="7">
        <f>((1/(fsw/kHz)*kHz)*M1M2_calc*data!C307)/(7*Rsense*Vout_nom)</f>
        <v>1.06604085859736e-15</v>
      </c>
    </row>
    <row r="308" spans="1:4">
      <c r="A308" s="7">
        <v>26</v>
      </c>
      <c r="B308" s="7">
        <f t="shared" si="45"/>
        <v>-0.125333233564304</v>
      </c>
      <c r="C308" s="7">
        <f>ABS(CALCULATIONS!C24*B308)</f>
        <v>3.75999700692912</v>
      </c>
      <c r="D308" s="7">
        <f>((1/(fsw/kHz)*kHz)*M1M2_calc*data!C308)/(7*Rsense*Vout_nom)</f>
        <v>1.0905645547228</v>
      </c>
    </row>
    <row r="309" spans="1:4">
      <c r="A309" s="7">
        <v>27</v>
      </c>
      <c r="B309" s="7">
        <f t="shared" si="45"/>
        <v>-0.248689887164855</v>
      </c>
      <c r="C309" s="7">
        <f>ABS(CALCULATIONS!C24*B309)</f>
        <v>7.46069661494565</v>
      </c>
      <c r="D309" s="7">
        <f>((1/(fsw/kHz)*kHz)*M1M2_calc*data!C309)/(7*Rsense*Vout_nom)</f>
        <v>2.16393025494594</v>
      </c>
    </row>
    <row r="310" spans="1:4">
      <c r="A310" s="7">
        <v>28</v>
      </c>
      <c r="B310" s="7">
        <f t="shared" si="45"/>
        <v>-0.368124552684678</v>
      </c>
      <c r="C310" s="7">
        <f>ABS(CALCULATIONS!C24*B310)</f>
        <v>11.0437365805403</v>
      </c>
      <c r="D310" s="7">
        <f>((1/(fsw/kHz)*kHz)*M1M2_calc*data!C310)/(7*Rsense*Vout_nom)</f>
        <v>3.2031694823793</v>
      </c>
    </row>
    <row r="311" spans="1:4">
      <c r="A311" s="7">
        <v>29</v>
      </c>
      <c r="B311" s="7">
        <f t="shared" si="45"/>
        <v>-0.481753674101715</v>
      </c>
      <c r="C311" s="7">
        <f>ABS(CALCULATIONS!C24*B311)</f>
        <v>14.4526102230514</v>
      </c>
      <c r="D311" s="7">
        <f>((1/(fsw/kHz)*kHz)*M1M2_calc*data!C311)/(7*Rsense*Vout_nom)</f>
        <v>4.19189281359484</v>
      </c>
    </row>
    <row r="312" spans="1:4">
      <c r="A312" s="7">
        <v>30</v>
      </c>
      <c r="B312" s="7">
        <f t="shared" si="45"/>
        <v>-0.587785252292473</v>
      </c>
      <c r="C312" s="7">
        <f>ABS(CALCULATIONS!C24*B312)</f>
        <v>17.6335575687742</v>
      </c>
      <c r="D312" s="7">
        <f>((1/(fsw/kHz)*kHz)*M1M2_calc*data!C312)/(7*Rsense*Vout_nom)</f>
        <v>5.11450749102461</v>
      </c>
    </row>
    <row r="313" spans="1:4">
      <c r="A313" s="7">
        <v>31</v>
      </c>
      <c r="B313" s="7">
        <f t="shared" si="45"/>
        <v>-0.684547105928688</v>
      </c>
      <c r="C313" s="7">
        <f>ABS(CALCULATIONS!C24*B313)</f>
        <v>20.5364131778606</v>
      </c>
      <c r="D313" s="7">
        <f>((1/(fsw/kHz)*kHz)*M1M2_calc*data!C313)/(7*Rsense*Vout_nom)</f>
        <v>5.95646333006223</v>
      </c>
    </row>
    <row r="314" spans="1:4">
      <c r="A314" s="7">
        <v>32</v>
      </c>
      <c r="B314" s="7">
        <f t="shared" si="45"/>
        <v>-0.770513242775789</v>
      </c>
      <c r="C314" s="7">
        <f>ABS(CALCULATIONS!C24*B314)</f>
        <v>23.1153972832737</v>
      </c>
      <c r="D314" s="7">
        <f>((1/(fsw/kHz)*kHz)*M1M2_calc*data!C314)/(7*Rsense*Vout_nom)</f>
        <v>6.70448218416606</v>
      </c>
    </row>
    <row r="315" spans="1:4">
      <c r="A315" s="7">
        <v>33</v>
      </c>
      <c r="B315" s="7">
        <f t="shared" si="45"/>
        <v>-0.844327925502015</v>
      </c>
      <c r="C315" s="7">
        <f>ABS(CALCULATIONS!C24*B315)</f>
        <v>25.3298377650605</v>
      </c>
      <c r="D315" s="7">
        <f>((1/(fsw/kHz)*kHz)*M1M2_calc*data!C315)/(7*Rsense*Vout_nom)</f>
        <v>7.34676734916206</v>
      </c>
    </row>
    <row r="316" spans="1:4">
      <c r="A316" s="7">
        <v>34</v>
      </c>
      <c r="B316" s="7">
        <f t="shared" si="45"/>
        <v>-0.90482705246602</v>
      </c>
      <c r="C316" s="7">
        <f>ABS(CALCULATIONS!C24*B316)</f>
        <v>27.1448115739806</v>
      </c>
      <c r="D316" s="7">
        <f>((1/(fsw/kHz)*kHz)*M1M2_calc*data!C316)/(7*Rsense*Vout_nom)</f>
        <v>7.8731896043157</v>
      </c>
    </row>
    <row r="317" spans="1:4">
      <c r="A317" s="7">
        <v>35</v>
      </c>
      <c r="B317" s="7">
        <f t="shared" si="45"/>
        <v>-0.951056516295154</v>
      </c>
      <c r="C317" s="7">
        <f>ABS(CALCULATIONS!C24*B317)</f>
        <v>28.5316954888546</v>
      </c>
      <c r="D317" s="7">
        <f>((1/(fsw/kHz)*kHz)*M1M2_calc*data!C317)/(7*Rsense*Vout_nom)</f>
        <v>8.27544695619377</v>
      </c>
    </row>
    <row r="318" spans="1:4">
      <c r="A318" s="7">
        <v>36</v>
      </c>
      <c r="B318" s="7">
        <f t="shared" si="45"/>
        <v>-0.982287250728689</v>
      </c>
      <c r="C318" s="7">
        <f>ABS(CALCULATIONS!C24*B318)</f>
        <v>29.4686175218607</v>
      </c>
      <c r="D318" s="7">
        <f>((1/(fsw/kHz)*kHz)*M1M2_calc*data!C318)/(7*Rsense*Vout_nom)</f>
        <v>8.54719556606028</v>
      </c>
    </row>
    <row r="319" spans="1:4">
      <c r="A319" s="7">
        <v>37</v>
      </c>
      <c r="B319" s="7">
        <f t="shared" si="45"/>
        <v>-0.998026728428272</v>
      </c>
      <c r="C319" s="7">
        <f>ABS(CALCULATIONS!C24*B319)</f>
        <v>29.9408018528482</v>
      </c>
      <c r="D319" s="7">
        <f>((1/(fsw/kHz)*kHz)*M1M2_calc*data!C319)/(7*Rsense*Vout_nom)</f>
        <v>8.68414979600288</v>
      </c>
    </row>
    <row r="320" spans="1:4">
      <c r="A320" s="7">
        <v>38</v>
      </c>
      <c r="B320" s="7">
        <f t="shared" si="45"/>
        <v>-0.998026728428272</v>
      </c>
      <c r="C320" s="7">
        <f>ABS(CALCULATIONS!C24*B320)</f>
        <v>29.9408018528482</v>
      </c>
      <c r="D320" s="7">
        <f>((1/(fsw/kHz)*kHz)*M1M2_calc*data!C320)/(7*Rsense*Vout_nom)</f>
        <v>8.68414979600288</v>
      </c>
    </row>
    <row r="321" spans="1:4">
      <c r="A321" s="7">
        <v>39</v>
      </c>
      <c r="B321" s="7">
        <f t="shared" si="45"/>
        <v>-0.982287250728689</v>
      </c>
      <c r="C321" s="7">
        <f>ABS(CALCULATIONS!C24*B321)</f>
        <v>29.4686175218607</v>
      </c>
      <c r="D321" s="7">
        <f>((1/(fsw/kHz)*kHz)*M1M2_calc*data!C321)/(7*Rsense*Vout_nom)</f>
        <v>8.54719556606028</v>
      </c>
    </row>
    <row r="322" spans="1:4">
      <c r="A322" s="7">
        <v>40</v>
      </c>
      <c r="B322" s="7">
        <f t="shared" si="45"/>
        <v>-0.951056516295154</v>
      </c>
      <c r="C322" s="7">
        <f>ABS(CALCULATIONS!C24*B322)</f>
        <v>28.5316954888546</v>
      </c>
      <c r="D322" s="7">
        <f>((1/(fsw/kHz)*kHz)*M1M2_calc*data!C322)/(7*Rsense*Vout_nom)</f>
        <v>8.27544695619377</v>
      </c>
    </row>
    <row r="323" spans="1:4">
      <c r="A323" s="7">
        <v>41</v>
      </c>
      <c r="B323" s="7">
        <f t="shared" si="45"/>
        <v>-0.90482705246602</v>
      </c>
      <c r="C323" s="7">
        <f>ABS(CALCULATIONS!C24*B323)</f>
        <v>27.1448115739806</v>
      </c>
      <c r="D323" s="7">
        <f>((1/(fsw/kHz)*kHz)*M1M2_calc*data!C323)/(7*Rsense*Vout_nom)</f>
        <v>7.8731896043157</v>
      </c>
    </row>
    <row r="324" spans="1:4">
      <c r="A324" s="7">
        <v>42</v>
      </c>
      <c r="B324" s="7">
        <f t="shared" si="45"/>
        <v>-0.844327925502015</v>
      </c>
      <c r="C324" s="7">
        <f>ABS(CALCULATIONS!C24*B324)</f>
        <v>25.3298377650605</v>
      </c>
      <c r="D324" s="7">
        <f>((1/(fsw/kHz)*kHz)*M1M2_calc*data!C324)/(7*Rsense*Vout_nom)</f>
        <v>7.34676734916206</v>
      </c>
    </row>
    <row r="325" spans="1:4">
      <c r="A325" s="7">
        <v>43</v>
      </c>
      <c r="B325" s="7">
        <f t="shared" si="45"/>
        <v>-0.77051324277579</v>
      </c>
      <c r="C325" s="7">
        <f>ABS(CALCULATIONS!C24*B325)</f>
        <v>23.1153972832737</v>
      </c>
      <c r="D325" s="7">
        <f>((1/(fsw/kHz)*kHz)*M1M2_calc*data!C325)/(7*Rsense*Vout_nom)</f>
        <v>6.70448218416607</v>
      </c>
    </row>
    <row r="326" spans="1:4">
      <c r="A326" s="7">
        <v>44</v>
      </c>
      <c r="B326" s="7">
        <f t="shared" si="45"/>
        <v>-0.684547105928689</v>
      </c>
      <c r="C326" s="7">
        <f>ABS(CALCULATIONS!C24*B326)</f>
        <v>20.5364131778607</v>
      </c>
      <c r="D326" s="7">
        <f>((1/(fsw/kHz)*kHz)*M1M2_calc*data!C326)/(7*Rsense*Vout_nom)</f>
        <v>5.95646333006224</v>
      </c>
    </row>
    <row r="327" spans="1:4">
      <c r="A327" s="7">
        <v>45</v>
      </c>
      <c r="B327" s="7">
        <f t="shared" si="45"/>
        <v>-0.587785252292473</v>
      </c>
      <c r="C327" s="7">
        <f>ABS(CALCULATIONS!C24*B327)</f>
        <v>17.6335575687742</v>
      </c>
      <c r="D327" s="7">
        <f>((1/(fsw/kHz)*kHz)*M1M2_calc*data!C327)/(7*Rsense*Vout_nom)</f>
        <v>5.11450749102461</v>
      </c>
    </row>
    <row r="328" spans="1:4">
      <c r="A328" s="7">
        <v>46</v>
      </c>
      <c r="B328" s="7">
        <f t="shared" si="45"/>
        <v>-0.481753674101716</v>
      </c>
      <c r="C328" s="7">
        <f>ABS(CALCULATIONS!C24*B328)</f>
        <v>14.4526102230515</v>
      </c>
      <c r="D328" s="7">
        <f>((1/(fsw/kHz)*kHz)*M1M2_calc*data!C328)/(7*Rsense*Vout_nom)</f>
        <v>4.19189281359485</v>
      </c>
    </row>
    <row r="329" spans="1:4">
      <c r="A329" s="7">
        <v>47</v>
      </c>
      <c r="B329" s="7">
        <f t="shared" si="45"/>
        <v>-0.368124552684678</v>
      </c>
      <c r="C329" s="7">
        <f>ABS(CALCULATIONS!C24*B329)</f>
        <v>11.0437365805403</v>
      </c>
      <c r="D329" s="7">
        <f>((1/(fsw/kHz)*kHz)*M1M2_calc*data!C329)/(7*Rsense*Vout_nom)</f>
        <v>3.2031694823793</v>
      </c>
    </row>
    <row r="330" spans="1:4">
      <c r="A330" s="7">
        <v>48</v>
      </c>
      <c r="B330" s="7">
        <f t="shared" si="45"/>
        <v>-0.248689887164855</v>
      </c>
      <c r="C330" s="7">
        <f>ABS(CALCULATIONS!C24*B330)</f>
        <v>7.46069661494565</v>
      </c>
      <c r="D330" s="7">
        <f>((1/(fsw/kHz)*kHz)*M1M2_calc*data!C330)/(7*Rsense*Vout_nom)</f>
        <v>2.16393025494594</v>
      </c>
    </row>
    <row r="331" spans="1:4">
      <c r="A331" s="7">
        <v>49</v>
      </c>
      <c r="B331" s="7">
        <f t="shared" si="45"/>
        <v>-0.125333233564305</v>
      </c>
      <c r="C331" s="7">
        <f>ABS(CALCULATIONS!C24*B331)</f>
        <v>3.75999700692915</v>
      </c>
      <c r="D331" s="7">
        <f>((1/(fsw/kHz)*kHz)*M1M2_calc*data!C331)/(7*Rsense*Vout_nom)</f>
        <v>1.09056455472281</v>
      </c>
    </row>
    <row r="332" spans="1:4">
      <c r="A332" s="7">
        <v>50</v>
      </c>
      <c r="B332" s="7">
        <f t="shared" si="45"/>
        <v>-2.45029690981724e-16</v>
      </c>
      <c r="C332" s="7">
        <f>ABS(CALCULATIONS!C24*B332)</f>
        <v>7.35089072945172e-15</v>
      </c>
      <c r="D332" s="7">
        <f>((1/(fsw/kHz)*kHz)*M1M2_calc*data!C332)/(7*Rsense*Vout_nom)</f>
        <v>2.13208171719473e-15</v>
      </c>
    </row>
    <row r="333" spans="1:4">
      <c r="A333" s="7">
        <v>51</v>
      </c>
      <c r="B333" s="7">
        <f t="shared" si="45"/>
        <v>0.125333233564304</v>
      </c>
      <c r="C333" s="7">
        <f>ABS(CALCULATIONS!C24*B333)</f>
        <v>3.75999700692912</v>
      </c>
      <c r="D333" s="7">
        <f>((1/(fsw/kHz)*kHz)*M1M2_calc*data!C333)/(7*Rsense*Vout_nom)</f>
        <v>1.0905645547228</v>
      </c>
    </row>
    <row r="334" spans="1:4">
      <c r="A334" s="7">
        <v>52</v>
      </c>
      <c r="B334" s="7">
        <f t="shared" si="45"/>
        <v>0.248689887164855</v>
      </c>
      <c r="C334" s="7">
        <f>ABS(CALCULATIONS!C24*B334)</f>
        <v>7.46069661494565</v>
      </c>
      <c r="D334" s="7">
        <f>((1/(fsw/kHz)*kHz)*M1M2_calc*data!C334)/(7*Rsense*Vout_nom)</f>
        <v>2.16393025494594</v>
      </c>
    </row>
    <row r="335" spans="1:4">
      <c r="A335" s="7">
        <v>53</v>
      </c>
      <c r="B335" s="7">
        <f t="shared" si="45"/>
        <v>0.368124552684678</v>
      </c>
      <c r="C335" s="7">
        <f>ABS(CALCULATIONS!C24*B335)</f>
        <v>11.0437365805403</v>
      </c>
      <c r="D335" s="7">
        <f>((1/(fsw/kHz)*kHz)*M1M2_calc*data!C335)/(7*Rsense*Vout_nom)</f>
        <v>3.2031694823793</v>
      </c>
    </row>
    <row r="336" spans="1:4">
      <c r="A336" s="7">
        <v>54</v>
      </c>
      <c r="B336" s="7">
        <f t="shared" si="45"/>
        <v>0.481753674101715</v>
      </c>
      <c r="C336" s="7">
        <f>ABS(CALCULATIONS!C24*B336)</f>
        <v>14.4526102230514</v>
      </c>
      <c r="D336" s="7">
        <f>((1/(fsw/kHz)*kHz)*M1M2_calc*data!C336)/(7*Rsense*Vout_nom)</f>
        <v>4.19189281359484</v>
      </c>
    </row>
    <row r="337" spans="1:4">
      <c r="A337" s="7">
        <v>55</v>
      </c>
      <c r="B337" s="7">
        <f t="shared" si="45"/>
        <v>0.587785252292473</v>
      </c>
      <c r="C337" s="7">
        <f>ABS(CALCULATIONS!C24*B337)</f>
        <v>17.6335575687742</v>
      </c>
      <c r="D337" s="7">
        <f>((1/(fsw/kHz)*kHz)*M1M2_calc*data!C337)/(7*Rsense*Vout_nom)</f>
        <v>5.11450749102461</v>
      </c>
    </row>
    <row r="338" spans="1:4">
      <c r="A338" s="7">
        <v>56</v>
      </c>
      <c r="B338" s="7">
        <f t="shared" si="45"/>
        <v>0.684547105928689</v>
      </c>
      <c r="C338" s="7">
        <f>ABS(CALCULATIONS!C24*B338)</f>
        <v>20.5364131778607</v>
      </c>
      <c r="D338" s="7">
        <f>((1/(fsw/kHz)*kHz)*M1M2_calc*data!C338)/(7*Rsense*Vout_nom)</f>
        <v>5.95646333006224</v>
      </c>
    </row>
    <row r="339" spans="1:4">
      <c r="A339" s="7">
        <v>57</v>
      </c>
      <c r="B339" s="7">
        <f t="shared" si="45"/>
        <v>0.770513242775789</v>
      </c>
      <c r="C339" s="7">
        <f>ABS(CALCULATIONS!C24*B339)</f>
        <v>23.1153972832737</v>
      </c>
      <c r="D339" s="7">
        <f>((1/(fsw/kHz)*kHz)*M1M2_calc*data!C339)/(7*Rsense*Vout_nom)</f>
        <v>6.70448218416606</v>
      </c>
    </row>
    <row r="340" spans="1:4">
      <c r="A340" s="7">
        <v>58</v>
      </c>
      <c r="B340" s="7">
        <f t="shared" si="45"/>
        <v>0.844327925502015</v>
      </c>
      <c r="C340" s="7">
        <f>ABS(CALCULATIONS!C24*B340)</f>
        <v>25.3298377650605</v>
      </c>
      <c r="D340" s="7">
        <f>((1/(fsw/kHz)*kHz)*M1M2_calc*data!C340)/(7*Rsense*Vout_nom)</f>
        <v>7.34676734916206</v>
      </c>
    </row>
    <row r="341" spans="1:4">
      <c r="A341" s="7">
        <v>59</v>
      </c>
      <c r="B341" s="7">
        <f t="shared" si="45"/>
        <v>0.904827052466019</v>
      </c>
      <c r="C341" s="7">
        <f>ABS(CALCULATIONS!C24*B341)</f>
        <v>27.1448115739806</v>
      </c>
      <c r="D341" s="7">
        <f>((1/(fsw/kHz)*kHz)*M1M2_calc*data!C341)/(7*Rsense*Vout_nom)</f>
        <v>7.87318960431569</v>
      </c>
    </row>
    <row r="342" spans="1:4">
      <c r="A342" s="7">
        <v>60</v>
      </c>
      <c r="B342" s="7">
        <f t="shared" si="45"/>
        <v>0.951056516295153</v>
      </c>
      <c r="C342" s="7">
        <f>ABS(CALCULATIONS!C24*B342)</f>
        <v>28.5316954888546</v>
      </c>
      <c r="D342" s="7">
        <f>((1/(fsw/kHz)*kHz)*M1M2_calc*data!C342)/(7*Rsense*Vout_nom)</f>
        <v>8.27544695619376</v>
      </c>
    </row>
    <row r="343" spans="1:4">
      <c r="A343" s="7">
        <v>61</v>
      </c>
      <c r="B343" s="7">
        <f t="shared" si="45"/>
        <v>0.982287250728689</v>
      </c>
      <c r="C343" s="7">
        <f>ABS(CALCULATIONS!C24*B343)</f>
        <v>29.4686175218607</v>
      </c>
      <c r="D343" s="7">
        <f>((1/(fsw/kHz)*kHz)*M1M2_calc*data!C343)/(7*Rsense*Vout_nom)</f>
        <v>8.54719556606028</v>
      </c>
    </row>
    <row r="344" spans="1:4">
      <c r="A344" s="7">
        <v>62</v>
      </c>
      <c r="B344" s="7">
        <f t="shared" si="45"/>
        <v>0.998026728428272</v>
      </c>
      <c r="C344" s="7">
        <f>ABS(CALCULATIONS!C24*B344)</f>
        <v>29.9408018528482</v>
      </c>
      <c r="D344" s="7">
        <f>((1/(fsw/kHz)*kHz)*M1M2_calc*data!C344)/(7*Rsense*Vout_nom)</f>
        <v>8.68414979600288</v>
      </c>
    </row>
    <row r="345" spans="1:4">
      <c r="A345" s="7">
        <v>63</v>
      </c>
      <c r="B345" s="7">
        <f t="shared" si="45"/>
        <v>0.998026728428272</v>
      </c>
      <c r="C345" s="7">
        <f>ABS(CALCULATIONS!C24*B345)</f>
        <v>29.9408018528482</v>
      </c>
      <c r="D345" s="7">
        <f>((1/(fsw/kHz)*kHz)*M1M2_calc*data!C345)/(7*Rsense*Vout_nom)</f>
        <v>8.68414979600288</v>
      </c>
    </row>
    <row r="346" spans="1:4">
      <c r="A346" s="7">
        <v>64</v>
      </c>
      <c r="B346" s="7">
        <f t="shared" si="45"/>
        <v>0.982287250728689</v>
      </c>
      <c r="C346" s="7">
        <f>ABS(CALCULATIONS!C24*B346)</f>
        <v>29.4686175218607</v>
      </c>
      <c r="D346" s="7">
        <f>((1/(fsw/kHz)*kHz)*M1M2_calc*data!C346)/(7*Rsense*Vout_nom)</f>
        <v>8.54719556606028</v>
      </c>
    </row>
    <row r="347" spans="1:4">
      <c r="A347" s="7">
        <v>65</v>
      </c>
      <c r="B347" s="7">
        <f t="shared" si="45"/>
        <v>0.951056516295154</v>
      </c>
      <c r="C347" s="7">
        <f>ABS(CALCULATIONS!C24*B347)</f>
        <v>28.5316954888546</v>
      </c>
      <c r="D347" s="7">
        <f>((1/(fsw/kHz)*kHz)*M1M2_calc*data!C347)/(7*Rsense*Vout_nom)</f>
        <v>8.27544695619377</v>
      </c>
    </row>
    <row r="348" spans="1:4">
      <c r="A348" s="7">
        <v>66</v>
      </c>
      <c r="B348" s="7">
        <f t="shared" ref="B348:B382" si="46">SIN(4*PI()*A348/100)</f>
        <v>0.904827052466019</v>
      </c>
      <c r="C348" s="7">
        <f>ABS(CALCULATIONS!C24*B348)</f>
        <v>27.1448115739806</v>
      </c>
      <c r="D348" s="7">
        <f>((1/(fsw/kHz)*kHz)*M1M2_calc*data!C348)/(7*Rsense*Vout_nom)</f>
        <v>7.87318960431569</v>
      </c>
    </row>
    <row r="349" spans="1:4">
      <c r="A349" s="7">
        <v>67</v>
      </c>
      <c r="B349" s="7">
        <f t="shared" si="46"/>
        <v>0.844327925502015</v>
      </c>
      <c r="C349" s="7">
        <f>ABS(CALCULATIONS!C24*B349)</f>
        <v>25.3298377650605</v>
      </c>
      <c r="D349" s="7">
        <f>((1/(fsw/kHz)*kHz)*M1M2_calc*data!C349)/(7*Rsense*Vout_nom)</f>
        <v>7.34676734916206</v>
      </c>
    </row>
    <row r="350" spans="1:4">
      <c r="A350" s="7">
        <v>68</v>
      </c>
      <c r="B350" s="7">
        <f t="shared" si="46"/>
        <v>0.770513242775789</v>
      </c>
      <c r="C350" s="7">
        <f>ABS(CALCULATIONS!C24*B350)</f>
        <v>23.1153972832737</v>
      </c>
      <c r="D350" s="7">
        <f>((1/(fsw/kHz)*kHz)*M1M2_calc*data!C350)/(7*Rsense*Vout_nom)</f>
        <v>6.70448218416606</v>
      </c>
    </row>
    <row r="351" spans="1:4">
      <c r="A351" s="7">
        <v>69</v>
      </c>
      <c r="B351" s="7">
        <f t="shared" si="46"/>
        <v>0.684547105928688</v>
      </c>
      <c r="C351" s="7">
        <f>ABS(CALCULATIONS!C24*B351)</f>
        <v>20.5364131778606</v>
      </c>
      <c r="D351" s="7">
        <f>((1/(fsw/kHz)*kHz)*M1M2_calc*data!C351)/(7*Rsense*Vout_nom)</f>
        <v>5.95646333006223</v>
      </c>
    </row>
    <row r="352" spans="1:4">
      <c r="A352" s="7">
        <v>70</v>
      </c>
      <c r="B352" s="7">
        <f t="shared" si="46"/>
        <v>0.587785252292473</v>
      </c>
      <c r="C352" s="7">
        <f>ABS(CALCULATIONS!C24*B352)</f>
        <v>17.6335575687742</v>
      </c>
      <c r="D352" s="7">
        <f>((1/(fsw/kHz)*kHz)*M1M2_calc*data!C352)/(7*Rsense*Vout_nom)</f>
        <v>5.11450749102461</v>
      </c>
    </row>
    <row r="353" spans="1:4">
      <c r="A353" s="7">
        <v>71</v>
      </c>
      <c r="B353" s="7">
        <f t="shared" si="46"/>
        <v>0.481753674101715</v>
      </c>
      <c r="C353" s="7">
        <f>ABS(CALCULATIONS!C24*B353)</f>
        <v>14.4526102230514</v>
      </c>
      <c r="D353" s="7">
        <f>((1/(fsw/kHz)*kHz)*M1M2_calc*data!C353)/(7*Rsense*Vout_nom)</f>
        <v>4.19189281359484</v>
      </c>
    </row>
    <row r="354" spans="1:4">
      <c r="A354" s="7">
        <v>72</v>
      </c>
      <c r="B354" s="7">
        <f t="shared" si="46"/>
        <v>0.368124552684678</v>
      </c>
      <c r="C354" s="7">
        <f>ABS(CALCULATIONS!C24*B354)</f>
        <v>11.0437365805403</v>
      </c>
      <c r="D354" s="7">
        <f>((1/(fsw/kHz)*kHz)*M1M2_calc*data!C354)/(7*Rsense*Vout_nom)</f>
        <v>3.2031694823793</v>
      </c>
    </row>
    <row r="355" spans="1:4">
      <c r="A355" s="7">
        <v>73</v>
      </c>
      <c r="B355" s="7">
        <f t="shared" si="46"/>
        <v>0.248689887164855</v>
      </c>
      <c r="C355" s="7">
        <f>ABS(CALCULATIONS!C24*B355)</f>
        <v>7.46069661494565</v>
      </c>
      <c r="D355" s="7">
        <f>((1/(fsw/kHz)*kHz)*M1M2_calc*data!C355)/(7*Rsense*Vout_nom)</f>
        <v>2.16393025494594</v>
      </c>
    </row>
    <row r="356" spans="1:4">
      <c r="A356" s="7">
        <v>74</v>
      </c>
      <c r="B356" s="7">
        <f t="shared" si="46"/>
        <v>0.125333233564304</v>
      </c>
      <c r="C356" s="7">
        <f>ABS(CALCULATIONS!C24*B356)</f>
        <v>3.75999700692912</v>
      </c>
      <c r="D356" s="7">
        <f>((1/(fsw/kHz)*kHz)*M1M2_calc*data!C356)/(7*Rsense*Vout_nom)</f>
        <v>1.0905645547228</v>
      </c>
    </row>
    <row r="357" spans="1:4">
      <c r="A357" s="7">
        <v>75</v>
      </c>
      <c r="B357" s="7">
        <f t="shared" si="46"/>
        <v>3.67544536472586e-16</v>
      </c>
      <c r="C357" s="7">
        <f>ABS(CALCULATIONS!C24*B357)</f>
        <v>1.10263360941776e-14</v>
      </c>
      <c r="D357" s="7">
        <f>((1/(fsw/kHz)*kHz)*M1M2_calc*data!C357)/(7*Rsense*Vout_nom)</f>
        <v>3.19812257579209e-15</v>
      </c>
    </row>
    <row r="358" spans="1:4">
      <c r="A358" s="7">
        <v>76</v>
      </c>
      <c r="B358" s="7">
        <f t="shared" si="46"/>
        <v>-0.125333233564303</v>
      </c>
      <c r="C358" s="7">
        <f>ABS(CALCULATIONS!C24*B358)</f>
        <v>3.75999700692909</v>
      </c>
      <c r="D358" s="7">
        <f>((1/(fsw/kHz)*kHz)*M1M2_calc*data!C358)/(7*Rsense*Vout_nom)</f>
        <v>1.09056455472279</v>
      </c>
    </row>
    <row r="359" spans="1:4">
      <c r="A359" s="7">
        <v>77</v>
      </c>
      <c r="B359" s="7">
        <f t="shared" si="46"/>
        <v>-0.248689887164855</v>
      </c>
      <c r="C359" s="7">
        <f>ABS(CALCULATIONS!C24*B359)</f>
        <v>7.46069661494565</v>
      </c>
      <c r="D359" s="7">
        <f>((1/(fsw/kHz)*kHz)*M1M2_calc*data!C359)/(7*Rsense*Vout_nom)</f>
        <v>2.16393025494594</v>
      </c>
    </row>
    <row r="360" spans="1:4">
      <c r="A360" s="7">
        <v>78</v>
      </c>
      <c r="B360" s="7">
        <f t="shared" si="46"/>
        <v>-0.368124552684677</v>
      </c>
      <c r="C360" s="7">
        <f>ABS(CALCULATIONS!C24*B360)</f>
        <v>11.0437365805403</v>
      </c>
      <c r="D360" s="7">
        <f>((1/(fsw/kHz)*kHz)*M1M2_calc*data!C360)/(7*Rsense*Vout_nom)</f>
        <v>3.20316948237929</v>
      </c>
    </row>
    <row r="361" spans="1:4">
      <c r="A361" s="7">
        <v>79</v>
      </c>
      <c r="B361" s="7">
        <f t="shared" si="46"/>
        <v>-0.481753674101716</v>
      </c>
      <c r="C361" s="7">
        <f>ABS(CALCULATIONS!C24*B361)</f>
        <v>14.4526102230515</v>
      </c>
      <c r="D361" s="7">
        <f>((1/(fsw/kHz)*kHz)*M1M2_calc*data!C361)/(7*Rsense*Vout_nom)</f>
        <v>4.19189281359485</v>
      </c>
    </row>
    <row r="362" spans="1:4">
      <c r="A362" s="7">
        <v>80</v>
      </c>
      <c r="B362" s="7">
        <f t="shared" si="46"/>
        <v>-0.587785252292473</v>
      </c>
      <c r="C362" s="7">
        <f>ABS(CALCULATIONS!C24*B362)</f>
        <v>17.6335575687742</v>
      </c>
      <c r="D362" s="7">
        <f>((1/(fsw/kHz)*kHz)*M1M2_calc*data!C362)/(7*Rsense*Vout_nom)</f>
        <v>5.11450749102461</v>
      </c>
    </row>
    <row r="363" spans="1:4">
      <c r="A363" s="7">
        <v>81</v>
      </c>
      <c r="B363" s="7">
        <f t="shared" si="46"/>
        <v>-0.684547105928688</v>
      </c>
      <c r="C363" s="7">
        <f>ABS(CALCULATIONS!C24*B363)</f>
        <v>20.5364131778606</v>
      </c>
      <c r="D363" s="7">
        <f>((1/(fsw/kHz)*kHz)*M1M2_calc*data!C363)/(7*Rsense*Vout_nom)</f>
        <v>5.95646333006223</v>
      </c>
    </row>
    <row r="364" spans="1:4">
      <c r="A364" s="7">
        <v>82</v>
      </c>
      <c r="B364" s="7">
        <f t="shared" si="46"/>
        <v>-0.770513242775788</v>
      </c>
      <c r="C364" s="7">
        <f>ABS(CALCULATIONS!C24*B364)</f>
        <v>23.1153972832736</v>
      </c>
      <c r="D364" s="7">
        <f>((1/(fsw/kHz)*kHz)*M1M2_calc*data!C364)/(7*Rsense*Vout_nom)</f>
        <v>6.70448218416605</v>
      </c>
    </row>
    <row r="365" spans="1:4">
      <c r="A365" s="7">
        <v>83</v>
      </c>
      <c r="B365" s="7">
        <f t="shared" si="46"/>
        <v>-0.844327925502016</v>
      </c>
      <c r="C365" s="7">
        <f>ABS(CALCULATIONS!C24*B365)</f>
        <v>25.3298377650605</v>
      </c>
      <c r="D365" s="7">
        <f>((1/(fsw/kHz)*kHz)*M1M2_calc*data!C365)/(7*Rsense*Vout_nom)</f>
        <v>7.34676734916207</v>
      </c>
    </row>
    <row r="366" spans="1:4">
      <c r="A366" s="7">
        <v>84</v>
      </c>
      <c r="B366" s="7">
        <f t="shared" si="46"/>
        <v>-0.90482705246602</v>
      </c>
      <c r="C366" s="7">
        <f>ABS(CALCULATIONS!C24*B366)</f>
        <v>27.1448115739806</v>
      </c>
      <c r="D366" s="7">
        <f>((1/(fsw/kHz)*kHz)*M1M2_calc*data!C366)/(7*Rsense*Vout_nom)</f>
        <v>7.8731896043157</v>
      </c>
    </row>
    <row r="367" spans="1:4">
      <c r="A367" s="7">
        <v>85</v>
      </c>
      <c r="B367" s="7">
        <f t="shared" si="46"/>
        <v>-0.951056516295153</v>
      </c>
      <c r="C367" s="7">
        <f>ABS(CALCULATIONS!C24*B367)</f>
        <v>28.5316954888546</v>
      </c>
      <c r="D367" s="7">
        <f>((1/(fsw/kHz)*kHz)*M1M2_calc*data!C367)/(7*Rsense*Vout_nom)</f>
        <v>8.27544695619376</v>
      </c>
    </row>
    <row r="368" spans="1:4">
      <c r="A368" s="7">
        <v>86</v>
      </c>
      <c r="B368" s="7">
        <f t="shared" si="46"/>
        <v>-0.982287250728688</v>
      </c>
      <c r="C368" s="7">
        <f>ABS(CALCULATIONS!C24*B368)</f>
        <v>29.4686175218606</v>
      </c>
      <c r="D368" s="7">
        <f>((1/(fsw/kHz)*kHz)*M1M2_calc*data!C368)/(7*Rsense*Vout_nom)</f>
        <v>8.54719556606027</v>
      </c>
    </row>
    <row r="369" spans="1:4">
      <c r="A369" s="7">
        <v>87</v>
      </c>
      <c r="B369" s="7">
        <f t="shared" si="46"/>
        <v>-0.998026728428271</v>
      </c>
      <c r="C369" s="7">
        <f>ABS(CALCULATIONS!C24*B369)</f>
        <v>29.9408018528481</v>
      </c>
      <c r="D369" s="7">
        <f>((1/(fsw/kHz)*kHz)*M1M2_calc*data!C369)/(7*Rsense*Vout_nom)</f>
        <v>8.68414979600287</v>
      </c>
    </row>
    <row r="370" spans="1:4">
      <c r="A370" s="7">
        <v>88</v>
      </c>
      <c r="B370" s="7">
        <f t="shared" si="46"/>
        <v>-0.998026728428272</v>
      </c>
      <c r="C370" s="7">
        <f>ABS(CALCULATIONS!C24*B370)</f>
        <v>29.9408018528482</v>
      </c>
      <c r="D370" s="7">
        <f>((1/(fsw/kHz)*kHz)*M1M2_calc*data!C370)/(7*Rsense*Vout_nom)</f>
        <v>8.68414979600288</v>
      </c>
    </row>
    <row r="371" spans="1:4">
      <c r="A371" s="7">
        <v>89</v>
      </c>
      <c r="B371" s="7">
        <f t="shared" si="46"/>
        <v>-0.982287250728689</v>
      </c>
      <c r="C371" s="7">
        <f>ABS(CALCULATIONS!C24*B371)</f>
        <v>29.4686175218607</v>
      </c>
      <c r="D371" s="7">
        <f>((1/(fsw/kHz)*kHz)*M1M2_calc*data!C371)/(7*Rsense*Vout_nom)</f>
        <v>8.54719556606028</v>
      </c>
    </row>
    <row r="372" spans="1:4">
      <c r="A372" s="7">
        <v>90</v>
      </c>
      <c r="B372" s="7">
        <f t="shared" si="46"/>
        <v>-0.951056516295154</v>
      </c>
      <c r="C372" s="7">
        <f>ABS(CALCULATIONS!C24*B372)</f>
        <v>28.5316954888546</v>
      </c>
      <c r="D372" s="7">
        <f>((1/(fsw/kHz)*kHz)*M1M2_calc*data!C372)/(7*Rsense*Vout_nom)</f>
        <v>8.27544695619377</v>
      </c>
    </row>
    <row r="373" spans="1:4">
      <c r="A373" s="7">
        <v>91</v>
      </c>
      <c r="B373" s="7">
        <f t="shared" si="46"/>
        <v>-0.90482705246602</v>
      </c>
      <c r="C373" s="7">
        <f>ABS(CALCULATIONS!C24*B373)</f>
        <v>27.1448115739806</v>
      </c>
      <c r="D373" s="7">
        <f>((1/(fsw/kHz)*kHz)*M1M2_calc*data!C373)/(7*Rsense*Vout_nom)</f>
        <v>7.8731896043157</v>
      </c>
    </row>
    <row r="374" spans="1:4">
      <c r="A374" s="7">
        <v>92</v>
      </c>
      <c r="B374" s="7">
        <f t="shared" si="46"/>
        <v>-0.844327925502016</v>
      </c>
      <c r="C374" s="7">
        <f>ABS(CALCULATIONS!C24*B374)</f>
        <v>25.3298377650605</v>
      </c>
      <c r="D374" s="7">
        <f>((1/(fsw/kHz)*kHz)*M1M2_calc*data!C374)/(7*Rsense*Vout_nom)</f>
        <v>7.34676734916207</v>
      </c>
    </row>
    <row r="375" spans="1:4">
      <c r="A375" s="7">
        <v>93</v>
      </c>
      <c r="B375" s="7">
        <f t="shared" si="46"/>
        <v>-0.77051324277579</v>
      </c>
      <c r="C375" s="7">
        <f>ABS(CALCULATIONS!C24*B375)</f>
        <v>23.1153972832737</v>
      </c>
      <c r="D375" s="7">
        <f>((1/(fsw/kHz)*kHz)*M1M2_calc*data!C375)/(7*Rsense*Vout_nom)</f>
        <v>6.70448218416607</v>
      </c>
    </row>
    <row r="376" spans="1:4">
      <c r="A376" s="7">
        <v>94</v>
      </c>
      <c r="B376" s="7">
        <f t="shared" si="46"/>
        <v>-0.684547105928689</v>
      </c>
      <c r="C376" s="7">
        <f>ABS(CALCULATIONS!C24*B376)</f>
        <v>20.5364131778607</v>
      </c>
      <c r="D376" s="7">
        <f>((1/(fsw/kHz)*kHz)*M1M2_calc*data!C376)/(7*Rsense*Vout_nom)</f>
        <v>5.95646333006224</v>
      </c>
    </row>
    <row r="377" spans="1:4">
      <c r="A377" s="7">
        <v>95</v>
      </c>
      <c r="B377" s="7">
        <f t="shared" si="46"/>
        <v>-0.587785252292473</v>
      </c>
      <c r="C377" s="7">
        <f>ABS(CALCULATIONS!C24*B377)</f>
        <v>17.6335575687742</v>
      </c>
      <c r="D377" s="7">
        <f>((1/(fsw/kHz)*kHz)*M1M2_calc*data!C377)/(7*Rsense*Vout_nom)</f>
        <v>5.11450749102461</v>
      </c>
    </row>
    <row r="378" spans="1:4">
      <c r="A378" s="7">
        <v>96</v>
      </c>
      <c r="B378" s="7">
        <f t="shared" si="46"/>
        <v>-0.481753674101716</v>
      </c>
      <c r="C378" s="7">
        <f>ABS(CALCULATIONS!C24*B378)</f>
        <v>14.4526102230515</v>
      </c>
      <c r="D378" s="7">
        <f>((1/(fsw/kHz)*kHz)*M1M2_calc*data!C378)/(7*Rsense*Vout_nom)</f>
        <v>4.19189281359485</v>
      </c>
    </row>
    <row r="379" spans="1:4">
      <c r="A379" s="7">
        <v>97</v>
      </c>
      <c r="B379" s="7">
        <f t="shared" si="46"/>
        <v>-0.368124552684678</v>
      </c>
      <c r="C379" s="7">
        <f>ABS(CALCULATIONS!C24*B379)</f>
        <v>11.0437365805403</v>
      </c>
      <c r="D379" s="7">
        <f>((1/(fsw/kHz)*kHz)*M1M2_calc*data!C379)/(7*Rsense*Vout_nom)</f>
        <v>3.2031694823793</v>
      </c>
    </row>
    <row r="380" spans="1:4">
      <c r="A380" s="7">
        <v>98</v>
      </c>
      <c r="B380" s="7">
        <f t="shared" si="46"/>
        <v>-0.248689887164856</v>
      </c>
      <c r="C380" s="7">
        <f>ABS(CALCULATIONS!C24*B380)</f>
        <v>7.46069661494568</v>
      </c>
      <c r="D380" s="7">
        <f>((1/(fsw/kHz)*kHz)*M1M2_calc*data!C380)/(7*Rsense*Vout_nom)</f>
        <v>2.16393025494595</v>
      </c>
    </row>
    <row r="381" spans="1:4">
      <c r="A381" s="7">
        <v>99</v>
      </c>
      <c r="B381" s="7">
        <f t="shared" si="46"/>
        <v>-0.125333233564304</v>
      </c>
      <c r="C381" s="7">
        <f>ABS(CALCULATIONS!C24*B381)</f>
        <v>3.75999700692912</v>
      </c>
      <c r="D381" s="7">
        <f>((1/(fsw/kHz)*kHz)*M1M2_calc*data!C381)/(7*Rsense*Vout_nom)</f>
        <v>1.0905645547228</v>
      </c>
    </row>
    <row r="382" spans="1:4">
      <c r="A382" s="7">
        <v>100</v>
      </c>
      <c r="B382" s="7">
        <f t="shared" si="46"/>
        <v>-4.90059381963448e-16</v>
      </c>
      <c r="C382" s="7">
        <f>ABS(CALCULATIONS!C24*B382)</f>
        <v>1.47017814589034e-14</v>
      </c>
      <c r="D382" s="7">
        <f>((1/(fsw/kHz)*kHz)*M1M2_calc*data!C382)/(7*Rsense*Vout_nom)</f>
        <v>4.26416343438946e-15</v>
      </c>
    </row>
  </sheetData>
  <sheetProtection password="E59D" sheet="1" objects="1" scenarios="1"/>
  <mergeCells count="13">
    <mergeCell ref="A30:D30"/>
    <mergeCell ref="G75:H75"/>
    <mergeCell ref="A201:F201"/>
    <mergeCell ref="G201:O201"/>
    <mergeCell ref="P202:Q202"/>
    <mergeCell ref="R202:T202"/>
    <mergeCell ref="D203:E203"/>
    <mergeCell ref="K203:L203"/>
    <mergeCell ref="M203:N203"/>
    <mergeCell ref="A271:D271"/>
    <mergeCell ref="A202:A204"/>
    <mergeCell ref="G202:G204"/>
    <mergeCell ref="O202:O203"/>
  </mergeCells>
  <pageMargins left="0.75" right="0.75" top="1" bottom="1" header="0.5" footer="0.5"/>
  <pageSetup paperSize="1" orientation="portrait"/>
  <headerFooter alignWithMargins="0"/>
  <ignoredErrors>
    <ignoredError sqref="R205 C22 M205:M206 M207:M223 M224:M253 M254:M265 R206:R265" formula="1"/>
  </ignoredErrors>
</worksheet>
</file>

<file path=docProps/app.xml><?xml version="1.0" encoding="utf-8"?>
<Properties xmlns="http://schemas.openxmlformats.org/officeDocument/2006/extended-properties" xmlns:vt="http://schemas.openxmlformats.org/officeDocument/2006/docPropsVTypes">
  <Company>Texas Instruments</Company>
  <Application>Microsoft Excel</Application>
  <HeadingPairs>
    <vt:vector size="2" baseType="variant">
      <vt:variant>
        <vt:lpstr>工作表</vt:lpstr>
      </vt:variant>
      <vt:variant>
        <vt:i4>4</vt:i4>
      </vt:variant>
    </vt:vector>
  </HeadingPairs>
  <TitlesOfParts>
    <vt:vector size="4" baseType="lpstr">
      <vt:lpstr>INSTRUCTIONS READ ME FIRST!</vt:lpstr>
      <vt:lpstr>CALCULATIONS</vt:lpstr>
      <vt:lpstr>SCHEMATIC</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 User</dc:creator>
  <cp:lastModifiedBy>毛晨镔</cp:lastModifiedBy>
  <dcterms:created xsi:type="dcterms:W3CDTF">2006-09-26T18:05:00Z</dcterms:created>
  <cp:lastPrinted>2008-11-18T20:12:00Z</cp:lastPrinted>
  <dcterms:modified xsi:type="dcterms:W3CDTF">2025-07-04T17:48:06Z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161057F74F324B5DBFE65B9252322979_12</vt:lpwstr>
  </property>
</Properties>
</file>