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ubjects" sheetId="2" r:id="rId5"/>
    <sheet state="visible" name="Names" sheetId="3" r:id="rId6"/>
    <sheet state="visible" name="images" sheetId="4" r:id="rId7"/>
  </sheets>
  <definedNames>
    <definedName hidden="1" localSheetId="0" name="_xlnm._FilterDatabase">Sheet1!$A$1:$AD$607</definedName>
  </definedNames>
  <calcPr/>
</workbook>
</file>

<file path=xl/sharedStrings.xml><?xml version="1.0" encoding="utf-8"?>
<sst xmlns="http://schemas.openxmlformats.org/spreadsheetml/2006/main" count="11769" uniqueCount="4437">
  <si>
    <t>Box Number</t>
  </si>
  <si>
    <t>Folder Number</t>
  </si>
  <si>
    <t>Date (YYYY/MM/DD)</t>
  </si>
  <si>
    <t>I Tatti Control Number(s)</t>
  </si>
  <si>
    <t>sender</t>
  </si>
  <si>
    <t>recipient</t>
  </si>
  <si>
    <t>Letterhead</t>
  </si>
  <si>
    <t>Location Written (city, state)</t>
  </si>
  <si>
    <t>Location Written (country)</t>
  </si>
  <si>
    <t>I Tatti Sheet Number(s)</t>
  </si>
  <si>
    <t>I Tatti Letter Number</t>
  </si>
  <si>
    <t>Number of Pages</t>
  </si>
  <si>
    <t>Number of Images</t>
  </si>
  <si>
    <t>Notes</t>
  </si>
  <si>
    <t>Accompanying Material</t>
  </si>
  <si>
    <t>Subject -- People (Last Name, First Name)</t>
  </si>
  <si>
    <t>Subjects</t>
  </si>
  <si>
    <t>Letter Contents</t>
  </si>
  <si>
    <t>Name of Transcriber 1 (Last Name, First Name)</t>
  </si>
  <si>
    <t>Transcriber 1 Initials</t>
  </si>
  <si>
    <t>Date Claimed (YYYY/MM/DD)</t>
  </si>
  <si>
    <t>Date Completed (YYYY/MM/DD)</t>
  </si>
  <si>
    <t>Name of Transcriber 2 (Last Name, First Name)</t>
  </si>
  <si>
    <t>Transcriber 2 Initials</t>
  </si>
  <si>
    <t>Date Finalized (YYYY/MM/DD)</t>
  </si>
  <si>
    <t>Tagged?</t>
  </si>
  <si>
    <t>Letter_ID</t>
  </si>
  <si>
    <t>60</t>
  </si>
  <si>
    <t>01</t>
  </si>
  <si>
    <t>1909_02_23</t>
  </si>
  <si>
    <t>32044150446383_001, 32044150446383_002</t>
  </si>
  <si>
    <t>Greene, Belle da Costa</t>
  </si>
  <si>
    <t>Berenson, Bernard</t>
  </si>
  <si>
    <t>The Library / Thirty-three East Thirty-sixth Street</t>
  </si>
  <si>
    <t>New York, New York</t>
  </si>
  <si>
    <t>United States</t>
  </si>
  <si>
    <t>1</t>
  </si>
  <si>
    <t>3</t>
  </si>
  <si>
    <t>2</t>
  </si>
  <si>
    <t>First letter written to BB by BDCG; "1909" written by BB</t>
  </si>
  <si>
    <t>Costelloe, Rachel; Stephen, Karin</t>
  </si>
  <si>
    <t>Foner, Daria</t>
  </si>
  <si>
    <t>DRF</t>
  </si>
  <si>
    <t>2020/07/03</t>
  </si>
  <si>
    <t>2020/08/07</t>
  </si>
  <si>
    <t>Palmer, Philip</t>
  </si>
  <si>
    <t>PSP</t>
  </si>
  <si>
    <t>00001</t>
  </si>
  <si>
    <t>1909_03_08</t>
  </si>
  <si>
    <t>32044150446383_003</t>
  </si>
  <si>
    <t>BELLE</t>
  </si>
  <si>
    <t>"March. 8, 09 / New York fr. / Belle / Greene" written by BB</t>
  </si>
  <si>
    <t>Clipping of Alice Rollitt Coe's, "The Turn of the Road," from Scribner's Magazine</t>
  </si>
  <si>
    <t>American literature; poetry</t>
  </si>
  <si>
    <t>Alice Rollitt Coe, "The Turn of the Road"</t>
  </si>
  <si>
    <t>2020/07/26</t>
  </si>
  <si>
    <t>2021/01/20</t>
  </si>
  <si>
    <t>2021/05/17</t>
  </si>
  <si>
    <t>00002</t>
  </si>
  <si>
    <t>1909_03_17</t>
  </si>
  <si>
    <t>32044150446383_004, 32044150446383_005, 32044150446383_006, 32044150446383_007, 32044150446383_008, 32044150446383_009</t>
  </si>
  <si>
    <t>3-5</t>
  </si>
  <si>
    <t>9</t>
  </si>
  <si>
    <t>6</t>
  </si>
  <si>
    <t>"March 17, 09" written by BB</t>
  </si>
  <si>
    <t>Gilder, Richard Watson; Gilder, Helena de Kay</t>
  </si>
  <si>
    <t>American literature; poetry; cultural institutions; British art</t>
  </si>
  <si>
    <t>Woodmanston Inn; Zuloaga, Ignacio; Hispanic Society; Gerda Dalliba, "Ode to Youth"; La Provence; Kronprinzessin Cecilie (ship); lecture on Monna Vanna</t>
  </si>
  <si>
    <t>00003</t>
  </si>
  <si>
    <t>1909_03_19_21</t>
  </si>
  <si>
    <t>32044150446383_010, 32044150446383_011, 32044150446383_012, 32044150446383_013</t>
  </si>
  <si>
    <t xml:space="preserve">SIGILLVM VNIVERSITATIS PRINCETONIENSIS / VET NOV / TESTAM / ENTAM / DEI SUB NVMINE VIGET </t>
  </si>
  <si>
    <t>Princeton, New Jersey</t>
  </si>
  <si>
    <t>6-7</t>
  </si>
  <si>
    <t>5</t>
  </si>
  <si>
    <t>4</t>
  </si>
  <si>
    <t>Letterhead has Princeton University seal and shield; "09" written by BB; 20 March 1909 was a Saturday</t>
  </si>
  <si>
    <t>Wilson, Woodrow; Frothingham, Arthur</t>
  </si>
  <si>
    <t>Dutch art; German art</t>
  </si>
  <si>
    <t>Princeton; Rembrandt etchings; Dürer etchings</t>
  </si>
  <si>
    <t>2020/08/12</t>
  </si>
  <si>
    <t>00004</t>
  </si>
  <si>
    <t xml:space="preserve">1909_03_24 </t>
  </si>
  <si>
    <t>32044150446383_014, 32044150446383_015</t>
  </si>
  <si>
    <t>8</t>
  </si>
  <si>
    <t>"'09" written by BB</t>
  </si>
  <si>
    <t>dentist; transatlantic crossing; Mauretania (ship)</t>
  </si>
  <si>
    <t>00005</t>
  </si>
  <si>
    <t>1909_03_UNDATED_ 01</t>
  </si>
  <si>
    <t>32044150446383_016, 32044150446383_017</t>
  </si>
  <si>
    <t>"March 09" written by BB; either March 6, 13, 20, or 27</t>
  </si>
  <si>
    <t>Boston; telephone number (4893 Morningside)</t>
  </si>
  <si>
    <t>00006</t>
  </si>
  <si>
    <t>1909_03_UNDATED_ 02</t>
  </si>
  <si>
    <t>32044150446383_018, 32044150446383_019, 32044150446383_020</t>
  </si>
  <si>
    <t>10-11</t>
  </si>
  <si>
    <t>"March 09" written by BB</t>
  </si>
  <si>
    <t>Berenson, Mary; Morgan, J. Pierpont</t>
  </si>
  <si>
    <t>Boston; Berenson book; Princes' Gate; London</t>
  </si>
  <si>
    <t>2021/01/21</t>
  </si>
  <si>
    <t>00007</t>
  </si>
  <si>
    <t>1909_03_05</t>
  </si>
  <si>
    <t>32044150446383_021, 32044150446383_022, 32044150446383_023, 32044150446383_024</t>
  </si>
  <si>
    <t>12-13</t>
  </si>
  <si>
    <t>Postscript is dated March 5; "1909" written in later hand; "'9" written by BB on last page</t>
  </si>
  <si>
    <t>Ditson, Alice</t>
  </si>
  <si>
    <t>Boston; telephone number (4893 Morningside); address (403 West 115 Street)</t>
  </si>
  <si>
    <t>Y</t>
  </si>
  <si>
    <t>00008</t>
  </si>
  <si>
    <t>1909_03_UNDATED_ 03</t>
  </si>
  <si>
    <t>32044150446383_025, 32044150446383_026, 32044150446383_027, 32044150446383_028</t>
  </si>
  <si>
    <t>14-15</t>
  </si>
  <si>
    <t>"March 09" written by BB; either March 4, 11, 18, or 25</t>
  </si>
  <si>
    <t>British literature; American art; fiction</t>
  </si>
  <si>
    <t>John Singleton Copley; William Morris, Wood Beyond the World</t>
  </si>
  <si>
    <t>00009</t>
  </si>
  <si>
    <t>02</t>
  </si>
  <si>
    <t xml:space="preserve">1909_04_06 </t>
  </si>
  <si>
    <t>32044150446375_001, 32044150446375_002, 32044150446375_003, 32044150446375_004, 32044150446375_005, 32044150446375_006</t>
  </si>
  <si>
    <t>PHI LAMBDA (Greek letters)</t>
  </si>
  <si>
    <t>16-18</t>
  </si>
  <si>
    <t>"09" written by BB</t>
  </si>
  <si>
    <t>Fitzhenry, Joseph Henry; Salting, George; Hoentschel, George</t>
  </si>
  <si>
    <t>Italian literature; poetry; music; library work; language learning; race and ethnicity</t>
  </si>
  <si>
    <t>Palm Beach; Tristan und Isolde; opera; Dante; Divine Comedy; Vita Nuova; bookbinding course; library inventory; Italian lessons; Portuguese ancestry</t>
  </si>
  <si>
    <t>2021/01/22</t>
  </si>
  <si>
    <t>00010</t>
  </si>
  <si>
    <t>1909_04_09</t>
  </si>
  <si>
    <t>32044150446375_007, 32044150446375_008, 32044150446375_009, 32044150446375_010, 32044150446375_011, 32044150446375_046, 32044150446375_048</t>
  </si>
  <si>
    <t>19-23, 56, 58</t>
  </si>
  <si>
    <t>14</t>
  </si>
  <si>
    <t>7</t>
  </si>
  <si>
    <t>"1909" written by BB; images and I Tatti sheet numbers out of order</t>
  </si>
  <si>
    <t>Frick, Henry Clay; Gardner, Isabella Stewart</t>
  </si>
  <si>
    <t>Arabic literature; fiction; Canadian literature; poetry; Dutch art; language learning; private collections; images of BG</t>
  </si>
  <si>
    <t>One Thousand and One Nights; exchange of books; Rembrandt, Self-Portrait (Frick, 1906.1.97); Bliss Carman, "A Spring Feeling"; Italian lessons; Tuxedo; Mauretania (ship); Gardner collection; Settignano; exchange of photographs; Sintra, Portugal</t>
  </si>
  <si>
    <t>00011</t>
  </si>
  <si>
    <t xml:space="preserve">1909_04_11 </t>
  </si>
  <si>
    <t>32044150446375_012, 32044150446375_013, 32044150446375_014, 32044150446375_015, 32044150446375_016, 32044150446375_017, 32044150446375_018, 32044150446375_019</t>
  </si>
  <si>
    <t>Tuxedo, New York</t>
  </si>
  <si>
    <t>24-31</t>
  </si>
  <si>
    <t>16</t>
  </si>
  <si>
    <t>"09" written by BB; numbered 3-8 beginning on third sheet</t>
  </si>
  <si>
    <t>Higgins, Eugene</t>
  </si>
  <si>
    <t>British literature; Canadian literature; poetry; fiction</t>
  </si>
  <si>
    <t>Tuxedo Park; Easter Sunday; nature; Browning; Bliss Carman, "A Spring Feeling"; Richard Jefferies, "The Pageant of Summer"</t>
  </si>
  <si>
    <t>2020/08/16</t>
  </si>
  <si>
    <t>2021/01/23</t>
  </si>
  <si>
    <t>00012</t>
  </si>
  <si>
    <t xml:space="preserve">1909_04_14 </t>
  </si>
  <si>
    <t>32044150446375_020, 32044150446375_021, 32044150446375_022, 32044150446375_023</t>
  </si>
  <si>
    <t>THE HOMESTEAD / FRED STERRY MANAGER / HOT SPRINGS. VA.</t>
  </si>
  <si>
    <t>Hot Springs, Virginia</t>
  </si>
  <si>
    <t>32-33</t>
  </si>
  <si>
    <t>"09" written by BB; numbered 2 on second sheet</t>
  </si>
  <si>
    <t>Chatham, Kitty; French, Mary Walker; Rockefeller, John D.; Sousas; Van Sinderens; Conder, Charles; Morgan, J. Pierpont</t>
  </si>
  <si>
    <t>Hot Springs; Colony Club; Panic of 1907; Burlington Magazine; Standard Oil; Princeton Prom; Adriatic; BG maid; riding; golf</t>
  </si>
  <si>
    <t>00013</t>
  </si>
  <si>
    <t>1909_04_19_22</t>
  </si>
  <si>
    <t>32044150446375_024, 32044150446375_025, 32044150446375_026, 32044150446375_027, 32044150446375_028, 32044150446375_029, 32044150446375_030, 32044150446375_031, 32044150446375_032</t>
  </si>
  <si>
    <t>34-42</t>
  </si>
  <si>
    <t>18</t>
  </si>
  <si>
    <t>Rockefeller, John D.; French, Mary Walker; Vanderbilt, Anne Harriman Vanderbilt; Locke, William John; Thurston, Ada; Morgan, J. Pierpont; Rockefeller, John D.; Vanderbilt, William Kissam</t>
  </si>
  <si>
    <t>British literature; British art; Arabic literature; poetry; fiction; early printed books</t>
  </si>
  <si>
    <t>Hot Springs; Burne-Jones, Edward; Chaucer, Parlement of Foules; One Thousand and One Nights; Scherazade; Portugal; William J. Locke, Septimus; Hypnerotomachia Poliphili; handwriting; Kronprinzessin Cecile (ship)</t>
  </si>
  <si>
    <t>2021/01/24</t>
  </si>
  <si>
    <t>2021/05/20</t>
  </si>
  <si>
    <t>00014</t>
  </si>
  <si>
    <t xml:space="preserve">1909_04_23 </t>
  </si>
  <si>
    <t>32044150446375_033, 32044150446375_034, 32044150446375_035, 32044150446375_036, 32044150446375_037, 32044150446375_038, 32044150446375_039</t>
  </si>
  <si>
    <t>43-49</t>
  </si>
  <si>
    <t>Lawler, Lillie; Anspacher, Louis; Marlowe, Julia; Lydig, Rita de Acosta; Purnington, Archer; Mitchell, John Ames; Robinson, Edward; Mrs. Edward Robinson; Valentiner, Wilhelm; Coe; Morgan, J. Pierpont; Hoskier, Herman Charles; Altman, Benjamin; Kann, Rodolphe; Kann, Maurice; Frick, Henry Clay; Huntington, Arabella; Morgan, Jack; Morgan, Jane Grew</t>
  </si>
  <si>
    <t>American literature; poetry; Dutch art; Asian art; Greco-Roman art; acquisitions; private collections; cultural institutions</t>
  </si>
  <si>
    <t>Sintra, Portugal; Paris; Christian Science; Life [magazine]; Francis I binding; manuscript of Edgar Allan Poe, The Raven (MA 621); Metropolitan Museum of Art; Greek and Roman sculpture; Zeus; Praxiteles; Rembrandt paintings; Chinese and Persian rugs; Rembrandt, Portrait of a Man ("The Auctioneer") (Met, 14.40.624); Rembrandt, Woman with a Pink (Met, 14.40.622); Rembrandt, Man with a Magnifying Glass (Met, 14.40.621); Frick Collection; Huntington Collection; Anti-Semitism</t>
  </si>
  <si>
    <t>2021/01/25</t>
  </si>
  <si>
    <t>00015</t>
  </si>
  <si>
    <t xml:space="preserve">1909_04_29 </t>
  </si>
  <si>
    <t>32044150446375_040, 32044150446375_041, 32044150446375_042</t>
  </si>
  <si>
    <t>50-52</t>
  </si>
  <si>
    <t>"09" written by BB; letter written in pencil</t>
  </si>
  <si>
    <t>De Forests; Upson, Arthur</t>
  </si>
  <si>
    <t>British literature; American literature; poetry</t>
  </si>
  <si>
    <t>Sintra, Portugal; handwriting; Swinburne's poetic style; Upson, Octaves in an Oxford Garden</t>
  </si>
  <si>
    <t>00016</t>
  </si>
  <si>
    <t xml:space="preserve">1909_04_30 </t>
  </si>
  <si>
    <t>32044150446375_043, 32044150446375_044, 32044150446375_045, 32044150446375_047</t>
  </si>
  <si>
    <t>53-55, 57</t>
  </si>
  <si>
    <t>"Apr. 30 '09" written by BB; I Tatti sheet numbers out of order</t>
  </si>
  <si>
    <t>Beach, George Spencer; Beach, Luella Estella Cottrell</t>
  </si>
  <si>
    <t>images of BG</t>
  </si>
  <si>
    <t>Tomar, Portugal; Lenox; exchange of photographs</t>
  </si>
  <si>
    <t>00017</t>
  </si>
  <si>
    <t>03</t>
  </si>
  <si>
    <t>1909_05_05</t>
  </si>
  <si>
    <t>32044150446391_001, 32044150446391_002</t>
  </si>
  <si>
    <t>59-60</t>
  </si>
  <si>
    <t>"09" written by BB; 5 May 1909 was a Wednesday</t>
  </si>
  <si>
    <t>Enclosed is image entitled, "ON THE DARK STAIR, / WHERE A BEAR IS / SO LIABLE TO / FOLLOW ONE"; Signed cartoonist F[anny] Y[oung] COREY; bottom left: COPYRIGHT 1902 / BY CENTURY CO.; bottom right: COPLEY PAINT COPYRIGHT / [illegible]; See Catharine Young Glen, "Jones's Little Girl with Pictures by Fanny Young Cory," Century Illustrated Monthly, Vol. 64 (1902), p. 75.</t>
  </si>
  <si>
    <t>Atlantic City; BG's childhood nurse; printed illustration</t>
  </si>
  <si>
    <t>2020/08/15</t>
  </si>
  <si>
    <t>2020/08/17</t>
  </si>
  <si>
    <t>2021/01/26</t>
  </si>
  <si>
    <t>00018</t>
  </si>
  <si>
    <t xml:space="preserve">1909_05_09 </t>
  </si>
  <si>
    <t>32044150446391_003, 32044150446391_004, 32044150446391_005, 32044150446391_006, 32044150446391_007, 32044150446391_008, 32044150446391_009, 32044150446391_010, 32044150446391_011, 32044150446391_012, 32044150446391_013, 32044150446391_014, 32044150446391_015, 32044150446391_016, 32044150446391_017, 32044150446391_018, 32044150446391_019, 32044150446391_020</t>
  </si>
  <si>
    <t>Marlborough-Blenheim / Atlantic City, N.J.</t>
  </si>
  <si>
    <t>Atlantic City, New Jersey</t>
  </si>
  <si>
    <t>61-69</t>
  </si>
  <si>
    <t>Hendrick, Peter; Hendrick, Julia Bowen; Rockefeller, John D.; Morgan, J. Pierpont</t>
  </si>
  <si>
    <t>British literature; poetry; fiction; essays</t>
  </si>
  <si>
    <t>Atlantic City; W. E. Henley, "A Thanksgiving"; sea; nature; Oscar Wilde; palm reading; New York Supreme Court; golf; Fiona Macleod, "Sea-Magic and Running Water"; Richard Jefferies, "Nature and Eternity"</t>
  </si>
  <si>
    <t>2021/01/31</t>
  </si>
  <si>
    <t>00019</t>
  </si>
  <si>
    <t xml:space="preserve">1909_05_22 </t>
  </si>
  <si>
    <t>32044150446391_021</t>
  </si>
  <si>
    <t>WILD ACRES / COS COB, CONN.</t>
  </si>
  <si>
    <t>Cos Cob, Connectict</t>
  </si>
  <si>
    <t>70</t>
  </si>
  <si>
    <t>"09" written by BB; Wild Acres was the estate of Fred and Florence Gotthold</t>
  </si>
  <si>
    <t>Originally sent with 1909_05_24 letter</t>
  </si>
  <si>
    <t>2020/08/18</t>
  </si>
  <si>
    <t>2021/02/02</t>
  </si>
  <si>
    <t>00020</t>
  </si>
  <si>
    <t xml:space="preserve">1909_05_24 </t>
  </si>
  <si>
    <t>32044150446391_022, 32044150446391_023, 32044150446391_024, 32044150446391_025, 32044150446391_026</t>
  </si>
  <si>
    <t>71-74</t>
  </si>
  <si>
    <t>10</t>
  </si>
  <si>
    <t>"09" written by BB; last sheet missing Sheet Number</t>
  </si>
  <si>
    <t>Originally enclosed 1909_05_22 letter</t>
  </si>
  <si>
    <t>Ditson, Alice; Greene, Russell De Costa</t>
  </si>
  <si>
    <t>Atlantic City; Tuxedo; horseback riding accident; sprained wrist; facial scar; BG appearance; Paris</t>
  </si>
  <si>
    <t>2021/06/10</t>
  </si>
  <si>
    <t>00021</t>
  </si>
  <si>
    <t>1909_05_28</t>
  </si>
  <si>
    <t>32044150446391_027, 32044150446391_028</t>
  </si>
  <si>
    <t>75–76</t>
  </si>
  <si>
    <t>Read, Charles Hercules; Morgan, J. Pierpont; Serristori, Hortense</t>
  </si>
  <si>
    <t>American literature; drama; cultural institutions</t>
  </si>
  <si>
    <t>Eugene Walter, The Easiest Way; Egypt; Paris; British Museum</t>
  </si>
  <si>
    <t>2021/02/07</t>
  </si>
  <si>
    <t>2021/05/12</t>
  </si>
  <si>
    <t>00022</t>
  </si>
  <si>
    <t xml:space="preserve">1909_06_01 </t>
  </si>
  <si>
    <t>32044150446391_029, 32044150446391_030, 32044150446391_031, 32044150446391_032</t>
  </si>
  <si>
    <t>77-80</t>
  </si>
  <si>
    <t>Morgan, Junius Spencer; Morton, Johnny; Sands, Samuel Stevens (III); Sands, Gertrude Sheldon; Morgan, Josephine Perry</t>
  </si>
  <si>
    <t>American literature; essays; poetry</t>
  </si>
  <si>
    <t>Woodmanston Inn; John L. Elliott, The Best in Life; Short Meter Sermons; Francis Thompson, "Sister Songs"; Princeton; Harvard; Boston</t>
  </si>
  <si>
    <t>2020/06/15</t>
  </si>
  <si>
    <t>2020/06/17</t>
  </si>
  <si>
    <t>00023</t>
  </si>
  <si>
    <t xml:space="preserve">1909_06_03 </t>
  </si>
  <si>
    <t>32044150446391_033, 32044150446391_034, 32044150446391_035</t>
  </si>
  <si>
    <t>INDIAN FIELD / GREENWICH, CONNECTICUT</t>
  </si>
  <si>
    <t>Greenwich, Connecticut</t>
  </si>
  <si>
    <t>81-82</t>
  </si>
  <si>
    <t>British literature; poetry</t>
  </si>
  <si>
    <t>Princeton; Robert Browning, "With Christopher Smart"; handwriting; Settignano</t>
  </si>
  <si>
    <t>2021/03/01</t>
  </si>
  <si>
    <t>00024</t>
  </si>
  <si>
    <t>1909_06_07</t>
  </si>
  <si>
    <t>32044150446391_036, 32044150446391_037, 32044150446391_038</t>
  </si>
  <si>
    <t>83-85</t>
  </si>
  <si>
    <t>Morgan, Junius Spencer; Morgan, Josephine Perry; Wilson, Woodrow; Wilson, Ellen Axson; McAlpin, Charles Willston; McAlpin, Sara Pyle; Eliot, Charles William</t>
  </si>
  <si>
    <t>British literature; poetry; German literature</t>
  </si>
  <si>
    <t>Swinburne, "Dolorida"; Princeton; facsimiles; Paradise Lost (MA 307); Faust (MA 877); Endymion (MA 208); Harvard Classics</t>
  </si>
  <si>
    <t>2021/03/02</t>
  </si>
  <si>
    <t>00025</t>
  </si>
  <si>
    <t xml:space="preserve">1909_06_15 </t>
  </si>
  <si>
    <t>32044150446391_039, 32044150446391_040, 32044150446391_041, 32044150446391_042, 32044150446391_043, 32044150446391_044, 32044150446391_045, 32044150446391_046, 32044150446391_047</t>
  </si>
  <si>
    <t>86-94</t>
  </si>
  <si>
    <t>Morgan, J. Pierpont</t>
  </si>
  <si>
    <t>BG's relationship with JPM</t>
  </si>
  <si>
    <t>2020/08/19</t>
  </si>
  <si>
    <t>2021/03/03</t>
  </si>
  <si>
    <t>00026</t>
  </si>
  <si>
    <t>1909_06_17</t>
  </si>
  <si>
    <t>32044150446391_048, 32044150446391_049</t>
  </si>
  <si>
    <t>95</t>
  </si>
  <si>
    <t>No letterhead; "1909" written by BB</t>
  </si>
  <si>
    <t>Includes envelope (Return address: Mr. Morgan's Library, / 33, East 36th. Street, / New York)</t>
  </si>
  <si>
    <t>Lost package; exchange of books and photographs; Long Island; Harvard; Washington; Florence</t>
  </si>
  <si>
    <t>2021/03/10</t>
  </si>
  <si>
    <t>00027</t>
  </si>
  <si>
    <t>1909_06_21</t>
  </si>
  <si>
    <t>32044150446391_050, 32044150446391_051, 32044150446391_052, 32044150446391_053, 32044150446391_054, 32044150446391_055, 32044150446391_056, 32044150446391_057</t>
  </si>
  <si>
    <t>Islip, New York</t>
  </si>
  <si>
    <t>96-103</t>
  </si>
  <si>
    <t>Wagstaff, Alfred Jr.; Wagstaff, Mary Barnard; Gilder, Richard; Marlowe, Julia; Robinson, Elizabeth Gould; Morton, Johnson; Adams, Maude; Seligmann, Jacques; Laffan, William; Read, Charles Hercules; Hamilton, Juliet Morgan; Morgan, J. Pierpont</t>
  </si>
  <si>
    <t>British literature; drama; Indian literature; Italian literature; poetry; Italian art</t>
  </si>
  <si>
    <t>Baconian theory; William Shakespeare, Romeo and Juliet; motoring; Joan of Arc play; Berkshires; Upanishads; Edmond Scherer; exchange of books and photographs; Dante, Vita Nuova; Dante Gabriel Rossetti; "Cavalieri" terracotta; trip to Egypt; Boston; golf; tennis; coach driving lessons; Islip; Harvard; Tuxedo Park; London</t>
  </si>
  <si>
    <t>2021/06/17</t>
  </si>
  <si>
    <t>00028</t>
  </si>
  <si>
    <t>1909_06_29</t>
  </si>
  <si>
    <t>32044150446391_058, 32044150446391_059, 32044150446391_060, 32044150446391_061, 32044150446391_062, 32044150446391_063, 32044150446391_064, 32044150446391_065, 32044150446391_066, 32044150446391_067</t>
  </si>
  <si>
    <t>Boston, Massachusetts</t>
  </si>
  <si>
    <t>104-113</t>
  </si>
  <si>
    <t>20</t>
  </si>
  <si>
    <t>Lawrence, Bishop William; Lawrence, Julia Cunningham; Ditson, Alice; Schneider, Otto; Fitzhenry, Joseph Henry; Altman, Benjamin; Morgan, J. Pierpont; Durrieu, Paul</t>
  </si>
  <si>
    <t>drama; Italian literature; fiction; British literature; poetry; cultural institutions; Medieval and Renaissance manuscripts; images of BG; private collections; French art</t>
  </si>
  <si>
    <t>Joan of Arc play; Harvard; Hasty Pudding; Pi Eta; Book Spread; horse show; vacation plans; South Kensington Museum (Victoria &amp; Albert Museum); Altman collection; Paris; Corsair; Boccaccio manuscript; Berenson, Florentine Painters; Elizabeth Barrett Browning, Sonnets from the Portuguese; BG preference for 12th and 13th century manuscripts; Sun (newspaper); Tuxedo Park; motoring; Berkshires; Newport; White Mountains, NH; yachting trip; The Boulders; Jackson, NJ; Post Office; Dead Letter Office; Washington, DC; London; Ritz, London; Otto Schneider etching of BG (ARC 3271); drawing of BG; BG cable address; Paris; Munich; Durrieu, Le Boccace de Munich; Bourdichon manuscript</t>
  </si>
  <si>
    <t>2021/03/15</t>
  </si>
  <si>
    <t>00029</t>
  </si>
  <si>
    <t>04</t>
  </si>
  <si>
    <t>1909_07_UNDATED_01</t>
  </si>
  <si>
    <t>32044150448389_001, 32044150448389_002, 32044150448389_003, 32044150448389_004, 32044150448389_005, 32044150448389_006, 32044150448389_038, 32044150448389_039, 32044150448389_040</t>
  </si>
  <si>
    <t>114-119, 148-150</t>
  </si>
  <si>
    <t xml:space="preserve">"July 6th or later, '09" written by BB; written after July 6; images and I Tatti sheet numbers out of order </t>
  </si>
  <si>
    <t>Greene, Russell De Costa; Gardner, Isabella Stewart; Jones, Alfred; Baroness Alphonse de Rothschild; Strong, Eugénie Sellers; Fitzhenry, Joseph Henry; Pollard, Alfred; Loschi; Romanov, Nicholas II; Vanderbilt, Cathleen Neilson; Ditson, Alice; Morgan, J. Pierpont; Lanier, Charles</t>
  </si>
  <si>
    <t>British literature; poetry; Italian art; Italian literature; poetry; cultural institutions; language learning; private collections</t>
  </si>
  <si>
    <t>Newport; John Davidson, Ballad of a Man; Italian lessons; Giorgione; Gardner collection; Lanckoronski collection; attributions; Vita Nuova; Rothschild collection; collection catalogues; Chatsworth; Dreyfus collection; Dutuit collection; Martin Le Roy collection; Paris; thirst for knowledge; Andrew Lang, "Another Way," from Grass of Parnassus; Circle of Giorgione, Christ Carrying the Cross (Isabella Stewart Gardner Museum, P26n17); London; British Museum; Sandy Point Farm (Vanderbilt estate in Newport); White Mountains, New Hampshire; Adirondacks</t>
  </si>
  <si>
    <t>2020/08/20</t>
  </si>
  <si>
    <t>Caldwell, Nicholas</t>
  </si>
  <si>
    <t>NC</t>
  </si>
  <si>
    <t>2021/03/05</t>
  </si>
  <si>
    <t>2021/04/15</t>
  </si>
  <si>
    <t>00030</t>
  </si>
  <si>
    <t xml:space="preserve">1909_07_12 </t>
  </si>
  <si>
    <t>32044150448389_043, 32044150448389_044</t>
  </si>
  <si>
    <t>TWIN OAKS / BABYLON, LONG ISLAND.</t>
  </si>
  <si>
    <t>Babylon, New York</t>
  </si>
  <si>
    <t>152</t>
  </si>
  <si>
    <t>"'09" written by BB; sheet rotated ninety degrees to right for page 3; incomplete letter</t>
  </si>
  <si>
    <t>Ditson, Alice; Morgan, J. Pierpont</t>
  </si>
  <si>
    <t>exchange of photographs; visit to Princes Gate; Dead Letter Office; Settignano; Florence; Reid Ball; Paris; Villa I Tatti</t>
  </si>
  <si>
    <t>2021/03/29</t>
  </si>
  <si>
    <t>00031</t>
  </si>
  <si>
    <t>1909_07_UNDATED_02</t>
  </si>
  <si>
    <t>32044150448389_045, 32044150448389_046</t>
  </si>
  <si>
    <t>153</t>
  </si>
  <si>
    <t>"July 14, 09" written by BB; sheet rotated ninety degrees to right for page 3; incomplete letter</t>
  </si>
  <si>
    <t>Originally contained letter from William Laffan to BG.</t>
  </si>
  <si>
    <t>Truesdale, William; Truesdale, Annie; Harriman, Edward Henry; Morgan, J. Pierpont; Laffan, William</t>
  </si>
  <si>
    <t>Italian art</t>
  </si>
  <si>
    <t>Plan to travel to Europe and Egypt; Raphael; London; England; France; Italy; Egypt</t>
  </si>
  <si>
    <t>00032</t>
  </si>
  <si>
    <t>1909_07_19</t>
  </si>
  <si>
    <t>32044150448389_007, 32044150448389_008, 32044150448389_009, 32044150448389_010, 32044150448389_011, 32044150448389_012, 32044150448389_013</t>
  </si>
  <si>
    <t>120-126</t>
  </si>
  <si>
    <t>",'09" written by BB</t>
  </si>
  <si>
    <t>Ditson, Alice; Duveen, Joseph; Altman, Benjamin; Hobby, Theodore Y.; Rey, Emile; Seligmann, Jacques; Read, Charles Hercules; Fitzhenry, Joseph Henry; Salting, George; Laffan, William; Morgan, J. Pierpont; Douglas, Langton</t>
  </si>
  <si>
    <t>cultural institutions; German art; Italian art; private collections</t>
  </si>
  <si>
    <t>Altman collection; British Museum; Victoria and Albert Museum; Fitzhenry collection; South Kensington Museum; Staircase, Victoria and Albert Museum (A.8-1909); Corsair II; Dalmatian Coast; Holbein, Anne of Cleves, Victoria and Albert Museum (P.153:1,2-1910); Burlington Fine Arts Club, Hans Holbein exhibition; Raphael; Holbein, Christina of Denmark, National Gallery (NG2475); National Gallery; Crowe and Cavalcaselle; Lorenzetti, Ambrogio; Duccio; Salting collection; BG early life; BG destroying letters; Siena; London</t>
  </si>
  <si>
    <t>2020/08/22</t>
  </si>
  <si>
    <t>2021/07/16</t>
  </si>
  <si>
    <t>00033</t>
  </si>
  <si>
    <t>1909_07_30</t>
  </si>
  <si>
    <t>32044150448389_014, 32044150448389_015, 32044150448389_016, 32044150448389_017, 32044150448389_018, 32044150448389_019</t>
  </si>
  <si>
    <t>127-129</t>
  </si>
  <si>
    <t>"East" in letterhead underlined eight times (most likely a reference to the letter of 6/29/09, p. 16, in which BG tells BB he had erroneously addressed one of his letters to "West 36th St" instead of East 36th St.); "09" written by BB</t>
  </si>
  <si>
    <t>Morgan, J. Pierpont; Sassoon, Lady; Laffan, William Mackay; Pennington, Harper; Barnes, Grace Edith; Berenson, Mary; Jaccaci, August; Lee; Rockefeller, John D.; Frick, Henry Clay; Fry, Roger; LaFarge, John; Gardner, Isabella Stewart; Phillips, Claude</t>
  </si>
  <si>
    <t>private collections</t>
  </si>
  <si>
    <t>Adriatic; Baltimore; Boston; Mauretania; JPM paintings collection; Agnew's; Newport; Berkshires</t>
  </si>
  <si>
    <t>2021/03/30</t>
  </si>
  <si>
    <t>00034</t>
  </si>
  <si>
    <t xml:space="preserve">1909_08_03 </t>
  </si>
  <si>
    <t>32044150448389_031, 32044150448389_032, 32044150448389_033, 32044150448389_034, 32044150448389_035, 32044150448389_036, 32044150448389_037</t>
  </si>
  <si>
    <t>141-147</t>
  </si>
  <si>
    <t>Dixon, George Arthur; Morgan, Frances Louisa Tracy; Morgan, J. Pierpont; Dixon, Sarah Pearl Dunton; Sloane, William Milligan; Markoe, James Wright; Durrieu, Paul; Lanier, Charles; Sloane, Mary Espy Johnstone</t>
  </si>
  <si>
    <t>Medieval and Renaissance manuscripts; American literature; essays; French literature; Flemish art; French art</t>
  </si>
  <si>
    <t>BG early life; Lenox; BG past engagements; Princeton; Newport; New York Yacht Club; BG on marriage; Corsair II; William James, Pluralistic Universe; La Rochefoucauld; Foucquet; Paul de Limbourg; Jean Bourdichon; Cheltenham</t>
  </si>
  <si>
    <t>2021/03/31</t>
  </si>
  <si>
    <t>00035</t>
  </si>
  <si>
    <t>1909_08_17</t>
  </si>
  <si>
    <t>32044150448389_020, 32044150448389_021, 32044150448389_022, 32044150448389_023, 32044150448389_024, 32044150448389_025, 32044150448389_026, 32044150448389_027, 32044150448389_028, 32044150448389_029, 32044150448389_030</t>
  </si>
  <si>
    <t>130-140</t>
  </si>
  <si>
    <t>21</t>
  </si>
  <si>
    <t>11</t>
  </si>
  <si>
    <t>Rembielinski, Stanislas; Read, Charles Hercules; Sassoon, Lady; Read, Lady Charles Hercules; Berenson, Mary; Thurston, Ada; Morgan, Junius Spencer; Ferri; Cuyler, Cornelius Cuyler; Cockerell, Sydney</t>
  </si>
  <si>
    <t>British literature; poetry; Dutch art; Medieval and Renaissance manuscripts; images of BG; private collections</t>
  </si>
  <si>
    <t>Milton, Lycidas; Newport; Rembrandt prints; Shelley letters to Elizabeth Hitchener; reading letters; Paradise Lost; Junius Spencer Morgan's break with family; Cuyler funeral; George W. Vanderbilt collection of Rembrandt prints; Theodore Irwin collection of Rembrandt Prints; Rembrandt, Hundred Guilder Print; Rembrandt, Ephraim Bonus; Rembrandt, Arnout Tholinx (RvR 399); Tammany Hall; Bar Harbour; Seabright, New Jersey; college freinds; Phillips manuscripts; Cheltenham; William Morris manuscripts; exchange of photographs; Hercules Seghers, Tobias and the Angel; Eugene Dutuit, L'oeuvre complet de Rembrandt; Dmitri Rovinski, L'oevure grave de Rembrandt; Adam von Bartsch, Le peintre graveur; SS Kronprinz Wilhelm (ship); Seabright, New Jersey; Shrewsbury River; Versailles; Cambridge; Mauritania (ship)</t>
  </si>
  <si>
    <t>2020/05/16</t>
  </si>
  <si>
    <t>2020/05/29</t>
  </si>
  <si>
    <t>2021/04/02</t>
  </si>
  <si>
    <t>2021/08/31</t>
  </si>
  <si>
    <t>00036</t>
  </si>
  <si>
    <t>1909_08_24</t>
  </si>
  <si>
    <t>32044150448389_041, 32044150448389_042</t>
  </si>
  <si>
    <t>151</t>
  </si>
  <si>
    <t>Harriman, Edward H.; Truesdale, Annie Topping; Morgan, J. Pierpont</t>
  </si>
  <si>
    <t>Railroad speculation; Union Pacific Railroad; exchange of photographs; SS Kronprinz Wilhelm (ship); Mauretania (ship); Florence; photographs of BB; Corsair II</t>
  </si>
  <si>
    <t>2021/04/13</t>
  </si>
  <si>
    <t>00037</t>
  </si>
  <si>
    <t>32044150448389_052, 32044150448389_053</t>
  </si>
  <si>
    <t>157</t>
  </si>
  <si>
    <t>Postcard of Corsair II</t>
  </si>
  <si>
    <t>Berenson, Mary</t>
  </si>
  <si>
    <t>Corsair II</t>
  </si>
  <si>
    <t>00038</t>
  </si>
  <si>
    <t>1909_08_31</t>
  </si>
  <si>
    <t>32044150448389_047, 32044150448389_048, 32044150448389_049, 32044150448389_050, 32044150448389_051</t>
  </si>
  <si>
    <t>LIBRARY OF J. PIERPONT MORGAN, ESQ. THIRTY-THREE EAST THIRTY-SIXTH STREET NEW YORK</t>
  </si>
  <si>
    <t>154-156</t>
  </si>
  <si>
    <r>
      <rPr>
        <rFont val="Times New Roman"/>
        <color theme="1"/>
        <sz val="12.0"/>
      </rPr>
      <t>"</t>
    </r>
    <r>
      <rPr>
        <rFont val="Times New Roman"/>
        <color theme="1"/>
        <sz val="12.0"/>
        <u/>
      </rPr>
      <t>Keep</t>
    </r>
    <r>
      <rPr>
        <rFont val="Times New Roman"/>
        <color theme="1"/>
        <sz val="12.0"/>
      </rPr>
      <t xml:space="preserve"> </t>
    </r>
    <r>
      <rPr>
        <rFont val="Times New Roman"/>
        <color theme="1"/>
        <sz val="12.0"/>
        <u/>
      </rPr>
      <t>for me"</t>
    </r>
    <r>
      <rPr>
        <rFont val="Times New Roman"/>
        <color theme="1"/>
        <sz val="12.0"/>
      </rPr>
      <t xml:space="preserve"> written by BB</t>
    </r>
  </si>
  <si>
    <t>Originally contained letter from Durrieu to BB.</t>
  </si>
  <si>
    <t>Fry, Roger; Jacacci, Mabel Thayer; Bode, Wilhelm von; Morgan, Junius Spencer; Barnes, Grace Edith; Morgan, J. Pierpont; Durrieu, Paul; Seligmann, Jacques; Morgan, Josephine Adams Perry; Morgan, Alexander Perry; Brunner, Arnold W.; King, Charles W. ; Altman, Benjamin; LaFarge, John; Thurston, Ada; Jaccaci, August; Berenson, Mary</t>
  </si>
  <si>
    <t>Dutch art; Italian art; private collections</t>
  </si>
  <si>
    <t>Rembrandt prints; Walters collection catalogue; Raphael; Altman collection; Frans Hals; attributions; Junius Spencer Morgan departure; Scotland</t>
  </si>
  <si>
    <t>2021/09/14</t>
  </si>
  <si>
    <t>00039</t>
  </si>
  <si>
    <t>05</t>
  </si>
  <si>
    <t>1909_09_12</t>
  </si>
  <si>
    <t>32044150448397_001, 32044150448397_002, 32044150448397_003</t>
  </si>
  <si>
    <t>158-160</t>
  </si>
  <si>
    <t>Originally contained letter from Cockerell to BB.</t>
  </si>
  <si>
    <t>Morgan, J. Pierpont; Cockerell, Sydney</t>
  </si>
  <si>
    <t>Dutch art</t>
  </si>
  <si>
    <t>Rembrandt prints; BG diary; North Pole; Mauretania; Hudson-Fulton week</t>
  </si>
  <si>
    <t>2020/08/23</t>
  </si>
  <si>
    <t>2021/03/16</t>
  </si>
  <si>
    <t>00040</t>
  </si>
  <si>
    <t>1909_09_27</t>
  </si>
  <si>
    <t>32044150448397_004, 32044150448397_005</t>
  </si>
  <si>
    <t>MR. MORGAN'S LIBRARY / NEW YORK</t>
  </si>
  <si>
    <t>161</t>
  </si>
  <si>
    <t>Robinson, Edward; Duke di Torlonia; Altman, Benjamin; Valentiner, Wilhlem</t>
  </si>
  <si>
    <t>Dutch art; private collections</t>
  </si>
  <si>
    <t>Hudson-Fulton week; Dutch masters exhibition at Metropolitan Museum of Art; Altman collection; Frans Hals; attributions; New York; electric lighting; Corsair; Rome</t>
  </si>
  <si>
    <t>00041</t>
  </si>
  <si>
    <t>1909_10_05</t>
  </si>
  <si>
    <t>32044150448397_006, 32044150448397_007, 32044150448397_008</t>
  </si>
  <si>
    <t>162-164</t>
  </si>
  <si>
    <t>Forrest, Dick; Myres, Jane Linton; Myres, John L.</t>
  </si>
  <si>
    <t>Hudson-Fulton week; Cesnola collection; BG diary; Paris; London; Brooklyn; Italy; BG maid; Naval Parade; Military Ball; Columbia University; University of Liverpool; North Pole</t>
  </si>
  <si>
    <t>2020/08/24</t>
  </si>
  <si>
    <t>2021/03/22</t>
  </si>
  <si>
    <t>00042</t>
  </si>
  <si>
    <t>1909_10_15</t>
  </si>
  <si>
    <t>32044150448397_009, 32044150448397_010, 32044150448397_011, 32044150448397_012, 32044150448397_013, 32044150448397_014, 32044150448397_015</t>
  </si>
  <si>
    <t>165-171</t>
  </si>
  <si>
    <t>13</t>
  </si>
  <si>
    <t>Duveen, Joseph  ; Laffan, William Mackay; Robinson, Edward; Morgan, Anne; Imbert, Alexandre; Barnes, Grace Edith; Clarke, Burden; LaFarge, John; Murray, Charles Fairfax; Morgan, J. Pierpont; Reinach, Solomon; Guérin, Jules</t>
  </si>
  <si>
    <t>Italian art; Chinee art; cultural institutions; private collections</t>
  </si>
  <si>
    <t>Pinturicchio, Virgin and Child in Mandorla of Cherubim (MLM, AZ120); Paris; Europe; collection catalogues and their distribution; miniatures catalogue; Chinese porcelain catalogue; paintings catalogue; manuscripts catalogue; Marsden Perry collection; Fra Angelico; Domenico Ghirlandaio, Portrait of Giovanna Tournabuoni (Thyssen-Bornemisza, inv. 158 (1935.6)); Fairfax Murray collection of drawings; Egypt; Venice; Webster Hotel; reframing paintings; England; Biblioteca Nazionale Marciana; Metropolitan Museum of Art</t>
  </si>
  <si>
    <t>2021/09/21</t>
  </si>
  <si>
    <t>00043</t>
  </si>
  <si>
    <t>1909_10_28_29</t>
  </si>
  <si>
    <t>32044150448397_016, 32044150448397_017, 32044150448397_018, 32044150448397_019, 32044150448397_020, 32044150448397_021</t>
  </si>
  <si>
    <t>172-174</t>
  </si>
  <si>
    <t>"09" written by BB on pages one and seven; 29 Oct 1909 was a Friday</t>
  </si>
  <si>
    <t>Teall, Gardner; Pratt, Frederick; Untermyer, Samuel; Untermyer, Minnie Carl; Jones, Mary Cadwalader Rawle; Douglas, R. Langton; Duveen, Joseph  ; Read, Charles Hercules; Bode, Wilhelm von; Lennox, Lady Blanche Algernon Gordon; Ryan, Thomas Fortune; Seligmann, Jacques; Morgan, J. Pierpont; Rey, Emile; Gardner, Isabella Stewart; Rembielinski, Stanislas</t>
  </si>
  <si>
    <t>Italian art; Dutch art; cultural institutions; private collections</t>
  </si>
  <si>
    <t>Venice; Bardini busts; attributions; Ryan collection; Macrino d'Alba, Self Portrait (MLM, AZ015); Jan Gossaert (copy after), Virgin and Child (Metropolitan, 17.190.17); Jan Gossaert, Portrait of a Man (Currier Musseum of Art, 1951.6); French primitives exhibition; Villa I Tatti; Vanderbilt Cup Race; Workshop of Ferrer Bassa, Polyptych with Scenes from the Life of Christ (MLM, AZ071); Metropolitan Museum of Art; British Museum; Thomas Ryan collection; Settignano; Islip; North Shore, Long Island</t>
  </si>
  <si>
    <t>2021/03/23</t>
  </si>
  <si>
    <t>00044</t>
  </si>
  <si>
    <t>1909_11_12</t>
  </si>
  <si>
    <t>32044150448397_022, 32044150448397_023, 32044150448397_024, 32044150448397_025, 32044150448397_026</t>
  </si>
  <si>
    <t>175-179</t>
  </si>
  <si>
    <t>Gilder, Helena de Kay; Friedländer, Max Jakob; Gilder, Richard Watson; Sothern, E.H.; Morgan, J. Pierpont; Marlowe, Julia; Duveen, Joseph; Douglas, R. Langton; Knoblauch, Charles E.</t>
  </si>
  <si>
    <t>British literature; drama; images of BG; cultural institutions</t>
  </si>
  <si>
    <t>New Theatre; Antony and Cleopatra; Philharmonic; Cottage in the Air; exchange of photographs; Florence; Boston; Kaiser Friedrich Museum; BG portrait</t>
  </si>
  <si>
    <t>2020/08/25</t>
  </si>
  <si>
    <t>2021/10/08</t>
  </si>
  <si>
    <t>00045</t>
  </si>
  <si>
    <t>1909_11_19</t>
  </si>
  <si>
    <t>32044150448397_027, 32044150448397_028, 32044150448397_029, 32044150448397_030, 32044150448397_031, 32044150448397_032, 32044150448397_033</t>
  </si>
  <si>
    <t>180-183</t>
  </si>
  <si>
    <t>First three sheets written on stationery without letterhead. Final sheet written on BELLE stationery; "09" written by BB</t>
  </si>
  <si>
    <t>Originally contained clipping from Evening Sun.</t>
  </si>
  <si>
    <t>Blumenthal, George; Bardini, Stefano; Douglas, R. Langton; Laffan, William Mackay; Gilder, Richard Watson; Morgan, J. Pierpont; Seligmann, Jacques; Bode, Wilhelm von; Read, Charles Hercules; Justi, Ludwig</t>
  </si>
  <si>
    <t>cultural institutions; Italian art; Dutch art; private collections</t>
  </si>
  <si>
    <t>Death of William Laffan; death of Richard Gilder; Metropolitan Museum of Art governance; Bardini terracotta bust; Foulc collection; Andrea Verrocchio; questions of attribution; Meindert Hobbema; Richard von Kaufmann collection; Leonardo da Vinci; Society of Printers; Berlin; New York Sun</t>
  </si>
  <si>
    <t>2021/03/25</t>
  </si>
  <si>
    <t>00046</t>
  </si>
  <si>
    <t>1909_11_26</t>
  </si>
  <si>
    <t>32044150448397_034, 32044150448397_035, 32044150448397_036, 32044150448397_037</t>
  </si>
  <si>
    <t>184-187</t>
  </si>
  <si>
    <t>Denis, Ruth Saint; Cosgrave, John; Hamilton, Juliet Morgan</t>
  </si>
  <si>
    <t>Rome; Venice; Siena; Assisi; Everybody's Magazine; Tuxedo; BG diary</t>
  </si>
  <si>
    <t>00047</t>
  </si>
  <si>
    <t>1909_12_13</t>
  </si>
  <si>
    <t>32044150448397_038, 32044150448397_039, 32044150448397_040, 32044150448397_041, 32044150448397_042, 32044150448397_043, 32044150448397_044, 32044150448397_045, 32044150448397_046, 32044150448397_047, 32044150448397_048, 32044150448397_049, 32044150448397_050, 32044150448397_051, 32044150448397_052, 32044150448397_053, 32044150448397_054, 32044150448397_055, 32044150448397_056</t>
  </si>
  <si>
    <t>188-197</t>
  </si>
  <si>
    <t>19</t>
  </si>
  <si>
    <t>Images and I Tatti sheet numbers out of order; no letterhead; "09" written by BB</t>
  </si>
  <si>
    <t>Morgan, J. Pierpont; Nichols, Rose Standish; Gardner, Isabella Stewart; M. Desprodel; Cram, Ralph Adams; Cram, Elizabeth; Lowell, Amy; Fields, Anne Adams; Mackaye, Percy; Prof. Scoville; Aldrich, Lilian Woodman; Rogers, Mary Howard; Despradelle, Constant-Désiré</t>
  </si>
  <si>
    <t>British literature; poetry; fiction; Dutch art; Italian art; Spanish art; American literature; essays; drama; private collections</t>
  </si>
  <si>
    <t>Boston; Robert Browning, In a Gondola; Villa I Tatti; Gardner collection; Villa Gamberaia; catalogue of Dutch collection; Raphael, Portrait of Tommaso Inghirami (Gardner Museum, P16e4); Velazquez, Portrait of King Philip IV of Spain (Gardner Museum, P26e18); Andrea Castagno, Portrait of a Man (National Gallery of Art, 1937.1.17); Rodolphe Kann collection; portrait of Bernard Berenson; Thackeray; Tennyson; Emerson; Thoreau; Harvard; Percy Mackaye, The Scarecrow; BG and JPM relationship; Christmas; Harvard Dramatic Association; Lowell family</t>
  </si>
  <si>
    <t>2020/09/04</t>
  </si>
  <si>
    <t>2021/11/05</t>
  </si>
  <si>
    <t>00048</t>
  </si>
  <si>
    <t>1909_12_21</t>
  </si>
  <si>
    <t>32044150448397_057, 32044150448397_058, 32044150448397_059, 32044150448397_060, 32044150448397_061, 32044150448397_062, 32044150448397_073, 32044150448397_064</t>
  </si>
  <si>
    <t>198-201</t>
  </si>
  <si>
    <t>No letterhead; "09" written by BB</t>
  </si>
  <si>
    <t>Morgan, J. Pierpont; Laffan, William; Gardner, Isabella Stewart; Huntington, Arabella; Huntington, Archer; Blumenthal, George</t>
  </si>
  <si>
    <t>Italian literature; poetry; Italian art; Chinese art; cultural institutions</t>
  </si>
  <si>
    <t>Dante, Vita Nuova; Christmas; exchange of gifts; editio princeps; Boccaccio's Life of Dante; exhange of books; book on Sienese painting; Velazquez; Metropolitan Museum of Art; Metropolitan Museum Trustees; Wang Seng-Ju, Tears; Villa I Tatti; Berenson, A Sienese Painter of the Franciscan Legend; BG book annotations; J.M. Dent &amp; Son publishers; Mauretania (ship)</t>
  </si>
  <si>
    <t>2021/03/26</t>
  </si>
  <si>
    <t>00049</t>
  </si>
  <si>
    <t>06</t>
  </si>
  <si>
    <t>1910_01_06</t>
  </si>
  <si>
    <t>32044150448405_001, 32044150448405_002, 32044150448405_003</t>
  </si>
  <si>
    <t>202-203</t>
  </si>
  <si>
    <t>No letterhead; "1910" written by BB</t>
  </si>
  <si>
    <t>Berenson, Senda; Morgan, J. Pierpont</t>
  </si>
  <si>
    <t>library work</t>
  </si>
  <si>
    <t>Christmas gift of book of Italian Renaissance men; work fatigue</t>
  </si>
  <si>
    <t>2020/09/18</t>
  </si>
  <si>
    <t>2020/09/20</t>
  </si>
  <si>
    <t>2022/09/13</t>
  </si>
  <si>
    <t>00050</t>
  </si>
  <si>
    <t xml:space="preserve">1910_01_18 </t>
  </si>
  <si>
    <t>32044150448405_004, 32044150448405_005, 32044150448405_006, 32044150448405_007, 32044150448405_008, 32044150448405_009, 32044150448405_010</t>
  </si>
  <si>
    <t>204-207</t>
  </si>
  <si>
    <t>Berenson, Senda; Morgan, J. Pierpont; Bode, Wilhelm von</t>
  </si>
  <si>
    <t>Italian art; British art</t>
  </si>
  <si>
    <t>Delay in letters; BG's diary; New Theatre; Morgan family; Bode attribution; Leonardo da Vinci bust of Flora (Bode Museum, now believed to have been sculpted by Englishman Richard Cocke Lucas)</t>
  </si>
  <si>
    <t>2022/10/13</t>
  </si>
  <si>
    <t>00051</t>
  </si>
  <si>
    <t>1910_01_19</t>
  </si>
  <si>
    <t>32044150448405_011, 32044150448405_012, 32044150448405_013, 32044150448405_014, 32044150448405_015, 32044150448405_016, 32044150448405_017, 32044150448405_018, 32044150448405_019</t>
  </si>
  <si>
    <t>208-212</t>
  </si>
  <si>
    <t>"1910" written by BB</t>
  </si>
  <si>
    <t>Morgan, Anne; Hamilton, Juliet Morgan; Morgan, J. Pierpont; Morgan, Junius Spencer (father); Cosgrave, Jack</t>
  </si>
  <si>
    <t>Private train travel; Morgan family; Junius Spencer Morgan Memorial Building, Hartford; "peepul"</t>
  </si>
  <si>
    <t>2021/07/07</t>
  </si>
  <si>
    <t>2022/12/16</t>
  </si>
  <si>
    <t>00052</t>
  </si>
  <si>
    <t>1910_01_23</t>
  </si>
  <si>
    <t>32044150448405_020, 32044150448405_021, 32044150448405_022</t>
  </si>
  <si>
    <t>213-215</t>
  </si>
  <si>
    <t>Berenson, Senda; Lydig, Rita; Kreisler, Fritz</t>
  </si>
  <si>
    <t>music</t>
  </si>
  <si>
    <t>Opera</t>
  </si>
  <si>
    <t>00053</t>
  </si>
  <si>
    <t>1910_02_08</t>
  </si>
  <si>
    <t>32044150448405_023, 32044150448405_024, 32044150448405_025, 32044150448405_026</t>
  </si>
  <si>
    <t>216-217</t>
  </si>
  <si>
    <t>BG relationship with JPM; desire to learn and travel; BG's social life; Mauretania (ship)</t>
  </si>
  <si>
    <t>2021/07/08</t>
  </si>
  <si>
    <t>00054</t>
  </si>
  <si>
    <t>1910_02_24</t>
  </si>
  <si>
    <t>32044150448405_027, 32044150448405_028, 32044150448405_029, 32044150448405_030, 32044150448405_031, 32044150448405_032</t>
  </si>
  <si>
    <t>12 BENEVOLENT STREET / PROVIDENCE, RHODE ISLAND</t>
  </si>
  <si>
    <t>Providence, Rhode Island</t>
  </si>
  <si>
    <t>218-220</t>
  </si>
  <si>
    <t>Stationery bears the address of the "Candace Allen House," which was inherited by Anne Crawford Allen (Mrs. John Carter Brown II); "1910" written by BB</t>
  </si>
  <si>
    <t>Mrs. John Carter Brown II (née Anne Crawford Allen); Perry, Marsden J.; Pendleton, Charles; Hawkins, Rush C.; Pollard, Alfred; Goddard, Mrs.; Clément, Edmond; Johnstone, Lady Antoinette; Morgan, J. Pierpont; Hills, Laura Coombs</t>
  </si>
  <si>
    <t>British literature; Asian art; cultural institutions; early printed books; American art; images of BG; private collections; music</t>
  </si>
  <si>
    <t>Providence, Rhode Island; Chippendale furniture; Sheraton furniture; Lowestoft china; John Carter Brown Library; Marsden Perry's Shakespeare collection; Pendleton collection; General Hawkins's incunabula collection; catalogue of Hawkins collection; fancy dress ball; Pelléas and Mélisande opera; opera rehearsals; "musical crowd"; BG diary; JPM affairs; BG relationship with JPM; painted portrait of BG; Laura Hills miniature of BG (MLM AZ164); Viennese negligée; BG clothing</t>
  </si>
  <si>
    <t>2022/12/17</t>
  </si>
  <si>
    <t>00055</t>
  </si>
  <si>
    <t>1910_03_01</t>
  </si>
  <si>
    <t>32044150448405_033, 32044150448405_034, 32044150448405_035, 32044150448405_036, 32044150448405_037, 32044150448405_038, 32044150448405_039, 32044150448405_040, 32044150448405_041, 32044150448405_042</t>
  </si>
  <si>
    <t>221-229</t>
  </si>
  <si>
    <t>32044150448405_040 does not have I Tatti sheet number; "1910" written by BB</t>
  </si>
  <si>
    <t>Reinach, Salomon; Bode, Wilhelm von; Conklin, Roland Ray; Forbes-Robertson, Johnston; Fremstad, Olive; Dyer; Harris, Victor; Mrs. Wellman; Gardiner; Gardner, Isabella Stewart; Morgan, J. Pierpont; Atherton, Gertrude; O'Neil, Nance; Davies, Acton; Bierce, Ambrose; Ditson, Alice; Clémont, Edmond; Wahrlich, Reinhold von; Mazarin, Mariette; Alexander, Mrs. C.B.; Wierzbicki, Vincent de; Collins, Lillie Lang; Jacacci, Mabel Thayer; Wendell, Barrett; Taylor, Clara Sidney Potter Davidge; Potter, Henry Codman; Tonetti-Dozzi, François Michel Louis; Flameng, François; Shinn, Everett; Shinn, Florence Scovel; Nichols, Rose Standish; Saint-Gaudens, Augustus; Homer, Louise Beatty; Blumenthal, Florence; Lydig, Rita; Stieglitz, Afred; Steichen, Edward; Cosgrave, John O'Hara; Mason, John; Johnson, Robert Underwood</t>
  </si>
  <si>
    <t>Italian art; American literature; British literature; drama; fiction; poetry; music; language learning; modern art</t>
  </si>
  <si>
    <r>
      <rPr>
        <rFont val="Times New Roman"/>
        <color rgb="FF000000"/>
        <sz val="12.0"/>
      </rPr>
      <t xml:space="preserve">Berenson's cold; work on Villa I Tatti; Salomon Reinach article on Leonardo da Vinci; Wilhelm von Bode pamphlet; Huntington, NY; Rosemary Farm; French Count; musicale; Gertrude Atherton's </t>
    </r>
    <r>
      <rPr>
        <rFont val="Times New Roman"/>
        <i/>
        <color rgb="FF000000"/>
        <sz val="12.0"/>
      </rPr>
      <t>Tower of Ivory</t>
    </r>
    <r>
      <rPr>
        <rFont val="Times New Roman"/>
        <color rgb="FF000000"/>
        <sz val="12.0"/>
      </rPr>
      <t xml:space="preserve"> (novel); David Belasco's </t>
    </r>
    <r>
      <rPr>
        <rFont val="Times New Roman"/>
        <i/>
        <color rgb="FF000000"/>
        <sz val="12.0"/>
      </rPr>
      <t xml:space="preserve">The Lily </t>
    </r>
    <r>
      <rPr>
        <rFont val="Times New Roman"/>
        <color rgb="FF000000"/>
        <sz val="12.0"/>
      </rPr>
      <t xml:space="preserve">(play); George du Maurier's </t>
    </r>
    <r>
      <rPr>
        <rFont val="Times New Roman"/>
        <i/>
        <color rgb="FF000000"/>
        <sz val="12.0"/>
      </rPr>
      <t xml:space="preserve">Trilby </t>
    </r>
    <r>
      <rPr>
        <rFont val="Times New Roman"/>
        <color rgb="FF000000"/>
        <sz val="12.0"/>
      </rPr>
      <t xml:space="preserve">(novel); </t>
    </r>
    <r>
      <rPr>
        <rFont val="Times New Roman"/>
        <i/>
        <color rgb="FF000000"/>
        <sz val="12.0"/>
      </rPr>
      <t>Macbeth</t>
    </r>
    <r>
      <rPr>
        <rFont val="Times New Roman"/>
        <color rgb="FF000000"/>
        <sz val="12.0"/>
      </rPr>
      <t xml:space="preserve">; bad poetry; Richard Strauss's </t>
    </r>
    <r>
      <rPr>
        <rFont val="Times New Roman"/>
        <i/>
        <color rgb="FF000000"/>
        <sz val="12.0"/>
      </rPr>
      <t>Elektra</t>
    </r>
    <r>
      <rPr>
        <rFont val="Times New Roman"/>
        <color rgb="FF000000"/>
        <sz val="12.0"/>
      </rPr>
      <t xml:space="preserve"> (opera); BG's French teacher; Pelléas and Mélisande opera; </t>
    </r>
    <r>
      <rPr>
        <rFont val="Times New Roman"/>
        <i/>
        <color rgb="FF000000"/>
        <sz val="12.0"/>
      </rPr>
      <t>Salomé</t>
    </r>
    <r>
      <rPr>
        <rFont val="Times New Roman"/>
        <color rgb="FF000000"/>
        <sz val="12.0"/>
      </rPr>
      <t xml:space="preserve">; Rossellino bust; Photo-Secession Gallery; Henri Matisse drawings; Henri Matisse self-portrait; Steichen photo of Henri Matisse; Richard Strauss's music; Auguste Rodin drawings; Steichen's photographs of Rodin's </t>
    </r>
    <r>
      <rPr>
        <rFont val="Times New Roman"/>
        <i/>
        <color rgb="FF000000"/>
        <sz val="12.0"/>
      </rPr>
      <t>Balzac</t>
    </r>
    <r>
      <rPr>
        <rFont val="Times New Roman"/>
        <color rgb="FF000000"/>
        <sz val="12.0"/>
      </rPr>
      <t xml:space="preserve">; Allen Upward's </t>
    </r>
    <r>
      <rPr>
        <rFont val="Times New Roman"/>
        <i/>
        <color rgb="FF000000"/>
        <sz val="12.0"/>
      </rPr>
      <t xml:space="preserve">New Word </t>
    </r>
    <r>
      <rPr>
        <rFont val="Times New Roman"/>
        <color rgb="FF000000"/>
        <sz val="12.0"/>
      </rPr>
      <t xml:space="preserve">(book); Gramercy Park; New Theatre; Sophus Michaelis's </t>
    </r>
    <r>
      <rPr>
        <rFont val="Times New Roman"/>
        <i/>
        <color rgb="FF000000"/>
        <sz val="12.0"/>
      </rPr>
      <t>A Son of the People</t>
    </r>
    <r>
      <rPr>
        <rFont val="Times New Roman"/>
        <color rgb="FF000000"/>
        <sz val="12.0"/>
      </rPr>
      <t xml:space="preserve"> (play); BG diary; BG's biography of JPM</t>
    </r>
  </si>
  <si>
    <t>2021/04/28</t>
  </si>
  <si>
    <t>Davis, Lauren</t>
  </si>
  <si>
    <t>LD</t>
  </si>
  <si>
    <t>2022/07/19</t>
  </si>
  <si>
    <t>2022/12/18</t>
  </si>
  <si>
    <t>00056</t>
  </si>
  <si>
    <t>1910_03_08</t>
  </si>
  <si>
    <t>32044150448405_043, 32044150448405_044, 32044150448405_045, 32044150448405_046, 32044150448405_047</t>
  </si>
  <si>
    <t>230-233</t>
  </si>
  <si>
    <t>Third sheet of letter does not have I Tatti Sheet number; "1910" written in pencil, same hand as I Tatti sheet number</t>
  </si>
  <si>
    <t>Hamilton, Juliet Morgan; Matthison, Edith Wynne; Gilberts; Coudert, Amalia Küssner; Mills, Weymar; Ditson, Alice</t>
  </si>
  <si>
    <t>Greek literature; music</t>
  </si>
  <si>
    <t>Plaza Hotel; Euripdes' Elektra; musicale; New Theatre opera; La Bohème; Hot Springs, VA; The Homestead (Hot Springs, VA)</t>
  </si>
  <si>
    <t>2022/06/22</t>
  </si>
  <si>
    <t>2022/12/19</t>
  </si>
  <si>
    <t>00057</t>
  </si>
  <si>
    <t>1910_03_11</t>
  </si>
  <si>
    <t>32044150448405_048, 32044150448405_049, 32044150448405_050, 32044150448405_051</t>
  </si>
  <si>
    <t>234-235</t>
  </si>
  <si>
    <t>"1910" written in pencil, same hand as I Tatti sheet number</t>
  </si>
  <si>
    <t>Morgan, J. Pierpont; Hills, Laura Coombs; Knoblauch, Mary Bookstaver; Seligmann, Jacques; Fry, Roger; Burroughs, Bryson; Ditson, Alice M.</t>
  </si>
  <si>
    <t>modern art; images of BG; American art; American literature</t>
  </si>
  <si>
    <r>
      <rPr>
        <rFont val="Times New Roman"/>
        <color rgb="FF000000"/>
        <sz val="12.0"/>
      </rPr>
      <t xml:space="preserve">Morgan Library cable address; Matisse exhibition; Laura Hills miniature of BG (MLM AZ164); Gertrude Stein, </t>
    </r>
    <r>
      <rPr>
        <rFont val="Times New Roman"/>
        <i/>
        <color rgb="FF000000"/>
        <sz val="12.0"/>
      </rPr>
      <t>Three Lives</t>
    </r>
    <r>
      <rPr>
        <rFont val="Times New Roman"/>
        <color rgb="FF000000"/>
        <sz val="12.0"/>
      </rPr>
      <t>; opening of "The Academy"; BG weight; Rome; Mauretania (ship)</t>
    </r>
  </si>
  <si>
    <t>00058</t>
  </si>
  <si>
    <t>1910_03_22</t>
  </si>
  <si>
    <t>32044150448405_056, 32044150448405_057, 32044150448405_058, 32044150448405_059, 32044150448405_060, 32044150448405_061</t>
  </si>
  <si>
    <t>239-244</t>
  </si>
  <si>
    <t>12</t>
  </si>
  <si>
    <t xml:space="preserve">Johns, Claude Hermann Walter; Johns, Agnes Sophia Griffith; Morgan, J. Pierpont; Wierzbicki, Vincent de </t>
  </si>
  <si>
    <t>language learning; music; ancient art</t>
  </si>
  <si>
    <t>Hot Springs; Babylonian and Assyrian tablets; Queens College, Cambridge; Philadelphia; Boston; BG clothing; respectability; the English; Italy; Anatole France, La vie de Jeanne d'Arc; BG French language course; musicales and parties; Egypt</t>
  </si>
  <si>
    <t>2021/05/01</t>
  </si>
  <si>
    <t>2023/01/14</t>
  </si>
  <si>
    <t>00059</t>
  </si>
  <si>
    <t>1910_03_27</t>
  </si>
  <si>
    <t>32044150448405_063, 32044150448405_064, 32044150448405_065, 32044150448405_066</t>
  </si>
  <si>
    <t>PLANDOME MILLS / PTN 17 L PORT WASHINGTON / LONG ISLAND</t>
  </si>
  <si>
    <t>Port Washington, New York</t>
  </si>
  <si>
    <t>246-247</t>
  </si>
  <si>
    <t>"1910" written by BB; Letterhead has non-alphanumeric characters; paper is blue; Plandome Mills, the estate of Warner Miffler Leeds II and his wife, was located on Long Island's Gold Coast; incomplete letter (missing at least one sheet at end)</t>
  </si>
  <si>
    <t>Leeds, Louise Hartshom; McKee, Bobby; Cosgrave, John O'Hara; Wood, Arnold; Mackay, Katherine Alexander; Earle, Richard Mortimer; Mills, Beatrice; Grant, Ethel; Grant, Peter Geddes; Wombwell?</t>
  </si>
  <si>
    <t>Easter Sunday; automobile ride; house party; dancing; drag hunt; Glen Cove; horseback riding; Roslyn; tennis; farm; golf; polo; corking field; Locomobile car</t>
  </si>
  <si>
    <t>2023/01/16</t>
  </si>
  <si>
    <t>00060</t>
  </si>
  <si>
    <t>1910_03_28</t>
  </si>
  <si>
    <t>32044150448405_052, 32044150448405_053, 32044150448405_054, 32044150448405_055</t>
  </si>
  <si>
    <t>236-238</t>
  </si>
  <si>
    <t>"1910" written by BB; Apparently a continuation of the previous letter (27 March). Last sheet of letter does not have I Tatti Sheet number</t>
  </si>
  <si>
    <t>Costelloe, Rachel; Forbes-Robertson, Johnston; Elliott, Gertrude; Grant, Ethel; Grant, Peter Geddes; Shinn, Everett; McKee, Bobby; Anspacher, Louis; Kidder, Kathryn; Armstrong, Paul; Morgan, J. Pierpont; Jewett, Rutgers; Goulds; Inches, Louise Pomeroy; Hickox, Ralph; Lanier, Charles</t>
  </si>
  <si>
    <t>circus; Delmonico's; Martin's; Rome; Perugia; Florence; Paris; John Lane Co.; Bernard Berenson, A Sienese Painter of the Franciscan Legend; Boston; "octogenarian lovers"; Lusitania (ship)</t>
  </si>
  <si>
    <t>00061</t>
  </si>
  <si>
    <t>1910_03_29</t>
  </si>
  <si>
    <t>32044150448405_062</t>
  </si>
  <si>
    <t>245</t>
  </si>
  <si>
    <t>Altman, Benjamin; Matthison, Edith Wynne</t>
  </si>
  <si>
    <t>American literature; Belgian literature; drama; poetry</t>
  </si>
  <si>
    <t>Hot Springs; New Theatre; Maurice Maeterlinck, Sister Beatrice; John Davidson, Ballad of a Nun; weather</t>
  </si>
  <si>
    <t>00062</t>
  </si>
  <si>
    <t>1910_03_30</t>
  </si>
  <si>
    <t>32044150448405_067, 32044150448405_068</t>
  </si>
  <si>
    <t>248</t>
  </si>
  <si>
    <t>Kirby; Grétor, William; Altman, Benjamin; Seligmann, Jacques; Rey, Emile</t>
  </si>
  <si>
    <t>Dutch art; French literature; private collections</t>
  </si>
  <si>
    <t>Charles T. Yerkes collection catalogue; carpets; tapestries; Hudson-Fulton Dutch Exhibition catalogue; Anatole France, La vie de Jeanne d'Arc</t>
  </si>
  <si>
    <t>00063</t>
  </si>
  <si>
    <t>07</t>
  </si>
  <si>
    <t>1910_04_11</t>
  </si>
  <si>
    <t>32044150448413_001, 32044150448413_002, 32044150448413_003, 32044150448413_004, 32044150448413_005, 32044150448413_006, 32044150448413_007</t>
  </si>
  <si>
    <t>249-255</t>
  </si>
  <si>
    <t>Morgan, J. Pierpont; Costelloe, Rachel; Ryan, Thomas Fortune; Bardini, Stefano; Seligmann, Jacques; Rey, Emile; Laffan, William; Laffan, Georgiana Radcliffe; Ryan, John Barry; Fry, Roger; Burroughs, Bryson; Walters, Henry; Blumenthal, Florence; Duveen, Henry; Griscom, Elizabeth Duer; Griscom, Lloyd Carpenter</t>
  </si>
  <si>
    <t>music; Italian art; French art; Modern art; British literature; poetry; cultural institutions; private collections</t>
  </si>
  <si>
    <t>Rome; Florence; Boston; opera box; Chicago; Thomas Ryan collection; Mino da Fiesole; Bernardo Rossellino; Bardini busts; Pieta with Donors (Metropolitan, 16.31.1), "Biron Pieta"; JPM's sculpture collection; enamels; Nardon Pénicaud enamels after Martin Schongauer's Passion series; Joaquin Sorolla, Portrait of Thomas Fortune Ryan (University of Virginia Darden School of Business, Charlottesville); Ryan gifts to Metropolitan Museum of Art; Rodin busts of Thomas Ryan; Rodin, Pygmalion and Galatea (Metropolitan, 10.31); Ryan creation of Rodin aquisition fund at Metropolitan; Lewis Carroll, The Walrus and the Carpenter; Berenson cataloging Henry Walters paintings collection; Charles T. Yerkes sale (5–8 April) at American Art Association; carpets; high prices for rugs at auction; Philadelphia; Washington</t>
  </si>
  <si>
    <t>2020/01/11</t>
  </si>
  <si>
    <t>2023/01/17</t>
  </si>
  <si>
    <t>00064</t>
  </si>
  <si>
    <t>1910_04_19</t>
  </si>
  <si>
    <t>32044150448413_008, 32044150448413_009, 32044150448413_010</t>
  </si>
  <si>
    <t>256-258</t>
  </si>
  <si>
    <t>Drexel, Anthony Joseph, Jr.; Gould, Marjorie</t>
  </si>
  <si>
    <t>images of BG; French art</t>
  </si>
  <si>
    <t>Philadelphia; picture of BB; Beaux-Arts; Gould-Drexel wedding; photograph of BG; Boston</t>
  </si>
  <si>
    <t>2021/05/06</t>
  </si>
  <si>
    <t>2023/03/03</t>
  </si>
  <si>
    <t>00065</t>
  </si>
  <si>
    <t>1910_05_06</t>
  </si>
  <si>
    <t>32044150448413_011, 32044150448413_012, 32044150448413_013, 32044150448413_014, 32044150448413_015, 32044150448413_016</t>
  </si>
  <si>
    <t>259-264</t>
  </si>
  <si>
    <t>Mumford, Ethel Watts; Winship, William; Ditson, Alice M.; Nichols, Rose Standish; Greenslet, Ferris; Berenson, Senda; Morgan, J. Pierpont; Updyke, Bertie; Truesdale, Annie Topping</t>
  </si>
  <si>
    <t>cultural institutions</t>
  </si>
  <si>
    <t>Boston; College Club; BG clothing; BG writing; Smith College; Mauretania; Rome; Paris; London; Egypt; BG "former incarnations"; BG country home in Tuckahoe</t>
  </si>
  <si>
    <t>2023/03/06</t>
  </si>
  <si>
    <t>00066</t>
  </si>
  <si>
    <t>1910_06_07</t>
  </si>
  <si>
    <t>32044150448413_017, 32044150448413_018, 32044150448413_019, 32044150448413_020, 32044150448413_021, 32044150448413_022, 32044150448413_023, 32044150448413_024, 32044150448413_025, 32044150448413_026</t>
  </si>
  <si>
    <t>265-274</t>
  </si>
  <si>
    <t>Originally included photograph of Laura Hills miniature of BG</t>
  </si>
  <si>
    <t>Baca-Flor, Carlos; Berenson, Mary; Bigelow, John; Morgan, J. Pierpont, Jr.; Walters, Henry; Hills, Laura Coombs; Choate, Joseph Hodges; Morgan, J. Pierpont</t>
  </si>
  <si>
    <t>British literature; poetry; images of BG; South American art</t>
  </si>
  <si>
    <t>BB illness; Mary Berenson writing to BG; Algernon Charles Swinburne, "The Oblation"; planning of European trip; photograph of Laura Coombs Hills miniature of BG; BG "former incarnations"; Baca-Flor portrait of BG; Baca-Flor portraits of JPM, Choate (Met, 30.22), Bigelow (Union College), Walters, and Jack Morgan</t>
  </si>
  <si>
    <t>00067</t>
  </si>
  <si>
    <t>1910_06_09</t>
  </si>
  <si>
    <t>32044150448413_027</t>
  </si>
  <si>
    <t>275</t>
  </si>
  <si>
    <t>"1910" written by BB; letter reads "Thursday June 7," though the previous letter is dated "Tuesday June 7" and June 9 fell on a Thursday in 1910</t>
  </si>
  <si>
    <t>Originally included photograph of BG</t>
  </si>
  <si>
    <t>Photograph of BG</t>
  </si>
  <si>
    <t>2023/03/08</t>
  </si>
  <si>
    <t>00068</t>
  </si>
  <si>
    <t>1910_06_20_21</t>
  </si>
  <si>
    <t>32044150448413_028, 32044150448413_029, 32044150448413_030, 32044150448413_031, 32044150448413_032, 32044150448413_033</t>
  </si>
  <si>
    <t>276-281</t>
  </si>
  <si>
    <t>Untermyer, Minnie Carl; Ryan, Thomas Fortune; Untermyer, Samuel; Morgan, J. Pierpont; Ditson, Alice</t>
  </si>
  <si>
    <t>Italian art; French art; Modern art; private collections</t>
  </si>
  <si>
    <t>Morgan Library cable code; Paris; Mauretania; Thomas Fortune Ryan collection; Mino da Fiesole; Rossellino; Francesco da Laura; Limoges; Rodin bust of Thomas Fortune Ryan; Luxembourg Gardens; Hotel Liverpool; Paris; London</t>
  </si>
  <si>
    <t>00069</t>
  </si>
  <si>
    <t>1910_06_21</t>
  </si>
  <si>
    <t>32044150448413_034, 32044150448413_035, 32044150448413_036, 32044150448413_037, 32044150448413_038, 32044150448413_039, 32044150448413_040, 32044150448413_041, 32044150448413_042</t>
  </si>
  <si>
    <t>282-290</t>
  </si>
  <si>
    <t>Hastings, Helen Benedict ; Crowninshield, Frank; Laffan, William Mackay; Gayley, Julia Thurston; Laffan, Georgiana Radcliffe; Gayley, James; Burden, Sir; Morgan, J. Pierpont</t>
  </si>
  <si>
    <t>Italian art; Greek literature; fiction; acquisitions; Medieval and Renaissance manuscripts; British literature; poetry</t>
  </si>
  <si>
    <t>Paris; Lawrence, Long Island; divorce; Assisi; Simone Martini; BB, Central Italian Painters of the Renaissance; philosophy; religion; Boston; Corsair; JPM receiving honorary degree from Harvard; boat races; New London, CT; Europe; JPM new acquisitions; paintings; Aesop Fables manuscript; Bible manuscript; sixth-century manuscript; Equitable Life Assurance Society of the United States; JPM's "harem" of women; BG country house; Newport; Ernest Christopher Dowson, "Cynara"</t>
  </si>
  <si>
    <t>2021/05/08</t>
  </si>
  <si>
    <t>2023/03/11</t>
  </si>
  <si>
    <t>00070</t>
  </si>
  <si>
    <t>1910_06_23</t>
  </si>
  <si>
    <t>32044150448413_043, 32044150448413_044, 32044150448413_045, 32044150448413_046, 32044150448413_047</t>
  </si>
  <si>
    <t>291-295</t>
  </si>
  <si>
    <t>"1910" written by BB; date was originally transcribed as "June 21," but in 1910 that day fell on a Tuesday</t>
  </si>
  <si>
    <t>London; Oceanic (ship); trip to Europe; Italy; Flemings Hotel, Piccadilly; Rome; Florence, Venice; Siena; Assisi; BG kisses the letter</t>
  </si>
  <si>
    <t>00071</t>
  </si>
  <si>
    <t>08</t>
  </si>
  <si>
    <t>1910_07_06</t>
  </si>
  <si>
    <t>32044150448421_001, 32044150448421_002</t>
  </si>
  <si>
    <t>295-296</t>
  </si>
  <si>
    <t>Newport; Taft administration; BG country house; stock market; Paris</t>
  </si>
  <si>
    <t>2021/05/09</t>
  </si>
  <si>
    <t>2023/03/13</t>
  </si>
  <si>
    <t>00072</t>
  </si>
  <si>
    <t>1910_07_11</t>
  </si>
  <si>
    <t>32044150448421_003, 32044150448421_004</t>
  </si>
  <si>
    <t>297-298</t>
  </si>
  <si>
    <t>Littleton, Maud Wilson; Littleton, Martin W.; Morgan, J. Pierpont</t>
  </si>
  <si>
    <t>British literature; fiction</t>
  </si>
  <si>
    <t>Paris; Peter Pan; Corsair; England; Roslyn, NY</t>
  </si>
  <si>
    <t>00073</t>
  </si>
  <si>
    <t>1910_07_25</t>
  </si>
  <si>
    <t>32044150448421_005, 32044150448421_006, 32044150448421_007, 32044150448421_008, 32044150448421_009</t>
  </si>
  <si>
    <t>299-303</t>
  </si>
  <si>
    <t>"1910" written by BB (in pencil)</t>
  </si>
  <si>
    <t>Morgan, J. Pierpont; Ditson, Alice M.</t>
  </si>
  <si>
    <t>Munich; London; Paris; Genoa; Turin; Milan; Venice; Adriatic (ship); Rome; Florence; Morgan, Grenfell &amp; Co.</t>
  </si>
  <si>
    <t>00074</t>
  </si>
  <si>
    <t>1910_07_26</t>
  </si>
  <si>
    <t>32044150448421_010, 32044150448421_011, 32044150448421_012, 32044150448421_013</t>
  </si>
  <si>
    <t>304-307</t>
  </si>
  <si>
    <t>Morgan, J. Pierpont; Berenson, Mary</t>
  </si>
  <si>
    <t>Oceanic (ship); London; Fleming's Hotel, Piccadilly; Claridges; Paris; Italy; Adriatic (ship); Southampton; spa cure</t>
  </si>
  <si>
    <t>00075</t>
  </si>
  <si>
    <t>1910_07_29</t>
  </si>
  <si>
    <t>32044150448421_014, 32044150448421_015, 32044150448421_016, 32044150448421_017, 32044150448421_018, 32044150448421_019, 32044150448421_020, 32044150448421_021, 32044150448421_022, 32044150448421_023, 32044150448421_024</t>
  </si>
  <si>
    <t>308-318</t>
  </si>
  <si>
    <t>22</t>
  </si>
  <si>
    <t>"1910" written by BB; "[1910]" written in a later hand in upper right corner of 32044150448421_019</t>
  </si>
  <si>
    <t>Armour, Allison</t>
  </si>
  <si>
    <t>London; Paris; Italy; BB calling BG a "flirt"; BG's curiosity; BG diary; Princeton; BG maid; Claridges</t>
  </si>
  <si>
    <t>2023/03/14</t>
  </si>
  <si>
    <t>00076</t>
  </si>
  <si>
    <t>1910_08_05</t>
  </si>
  <si>
    <t>32044150448421_025</t>
  </si>
  <si>
    <t>319</t>
  </si>
  <si>
    <t>Cablegram to BB in London</t>
  </si>
  <si>
    <t>Claridges; Constantinople</t>
  </si>
  <si>
    <t>00077</t>
  </si>
  <si>
    <t>1910_09_07?</t>
  </si>
  <si>
    <t>32044150448421_039, 32044150448421_040, 32044150448421_041, 32044150448421_042</t>
  </si>
  <si>
    <t>GRAND HOTEL / &amp; ROYAL / L. BETTI, PROP.</t>
  </si>
  <si>
    <t>327-328</t>
  </si>
  <si>
    <t>Letterhead has image of a she-wolf being suckled by Romulus and Remus, set atop a column capital and surmounted by "SIENA." Beneath the column reads, "COR MAGIS TIBI SENA PANDIT"; "1910" written by BB; the date is unclear: September 7 was a Wednesday</t>
  </si>
  <si>
    <t>Berenson, Mary; Berenson, Bernard; Ditson, Alice</t>
  </si>
  <si>
    <t>French literature; fiction</t>
  </si>
  <si>
    <t>George du Maurier, Peter Ibbetson; Rome; London; BG and BB needing chaperone</t>
  </si>
  <si>
    <t>2023/03/16</t>
  </si>
  <si>
    <t>00078</t>
  </si>
  <si>
    <t>1910_09_15</t>
  </si>
  <si>
    <t>32044150448421_026, 32044150448421_027, 32044150448421_028, 32044150448421_029, 32044150448421_030, 32044150448421_031, 32044150448421_032, 32044150448421_033, 32044150448421_034, 32044150448421_035, 32044150448421_036, 32044150448421_037</t>
  </si>
  <si>
    <t>LE GRAND HOTEL / ROME</t>
  </si>
  <si>
    <t>Rome</t>
  </si>
  <si>
    <t>Italy</t>
  </si>
  <si>
    <t>320-325</t>
  </si>
  <si>
    <t>17</t>
  </si>
  <si>
    <t>Images and I Tatti sheet numbers out of order; letterhead has image of eagle mean which reads "SPQR / TOVT CHEMIN MENE À ROME"; "Sept. 15, 1910" written by BB [Thursday was September 15,  not September 16 as is written by BG]</t>
  </si>
  <si>
    <t>Monsignor Ugolini (?); Ditson, Alice; Pope Pius X; Val, Rafael Merry del; Ehrle, Franz</t>
  </si>
  <si>
    <t>Italian art; cultural institutions; Islamic art; Greco-Roman art</t>
  </si>
  <si>
    <t>Paris; Raphael Stanze; Vatican Pinactoca; Melozzo da Forli, Sixtus IV Appointing Platina as Prefect of the Vatican Library (Pinacoteca Vaticana); Sassetta, The Vision of Saint Thomas Aquinas (Pinacoteca Vaticana); Sano di Pietro, Marriage of the Virgin (Pinacoteca Vaticana); Giovanni di Paolo, Annunciation (Pinacoteca Vaticana); Bernardino dei Conti, Francesco Sforza (Pinacoteca Vaticana); fake Bernardino dei Conti in Morgan collection; Francescuccio Ghissi, Madonna of Humility (Pinacoteca Vaticana); Fra Angelico, predella (Stories of Saint Nicholas of Bari?); Islamic Art exhibition in Munich; Perugino, Pietro; Villa d'Este, Tivoli; Colisseum; Roman Forum; St. Peter's; Giotto; Vatican vestments and chalices; Pollaiuolo, bronze candlesticks; Pollaiuolo, Tomb of Pope Sixtus IV; gift of handkerchief; Vatican library; Keats-Shelley Memorial House, Rome</t>
  </si>
  <si>
    <t>2023/3/15</t>
  </si>
  <si>
    <t>2023/3/16</t>
  </si>
  <si>
    <t>00079</t>
  </si>
  <si>
    <t>1910_09_17</t>
  </si>
  <si>
    <t>32044150448421_045, 32044150448421_046, 32044150448421_047, 32044150448421_049, 32044150448421_050</t>
  </si>
  <si>
    <t>GRAND HÔTEL / FLORENCE</t>
  </si>
  <si>
    <t>Florence</t>
  </si>
  <si>
    <t>330-335</t>
  </si>
  <si>
    <t>Letterhead has coat of arms, beneath which reads, "MÊME MAISON / HÔTEL ITALIE"; "Sept. 17, 1910" written by BB</t>
  </si>
  <si>
    <t>Blumenthal, George; Lorenzetti; Van Vechten, Anna Snyder; Blumenthal, Florence Meyer; Van Vechten, Carl; Berenson, Mary; Hosmer, Jack; Murray, Charles Fairfax</t>
  </si>
  <si>
    <t>Rome; Siena; Orvieto; Orvieto Cathedral; Hotel d'Italie, Florence; Villa I Tatti; Galleria degli Uffizi; Florence Duomo; Florence Baptistry; bronze doors of Florence Baptistry</t>
  </si>
  <si>
    <t>2023/03/18</t>
  </si>
  <si>
    <t>00080</t>
  </si>
  <si>
    <t xml:space="preserve">1910_09_17 </t>
  </si>
  <si>
    <t>32044150448421_038, 32044150448421_043, 32044150448421_044</t>
  </si>
  <si>
    <t>326, 329</t>
  </si>
  <si>
    <t>Letterhead has image of a she-wolf being suckled by Romulus and Remus, set atop a column capital and surmounted by "SIENA." Beneath the column reads, "COR MAGIS TIBI SENA PANDIT"; "Sept. / 17 or 19" written by BB, but Saturday would have been 17 September in 1910; I Tatti sheet numbers out of order. Staple holes in upper left corner of 32044150448421_038 appear to match staple holes in upper left corner of 32044150448421_043, suggesting they were once attached to one another. 32044150448421_038 appears to show a half-sheet of stationery (see tear on right margin)</t>
  </si>
  <si>
    <t>Berenson, Mary; Berenson, Bernard; Berenson, Senda; Lorenzetti</t>
  </si>
  <si>
    <t>Orvieto; Grand Hotels</t>
  </si>
  <si>
    <t>2022/07/05</t>
  </si>
  <si>
    <t>00081</t>
  </si>
  <si>
    <t>09</t>
  </si>
  <si>
    <t>1910_10_09</t>
  </si>
  <si>
    <t>32044150448439_001, 32044150448439_002, 32044150448439_003, 32044150448439_004, 32044150448439_005, 32044150448439_006, 32044150448439_007, 32044150448439_008, 32044150448439_009</t>
  </si>
  <si>
    <t>CLARIDGE'S HOTEL, / BROOK STREET. W.</t>
  </si>
  <si>
    <t>London</t>
  </si>
  <si>
    <t>United Kingdom</t>
  </si>
  <si>
    <t>336-340</t>
  </si>
  <si>
    <t>Letterhead has coat of arms surmounting "CLARIDGE'S"; "Oct. 9 1910" written by BB</t>
  </si>
  <si>
    <t>Morgan, J. Pierpont; Cavendish, Victor; Grant, Ethel; Durlacher, George; Doucet, Jacques; Drey, Aaron S.; Duveen, Henry; Pollard, Alfred; Fitzhenry, Joseph Henry; Read, Charles Hercules; Murray, Charles Fairfax; Duveen, Joseph; Thompson, Henry Yates; Thompson, Elizabeth Smith; Colonel Lyons; Smith, Clifford; Rosenheim, Max; Smith, Clifford; Mrs. Hyde</t>
  </si>
  <si>
    <t>cultural institutions; Byzantine art; private collections</t>
  </si>
  <si>
    <t>British Museum; South Kensington Museum (Victoria &amp; Albert Museum); Morgan's collection; Byzantine necklace; Burlington Fine Arts Club; Duke of Devonshire's Burgundian tapestries; JPM's Beavais tapestries; BG's doctor in London; "forbidden topics" (contraception); National Gallery; France; woodcuts; bookplates; Duveens' Paris office; JPM's catalogue of bronzes; Renaissance; BG's Paris address</t>
  </si>
  <si>
    <t>2023/03/21</t>
  </si>
  <si>
    <t>00082</t>
  </si>
  <si>
    <t>1910_10_10</t>
  </si>
  <si>
    <t>32044150448439_010, 32044150448439_011, 32044150448439_012, 32044150448439_013</t>
  </si>
  <si>
    <t>341-342</t>
  </si>
  <si>
    <t>Letterhead has coat of arms surmounting "CLARIDGE'S"; "Oct. 10, 1910" written by BB</t>
  </si>
  <si>
    <t>Harris; Harrison, Ethel; Thompson, Henry Yates</t>
  </si>
  <si>
    <t>acquisitions</t>
  </si>
  <si>
    <t>Paris; museums; clothes shopping; BG manuscript purchase; early French manuscripts; Holford; Folkstone; Boulogne; drugs</t>
  </si>
  <si>
    <t>2023/03/23</t>
  </si>
  <si>
    <t>00083</t>
  </si>
  <si>
    <t>1910_10_11</t>
  </si>
  <si>
    <t>32044150448439_014, 32044150448439_015, 32044150448439_016, 32044150448439_017, 32044150448439_018, 32044150448439_019</t>
  </si>
  <si>
    <t>343-348</t>
  </si>
  <si>
    <t>Letterhead has coat of arms surmounting "CLARIDGE'S"; "Oct. 11 1910" written by BB</t>
  </si>
  <si>
    <t>Harrison, Ethel; Cockerell, Sydney; Huntington, Archer Milton; Holford, George; Harris, Lionel; Colvin, Sidney; Rosenheim, Max; Grant, Ethel; Read, Charles Hercules; Colonel Lyons; Fry, Roger; Pollard, Alfred; Thompson, Henry Yates</t>
  </si>
  <si>
    <t>Italian art; Spanish art; cultural institutions; Medieval and Renaissance manuscripts</t>
  </si>
  <si>
    <t>Paris; Paris strike; Boulogne; museums; Rosenheim's medals; Pollaiuolo medal; bronze door; Sackville Galleries; Titian; BG manuscript purchase (MS M. 429); El Greco paintings; Munich; British Museum; National Gallery; Princes Gate; BG's doctor in London</t>
  </si>
  <si>
    <t>00084</t>
  </si>
  <si>
    <t>1910_10_12</t>
  </si>
  <si>
    <t>32044150448439_020, 32044150448439_021, 32044150448439_022, 32044150448439_023, 32044150448439_024, 32044150448439_025, 32044150448439_026, 32044150448439_027</t>
  </si>
  <si>
    <t>349-352</t>
  </si>
  <si>
    <t>Letterhead has coat of arms surmounting "CLARIDGE'S"; "Oct. 12, 1910" written by BB</t>
  </si>
  <si>
    <t>Colvin, Sidney; Harrison, Ethel; Borenius, Tancred; Quaritch, Bernard Alfred; Grant, Peter Geddes; Harcourt-Smith, Sir Cecil; Lennox, Lady Blanche Algernon Gordon; Phillips, Claude; Cockerell, Sydney; Hind, Arthur Maygar; Marie; Dreyfus, Gustave; Morgan, J. Pierpont; Hon. Mrs. Talbot; Wertheimer, Asher; Grant, Ethel; Fry, Roger</t>
  </si>
  <si>
    <t>Chinese art; Persian art; Medieval and Renaissance manuscripts; British literature; fiction; French art; cultural institutions; private collections</t>
  </si>
  <si>
    <t>London; train strike; Thomas Cook &amp; Son (rail travel agency); Cherbourg; Boulogne; Hotel Bristol Paris; Hotel Bristol Boulogne; Society of Antiquaries; medieval manuscripts; British Museum; Chinese drawings; Persian pottery; prints; Prince's Gate; Elinor Glyn; Louvre; Musée de Cluny; Musée national Gustave Moreau; Maison Bing (art dealer); Chartres; paintings in Fry collection; Judith and Holofernes; Persian drawings; enamel chasse; St. Louis chasse; South Kensington Museum (Victoria &amp; Albert Museum)</t>
  </si>
  <si>
    <t>2022/07/20</t>
  </si>
  <si>
    <t>2023/04/01</t>
  </si>
  <si>
    <t>00085</t>
  </si>
  <si>
    <t>1910_10_14</t>
  </si>
  <si>
    <t>32044150448439_028, 32044150448439_029, 32044150448439_030, 32044150448439_031, 32044150448439_032</t>
  </si>
  <si>
    <t>353-355</t>
  </si>
  <si>
    <t>Letterhead has coat of arms surmounting "CLARIDGE'S"; "Oct. 14, 1910" written by BB</t>
  </si>
  <si>
    <t>Harris, Lionel; Grant, Peter Geddes; Harrison, Ethel; Grant, Ethel</t>
  </si>
  <si>
    <t xml:space="preserve">train strike; Thomas Cook &amp; Son (rail travel agency); Paris; Boulogne; Cherbourg; Oceanic (ship); London; Southampton; play; Hotel Bristol Boulogne; National Gallery; </t>
  </si>
  <si>
    <t>2023/04/03</t>
  </si>
  <si>
    <t>00086</t>
  </si>
  <si>
    <t>1910_10_15</t>
  </si>
  <si>
    <t>32044150448439_033, 32044150448439_034, 32044150448439_035, 32044150448439_036</t>
  </si>
  <si>
    <t>356-357</t>
  </si>
  <si>
    <t>Letterhead has coat of arms surmounting "CLARIDGE'S"; "Oct. 145 1910" written by BB</t>
  </si>
  <si>
    <t>Thompson, Elizabeth Smith; Duveen, Henry; Thompson, Henry Yates; Duveen, Benjamin</t>
  </si>
  <si>
    <t>Paris; Hotel Ritz; Cherbourg; Rembrandt etching; Morgan Harjes; Southampton; Oceanic (ship); Lusitania (ship); Bath Club</t>
  </si>
  <si>
    <t>00087</t>
  </si>
  <si>
    <t>1910_10_17</t>
  </si>
  <si>
    <t>32044150448439_037, 32044150448439_038, 32044150448439_039, 32044150448439_040</t>
  </si>
  <si>
    <t>358-359</t>
  </si>
  <si>
    <t>Letterhead has coat of arms surmounting "CLARIDGE'S"; "Oct. 17, 1910" written by BB</t>
  </si>
  <si>
    <t>Rey, Emile; Duveen, Henry; Harrison, Ethel; Harcourt-Smith, Sir Cecil; Grant, Peter Geddes; Morgan, J. Pierpont; Harcourt-Smith, Alice Edith; Seligmann, Jacques; Blumenthal, Florence Meyer</t>
  </si>
  <si>
    <t>Paris; BB gifts</t>
  </si>
  <si>
    <t>00088</t>
  </si>
  <si>
    <t>1910_10_17 (second letter)</t>
  </si>
  <si>
    <t>32044150448447_001, 32044150448447_002, 32044150448447_003, 32044150448447_004, 32044150448447_005, 32044150448447_006, 32044150448447_007, 32044150448447_008</t>
  </si>
  <si>
    <t>360-363</t>
  </si>
  <si>
    <t>Letterhead has coat of arms surmounting "CLARIDGE'S"; "Oct. 18 1910" written by BB, though in 1910 the Monday of this particular week fell on the 17th. The text of this letter references an earlier missive BG sent BB that morning, presumably Letter #88.</t>
  </si>
  <si>
    <t>Lady Laird; Huntington, Henry; Asquith, Katherine Frances; Lennox, Lady Blanche Algernon Gordon; Harrison, Ethel; Huntington, Arabella; Asquith, Raymond Herbert; Grigsby, Emilie; Morgan, J. Pierpont, Jr.; Yerkes, Charles T. ; Grant, Ethel</t>
  </si>
  <si>
    <t>BB gifts; BG clothing; Fortuny wrap; Venice; Ca' d'Oro, Venice; "Topic No. 2"</t>
  </si>
  <si>
    <t>2021/07/03</t>
  </si>
  <si>
    <t>2023/04/17</t>
  </si>
  <si>
    <t>00089</t>
  </si>
  <si>
    <t>1910_10_18</t>
  </si>
  <si>
    <t>32044150448447_017, 32044150448447_018, 32044150448447_019, 32044150448447_020, 32044150448447_021, 32044150448447_022, 32044150448447_023, 32044150448447_024</t>
  </si>
  <si>
    <t>CLARIDGE'S HOTEL, BROOK STREET. W.</t>
  </si>
  <si>
    <t>368-371</t>
  </si>
  <si>
    <t>Letterhead has coat of arms surmounting "CLARIDGE'S"; "Oct. 18, 1910" written by BB; images and I Tatti sheet numbers out of order</t>
  </si>
  <si>
    <t>Morgan, J. Pierpont; Obach, Charles; Thompson, Henry Yates; Murray, Charles Fairfax; Marie; Lydig, Rita de Acosta; Serristori, Hortense; Lennox, Lady Blanche Algernon Gordon; Curtis, Ralph; Robins, Thomas Ellis; Quaritch, Bernard Alfred; Thompson, Elizabeth Smith; Harrison, Ethel; Berenson, Mary</t>
  </si>
  <si>
    <t>Dutch art; library work; American literature; drama; acquisitions; cultural institutions</t>
  </si>
  <si>
    <t>BG telegraph to Mary Berenson; train strike; Paris; Venice; Southampton Oceanic (ship); keeping BG-BB relationship private; Italy; acquisition of Rembrandt etching from Obach; BG clothing; Tower of London; Inconstant George (play); National Gallery; recent illness; Villa I Tatti; London; Madrid; New York; BG maid; Cherbourg</t>
  </si>
  <si>
    <t>2022/06/23</t>
  </si>
  <si>
    <t>2022/07/08</t>
  </si>
  <si>
    <t>00090</t>
  </si>
  <si>
    <t>1910_10_19 (first letter)</t>
  </si>
  <si>
    <t>32044150448447_009, 32044150448447_010, 32044150448447_011, 32044150448447_012, 32044150448447_013, 32044150448447_014, 32044150448447_015, 32044150448447_016</t>
  </si>
  <si>
    <t>364-367</t>
  </si>
  <si>
    <t>Letterhead has coat of arms surmounting "CLARIDGE'S"; written on Claridge's notecards rather than letter paper; "Oct. 19, 1910" written by BB; "Oct. 18, 1910 1 p.m." written by BB at top of postscript; images and I Tatti sheet numbers out of order</t>
  </si>
  <si>
    <t>Morgan, Anne; Morgan, J. Pierpont; Williamson, Louisa Mary Lethbridge; Williamson, George C.; Castellane, Marie Ernest Paul Boniface de</t>
  </si>
  <si>
    <t>BG's hatred of George C. Williamson; R.M.S. Oceanic (ship); Laurence Sterne, A Sentimental Journey</t>
  </si>
  <si>
    <t>2022/06/27</t>
  </si>
  <si>
    <t>00091</t>
  </si>
  <si>
    <t>1910_10_19 (second letter)</t>
  </si>
  <si>
    <t>32044150448447_037, 32044150448447_038, 32044150448447_039, 32044150448447_040</t>
  </si>
  <si>
    <t>On board R.M.S. "Oceanic"</t>
  </si>
  <si>
    <t>378-379</t>
  </si>
  <si>
    <t>Letterhead has a red bugee flag with a star on left of page. Second half of letter headed "5pm." Because Letter #93 is headed "7pm" and extends past October 19, it is clear this letter (#92) was written first (even though I Tatti sheet numbers would suggest the opposite).</t>
  </si>
  <si>
    <t>Williamson, Louisa Mary Lethbridge; Seligmann, Jacques; Williamson, George C.; Morgan, Anne; Bonner; Morgan, J. Pierpont; Rey, Emile</t>
  </si>
  <si>
    <t>new vs. old BG; London; Cherbourg</t>
  </si>
  <si>
    <t>2022/06/28</t>
  </si>
  <si>
    <t>00092</t>
  </si>
  <si>
    <t>1910_10_19_20_23_25</t>
  </si>
  <si>
    <t>32044150448447_025, 32044150448447_026, 32044150448447_027, 32044150448447_028, 32044150448447_029, 32044150448447_030, 32044150448447_031, 32044150448447_032, 32044150448447_033, 32044150448447_034, 32044150448447_035, 32044150448447_036</t>
  </si>
  <si>
    <t>372-377</t>
  </si>
  <si>
    <t>Letterhead has a red bugee flag with a star on left of page; "Oct. 19 – 1910" written by BB at top of page</t>
  </si>
  <si>
    <t>Williamson, George C.; Grant, Ethel; Altman, Benjamin; Obach, Charles; Brownson, Willard Herbert; Turner, Sara; Williamson, Louisa Mary Lethbridge; Grant, Peter Geddes; Duncan, Isadora; Calvé, Emma; Morgan, J. Pierpont; Duveen, Henry; Phillips, Claude; Duveen, Joseph; Jaccaci, August; Seligmann, Jacques; Craig, Edward Gordon; Smith, Marguerite Alice Hélène; Mayer, Gustav; Gardner, Isabella Stewart; Gerald; Brodribb, John Henry; Morgan, Anne; Ditson, Alice M.; Terry, Ellen</t>
  </si>
  <si>
    <t>British art; British literature; Dutch art; Italian art; acquisitions; music</t>
  </si>
  <si>
    <r>
      <rPr>
        <rFont val="Times New Roman"/>
        <color rgb="FF000000"/>
        <sz val="12.0"/>
      </rPr>
      <t xml:space="preserve">Cherbourg; Italy; widespread disapproval or lack of understanding of BG's desire not to marry unless for money; BG and BB's admiration of Mary; BG clothing; BB gift; Paris; Florence; Ellen Terry's desire for BG and Edward Gordon Craig to marry; BG's admiration for Terry's life; George Bernard Shaw correspondence with Ellen Terry; Oscar Wilde; Edward Burne-Jones; William Holman Hunt; BG's dislike of Anne Morgan; sale of Rembrandt etching to Obach &amp; Co.; Fra Filippo Lippi drawing; Metropolitan Opera Company; </t>
    </r>
    <r>
      <rPr>
        <rFont val="Times New Roman"/>
        <i/>
        <color rgb="FF000000"/>
        <sz val="12.0"/>
      </rPr>
      <t>Carmen</t>
    </r>
    <r>
      <rPr>
        <rFont val="Times New Roman"/>
        <color rgb="FF000000"/>
        <sz val="12.0"/>
      </rPr>
      <t xml:space="preserve">; </t>
    </r>
    <r>
      <rPr>
        <rFont val="Times New Roman"/>
        <i/>
        <color rgb="FF000000"/>
        <sz val="12.0"/>
      </rPr>
      <t>Thaïs</t>
    </r>
    <r>
      <rPr>
        <rFont val="Times New Roman"/>
        <color rgb="FF000000"/>
        <sz val="12.0"/>
      </rPr>
      <t xml:space="preserve">; </t>
    </r>
    <r>
      <rPr>
        <rFont val="Times New Roman"/>
        <i/>
        <color rgb="FF000000"/>
        <sz val="12.0"/>
      </rPr>
      <t>Salome</t>
    </r>
    <r>
      <rPr>
        <rFont val="Times New Roman"/>
        <color rgb="FF000000"/>
        <sz val="12.0"/>
      </rPr>
      <t>; English navy; Cincinnati; "Topic No. 2"; Hadrian's Villa</t>
    </r>
  </si>
  <si>
    <t>00093</t>
  </si>
  <si>
    <t>1910_10_20</t>
  </si>
  <si>
    <t>32044150448447_062, 32044150448447_063, 32044150448447_064</t>
  </si>
  <si>
    <t>telegram</t>
  </si>
  <si>
    <t>2023/04/18</t>
  </si>
  <si>
    <t>00094</t>
  </si>
  <si>
    <t>1910_10_25</t>
  </si>
  <si>
    <t>32044150448447_041, 32044150448447_042, 32044150448447_043</t>
  </si>
  <si>
    <t>380-381</t>
  </si>
  <si>
    <t>Letterhead has a red bugee flag with a star on left of page</t>
  </si>
  <si>
    <t>Morgan, J. Pierpont; Berenson, Senda</t>
  </si>
  <si>
    <t>train strike; Mary Berenson's recent illness; Villa I Tatti; Madrid; Peter Ibbetson (opera)</t>
  </si>
  <si>
    <t>2022/06/29</t>
  </si>
  <si>
    <t>2023/04/19</t>
  </si>
  <si>
    <t>00095</t>
  </si>
  <si>
    <t>1910_10_28</t>
  </si>
  <si>
    <t>32044150448447_044, 32044150448447_045, 32044150448447_046, 32044150448447_047</t>
  </si>
  <si>
    <t>382-385</t>
  </si>
  <si>
    <t>Morgan, Anne; Morgan, J. Pierpont</t>
  </si>
  <si>
    <t>BB gifts; American Consul; Customs House; F.A.C. acronym in reference to BB; pictures of BG with Anne Morgan in newspapers; motoring</t>
  </si>
  <si>
    <t>2023/05/01</t>
  </si>
  <si>
    <t>00096</t>
  </si>
  <si>
    <t>1910_10_29</t>
  </si>
  <si>
    <t>32044150448447_048, 32044150448447_049, 32044150448447_050, 32044150448447_051, 32044150448447_052, 32044150448447_053, 32044150448447_054, 32044150448447_055, 32044150448447_056, 32044150448447_057, 32044150448447_058, 32044150448447_059, 32044150448447_060, 32044150448447_061</t>
  </si>
  <si>
    <t>386-399</t>
  </si>
  <si>
    <t>27</t>
  </si>
  <si>
    <t>Originally enclosed letter from Philip Mesier Lydig</t>
  </si>
  <si>
    <t>Gary, Mr. and Mrs. ; Duveen, Henry; Williamson, George C.; Duveen, Joseph; Morgan, J. Pierpont; Seligmann, Jacques; Read, Charles Hercules; Quaritch, Bernard Alfred; Bing, Marcel; Williamson, Louisa Mary Lethbridge; Doucet, Jacques; Stanchfield, John Barry; Altman, Benjamin; Lydig, Philip Mesier; Morgan, Anne; Frick, Henry Clay; Murray, Charles Fairfax; Berenson, Mary; Havemeyer, Henry Osborne</t>
  </si>
  <si>
    <t>Italian art; British art; acquisitions; race and ethnicity; cultural institutions; private collections</t>
  </si>
  <si>
    <r>
      <rPr>
        <rFont val="Times New Roman"/>
        <color rgb="FF000000"/>
        <sz val="12.0"/>
      </rPr>
      <t xml:space="preserve">Tuxedo, NY; Duveen matters; London; Paris; JPM's railroad interests; Customs House; seized painting and box; BG tricking customs agent; Riccio bronze bell; manuscripts; London watch for JPM; BG clothing; gold box containing pencils, penknife, and ruler made of gold; Aviation meet at Belmont Park; Colony Club; fake John Milton miniature; jewelry; South Kensington Museum (Victoria &amp; Albert Museum); Bartolo di Fredi; monographs on Babylonian and Assyrian objects in JPM's collection; photographs of miniatures owned by JPM; catalogue of JPM's bronzes; BG sending BB grapefruit; Villa I Tatti; Benvenuto di Giovanni's </t>
    </r>
    <r>
      <rPr>
        <rFont val="Times New Roman"/>
        <i/>
        <color rgb="FF000000"/>
        <sz val="12.0"/>
      </rPr>
      <t>Assumption of the Virgin with Saint Thomas receiving the Girdle between Saints Francis of Assisi and Anthony of Padua</t>
    </r>
    <r>
      <rPr>
        <rFont val="Times New Roman"/>
        <color rgb="FF000000"/>
        <sz val="12.0"/>
      </rPr>
      <t xml:space="preserve">; Metropolitan Museum of Art; Convent of Grancia, Grosseto; Raphael Workshop, </t>
    </r>
    <r>
      <rPr>
        <rFont val="Times New Roman"/>
        <i/>
        <color rgb="FF000000"/>
        <sz val="12.0"/>
      </rPr>
      <t xml:space="preserve">Madonna di Loreto </t>
    </r>
    <r>
      <rPr>
        <rFont val="Times New Roman"/>
        <color rgb="FF000000"/>
        <sz val="12.0"/>
      </rPr>
      <t>(AZ 139); Metropolitan Museum exhibition of oriental rugs; Altman Collection; Frick Collection; Havemeyer Collection; Ravenna; Claridges Hotel</t>
    </r>
  </si>
  <si>
    <t>2022/06/30</t>
  </si>
  <si>
    <t>00097</t>
  </si>
  <si>
    <t>1910_11_03</t>
  </si>
  <si>
    <t>32044150448454_001, 32044150448454_002, 32044150448454_003</t>
  </si>
  <si>
    <t>MR. MORGAN'S LIBRARY NEW YORK</t>
  </si>
  <si>
    <t>New York, NY</t>
  </si>
  <si>
    <t>402-403</t>
  </si>
  <si>
    <t>Originally enclosed writing paper samples</t>
  </si>
  <si>
    <t>Robinson, Edward; Morgan, J. Pierpont</t>
  </si>
  <si>
    <t>politics; music; cultural institutions</t>
  </si>
  <si>
    <t>opera; New Theatre; museum exhibition; Metropolitan Museum of Art; Franklin Delano Roosevelt's early political career; John Alden Dix as Democratic nominee for New York Governor; writing paper samples</t>
  </si>
  <si>
    <t>2023/05/02</t>
  </si>
  <si>
    <t>00098</t>
  </si>
  <si>
    <t>1910_11_04</t>
  </si>
  <si>
    <t>32044150448454_004, 32044150448454_005, 32044150448454_006, 32044150448454_007, 32044150448454_008, 32044150448454_009, 32044150448454_010, 32044150448454_011</t>
  </si>
  <si>
    <t>404-411</t>
  </si>
  <si>
    <t xml:space="preserve">Duveen, Joseph; Glaenzer, Eugene; Daikins, Dr.; Harrison, Ethel; Amedeo, Prince; Grant, Peter Geddes; Grant, Ethel; Ogle, Mrs. </t>
  </si>
  <si>
    <t>Mauretania (ship); Villa Floridiana, Naples; Colony Club; business in Italy and Paris</t>
  </si>
  <si>
    <t>2022/07/01</t>
  </si>
  <si>
    <t>00099</t>
  </si>
  <si>
    <t>1910_11_08</t>
  </si>
  <si>
    <t>32044150448454_012, 32044150448454_013, 32044150448454_014, 32044150448454_015, 32044150448454_016, 32044150448454_017, 32044150448454_018</t>
  </si>
  <si>
    <t>412-418</t>
  </si>
  <si>
    <t>Blumenthal, Florence Meyer; Blumenthal, George; Lanier, Charles; Glaenzer, Eugene; Williamson, George C.; Ryan, John Barry; Lennox, Lady Blanche Algernon Gordon; Read, Charles Hercules; Ryan, Thomas Fortune; Warwick</t>
  </si>
  <si>
    <t>cultural institutions; music; politics</t>
  </si>
  <si>
    <t xml:space="preserve">Metropolitan Museum of Art; Colony Club; Victor Herbert opera; received BB's letter by boat Mauretania; John Alden Dix and Franklin Delano Roosevelt; Florence; </t>
  </si>
  <si>
    <t>2022/07/06</t>
  </si>
  <si>
    <t>2023/05/03</t>
  </si>
  <si>
    <t>00100</t>
  </si>
  <si>
    <t>1910_11_11</t>
  </si>
  <si>
    <t>32044150448454_019, 32044150448454_020, 32044150448454_021, 32044150448454_022, 32044150448454_023, 32044150448454_024, 32044150448454_025, 32044150448454_026, 32044150448454_027, 32044150448454_028, 32044150448454_029, 32044150448454_030, 32044150448454_031, 32044150448454_032</t>
  </si>
  <si>
    <t>419-431</t>
  </si>
  <si>
    <r>
      <rPr>
        <rFont val="Times New Roman"/>
        <color rgb="FF000000"/>
        <sz val="12.0"/>
      </rPr>
      <t>"Nov. 1</t>
    </r>
    <r>
      <rPr>
        <rFont val="Times New Roman"/>
        <strike/>
        <color rgb="FF000000"/>
        <sz val="12.0"/>
      </rPr>
      <t>7</t>
    </r>
    <r>
      <rPr>
        <rFont val="Times New Roman"/>
        <color rgb="FF000000"/>
        <sz val="12.0"/>
      </rPr>
      <t>[^1^], 1910" written by BB</t>
    </r>
  </si>
  <si>
    <t>Grant, Peter Geddes; Grant, Ethel; Harrison, Ethel; Doucet, Jacques; Quaritch, Bernard Alfred; Laborde, Léon-Joseph-Alexandre de; Durrieu, Paul; Thompson, Henry Yates; Thompson, Elizabeth Smith; Read, Charles Hercules; Strong, Eugénie Sellers; Cavendish, Victor; Cavendish, Evelyn Emily Mary; Morgan, J. Pierpont; Hasting, Thomas; Hastings, Helen Benedict; Hickox, Annie Stager; Clarke, Mrs.; Thurston, Ada; Baca-Flor, Carlos; Choate, Joseph Hodges; Robinson, Edward; Hamilton, Juliet Morgan; Prince, John Dyneley; Prince, Adeline E. Loomis; Richlieu(?); Lesseps, Jacques Benjamin de(?); Morgan, Anne; Sylva, Marguerite; Murray, Charles Fairfax; Blumenthal, George; Seligmann, Jacques; Duveen, Henry/Joseph?; Rey, Emile; Davis, Mr.(?); De Groot, Cornelis Hofstede</t>
  </si>
  <si>
    <t>acquisitions; politics; Chinese art; library work; European art</t>
  </si>
  <si>
    <t>rumors about BB and BG; BB's illness; Societé Francais de Reproductions de Mss. a Peintures; Mariano Fortuny items; Milan fire; Gubernatorial Election returns; Roosevelt likely out of running for Presidential Election; Woodrow Wilson likely success; Lusitania; mother-like love for Read; closing library to public while Thurston and JPM are away; Robinson elected as director; Baca-Flor's portrait of Choate; express strike; grapefruit for BB; Murray drawings catalogues; Seligmann-Duveen matter; Surraine ship; trouble over Rembrandt returned to Davis in London</t>
  </si>
  <si>
    <t>2022/07/11</t>
  </si>
  <si>
    <t>00101</t>
  </si>
  <si>
    <t>1910_11_17</t>
  </si>
  <si>
    <t>32044150448454_033, 32044150448454_034, 32044150448454_035, 32044150448454_036, 32044150448454_037, 32044150448454_038, 32044150448454_039, 32044150448454_040, 32044150448454_041, 32044150448454_042, 32044150448454_043</t>
  </si>
  <si>
    <t>432-442</t>
  </si>
  <si>
    <t>Annie ("Mommy-maid"); Lydig, Rita de Acosta; Blumenthal, Florence Meyer; Read, Charles Hercules; Morgan, J. Pierpont; Ryan, Thomas Fortune; Blumenthal, George; Blumenthal, Florence Meyer; Rey, Emile; Seligmann, Jacques; Cohen(?); Jerome(?); Strong, Eugénie Sellers; Cook, Herbert Frederick; A. G.(?); Perkins, Mrs.; Lydig; Philip Mesier; Huntington, Archer Milton; Johnson, John Graver</t>
  </si>
  <si>
    <t>cultural institutions; art dealing; current events</t>
  </si>
  <si>
    <t>Annie's illness and leg pain; telling Florence about Italy trip; theories that Florence runs Rey &amp; Seligmann and tells George what to do; lots of evidence against Duveen; Read on Lusitania; plans to go to Spain with Read; trip with BB to Spain; Cintra; Siena; Johnson elected Metropolitan trustee; BB health</t>
  </si>
  <si>
    <t>2022/07/12</t>
  </si>
  <si>
    <t>00102</t>
  </si>
  <si>
    <t>1910_11_22</t>
  </si>
  <si>
    <t>32044150448454_044, 32044150448454_045, 32044150448454_046, 32044150448454_047, 32044150448454_048, 32044150448454_049, 32044150448454_050, 32044150448454_051, 32044150448454_052, 32044150448454_053, 32044150448454_054, 32044150448454_055, 32044150448454_056, 32044150448454_057, 32044150448454_058</t>
  </si>
  <si>
    <t>443-457</t>
  </si>
  <si>
    <t>30</t>
  </si>
  <si>
    <t>15</t>
  </si>
  <si>
    <t>", 1910" written by BB</t>
  </si>
  <si>
    <t>Rey, Emile; Seligmann, Jacques; Berenson, Mary; Duveen, Henry/Joseph?; Perkins, George Walbridge; Morgan, J. Pierpont; Hitchcock, Frank Harris; Dickinson, Jacob McGavock; Dickinson, Martha Overton; Dodge, Cleveland Hoadley; Dodge, Grace Wainright Parish; Cosgrave, John O'Hara; Marie; Baldwin, Mrs.; Anspacher, Louis; Warren, Lloyd; Hampden, Walter; Ditson, Alice M.; Dexter; de Jonghe, Mr.; de Jonghe, Mrs.; Dixon, George; Wierzbicki, Vincent von; Kobbé, Gustav; Baca-Flor, Carlos; Sylva, Marguerite; Lanier, Charles; Lennox, Lady Blanche Algernon Gordon; Lydig, Rita de Acosta; Worth, Jean-Philippe</t>
  </si>
  <si>
    <t>Italian art; race and ethnicity; sculpture; literature;</t>
  </si>
  <si>
    <r>
      <rPr>
        <rFont val="Times New Roman"/>
        <color rgb="FF000000"/>
        <sz val="12.0"/>
      </rPr>
      <t xml:space="preserve">BB letter from Milan; grapefruit for BB; Charles &amp; Co.; desire for Seligmann and BB to be friends; Customs House and Duveen matters; New Haven trip; Harvard vs Yale game; desk box from BB; bought Marie a ticket to go home to Switzerland; diamond ornament for Marie upon her leaving; Marie's loyalty; terrible English maid; Anspacher's new play </t>
    </r>
    <r>
      <rPr>
        <rFont val="Times New Roman"/>
        <i/>
        <color rgb="FF000000"/>
        <sz val="12.0"/>
      </rPr>
      <t>A Woman of Impulse</t>
    </r>
    <r>
      <rPr>
        <rFont val="Times New Roman"/>
        <color rgb="FF000000"/>
        <sz val="12.0"/>
      </rPr>
      <t xml:space="preserve">; Kennedy's </t>
    </r>
    <r>
      <rPr>
        <rFont val="Times New Roman"/>
        <i/>
        <color rgb="FF000000"/>
        <sz val="12.0"/>
      </rPr>
      <t>The Servant in the House</t>
    </r>
    <r>
      <rPr>
        <rFont val="Times New Roman"/>
        <color rgb="FF000000"/>
        <sz val="12.0"/>
      </rPr>
      <t xml:space="preserve">; little Donatello bronze; Baldwin speaking French; translucent enamel chasse of IXth c.; Piero; Kobbé's </t>
    </r>
    <r>
      <rPr>
        <rFont val="Times New Roman"/>
        <i/>
        <color rgb="FF000000"/>
        <sz val="12.0"/>
      </rPr>
      <t>The Pianolist</t>
    </r>
    <r>
      <rPr>
        <rFont val="Times New Roman"/>
        <color rgb="FF000000"/>
        <sz val="12.0"/>
      </rPr>
      <t>?; express strike; Venice; Orvieto; Arezzo; Bellini Pieta card</t>
    </r>
  </si>
  <si>
    <t>2022/07/13</t>
  </si>
  <si>
    <t>00103</t>
  </si>
  <si>
    <t>1910_12_13</t>
  </si>
  <si>
    <t>32044150448462_001, 32044150448462_002, 32044150448462_003, 32044150448462_004, 32044150448462_005, 32044150448462_006, 32044150448462_007</t>
  </si>
  <si>
    <t>458-464</t>
  </si>
  <si>
    <t>Annie; Blumenthal, Florence Meyer; Morgan, J. Pierpont; Rey, Emile; Johnstone, Lady Antoinette; Duveen, Henry; Huntington, Archer Milton; Trotti, René Avogli; Canessa, Ercole</t>
  </si>
  <si>
    <t>race and ethnicity; acquisitions; paintings; Italian art;</t>
  </si>
  <si>
    <r>
      <rPr>
        <rFont val="Times New Roman"/>
        <color rgb="FF000000"/>
        <sz val="12.0"/>
      </rPr>
      <t xml:space="preserve">Annie's death; Umbrian Catalogue of the </t>
    </r>
    <r>
      <rPr>
        <rFont val="Times New Roman"/>
        <i/>
        <color rgb="FF000000"/>
        <sz val="12.0"/>
      </rPr>
      <t>Burlington</t>
    </r>
    <r>
      <rPr>
        <rFont val="Times New Roman"/>
        <color rgb="FF000000"/>
        <sz val="12.0"/>
      </rPr>
      <t xml:space="preserve">; Giacomo Puccini's </t>
    </r>
    <r>
      <rPr>
        <rFont val="Times New Roman"/>
        <i/>
        <color rgb="FF000000"/>
        <sz val="12.0"/>
      </rPr>
      <t xml:space="preserve">The Girl of the Golden West </t>
    </r>
    <r>
      <rPr>
        <rFont val="Times New Roman"/>
        <color rgb="FF000000"/>
        <sz val="12.0"/>
      </rPr>
      <t>premiere; Blumenthal's crush on BG; Rey leaving for Paris; dislike of Trotti; Syracuse coin c. 400 BC in the style of Kimon, badly mounted by Canessa; Mauretania; Christmas</t>
    </r>
  </si>
  <si>
    <t>2022/07/18</t>
  </si>
  <si>
    <t>00104</t>
  </si>
  <si>
    <t>1910_12_20</t>
  </si>
  <si>
    <t>32044150448462_008, 32044150448462_009, 32044150448462_010, 32044150448462_011, 32044150448462_012, 32044150448462_013, 32044150448462_014, 32044150448462_015, 32044150448462_016, 32044150448462_017, 32044150448462_018</t>
  </si>
  <si>
    <t>465-475</t>
  </si>
  <si>
    <t xml:space="preserve">Harrison, Ethel; McComas, Francis; Grant, Ethel; Morgan, J. Pierpont </t>
  </si>
  <si>
    <t>paintings; French literature</t>
  </si>
  <si>
    <t>Mauretania; dislike of Harrison; McComas in love with BG; Colony Club; Louisville, Kentucky; grapefruit for BB; sending writing paper; photographs from BB; Baca-Flor portraits of JPM, John Bigelow, Joseph Choate, and BG; Baudelaire's "Le Balcon"; Lusitania; Canada</t>
  </si>
  <si>
    <t>00105</t>
  </si>
  <si>
    <t>1910_12_25</t>
  </si>
  <si>
    <t>32044150448462_019, 32044150448462_020, 32044150448462_021, 32044150448462_022, 32044150448462_023, 32044150448462_024, 32044150448462_025, 32044150448462_026, 32044150448462_027, 32044150448462_028</t>
  </si>
  <si>
    <t>476-480</t>
  </si>
  <si>
    <t>Morgan, J. Pierpont; Berenson, Mary; Berenson, Senda; Putnam, Emily James Smith; Terry, Ellen; Bernheardt, Sara; Pavlova, Anna; Mordkin, Michael; Sturgis, Frank K.; Blumenthal, Florence Meyer; Glaenzer, Eugene; Lydig, Rita de Acosta; Lydig, Philip Mesier; Harrison, Ethel; McComas, Francis</t>
  </si>
  <si>
    <t>Italian art; literature; paintings; cultural institutions;</t>
  </si>
  <si>
    <r>
      <rPr>
        <rFont val="Times New Roman"/>
        <color rgb="FF000000"/>
        <sz val="12.0"/>
      </rPr>
      <t xml:space="preserve">Christmas; San Gimignano? legend; Dunsany (Edward Plunkett)'s "The Madness of Andelsprutz" and "Where the Tides Ebb and Flow" in Dreamer's Tales; Piero della Francesca; monographs of Italy trip with BB; feeling lost without Annie; Putnam's book as Chistmas gift from Senda to BG; Humperdinck's </t>
    </r>
    <r>
      <rPr>
        <rFont val="Times New Roman"/>
        <i/>
        <color rgb="FF000000"/>
        <sz val="12.0"/>
      </rPr>
      <t>Königskinder</t>
    </r>
    <r>
      <rPr>
        <rFont val="Times New Roman"/>
        <color rgb="FF000000"/>
        <sz val="12.0"/>
      </rPr>
      <t xml:space="preserve">; </t>
    </r>
    <r>
      <rPr>
        <rFont val="Times New Roman"/>
        <i/>
        <color rgb="FF000000"/>
        <sz val="12.0"/>
      </rPr>
      <t>Tristan</t>
    </r>
    <r>
      <rPr>
        <rFont val="Times New Roman"/>
        <color rgb="FF000000"/>
        <sz val="12.0"/>
      </rPr>
      <t xml:space="preserve">; </t>
    </r>
    <r>
      <rPr>
        <rFont val="Times New Roman"/>
        <i/>
        <color rgb="FF000000"/>
        <sz val="12.0"/>
      </rPr>
      <t>Hansel and Gretel</t>
    </r>
    <r>
      <rPr>
        <rFont val="Times New Roman"/>
        <color rgb="FF000000"/>
        <sz val="12.0"/>
      </rPr>
      <t>; Metropolitan Club; Russian ballet; Swan dance; Bacchante dance; dislike of Blumenthal; Blumenthal's 12th c. enamel; JPM dislike of Rita; McComas' love for BG</t>
    </r>
  </si>
  <si>
    <t>00106</t>
  </si>
  <si>
    <t>1910_12_27</t>
  </si>
  <si>
    <t>32044150448462_029, 32044150448462_030, 32044150448462_031</t>
  </si>
  <si>
    <t>481-483</t>
  </si>
  <si>
    <t>Seligmann, Jacques; Imbert, Alexandre; Greene, Genevieve Ida Van Vliet Fleet; Seligmann, Arnold; Rey, Emile</t>
  </si>
  <si>
    <t>Cinese art; Italian art; Byzantine art; British art; art dealing</t>
  </si>
  <si>
    <t>BG and Genevieve new dual apartments; Customs trying to get Imbert</t>
  </si>
  <si>
    <t>2022/07/23</t>
  </si>
  <si>
    <t>00107</t>
  </si>
  <si>
    <t>1910_12_28</t>
  </si>
  <si>
    <t>32044150448462_032, 32044150448462_033, 32044150448462_034, 32044150448462_035</t>
  </si>
  <si>
    <t>484-485</t>
  </si>
  <si>
    <t>Baruch, Annie Griffin (?)</t>
  </si>
  <si>
    <t>BG's grief over Annie's death; BG's love for/missing BB; BG's trip to Italy with BB; BG's apartment renovations and decor</t>
  </si>
  <si>
    <t>2022/07/24</t>
  </si>
  <si>
    <t>00108</t>
  </si>
  <si>
    <t>1910_12_29</t>
  </si>
  <si>
    <t>32044150448462_036, 32044150448462_037, 32044150448462_038, 32044150448462_039, 32044150448462_040, 32044150448462_041, 32044150448462_042, 32044150448462_043, 32044150448462_044, 32044150448462_045, 32044150448462_046</t>
  </si>
  <si>
    <t>486-496</t>
  </si>
  <si>
    <t>Conners, Francis (?); Berenson, Mary; Harrison, Ethel; Forrest, Dick</t>
  </si>
  <si>
    <t>cultural institutions; paintings; race and ethnicity</t>
  </si>
  <si>
    <t>BG's joy in receiving BB's letters; ship travel and postage; BB's "sickness;" gossip and rumours about BG; BG's love for Sara/the theater; BG's unrequited lover(s); BB's portrait in the library; photographs of BB's paintings; letter from MB; BG's impatience with letterwriting</t>
  </si>
  <si>
    <t>00109</t>
  </si>
  <si>
    <t>1910_12_30_01</t>
  </si>
  <si>
    <t>32044150448462_047, 32044150448462_048</t>
  </si>
  <si>
    <t>497</t>
  </si>
  <si>
    <t>N/A</t>
  </si>
  <si>
    <t>sending BB writing paper and asking if he wants it stamped</t>
  </si>
  <si>
    <t>2022/07/27</t>
  </si>
  <si>
    <t>00110</t>
  </si>
  <si>
    <t>1910_12_30_02</t>
  </si>
  <si>
    <t>32044150448462_049</t>
  </si>
  <si>
    <t>Library of J. Pierpont Morgan, Esq. / Thirty-three East Thirty-sixth Street / New York</t>
  </si>
  <si>
    <t>498</t>
  </si>
  <si>
    <t>Originally included some words from Marie to BG</t>
  </si>
  <si>
    <t>Marie (?)</t>
  </si>
  <si>
    <t>fourth letter to BB in one week; asking Marie to come back</t>
  </si>
  <si>
    <t>00111</t>
  </si>
  <si>
    <t>1910_12_31</t>
  </si>
  <si>
    <t>32044150448462_050, 32044150448462_051, 32044150448462_052, 32044150448462_053, 32044150448462_054, 32044150448462_055, 32044150448462_056, 32044150448462_057, 32044150448462_058, 32044150448462_059</t>
  </si>
  <si>
    <t>499-503</t>
  </si>
  <si>
    <t>Cadwalader, John III; Berenson, Mary; Berenson, Senda; Morgan, J. Pierpont; Scott, Geoffrey; Seligmann, Jacques</t>
  </si>
  <si>
    <t>Italian literature; French literature; acquisitions; Byzantine art</t>
  </si>
  <si>
    <r>
      <rPr>
        <rFont val="Times New Roman"/>
        <color rgb="FF000000"/>
        <sz val="12.0"/>
      </rPr>
      <t xml:space="preserve">New Year's; party at Cadwalader's; love for and friendship with BB; Cicero's </t>
    </r>
    <r>
      <rPr>
        <rFont val="Times New Roman"/>
        <i/>
        <color rgb="FF000000"/>
        <sz val="12.0"/>
      </rPr>
      <t>Laelius de Amicitia</t>
    </r>
    <r>
      <rPr>
        <rFont val="Times New Roman"/>
        <color rgb="FF000000"/>
        <sz val="12.0"/>
      </rPr>
      <t xml:space="preserve"> quotation; Michel de Montaigne's "On Friendship" quotation; Matthew Arnold's "To Marguerite" quotation; BB illness; Mary's "suicide" club; hopes for BB's sister to visit; Seligmann's Byzantine Enamel collection in St. Petersburg; JPM going to Egypt; planning to visit BB August-September</t>
    </r>
  </si>
  <si>
    <t>00112</t>
  </si>
  <si>
    <t>1911_01_01</t>
  </si>
  <si>
    <t>32044150448462_060, 32044150448462_061</t>
  </si>
  <si>
    <t>n/a</t>
  </si>
  <si>
    <t>504</t>
  </si>
  <si>
    <t>telegram; "1910" / "Dec." written by BB</t>
  </si>
  <si>
    <t>sending love</t>
  </si>
  <si>
    <t>00113</t>
  </si>
  <si>
    <t>1910_11_29_30</t>
  </si>
  <si>
    <t>32044150448470_001, 32044150448470_002, 32044150448470_003, 32044150448470_004, 32044150448470_005, 32044150448470_006, 32044150448470_007, 32044150448470_008</t>
  </si>
  <si>
    <t>Berenson, Bernard; Blumenthal, George; Blumenthal, Florence Meyer; Glaenzer, Eugene; Perkins, Mrs.; Duveen, Henry; Rey, Emile; Sach?; Seligmann, Jacques; Morgan, J. Pierpont; Mackaye, Percy; Bigelow, Poultney; Kennedy, Charles Rann?; Herford, Oliver; Van Rensselaer, Mariana Alley Griswold Schuyler?; Winter, William?; Hapgood, Emilie Bigelow; Field, Isobel Stewart Osbourne Strong; Stevenson, Robert Louis; Scott, Geoffrey</t>
  </si>
  <si>
    <t>paintings; Italian art; art dealing; current events</t>
  </si>
  <si>
    <t>quoting BB's letter upon returning home; BB's illness; Perkins' knowledge of Italian art; Duveen in danger of imprisonment; Van Rensselaer's house tour; awkward dinner discussion of Hapgood at Winter's house</t>
  </si>
  <si>
    <t>00114</t>
  </si>
  <si>
    <t>1911_01_03</t>
  </si>
  <si>
    <t>32044150448488_001, 32044150448488_002, 32044150448488_003, 32044150448488_004, 32044150448488_005, 32044150448488_006, 32044150448488_007, 32044150448488_008, 32044150448488_009, 32044150448488_010, 32044150448488_011, 32044150448488_012</t>
  </si>
  <si>
    <t>505-515</t>
  </si>
  <si>
    <t>Images and I Tatti sheet numbers out of order; pp. 1-2 written on thin paper</t>
  </si>
  <si>
    <t>Field, Isobel Stewart; Osbourne Strong?; Harrison, Ethel; Grant, Ethel; Ripley, Mary Baldwin Hyde; Morgan, J. Pierpont; Placci, Carlo; Ditson, Alice M.; Grant, Ethel; Jaccaci, August; La Farge, John; Barnes, Grace Edith; Blumenthal, Florence Meyer; Lydig, Rita de Acosta; Berenson, Mary</t>
  </si>
  <si>
    <t>Music; cultural institutions; acquisitions</t>
  </si>
  <si>
    <t>BG and Belle (Isobel Field?) scheming to entertain Harrison with operas and theatre; Ripley asking BG about "mysterious" woman BB loves; hiding romantic relationship with BB from JPM; desire for BB and JPM to be great friends; French lesson at 8 a.m.; Philharmonic; La Farge left everything to Barnes; BG and Grant scheming to entertain Harrison with two male love makers; Charles Baudelaire's "Le Balcon"; Cesena library book from BB to JPM</t>
  </si>
  <si>
    <t>2022/07/28</t>
  </si>
  <si>
    <t>00115</t>
  </si>
  <si>
    <t>1911_01_06 (first letter)</t>
  </si>
  <si>
    <t>32044150448488_023, 32044150448488_024, 32044150448488_025, 32044150448488_026, 32044150448488_027, 32044150448488_028, 32044150448488_029, 32044150448488_030</t>
  </si>
  <si>
    <t>524-531</t>
  </si>
  <si>
    <t>Bobinski?; Berenson, Mary; Morgan, J. Pierpont</t>
  </si>
  <si>
    <t>acquisitions; Chinese art; Persian art; drawings/decorative arts; Italian literature; BG's collection</t>
  </si>
  <si>
    <t>admits she keeps BB's letters; says she doesn't care who sees their correspondence; [illegible] Catalogue; Han pottery; salary raised $2000/yr on Christmas; spent salary on two jars; planning for BB to live in BG's apartment with her; desire to sell mezzotints to buy a Sasanian animal aquamanile; JPM leaving for Egypt next Wednesday; tells BB to give JPM Cesena book in person; JPM not wanting to buy anything because of Customs House matter; asking for three cainet-sized photographs of BB for dressing table</t>
  </si>
  <si>
    <t>00116</t>
  </si>
  <si>
    <t>1911_01_06 (second letter)</t>
  </si>
  <si>
    <t>32044150448488_013, 32044150448488_014</t>
  </si>
  <si>
    <t>Mr. Morgan's Library / New York</t>
  </si>
  <si>
    <t>516</t>
  </si>
  <si>
    <t>Italian art; music; Medieval and Renaissance manuscripts</t>
  </si>
  <si>
    <t>sending "photographs of bronze doors to the library (??Ghiberti??); Yates Thompson book; illumination on first page of Jensen di cintate Dei(?); antiphonarium pages; Girolamo da Cremona; Raphael photograph</t>
  </si>
  <si>
    <t>2022/07/31</t>
  </si>
  <si>
    <t>00117</t>
  </si>
  <si>
    <t>1911_01_11</t>
  </si>
  <si>
    <t>32044150448488_020, 32044150448488_021, 32044150448488_022</t>
  </si>
  <si>
    <t>522-523</t>
  </si>
  <si>
    <t>Images out of order; pp. 3 has no I Tatti sheet number</t>
  </si>
  <si>
    <t>Tiffany (?); Morgan, J. Pierpont; Kahn, Otto Hermann; Tyler, George C.; Ames, Winthrop; Huntington, Archer</t>
  </si>
  <si>
    <t>New Theatre meeting to revive company; election hope for Tyler over Ames</t>
  </si>
  <si>
    <t>00118</t>
  </si>
  <si>
    <t>1911_01_13</t>
  </si>
  <si>
    <t>32044150448488_015, 32044150448488_016, 32044150448488_017, 32044150448488_018, 32044150448488_019</t>
  </si>
  <si>
    <t>517-521</t>
  </si>
  <si>
    <t>Images and I Tatti sheet numbers out of order</t>
  </si>
  <si>
    <t>Harrison, Ethel; Bispham, David; Morgan, J. Pierpont; Pollock, Francis Lillie</t>
  </si>
  <si>
    <t>cultural institutions; music; BG"s social world</t>
  </si>
  <si>
    <t>BG's annoyance with Harrison; going to Vanity Fair at New Theatre with Harrison, Bispham, and Pollock; wishing BB to get well; Charles Baudelaire; Piero della Francesca; Sarcello, Vicenza, Italy</t>
  </si>
  <si>
    <t>00119</t>
  </si>
  <si>
    <t>1911_01_15_16</t>
  </si>
  <si>
    <t>32044150448488_031, 32044150448488_032, 32044150448488_033, 32044150448488_034, 32044150448488_035, 32044150448488_036, 32044150448488_037, 32044150448488_038, 32044150448488_039, 32044150448488_040, 32044150448488_041, 32044150448488_042, 32044150448488_043</t>
  </si>
  <si>
    <t>Robinson-Linetti (?); Wierzbicki, Vincent von; Harrison, Ethel; Grant, Ethel; Bisphom, David; Morgan, J. Pierpont; Pollock, Francis Lillie; Forrest, Dick; Ditson, Alice; Class, Morris (?); Berenson, Mary; Fremstad, Olive</t>
  </si>
  <si>
    <t>literature; music; scholarship</t>
  </si>
  <si>
    <r>
      <rPr>
        <rFont val="Times New Roman"/>
        <color rgb="FF000000"/>
        <sz val="12.0"/>
      </rPr>
      <t xml:space="preserve">reading itinerary from visiting BB; Sarcello; Chaulicler(?) book; loathing of Harrison; Georges Bizet's </t>
    </r>
    <r>
      <rPr>
        <rFont val="Times New Roman"/>
        <i/>
        <color rgb="FF000000"/>
        <sz val="12.0"/>
      </rPr>
      <t>Carmen</t>
    </r>
    <r>
      <rPr>
        <rFont val="Times New Roman"/>
        <color rgb="FF000000"/>
        <sz val="12.0"/>
      </rPr>
      <t xml:space="preserve">; Christoph Willibald Gluck's </t>
    </r>
    <r>
      <rPr>
        <rFont val="Times New Roman"/>
        <i/>
        <color rgb="FF000000"/>
        <sz val="12.0"/>
      </rPr>
      <t>Armide</t>
    </r>
    <r>
      <rPr>
        <rFont val="Times New Roman"/>
        <color rgb="FF000000"/>
        <sz val="12.0"/>
      </rPr>
      <t>; New Theatre meeting; distracting Harrison with Pollock's charm; Colony Club dinner; San Gallo; New Theatre Vanity Fair; discussion of marriage with BB; wishes not to live after BB dies</t>
    </r>
  </si>
  <si>
    <t>2022/08/01</t>
  </si>
  <si>
    <t>00120</t>
  </si>
  <si>
    <t>1911_01_18</t>
  </si>
  <si>
    <t>32044150448488_044, 32044150448488_045, 32044150448488_046, 32044150448488_047, 32044150448488_048, 32044150448488_049, 32044150448488_050, 32044150448488_051</t>
  </si>
  <si>
    <t>545-552</t>
  </si>
  <si>
    <t>Harrison, Ethel; Pollock, Francis Lillie; Craig, Gordon; Terry, Ellen</t>
  </si>
  <si>
    <t>BG's social world</t>
  </si>
  <si>
    <r>
      <rPr>
        <rFont val="Times New Roman"/>
        <color rgb="FF000000"/>
        <sz val="12.0"/>
      </rPr>
      <t xml:space="preserve">joyous "wake" for getting rid of the "varmint" Harrison; Craig's magazine </t>
    </r>
    <r>
      <rPr>
        <rFont val="Times New Roman"/>
        <i/>
        <color rgb="FF000000"/>
        <sz val="12.0"/>
      </rPr>
      <t>The Mask</t>
    </r>
    <r>
      <rPr>
        <rFont val="Times New Roman"/>
        <color rgb="FF000000"/>
        <sz val="12.0"/>
      </rPr>
      <t>; rereading early Nov./late Oct. letters from BB; postponing lunch with Terry; Parisian peignoir; guarding BB's publish-worthy letters; dreams of being in Claridge's, Urbino, and Arezzo with BB</t>
    </r>
  </si>
  <si>
    <t>00121</t>
  </si>
  <si>
    <t>1911_01_19</t>
  </si>
  <si>
    <t>32044150448488_052, 32044150448488_053, 32044150448488_054, 32044150448488_055, 32044150448488_056, 32044150448488_057, 32044150448488_058, 32044150448488_059, 32044150448488_060, 32044150448488_061, 32044150448488_062, 32044150448488_063, 32044150448488_064</t>
  </si>
  <si>
    <t>553-565</t>
  </si>
  <si>
    <t>25</t>
  </si>
  <si>
    <t>Gardner, Isabella Stewart; Grant, Ethel; Harrison, Ethel; Pollock, Francis Lillie; Berenson, Senda; Berenson, Mary; Morgan, J. Pierpont; Seligmann, Jacques; Seligmann, Mrs.; Seligmann, Elise; Lydig, Rita de Acosta; De Wolfe, Elsie; Blumenthal, Florence Meyer; Duveen; Thurston, Ada; Ditson, Alice; Babbott, Frank L.; Babbott, Lydia Richardson Pratt; Rey, Emile</t>
  </si>
  <si>
    <t>private collections; paintings; Italian art; race and ethncity; cultural institutions; BG's social world</t>
  </si>
  <si>
    <r>
      <rPr>
        <rFont val="Times New Roman"/>
        <color rgb="FF000000"/>
        <sz val="12.0"/>
      </rPr>
      <t xml:space="preserve">sending grape fruit to BB; received photographs of BB paintings; asking to bequeath BB's art to Gardner; love of Benedetto Bonfigli's nativity painting with Mary and flying angels; Mariano Fortuny's gowns and opera cape; Grant's opera cape from BB; Harrison in love with Pollock; Senda's anticipated visit to see BG; Richard Wagner's </t>
    </r>
    <r>
      <rPr>
        <rFont val="Times New Roman"/>
        <i/>
        <color rgb="FF000000"/>
        <sz val="12.0"/>
      </rPr>
      <t>Tristan und Isolde</t>
    </r>
    <r>
      <rPr>
        <rFont val="Times New Roman"/>
        <color rgb="FF000000"/>
        <sz val="12.0"/>
      </rPr>
      <t xml:space="preserve">; Josephine Preston Peabody Marks' </t>
    </r>
    <r>
      <rPr>
        <rFont val="Times New Roman"/>
        <i/>
        <color rgb="FF000000"/>
        <sz val="12.0"/>
      </rPr>
      <t>The Piper: A Play in Four Acts</t>
    </r>
    <r>
      <rPr>
        <rFont val="Times New Roman"/>
        <color rgb="FF000000"/>
        <sz val="12.0"/>
      </rPr>
      <t xml:space="preserve"> at New Theatre; Seligmann's wife and daughter; declining dinner with Lydig due to JP's dislike of her; JP's jealousy and flirtation(?) with BG; Customs matter preventing BB from visiting; Thurston going to Naples and Florence and meeting BB; small apartment; New Year salary raised to $10,000/yr</t>
    </r>
  </si>
  <si>
    <t>00122</t>
  </si>
  <si>
    <t>1911_01_20</t>
  </si>
  <si>
    <t>32044150448488_077</t>
  </si>
  <si>
    <t>572</t>
  </si>
  <si>
    <t>reading over JP's will with him</t>
  </si>
  <si>
    <t>00123</t>
  </si>
  <si>
    <t>1911_01_24</t>
  </si>
  <si>
    <t>32044150448488_065, 32044150448488_066, 32044150448488_067, 32044150448488_068, 32044150448488_069, 32044150448488_070, 32044150448488_071, 32044150448488_072, 32044150448488_073, 32044150448488_074, 32044150448488_075, 32044150448488_076, 32044150448488_077, 32044150448488_078, 32044150448488_079, 32044150448488_080, 32044150448488_081, 32044150448488_082, 32044150448488_083, 32044150448488_084, 32044150448488_085, 32044150448488_086, 32044150448488_087, 32044150448488_088, 32044150448488_089, 32044150448488_089</t>
  </si>
  <si>
    <t>138 EAST FORTIETH STREET; BELLE</t>
  </si>
  <si>
    <t>566-571; 573-84</t>
  </si>
  <si>
    <t>42</t>
  </si>
  <si>
    <t>24</t>
  </si>
  <si>
    <t>Images and I Tatti sheet numbers out of order; mix of stationery because pgs. 21-42 written later in the day</t>
  </si>
  <si>
    <t>Widener, Eleanor Elkins; Duveen, Henry/Joseph?; Altman, Benjamin; Taft, Charles Phelps; Stern; D., Ben; Morgan, J. Pierpont; Imbert, Alexandre; Bernhardt, Sarah; Johnson, John Graver (?); Seligmann, Jacques; Knoedler, Roland; Morgan, Mary Lyman; Huntington, Henry; Gardner, Mrs. (Isabella Stewart?); Ryan, Thomas Fortune; Rodin, François Auguste René; Sheehan, William F.; De Wolfe, Elsie; Davison, Henry Pomeroy; James, Henry; Jones, Mary Cadwalader Rawle; Allen, James Lane; Mackaye, Percy; Atherton, Gertrude; Morton, Paul; Perkins, George Walbridge; Walters, Henry; Blumenthal, Florence Meyer; Laffan, William Mackay; Francis (?); Grant, Ethel; BG's sister</t>
  </si>
  <si>
    <t>drawings; acquisitions; Dutch art; French art; sculpture; Chinese art; BG's art collection; politics; art dealing</t>
  </si>
  <si>
    <r>
      <rPr>
        <rFont val="Times New Roman"/>
        <color rgb="FF000000"/>
        <sz val="12.0"/>
      </rPr>
      <t xml:space="preserve">BG's delight over BB's letters and her new apartment; Customs House and the Wideners; Duveen case; Duveens' selling of fakes to JPM; BG's trip to Philadelphia; JP's fatigue with the art world; Widener's acquisition of Vermeer; Huntington's acquisition of Rembrandt; BG's disgust with ISG's treatment of JPM's sister; BG's skepticism about BB's "Rodin tale;" Senatorial elections; BG's desire for photographs of BB; BG's reading to JPM, who is losing his hearing; BG's being caught in the middle of a writers' feud; Laffan sale; JPM's departure for Egypt; BB's sending </t>
    </r>
    <r>
      <rPr>
        <rFont val="Times New Roman"/>
        <i/>
        <color rgb="FF000000"/>
        <sz val="12.0"/>
      </rPr>
      <t>Marie Claire</t>
    </r>
    <r>
      <rPr>
        <rFont val="Times New Roman"/>
        <color rgb="FF000000"/>
        <sz val="12.0"/>
      </rPr>
      <t xml:space="preserve"> to BG</t>
    </r>
  </si>
  <si>
    <t>2022/07/07</t>
  </si>
  <si>
    <t>00124</t>
  </si>
  <si>
    <t>1911_01_31</t>
  </si>
  <si>
    <t>32044150448488_090, 32044150448488_091</t>
  </si>
  <si>
    <t>585-586</t>
  </si>
  <si>
    <t>Berenson, Senda</t>
  </si>
  <si>
    <t>expressing missing BB; reasserts lack of interest in marriage</t>
  </si>
  <si>
    <t>2022/08/03</t>
  </si>
  <si>
    <t>00125</t>
  </si>
  <si>
    <t>1911_02_01</t>
  </si>
  <si>
    <t>32044150448496_001, 32044150448496_002, 32044150448496_003, 32044150448496_004, 32044150448496_005, 32044150448496_006, 32044150448496_007, 32044150448496_008, 32044150448496_009</t>
  </si>
  <si>
    <t>587-595</t>
  </si>
  <si>
    <t>originally included letter 1911_01_31</t>
  </si>
  <si>
    <t>Berenson, Senda; Berenson, Mary; Morgan, J. Pierpont; Jaccaci, Mrs.; Jaccaci, August; BG's family</t>
  </si>
  <si>
    <t>current events</t>
  </si>
  <si>
    <t>BG and Senda believing BG's relationship with BB makes him unhappy; kindness between Mary and BG; asking BB if she should leave his life; boat dynamite explosion at pier in Jersey City and Jersey Central R.R. yard; Jaccaci being a terrible husband; photographs arrived</t>
  </si>
  <si>
    <t>00126</t>
  </si>
  <si>
    <t>1911_02_03</t>
  </si>
  <si>
    <t>32044150448496_011, 32044150448496_012, 32044150448496_013, 32044150448496_014</t>
  </si>
  <si>
    <t>597-598</t>
  </si>
  <si>
    <t>Italian art; Dutch art; Flemish art; German art; Spanish art; Chinese art; BG's art collection; drawings; scholarship</t>
  </si>
  <si>
    <r>
      <rPr>
        <rFont val="Times New Roman"/>
        <color theme="1"/>
        <sz val="12.0"/>
      </rPr>
      <t xml:space="preserve">books on Raphael and Velasquez from BB; books on Dürer, Rembrandt and Memling; dresses, art, and furniture for new apartment; BB's </t>
    </r>
    <r>
      <rPr>
        <rFont val="Times New Roman"/>
        <i/>
        <color theme="1"/>
        <sz val="12.0"/>
      </rPr>
      <t>The Drawings of the Florentine Painters</t>
    </r>
    <r>
      <rPr>
        <rFont val="Times New Roman"/>
        <color theme="1"/>
        <sz val="12.0"/>
      </rPr>
      <t>; requesting four photos of BB for decoration; new "BB" monogram on diamond-studded cigarette case</t>
    </r>
  </si>
  <si>
    <t>00127</t>
  </si>
  <si>
    <t>1911_02_07</t>
  </si>
  <si>
    <t>32044150448496_015, 32044150448496_016, 32044150448496_017, 32044150448496_018, 32044150448496_019, 32044150448496_020, 32044150448496_021, 32044150448496_022</t>
  </si>
  <si>
    <t>599-606</t>
  </si>
  <si>
    <t>Seligmann, Jacques; Rey, Emile; Seligmann, Arnold; Glaenzer, Eugene; Garden, Mary; BG's family; Faversham, William; Faversham, Julie Opp</t>
  </si>
  <si>
    <t>music; cultural institutions; French literature; BG's social world; scholarship</t>
  </si>
  <si>
    <r>
      <rPr>
        <rFont val="Times New Roman"/>
        <color theme="1"/>
        <sz val="12.0"/>
      </rPr>
      <t xml:space="preserve">Glaenzer's kindness toward BG and BB; Jules Massenet's </t>
    </r>
    <r>
      <rPr>
        <rFont val="Times New Roman"/>
        <i/>
        <color theme="1"/>
        <sz val="12.0"/>
      </rPr>
      <t>Thaïs</t>
    </r>
    <r>
      <rPr>
        <rFont val="Times New Roman"/>
        <color theme="1"/>
        <sz val="12.0"/>
      </rPr>
      <t xml:space="preserve">; Claude Debussy's Pelléas et Mélisande; Châtelaine de Vergy (Chatelaine of Vergi); Metropolitan; Bohemian Club in San Francisco; Mary Garden's production of Victor Herbert and Joseph Redding's </t>
    </r>
    <r>
      <rPr>
        <rFont val="Times New Roman"/>
        <i/>
        <color theme="1"/>
        <sz val="12.0"/>
      </rPr>
      <t>Natoma</t>
    </r>
    <r>
      <rPr>
        <rFont val="Times New Roman"/>
        <color theme="1"/>
        <sz val="12.0"/>
      </rPr>
      <t>; fire in apartment building; staying at Belmont; Metropolitan rug exhibition catalogue; Yorkes? Catalogue</t>
    </r>
  </si>
  <si>
    <t>00128</t>
  </si>
  <si>
    <t>1911_02_10</t>
  </si>
  <si>
    <t>32044150448496_023, 32044150448496_024, 32044150448496_025, 32044150448496_026</t>
  </si>
  <si>
    <t>607-610</t>
  </si>
  <si>
    <t>Decies, Helen Vivien Gould; Decies, John Beresford; Berenson, Senda; Morgan, J. Pierpont; Thurston, Ada</t>
  </si>
  <si>
    <t>Italian art; BG's art collection (loans)</t>
  </si>
  <si>
    <t>in bed with a cold; Gould-Decies wedding; redecorating library room after fire; two vibrant 16th c. Italian tapestries loaned to BG; planning to visit BB September 1 to October 15; Thurston sailing to Naples on February 22</t>
  </si>
  <si>
    <t>00129</t>
  </si>
  <si>
    <t>1911_02_14</t>
  </si>
  <si>
    <t>32044150448496_027, 32044150448496_028, 32044150448496_029, 32044150448496_030</t>
  </si>
  <si>
    <t>138 EAST FORTIETH STREET</t>
  </si>
  <si>
    <t>611-612</t>
  </si>
  <si>
    <t>Faversham, William; Hofgood, Hutchins; Haggin, James Ben Ali; Bode, Wilhelm; Smith, Robinson; Hoentschel, Georges; Glaenzer, Eugene; Troubetzkoy, Paul; Huntington, Archer; Thurston, Ada</t>
  </si>
  <si>
    <t>sculpture; BG's social world; Spanish art</t>
  </si>
  <si>
    <t>Masked ball; Carmen costume; Prince Paul Troubetzkoy sculpture exhibition at Hispanic Society; Ada Thurston's trip to Italy; BG apartment</t>
  </si>
  <si>
    <t>00130</t>
  </si>
  <si>
    <t>1911_02_17</t>
  </si>
  <si>
    <t>32044150448496_031, 32044150448496_032, 32044150448496_033, 32044150448496_034, 32044150448496_035, 32044150448496_036, 32044150448496_037, 32044150448496_038</t>
  </si>
  <si>
    <t>613-620</t>
  </si>
  <si>
    <t>Quaritch, Bernard Alfred; Harrison, Ethel; Pollock, Francis Lillie; Morgan, J. Pierpont; Dougherty, Paul Hampden; Thurston, Ada</t>
  </si>
  <si>
    <t xml:space="preserve">Italian art; paintings; BG's art collection; scholarship; BG's social world </t>
  </si>
  <si>
    <t>photographs of Pisa and Florence doors; forgery doors; photographs of antiphonaries; Siena Cathedral books; Augustinus? borders; Spinello Aretino; 16th c. green velvet; "chip-d'oeuvre"; tapestries in library room; c. 1650 Medici tapestry used as rug; Murray drawings Catalogue; "Incunabula" Catalogue; JPM in Egypt; hosting costume party for over 150 people</t>
  </si>
  <si>
    <t>00131</t>
  </si>
  <si>
    <t>1911_02_21_23</t>
  </si>
  <si>
    <t>32044150448496_039, 32044150448496_040, 32044150448496_041, 32044150448496_042, 32044150448496_043, 32044150448496_044, 32044150448496_045, 32044150448496_046, 32044150448496_047, 32044150448496_048, 32044150448496_049</t>
  </si>
  <si>
    <t>621-631</t>
  </si>
  <si>
    <t>Hiersemann, Karl Wilhelm; Murray, Charles Fairfax; De Marinis, Tammaro; Morgan, J. Pierpont; Grant, Ethel; Farrar, Alice Geraldine; Garden, Mary; Jonelli, Mme.?; Sylva, Marguerite; Pollock, Francis Lillie; Clément, Edmond; Bispham, David; Haggin, James Ben Ali; Thurston, Ada; Johnson, John Graver; Rey, Emile; Seligmann, Arnold; Hoentschel, Georges; Duveen</t>
  </si>
  <si>
    <t>acquisitions; Medieval and Renaissance manuscripts; race and ethnicity; art dealing; scholarship</t>
  </si>
  <si>
    <r>
      <rPr>
        <rFont val="Times New Roman"/>
        <color rgb="FF000000"/>
        <sz val="12.0"/>
      </rPr>
      <t xml:space="preserve">Hiersemann catalogue; advising BB not to get involved with Murray; dealers' attempts to sell to JPM behind BG's back; JPM "well trained" in consulting BG for purchases; successful costume party; </t>
    </r>
    <r>
      <rPr>
        <rFont val="Times New Roman"/>
        <i/>
        <color rgb="FF000000"/>
        <sz val="12.0"/>
      </rPr>
      <t>Chicago Son, the She-Devil</t>
    </r>
    <r>
      <rPr>
        <rFont val="Times New Roman"/>
        <color rgb="FF000000"/>
        <sz val="12.0"/>
      </rPr>
      <t xml:space="preserve">; Edgar Smith and Alfred Baldwin Sloane's </t>
    </r>
    <r>
      <rPr>
        <rFont val="Times New Roman"/>
        <i/>
        <color rgb="FF000000"/>
        <sz val="12.0"/>
      </rPr>
      <t>Heaven Will Protect the Working Girl</t>
    </r>
    <r>
      <rPr>
        <rFont val="Times New Roman"/>
        <color rgb="FF000000"/>
        <sz val="12.0"/>
      </rPr>
      <t>?; planning a party every year; Russian, clog, and Apache dances; Thurston leaving; received photographs of BB's dining room and study; planning to visit BB; taking photographs for BB and waiting for some from him; Rey, A. Seligmann, and Hoentschel going to Paris</t>
    </r>
  </si>
  <si>
    <t>2022/08/04</t>
  </si>
  <si>
    <t>00132</t>
  </si>
  <si>
    <t>1911_02_27_28</t>
  </si>
  <si>
    <t>32044150448496_050, 32044150448496_051, 32044150448496_052, 32044150448496_053, 32044150448496_054, 32044150448496_055, 32044150448496_056, 32044150448496_057</t>
  </si>
  <si>
    <t>632-639</t>
  </si>
  <si>
    <t>Curtis, Ralph; Terry, Ellen; Hapgood, Hutchins; McAdoo, William Gibbs; De Wolfe, Elsie; Marbury, Elisabeth; Morgan, Anne; Riggs, Kate Douglas Wiggin; Choate, Joseph Hodges; Grant, Ethel; Garden, Mary; Morgan, J. Pierpont; Blumenthal, Florence Meyer</t>
  </si>
  <si>
    <t>paintings</t>
  </si>
  <si>
    <r>
      <rPr>
        <rFont val="Times New Roman"/>
        <color rgb="FF000000"/>
        <sz val="12.0"/>
      </rPr>
      <t>BB traveling with Curtis; Terry's dinner; St. Jean sur Mur, France; Victor Herbert and Joseph Redding's</t>
    </r>
    <r>
      <rPr>
        <rFont val="Times New Roman"/>
        <i/>
        <color rgb="FF000000"/>
        <sz val="12.0"/>
      </rPr>
      <t xml:space="preserve"> Natoma</t>
    </r>
    <r>
      <rPr>
        <rFont val="Times New Roman"/>
        <color rgb="FF000000"/>
        <sz val="12.0"/>
      </rPr>
      <t>; "the demon drink + the Goddess Nicotine"; JPM in Luxor; closeness to Blumenthal; tragedy of Blumenthal's son's death; Blumenthal's "Annunciation" enamel plaque</t>
    </r>
  </si>
  <si>
    <t>00133</t>
  </si>
  <si>
    <t>1911_02_UNDATED_01</t>
  </si>
  <si>
    <t>32044150448496_010, 32044150448496_058, 32044150448496_059, 32044150448496_060, 32044150448496_061, 32044150448496_062, 32044150448496_063, 32044150448496_064, 32044150448496_065, 32044150448496_066, 32044150448496_067, 32044150448496_068, 32044150448496_069</t>
  </si>
  <si>
    <t>596; 640</t>
  </si>
  <si>
    <t>2 handwritten pages; printed Valentine's Day card, comprised of eleven envelopes of diminishing size nestled one inside the other with a red heart contained in the last</t>
  </si>
  <si>
    <t>Enclosed with Valentine's Day card from Senda</t>
  </si>
  <si>
    <t>Valentine's Day roses and card from Senda</t>
  </si>
  <si>
    <t>00134</t>
  </si>
  <si>
    <t>1911_03_07</t>
  </si>
  <si>
    <t>32044150448504_038</t>
  </si>
  <si>
    <t>Blakeslee (?)</t>
  </si>
  <si>
    <t>Italian art; acquisitions; paintings; art dealing</t>
  </si>
  <si>
    <t>"Blakeslee" (maybe an art dealer/auction house) purchased Filippo (Lippi?) paintings and sold it to a private collector; was "impossible" for BG to get; BG thanks BB for photographs of his paintings</t>
  </si>
  <si>
    <t>Halsey, Isabelle</t>
  </si>
  <si>
    <t>ILIH</t>
  </si>
  <si>
    <t>2023/06/22</t>
  </si>
  <si>
    <t>00135</t>
  </si>
  <si>
    <t>1911_03_10</t>
  </si>
  <si>
    <t>32044150448504_001, 32044150448504_002, 32044150448504_003, 32044150448504_004, 32044150448504_005, 32044150448504_006, 32044150448504_007, 32044150448504_008</t>
  </si>
  <si>
    <t>641-648</t>
  </si>
  <si>
    <t>Originally enclosed with letter from Ethel Harrison</t>
  </si>
  <si>
    <t>Blakeshe?; Glaenzer, Eugene; Thurston, Ada; Lydig, Rita de Acosta; Whitney, Harry Payne; Gould, Marjorie; Drexel, Anthony Joseph, Jr.; Mackay, Katherine Alexander; Blake, Joseph A.; Bispham, David; Duncan, Isadora; Singer, Paris Eugene; Harrison, Ethel; Pollock, Francis Lillie; Harrison's son; McComas, Francis</t>
  </si>
  <si>
    <t>Italian art; acquisitions; paintings; BG's art collection; BG's social world</t>
  </si>
  <si>
    <r>
      <rPr>
        <rFont val="Times New Roman"/>
        <color rgb="FF000000"/>
        <sz val="12.0"/>
      </rPr>
      <t xml:space="preserve">business in Washington; Hoe "near" Fra Filippo; Lydig scandal about being in love with Whitney (or another man); Lydig's bad appearance; Gould-Drexel wedding; rumor that Duncan's last child is Bispham's; hatred of Harrison but love of her son; BG lied to Harrison that she is in love with McComas; framed photo of Benedetto Bonfigli's nativity painting with Mary and flying golden angels; possible Fiorenzo di Lorenzo portrait; Borgognona landscape; Duccio's Maestà; Bartolo di Fredi's </t>
    </r>
    <r>
      <rPr>
        <rFont val="Times New Roman"/>
        <i/>
        <color rgb="FF000000"/>
        <sz val="12.0"/>
      </rPr>
      <t>Madonna and Child</t>
    </r>
  </si>
  <si>
    <t>00136</t>
  </si>
  <si>
    <t>1911_03_14</t>
  </si>
  <si>
    <t>32044150448504_009, 32044150448504_010, 32044150448504_011, 32044150448504_012, 32044150448504_013, 32044150448504_014</t>
  </si>
  <si>
    <t>649-654</t>
  </si>
  <si>
    <t>BG's doctor; Morgan, J. Pierpont; Blakshe?; Berenson, Mary</t>
  </si>
  <si>
    <t>fainting spell keeping her in at home for a week; JPM in Cairo then Palermo then Rome; letter from Mary; hopes to go to India with BB for "durbah" (Delhi Durbar?); BG's new BB monogram</t>
  </si>
  <si>
    <t>00137</t>
  </si>
  <si>
    <t>1911_03_16_17</t>
  </si>
  <si>
    <t>32044150448504_015, 32044150448504_016, 32044150448504_017, 32044150448504_018, 32044150448504_019, 32044150448504_020, 32044150448504_021, 32044150448504_022, 32044150448504_023, 32044150448504_024</t>
  </si>
  <si>
    <t>655-664</t>
  </si>
  <si>
    <t>BG's doctor; Garden, Mary; Grant, Ethel; Baird, Edward Kellogg; Morgan, J. Pierpont; Thurston, Ada; Greene, Genevieve Ida Van Vliet Fleet; Duncan, Isadora</t>
  </si>
  <si>
    <r>
      <rPr>
        <rFont val="Times New Roman"/>
        <color rgb="FF000000"/>
        <sz val="12.0"/>
      </rPr>
      <t xml:space="preserve">accident near BB; doctor's orders to stop going out for the most part; Garden in Jules Massanet's </t>
    </r>
    <r>
      <rPr>
        <rFont val="Times New Roman"/>
        <i/>
        <color rgb="FF000000"/>
        <sz val="12.0"/>
      </rPr>
      <t>Thaïs</t>
    </r>
    <r>
      <rPr>
        <rFont val="Times New Roman"/>
        <color rgb="FF000000"/>
        <sz val="12.0"/>
      </rPr>
      <t xml:space="preserve">; Franklin Pierce Adams' "Footlight Motifs" in </t>
    </r>
    <r>
      <rPr>
        <rFont val="Times New Roman"/>
        <i/>
        <color rgb="FF000000"/>
        <sz val="12.0"/>
      </rPr>
      <t>New York Sun</t>
    </r>
    <r>
      <rPr>
        <rFont val="Times New Roman"/>
        <color rgb="FF000000"/>
        <sz val="12.0"/>
      </rPr>
      <t xml:space="preserve"> (modified); Jules Massenet's </t>
    </r>
    <r>
      <rPr>
        <rFont val="Times New Roman"/>
        <i/>
        <color rgb="FF000000"/>
        <sz val="12.0"/>
      </rPr>
      <t>Le jongleur de Notre-Dame</t>
    </r>
    <r>
      <rPr>
        <rFont val="Times New Roman"/>
        <color rgb="FF000000"/>
        <sz val="12.0"/>
      </rPr>
      <t>; Grant writing to BB often; occasional visits from Baird; fear of getting fat; JPM saw Thurston in Rome; hour-long afternoon walk every day; rumour of nervous collapse due to parties or nail-biting or other bad habits; Duncan wanting a child with another man; Ardsley Country Club luncheon</t>
    </r>
  </si>
  <si>
    <t>00138</t>
  </si>
  <si>
    <t>1911_03_21</t>
  </si>
  <si>
    <t>32044150448504_025, 32044150448504_026, 32044150448504_027, 32044150448504_028, 32044150448504_029, 32044150448504_030, 32044150448504_031, 32044150448504_032, 32044150448504_033, 32044150448504_034</t>
  </si>
  <si>
    <t>665-674</t>
  </si>
  <si>
    <t>Grigsby, Emilie; Cosgrave, John O'Hara; Cosgrave, Miss; Pam, Max; Yerkes, Charles T.; Duncan, Isadora; Gardiner, Billy; Faversham, William; Faversham, Julie Opp; Garden, Mary; Riggs, Kate Douglas Wiggin; Farrar, Geraldine; Baird, Edward Kellogg; Garnder, Isabella Stewart?; Daingerfield, Elliott</t>
  </si>
  <si>
    <t>music; BG's social world</t>
  </si>
  <si>
    <r>
      <rPr>
        <rFont val="Times New Roman"/>
        <color rgb="FF000000"/>
        <sz val="12.0"/>
      </rPr>
      <t xml:space="preserve">Grigsby attracted to Pam; Yerkes estate; tea with Duncan and eight men; Duncan and Gardiner planning baby names; lunch at Ritz with Favershams; Daingerfield's studio; </t>
    </r>
    <r>
      <rPr>
        <rFont val="Times New Roman"/>
        <i/>
        <color rgb="FF000000"/>
        <sz val="12.0"/>
      </rPr>
      <t>Thaïs</t>
    </r>
    <r>
      <rPr>
        <rFont val="Times New Roman"/>
        <color rgb="FF000000"/>
        <sz val="12.0"/>
      </rPr>
      <t xml:space="preserve">; Ardsley Club; Colony Club luncheon for Farrar and BG; "steady" Baird to fill BB's absence; Harvard Club; </t>
    </r>
  </si>
  <si>
    <t>00139</t>
  </si>
  <si>
    <t>1911_03_29</t>
  </si>
  <si>
    <t>32044150448504_035, 32044150448504_036, 32044150448504_037</t>
  </si>
  <si>
    <t>675-677</t>
  </si>
  <si>
    <t>Duveen, Louis; Farrar, Geraldine; Blumenthal, George; Douglas, Langton</t>
  </si>
  <si>
    <t>music; BG's social world; art dealing</t>
  </si>
  <si>
    <r>
      <rPr>
        <rFont val="Times New Roman"/>
        <color rgb="FF000000"/>
        <sz val="12.0"/>
      </rPr>
      <t xml:space="preserve">taking a break from outings; répétition generale of Paul Dukas' </t>
    </r>
    <r>
      <rPr>
        <rFont val="Times New Roman"/>
        <i/>
        <color rgb="FF000000"/>
        <sz val="12.0"/>
      </rPr>
      <t>Ariane et Barbe-bleue</t>
    </r>
    <r>
      <rPr>
        <rFont val="Times New Roman"/>
        <color rgb="FF000000"/>
        <sz val="12.0"/>
      </rPr>
      <t xml:space="preserve"> at Opera House; bad opinion of Farrar; upset that the Museum (Metropolitan Museum of Art?) bought a Perugino from Douglas</t>
    </r>
  </si>
  <si>
    <t>00140</t>
  </si>
  <si>
    <t>1911_04_03</t>
  </si>
  <si>
    <t>32044150448512_001, 32044150448512_002, 32044150448512_003, 32044150448512_004, 32044150448512_005, 32044150448512_006</t>
  </si>
  <si>
    <t>679-684</t>
  </si>
  <si>
    <t>Thurston, Ada; Babbott, Frank L.; Morgan, J. Pierpont; Untermyer, Samuel; Untermyer, Minnie Carl; Chalfin, Paul; Gardner, Isabella Stewart; Breck, Joseph</t>
  </si>
  <si>
    <t>BG's art collection; scholarship; Italian art</t>
  </si>
  <si>
    <r>
      <rPr>
        <rFont val="Times New Roman"/>
        <color rgb="FF000000"/>
        <sz val="12.0"/>
      </rPr>
      <t xml:space="preserve">photographs of BB; </t>
    </r>
    <r>
      <rPr>
        <rFont val="Times New Roman"/>
        <i/>
        <color rgb="FF000000"/>
        <sz val="12.0"/>
      </rPr>
      <t>P. P. Rubens: des Meisters Gemälde in 538 Abbildungen</t>
    </r>
    <r>
      <rPr>
        <rFont val="Times New Roman"/>
        <color rgb="FF000000"/>
        <sz val="12.0"/>
      </rPr>
      <t>;</t>
    </r>
    <r>
      <rPr>
        <rFont val="Times New Roman"/>
        <i/>
        <color rgb="FF000000"/>
        <sz val="12.0"/>
      </rPr>
      <t xml:space="preserve"> Van Dyck: des Meisters Gemälde in 571 Abbildungen</t>
    </r>
    <r>
      <rPr>
        <rFont val="Times New Roman"/>
        <color rgb="FF000000"/>
        <sz val="12.0"/>
      </rPr>
      <t xml:space="preserve">; pre-Duccio </t>
    </r>
    <r>
      <rPr>
        <rFont val="Times New Roman"/>
        <i/>
        <color rgb="FF000000"/>
        <sz val="12.0"/>
      </rPr>
      <t>Madonna</t>
    </r>
    <r>
      <rPr>
        <rFont val="Times New Roman"/>
        <color rgb="FF000000"/>
        <sz val="12.0"/>
      </rPr>
      <t>; Florence; Hoentschel collection, great dislike of Samuel Untermyer; spending time alone to recover; "Wasabella"</t>
    </r>
  </si>
  <si>
    <t>2022/08/06</t>
  </si>
  <si>
    <t>00141</t>
  </si>
  <si>
    <t>1911_04_07</t>
  </si>
  <si>
    <t>32044150448512_007, 32044150448512_008</t>
  </si>
  <si>
    <t>685-686</t>
  </si>
  <si>
    <t>20-page birthday letter to JPM; leaving for Lakewood; BB's "forget-me-not" eyes</t>
  </si>
  <si>
    <t>00142</t>
  </si>
  <si>
    <t>1911_04_10</t>
  </si>
  <si>
    <t>32044150448512_015, 32044150448512_016</t>
  </si>
  <si>
    <t>693-694</t>
  </si>
  <si>
    <t>pp. 3 on different paper</t>
  </si>
  <si>
    <t>Enclosed with note from Ethel Harrison</t>
  </si>
  <si>
    <t>Harrison, Ethel</t>
  </si>
  <si>
    <t>lacking correspondence with Harrison</t>
  </si>
  <si>
    <t>00143</t>
  </si>
  <si>
    <t>1911_04_14</t>
  </si>
  <si>
    <t>32044150448512_022</t>
  </si>
  <si>
    <t>cablegram</t>
  </si>
  <si>
    <t>00144</t>
  </si>
  <si>
    <t>1911_04_14_18</t>
  </si>
  <si>
    <t>32044150448512_017, 32044150448512_018, 32044150448512_019, 32044150448512_020, 32044150448512_021</t>
  </si>
  <si>
    <t>695-699</t>
  </si>
  <si>
    <t>Widener, Joseph E.; Frick, Henry Clay; Thurston, Ada; Morgan, J. Pierpont</t>
  </si>
  <si>
    <t>library work; acquisitions (or BG's art collection?); BG's art collection; Chinese art; Spanish art; Italian art; art dealing</t>
  </si>
  <si>
    <r>
      <rPr>
        <rFont val="Times New Roman"/>
        <color rgb="FF000000"/>
        <sz val="12.0"/>
      </rPr>
      <t>scolded by BB for not writing; Widener purchase; Frick purchase of Fraga Velasquez (</t>
    </r>
    <r>
      <rPr>
        <rFont val="Times New Roman"/>
        <i/>
        <color rgb="FF000000"/>
        <sz val="12.0"/>
      </rPr>
      <t>King Philip IV of Spain</t>
    </r>
    <r>
      <rPr>
        <rFont val="Times New Roman"/>
        <color rgb="FF000000"/>
        <sz val="12.0"/>
      </rPr>
      <t xml:space="preserve">?); Hoe books; Fra Angelico in </t>
    </r>
    <r>
      <rPr>
        <rFont val="Times New Roman"/>
        <i/>
        <color rgb="FF000000"/>
        <sz val="12.0"/>
      </rPr>
      <t>Klassiker der Kunst</t>
    </r>
    <r>
      <rPr>
        <rFont val="Times New Roman"/>
        <color rgb="FF000000"/>
        <sz val="12.0"/>
      </rPr>
      <t xml:space="preserve">; Sixtus IV tomb photographs; Customs House possession of pre-Duccio </t>
    </r>
    <r>
      <rPr>
        <rFont val="Times New Roman"/>
        <i/>
        <color rgb="FF000000"/>
        <sz val="12.0"/>
      </rPr>
      <t>Madonna</t>
    </r>
    <r>
      <rPr>
        <rFont val="Times New Roman"/>
        <color rgb="FF000000"/>
        <sz val="12.0"/>
      </rPr>
      <t>; grapefruit shipments to BB; new Han piece of a horse and rider; friends going to Europe; Constantinople trip; JPM Florence trip</t>
    </r>
  </si>
  <si>
    <t>2022/08/08</t>
  </si>
  <si>
    <t>00145</t>
  </si>
  <si>
    <t>1911_04_21 (first letter)</t>
  </si>
  <si>
    <t>32044150448512_009, 32044150448512_010, 32044150448512_011, 32044150448512_012, 32044150448512_013, 32044150448512_014</t>
  </si>
  <si>
    <t>687-692</t>
  </si>
  <si>
    <t>Originally included letter from Ada Thurston</t>
  </si>
  <si>
    <t>Huntington, Henry; Smith, George D.; Quaritch, Bernard Alfred; Thurston, Ada; Babbott; Frank L.; Morgan, J. Pierpont; Ethel</t>
  </si>
  <si>
    <t>acquisitions; BG's art collection; British literature; art dealing; early printed books</t>
  </si>
  <si>
    <r>
      <rPr>
        <rFont val="Times New Roman"/>
        <color rgb="FF000000"/>
        <sz val="12.0"/>
      </rPr>
      <t xml:space="preserve">Hoe book sale; original Caxton </t>
    </r>
    <r>
      <rPr>
        <rFont val="Times New Roman"/>
        <i/>
        <color rgb="FF000000"/>
        <sz val="12.0"/>
      </rPr>
      <t>Le Morte d'Arthur</t>
    </r>
    <r>
      <rPr>
        <rFont val="Times New Roman"/>
        <color rgb="FF000000"/>
        <sz val="12.0"/>
      </rPr>
      <t xml:space="preserve">; first edition of Alexander; pre-Duccio </t>
    </r>
    <r>
      <rPr>
        <rFont val="Times New Roman"/>
        <i/>
        <color rgb="FF000000"/>
        <sz val="12.0"/>
      </rPr>
      <t>Madonna</t>
    </r>
    <r>
      <rPr>
        <rFont val="Times New Roman"/>
        <color rgb="FF000000"/>
        <sz val="12.0"/>
      </rPr>
      <t xml:space="preserve">; Customs House; BB meeting Thurston; William Blake's </t>
    </r>
    <r>
      <rPr>
        <rFont val="Times New Roman"/>
        <i/>
        <color rgb="FF000000"/>
        <sz val="12.0"/>
      </rPr>
      <t>Milton</t>
    </r>
    <r>
      <rPr>
        <rFont val="Times New Roman"/>
        <color rgb="FF000000"/>
        <sz val="12.0"/>
      </rPr>
      <t xml:space="preserve">; William Blake's </t>
    </r>
    <r>
      <rPr>
        <rFont val="Times New Roman"/>
        <i/>
        <color rgb="FF000000"/>
        <sz val="12.0"/>
      </rPr>
      <t>The Marriage of Heaven and Hell</t>
    </r>
    <r>
      <rPr>
        <rFont val="Times New Roman"/>
        <color rgb="FF000000"/>
        <sz val="12.0"/>
      </rPr>
      <t>; list of British Museum books from Huth library; sailing for Europe; JPM birthday letter response</t>
    </r>
  </si>
  <si>
    <t>00146</t>
  </si>
  <si>
    <t>1911_04_21 (second letter)</t>
  </si>
  <si>
    <t>32044150448512_023</t>
  </si>
  <si>
    <t>[CABLEGRAM]</t>
  </si>
  <si>
    <t>00147</t>
  </si>
  <si>
    <t>1911_05_02</t>
  </si>
  <si>
    <t>32044150448520_001, 32044150448520_002, 32044150448520_003, 32044150448520_004</t>
  </si>
  <si>
    <t>702-703</t>
  </si>
  <si>
    <t xml:space="preserve">See MCC P Misc (Pollard); MCC P Pearson </t>
  </si>
  <si>
    <t>Huntington, Henry; Widener, Harry Elkins; Thurston, Ada; Blumenthal, Florence; Morgan, J. Pierpont</t>
  </si>
  <si>
    <t>acquisitions; BG's art collection; art dealing; early printed books</t>
  </si>
  <si>
    <t>Hoe book sale; Caxton, Morte d'Arthur (PML 17560); gift of painting</t>
  </si>
  <si>
    <t>2020/08/08</t>
  </si>
  <si>
    <t>00148</t>
  </si>
  <si>
    <t>1911_05_09</t>
  </si>
  <si>
    <t>32044150448520_005, 32044150448520_006, 32044150448520_007, 32044150448520_008, 32044150448520_009, 32044150448520_010, 32044150448520_011, 32044150448520_012, 32044150448520_013, 32044150448520_014, 32044150448520_015, 32044150448520_016, 32044150448520_017</t>
  </si>
  <si>
    <t>704-716</t>
  </si>
  <si>
    <t>26</t>
  </si>
  <si>
    <t>Thurston, Ada; Morgan, J. Pierpont; Quartich, Bernard Alfred; Grant, Ethel; Imbert, Alexandre; Pier, Mrs. Garrett; Brauer, Godefroy; Douglas, R. Langton; Bode, Wilhelm von; Kahn, Otto; Blumenthal, Florence; Marbury, Elizabeth</t>
  </si>
  <si>
    <t>BG's art collection; acquisitions; Chinese art; Italian art; Byzantine art; art dealing; scholarship</t>
  </si>
  <si>
    <t>Gift of painting; Cartier watch; Huth book sale; returning of paintings; Berardino dei Conti; Botticelli; Fra Angelico; catalogue of Fairfax Murray drawings; catalogue of small bronzes; Manuel de l'art Byzantine; Ravenna; relationship with JPM; Virtue and Vice (AZ009); Cellini, Benvenuto; Borghese collection; Rothschild collection; Han art</t>
  </si>
  <si>
    <t>2020/08/10</t>
  </si>
  <si>
    <t>00149</t>
  </si>
  <si>
    <t>1911_05_12</t>
  </si>
  <si>
    <t>32044150448520_018, 32044150448520_019, 32044150448520_020, 32044150448520_021, 32044150448520_022</t>
  </si>
  <si>
    <t>717-721</t>
  </si>
  <si>
    <t>Morgan, J. Pierpont; Brunner, Arnold; Brunner, Emma; Marbury, Elizabeth; Lane, John</t>
  </si>
  <si>
    <t>acquisitions; art dealing</t>
  </si>
  <si>
    <t>Photographs of European trip; Huth book sale</t>
  </si>
  <si>
    <t>00150</t>
  </si>
  <si>
    <t>1911_05_15</t>
  </si>
  <si>
    <t>32044150448520_023, 32044150448520_024, 32044150448520_025, 32044150448520_026, 32044150448520_027, 32044150448520_028, 32044150448520_029, 32044150448520_030, 32044150448520_031, 32044150448520_032</t>
  </si>
  <si>
    <t>722-731</t>
  </si>
  <si>
    <t>Berenson, Mary; Smith, Hannah Whitall; Thurston, Ada; Morgan, J. Pierpont; Marbury, Elizabeth; Brunner, Emma; Cosgrave, John O'Hara; Morgan, Anne</t>
  </si>
  <si>
    <t>acquisitions; images of BG</t>
  </si>
  <si>
    <t>Death of Mary Berenson's mother; portrait photographs</t>
  </si>
  <si>
    <t>00151</t>
  </si>
  <si>
    <t>1911_05_16</t>
  </si>
  <si>
    <t>32044150448520_033, 32044150448520_034, 32044150448520_035</t>
  </si>
  <si>
    <t>732-734</t>
  </si>
  <si>
    <t>Kahn, Otto; Thurston, Ada</t>
  </si>
  <si>
    <t>Lucca</t>
  </si>
  <si>
    <t>00152</t>
  </si>
  <si>
    <t>1911_05_17</t>
  </si>
  <si>
    <t>32044150448520_036, 32044150448520_037, 32044150448520_038, 32044150448520_039, 32044150448520_040, 32044150448520_041, 32044150448520_042, 32044150448520_043, 32044150448520_044, 32044150448520_045, 32044150448520_046, 32044150448520_047, 32044150448520_048, 32044150448520_049</t>
  </si>
  <si>
    <t>735-748</t>
  </si>
  <si>
    <t>Thurston, Ada; Perkins, Frederick Mason; Blumenthal, George; Blumental, Florence; Babbott, Frank?; Berenson, Senda; Read, Hercules; Gruel, Léon; Rahir, Édouard; Voynich, Wilfrid</t>
  </si>
  <si>
    <t>acquisitions; French art</t>
  </si>
  <si>
    <t>Railway Club; New York subway contracts; Huth book sale; Morte d'Arthur fascimile; Huth book sale; Martin Luther letter; gift of enamel to Louvre; Atlantic City; engagement; reform movement</t>
  </si>
  <si>
    <t>00153</t>
  </si>
  <si>
    <t>1911_05_21</t>
  </si>
  <si>
    <t>32044150448520_050, 32044150448520_051</t>
  </si>
  <si>
    <t xml:space="preserve">ARDSLEY CLUB / ARDSELY-ON-HUDSON, N. Y. </t>
  </si>
  <si>
    <t>Ardsely-on-Hudson, New York</t>
  </si>
  <si>
    <t>749</t>
  </si>
  <si>
    <t>Greene, Geneveieve; Baird, Edward Kellogg</t>
  </si>
  <si>
    <t>press coverage; New York World newspaper</t>
  </si>
  <si>
    <t>00154</t>
  </si>
  <si>
    <t>1911_05_22_23_25</t>
  </si>
  <si>
    <t>32044150448520_052, 32044150448520_053, 32044150448520_054, 32044150448520_055, 32044150448520_056, 32044150448520_057, 32044150448520_058, 32044150448520_059, 32044150448520_060</t>
  </si>
  <si>
    <t>138 EAST FORTIETH STREET / BELLE</t>
  </si>
  <si>
    <t>750-758</t>
  </si>
  <si>
    <t>First page with 138 EAST FORTIETH STREET letterhead, rest of letter on BELLE letterhead</t>
  </si>
  <si>
    <t>Thurston, Ada; Perkins, Frederick Mason; Blumenthal, George; Blumental, Florence; Babbott, Frank?; Berenson, Senda; Read, Hercules; Gruel, Léon; Rahir, Édouard; Voynich, Wilfrid; Littleton, Martin</t>
  </si>
  <si>
    <t>images of BG; acquisitions; Persian art; manuscripts; Medieval and Renaissance manuscripts; French art</t>
  </si>
  <si>
    <t>portrait photographs; opening of New York Public Library; gift of painting; Wertheimer collection; Belle art collection; Persian drawings; faience; buying manuscripts and incunables; polo</t>
  </si>
  <si>
    <t>00155</t>
  </si>
  <si>
    <t>1911_05_26</t>
  </si>
  <si>
    <t>32044150448520_061, 32044150448520_062, 32044150448520_063, 32044150448520_064</t>
  </si>
  <si>
    <t>759-760</t>
  </si>
  <si>
    <t>Berenson, Mary; Berenson, Senda; Abbott, Herbert Vaughn; Morgan, J. Pierpont; Grant, Ethel; Gardner, Isabella Stewart</t>
  </si>
  <si>
    <t>press coverage; interview refusals; marriage of Senda Berenson; correspondance with JPM; Lenox</t>
  </si>
  <si>
    <t>00156</t>
  </si>
  <si>
    <t>1911_05_31</t>
  </si>
  <si>
    <t>32044150448520_065, 32044150448520_066, 32044150448520_067, 32044150448520_068, 32044150448520_069, 32044150448520_070, 32044150448520_071, 32044150448520_072, 32044150448520_073, 32044150448520_074</t>
  </si>
  <si>
    <t>760-769</t>
  </si>
  <si>
    <t>Baird, Edward Kellogg; Livingston, Luther; Eames, Wilberforce; Walters, Henry; Laffan, William; Gates, John Warne; Thorne, Oakleigh; Perkins, George; Berenson, Suida; Huntington, Henry</t>
  </si>
  <si>
    <t>acquisitions; language learning; politics; art dealing; current events; BG's social world</t>
  </si>
  <si>
    <t>Belle's family; Ardsley country club; government investigation into US Steel trust; Tennessee Coal and Iron; Panic of 1907; Huth book sale; Belle's apartment decoration</t>
  </si>
  <si>
    <t>00157</t>
  </si>
  <si>
    <t>1911_06_27</t>
  </si>
  <si>
    <t>32044150448538_001, 32044150448538_002</t>
  </si>
  <si>
    <t>770</t>
  </si>
  <si>
    <t>Morgan, Junius Spencer; Brunner, Arnold</t>
  </si>
  <si>
    <t>acqusitions; art dealing</t>
  </si>
  <si>
    <t>Huth book sale; Claridge's; malaria</t>
  </si>
  <si>
    <t>2020/08/09</t>
  </si>
  <si>
    <t>00158</t>
  </si>
  <si>
    <t>1911_07_04</t>
  </si>
  <si>
    <t>32044150448538_003, 32044150448538_004, 32044150448538_005, 32044150448538_006, 32044150448538_007, 32044150448538_008</t>
  </si>
  <si>
    <t>Blumenthal, George; Harrison, Ethel; Morgan, J. Pierpont; Harmon, Clifford B.; Benedict, Elias Cornelius; Hoyt, Colgate; Hoyt, Katharine Sharp; Miller, Gerrit Smith; Miller; Susan Hunt Dixwell</t>
  </si>
  <si>
    <t xml:space="preserve">Chinese art; French art; acquisitions; scholarship; art dealing </t>
  </si>
  <si>
    <r>
      <rPr>
        <rFont val="Times New Roman"/>
        <color theme="1"/>
        <sz val="12.0"/>
      </rPr>
      <t xml:space="preserve">quinine dosage reduced tomorrow; BB in Paris with friends; Cesena library book; Berthold Laufer's </t>
    </r>
    <r>
      <rPr>
        <rFont val="Times New Roman"/>
        <i/>
        <color theme="1"/>
        <sz val="12.0"/>
      </rPr>
      <t>Chinese Pottery of the Han Dynasty</t>
    </r>
    <r>
      <rPr>
        <rFont val="Times New Roman"/>
        <color theme="1"/>
        <sz val="12.0"/>
      </rPr>
      <t xml:space="preserve">; Vitry; Julius Baum's </t>
    </r>
    <r>
      <rPr>
        <rFont val="Times New Roman"/>
        <i/>
        <color theme="1"/>
        <sz val="12.0"/>
      </rPr>
      <t>L'Architecture Romane en France</t>
    </r>
    <r>
      <rPr>
        <rFont val="Times New Roman"/>
        <color theme="1"/>
        <sz val="12.0"/>
      </rPr>
      <t>; Sculpture Française; Huth sale; I Tatti; London; Oklahoma trip; oil land inspection; St. Louis balloon; first time farther west than Boston; water wagon; reduced cigarette use; neglect of Harrison</t>
    </r>
  </si>
  <si>
    <t>00159</t>
  </si>
  <si>
    <t>1911_07_14</t>
  </si>
  <si>
    <t>32044150448538_009, 32044150448538_010</t>
  </si>
  <si>
    <t>cottage by the shore; Claridge's</t>
  </si>
  <si>
    <t>00160</t>
  </si>
  <si>
    <t>1911_07_17</t>
  </si>
  <si>
    <t>32044150448538_011, 32044150448538_012, 32044150448538_013, 32044150448538_014, 32044150448538_015, 32044150448538_016, 32044150448538_017</t>
  </si>
  <si>
    <t>BG's doctor; Harrison, Ethel; Grant, Ethel; Baird, Edward Kellogg; Morgan, J. Pierpont; Read, Charles Hercules; Le Gallienne, Richard; Bispham, David; Blumenthal, Florence Meyer; Reinach, Solomon</t>
  </si>
  <si>
    <t>reduced quinine dosage; doctor denied Oklahoma trip; Harrison at Onslow Square; irritation with Grant and boredom of Baird; summer house in Tokeneke, Connecticut; JPM and Read returning in August; "cebbrity" colonies; too hot weather; Blumenthal and Reinach; sending BB pictures of BG; Huntington, Long Island</t>
  </si>
  <si>
    <t>00161</t>
  </si>
  <si>
    <t>1911_07_18</t>
  </si>
  <si>
    <t>32044150448538_018, 32044150448538_019, 32044150448538_020, 32044150448538_021</t>
  </si>
  <si>
    <t>Bispham, David; Smith, Mrs. Gerry</t>
  </si>
  <si>
    <t>BB letter from London; house in Tokeneke; musical and literary celebrities; staying home for illness; "non-letter-writing" day</t>
  </si>
  <si>
    <t>00162</t>
  </si>
  <si>
    <t>1911_07_25</t>
  </si>
  <si>
    <t>32044150448538_022, 32044150448538_023, 32044150448538_024</t>
  </si>
  <si>
    <t>Morgan, J. Pierpont; Harrison, Ethel; Johnson, Owen; Johnson, Robert Underwood; Fanton, Mary; Roberts, William Carman; Mestre, Harold</t>
  </si>
  <si>
    <t>acquisitions; Italian art; scholarship</t>
  </si>
  <si>
    <r>
      <rPr>
        <rFont val="Times New Roman"/>
        <color theme="1"/>
        <sz val="12.0"/>
      </rPr>
      <t xml:space="preserve">Prince's Gate; BB and JPM friendship; Vivarini; bronze catalogue; house in Tokeneke; </t>
    </r>
    <r>
      <rPr>
        <rFont val="Times New Roman"/>
        <i/>
        <color theme="1"/>
        <sz val="12.0"/>
      </rPr>
      <t>Craftsman</t>
    </r>
    <r>
      <rPr>
        <rFont val="Times New Roman"/>
        <color theme="1"/>
        <sz val="12.0"/>
      </rPr>
      <t xml:space="preserve">; </t>
    </r>
    <r>
      <rPr>
        <rFont val="Times New Roman"/>
        <i/>
        <color theme="1"/>
        <sz val="12.0"/>
      </rPr>
      <t>The</t>
    </r>
    <r>
      <rPr>
        <rFont val="Times New Roman"/>
        <color theme="1"/>
        <sz val="12.0"/>
      </rPr>
      <t xml:space="preserve"> </t>
    </r>
    <r>
      <rPr>
        <rFont val="Times New Roman"/>
        <i/>
        <color theme="1"/>
        <sz val="12.0"/>
      </rPr>
      <t>Literary Digest</t>
    </r>
    <r>
      <rPr>
        <rFont val="Times New Roman"/>
        <color theme="1"/>
        <sz val="12.0"/>
      </rPr>
      <t>; Johnson's book about American college life</t>
    </r>
  </si>
  <si>
    <t>00163</t>
  </si>
  <si>
    <t>1911_08_11</t>
  </si>
  <si>
    <t>32044150448538_025, 32044150448538_026, 32044150448538_027, 32044150448538_028, 32044150448538_029, 32044150448538_030, 32044150448538_031, 32044150448538_032, 32044150448538_033</t>
  </si>
  <si>
    <t>Voynich, Wilfrid; Douglas, R. Langton; Grant, Ethel; Blumenthal, Florence Meyer; Morton, Johnson; Johnstone, Lady Antoinette; Morgan, J. Pierpont; Mestre, Harold; Gruel, Léon; Read, Charles Hercules; Thurston, Ada; Berenson, Mary; [illegible] Robinson, Mrs.; Harris</t>
  </si>
  <si>
    <t xml:space="preserve">Renaissance and Medieval manuscripts; French art; Italian art; acquisitions; </t>
  </si>
  <si>
    <t>too hot weather; BG illness; flirtation and brief engagement with Mestre; Read and JPM returning on Olympic; Morton's devotion to Robinson; Johnstone illness; lovely French manuscript from Harris; six manuscripts from JPM; British Museum; National Gallery; 13th. c. French manuscript; Spain trip; Claridge's; Douglas' Peregino bought by JPM; Kann pictures of two Memlings and others; BB letter from Oxford</t>
  </si>
  <si>
    <t>00164</t>
  </si>
  <si>
    <t>1911_08_22</t>
  </si>
  <si>
    <t>32044150448538_034, 32044150448538_035, 32044150448538_036, 32044150448538_037, 32044150448538_038</t>
  </si>
  <si>
    <t>Lydig, Rita de Acosta; Morgan, J. Pierpont; Read, Charles Hercules; Berenson, Mary</t>
  </si>
  <si>
    <t>Egyption art; BG's art collection; politics</t>
  </si>
  <si>
    <t>praising BB writing regularly; claims to publish BB's letters; St. Moritz; JPM at Newport; Spain trip; Egyptian things for BG personal collection from Read; Read's conceit; enamels in London; poor Egyptian items from JPM; Roosevelt</t>
  </si>
  <si>
    <t>00165</t>
  </si>
  <si>
    <t>1911_08_31</t>
  </si>
  <si>
    <t>32044150448538_039</t>
  </si>
  <si>
    <t>Cablegram</t>
  </si>
  <si>
    <t>00166</t>
  </si>
  <si>
    <t>1911_09_02</t>
  </si>
  <si>
    <t>32044150448546_001, 32044150448546_002, 32044150448546_003, 32044150448546_004, 32044150448546_005, 32044150448546_006, 32044150448546_007, 32044150448546_008, 32044150448546_009, 32044150448546_010, 32044150448546_011, 32044150448546_012, 32044150448546_013, 32044150448546_014, 32044150448546_015, 32044150448546_016, 32044150448546_017, 32044150448546_018, 32044150448546_019, 32044150448546_020</t>
  </si>
  <si>
    <t>Perkins, Frederick Mason; Platt, Dan Fellows; Breck, Joseph; Grant, Ethel; Read, Charles Hercules; Morgan, J. Pierpont; Chassinat, Emile; Platt, Ethel Appleby Bliss; Sambon, Arthur; Thurston, Ada; Berenson, Mary</t>
  </si>
  <si>
    <t>aquisitions; cultural institutions; race and ethnicity; Italian art; paintings; Byzantine art</t>
  </si>
  <si>
    <t>JPM greatly upset at hearing of BG's engagement; Huth sale and Library; BG's insecurities (?) about BB's affection; BG's correspondance habits; BB's summary of BG's attitude toward Read; BG's annoyance at Read's portrayal of her to BB; dinner with Thurston and the Platts; Langston Douglas; Raphael's paintings and Sienese art; BB's frustrations with BG's flirtatious habits; Coptic manuscripts; MB's bad humor</t>
  </si>
  <si>
    <t>2022/08/09</t>
  </si>
  <si>
    <t>00167</t>
  </si>
  <si>
    <t>1911_09_08_14</t>
  </si>
  <si>
    <t>32044150448546_021, 32044150448546_022, 32044150448546_023, 32044150448546_024, 32044150448546_025, 32044150448546_026, 32044150448546_027, 32044150448546_028, 32044150448546_029</t>
  </si>
  <si>
    <r>
      <rPr>
        <rFont val="Times New Roman"/>
        <color rgb="FF000000"/>
        <sz val="12.0"/>
      </rPr>
      <t xml:space="preserve">Grant, Ethel; Morgan, J. Pierpont, Jr.; Seligmann, Arnold </t>
    </r>
    <r>
      <rPr>
        <rFont val="Times New Roman"/>
        <color rgb="FF000000"/>
        <sz val="12.0"/>
      </rPr>
      <t>(?)</t>
    </r>
    <r>
      <rPr>
        <rFont val="Times New Roman"/>
        <color rgb="FF000000"/>
        <sz val="12.0"/>
      </rPr>
      <t xml:space="preserve">; Morgan, J. Pierpont; Harrison, Ethel; Berenson, Mary; Brunner, Emma B.; Seligmann, Jacques </t>
    </r>
    <r>
      <rPr>
        <rFont val="Times New Roman"/>
        <color rgb="FF000000"/>
        <sz val="12.0"/>
      </rPr>
      <t>(?)</t>
    </r>
    <r>
      <rPr>
        <rFont val="Times New Roman"/>
        <color rgb="FF000000"/>
        <sz val="12.0"/>
      </rPr>
      <t>; Brunner, Arnold W.</t>
    </r>
  </si>
  <si>
    <t>Italian art; aquisitions</t>
  </si>
  <si>
    <t>BB's social life during stay at St. Moritz; Mary's bad attitude; BG's busy work life and poor health; planning for BB's visit in 1912; JPM's busy work life; "Langstone Bode" Peregino; enclosed letter for Ethel Harrison; JPM bringing collection back to New York within the following year; Huth Sale; BG's friends' returning</t>
  </si>
  <si>
    <t>00168</t>
  </si>
  <si>
    <t>1911_09_22</t>
  </si>
  <si>
    <t>32044150448546_030, 32044150448546_031, 32044150448546_032, 32044150448546_033, 32044150448546_034, 32044150448546_035, 32044150448546_036, 32044150448546_037, 32044150448546_038, 32044150448546_039</t>
  </si>
  <si>
    <t>"Burnice" mentioned in transcription. Wrong spelling? "Bernice" maybe? Neither name in drop-down dialog</t>
  </si>
  <si>
    <t>Brunner, Emma B.; Grant, Ethel; Read, Charles Hercules; Berenson, Mary</t>
  </si>
  <si>
    <t>current events; BG's social world; acquisitions; art dealing; Renaissance and Medieval manuscripts; British literature; French literature</t>
  </si>
  <si>
    <r>
      <rPr>
        <rFont val="Times New Roman"/>
        <color theme="1"/>
        <sz val="12.0"/>
      </rPr>
      <t xml:space="preserve">Bad stock market (Steel Common); JPM's bad humor; lunch and discussions about BG's feelings toward BB with Mrs. Brunner; BG's re-affirmation of her love for BB, despite her flirtatious habits; letter from Mary; mishap with the </t>
    </r>
    <r>
      <rPr>
        <rFont val="Times New Roman"/>
        <i/>
        <color theme="1"/>
        <sz val="12.0"/>
      </rPr>
      <t>Olympic</t>
    </r>
    <r>
      <rPr>
        <rFont val="Times New Roman"/>
        <color theme="1"/>
        <sz val="12.0"/>
      </rPr>
      <t>; Huth Sale; BG's making an offer for the collection of 50 Coptic manucsripts; BG's planning to see Ethel Grant; tiring letter from Read; BG's remembering BB's reading to her</t>
    </r>
  </si>
  <si>
    <t>00169</t>
  </si>
  <si>
    <t>1911_10_11</t>
  </si>
  <si>
    <t>32044150448546_040, 32044150448546_041, 32044150448546_042, 32044150448546_043, 32044150448546_044, 32044150448546_045, 32044150448546_046, 32044150448546_047, 32044150448546_048, 32044150448546_049, 32044150448546_050</t>
  </si>
  <si>
    <t>Morgan, J. Pierpont; Grant, Ethel; Hitchens, Robert</t>
  </si>
  <si>
    <t>art dealing; acquisitions; Italian art; Chinese art; BG's art collection; BG's social world; sculpture</t>
  </si>
  <si>
    <t>BG's admiring BB's recounting of his European travels; JPM's refusal to make any purchase at the Huth Sale; BG's fatigue; JPM's rage upon hearing rumours of BG's engagement; Peregino piece; Bocatio's (Boccaccio?) painting of Perugia; BG's acquisition of a Han statue; BG's desire to go abroad and see BB</t>
  </si>
  <si>
    <t>00170</t>
  </si>
  <si>
    <t>1911_10_14</t>
  </si>
  <si>
    <t>32044150448546_051, 32044150448546_052</t>
  </si>
  <si>
    <t>telegraph</t>
  </si>
  <si>
    <t>BG's travel</t>
  </si>
  <si>
    <t>BG's inability to sail to Europe that year</t>
  </si>
  <si>
    <t>IH</t>
  </si>
  <si>
    <t>2023/06/27</t>
  </si>
  <si>
    <t>00171</t>
  </si>
  <si>
    <t>1911_11_20</t>
  </si>
  <si>
    <t>32044150448553_017</t>
  </si>
  <si>
    <t>BG's fatigue and inability to write</t>
  </si>
  <si>
    <t>00172</t>
  </si>
  <si>
    <t>1911_12_02</t>
  </si>
  <si>
    <t>32044150448553_016</t>
  </si>
  <si>
    <t>telegraph; only "ethel" mentioned, assuming this is Grant</t>
  </si>
  <si>
    <t>Grant, Ethel</t>
  </si>
  <si>
    <t>BG's long letter lost</t>
  </si>
  <si>
    <t>00173</t>
  </si>
  <si>
    <t>1911_12_05</t>
  </si>
  <si>
    <t>32044150448553_001, 32044150448553_002</t>
  </si>
  <si>
    <t>Grant, Ethel; Berenson, Mary</t>
  </si>
  <si>
    <t>BG's frustration with the lost letter; BG's inability to write; BG's distress over the letters sent by Mary and BB; BG's giving up of her "hoodlum friends"</t>
  </si>
  <si>
    <t>2022/08/10</t>
  </si>
  <si>
    <t>00174</t>
  </si>
  <si>
    <t>1911_12_12</t>
  </si>
  <si>
    <t>32044150448553_005, 32044150448553_006, 32044150448553_007, 32044150448553_008, 32044150448553_009, 32044150448553_010, 32044150448553_011, 32044150448553_012, 32044150448553_013</t>
  </si>
  <si>
    <r>
      <rPr>
        <rFont val="Times New Roman"/>
        <color rgb="FF000000"/>
        <sz val="12.0"/>
      </rPr>
      <t xml:space="preserve">Morgan, J. Pierpont; Johnstone, Lady Antoinette; Blumenthal, Florence Meyer; </t>
    </r>
    <r>
      <rPr>
        <rFont val="Times New Roman"/>
        <color rgb="FF000000"/>
        <sz val="12.0"/>
      </rPr>
      <t>Lady Algy Lennox; Mrs. Charles Carroll; Mrs. Baldwin; Rothenstein</t>
    </r>
    <r>
      <rPr>
        <rFont val="Times New Roman"/>
        <color rgb="FF000000"/>
        <sz val="12.0"/>
      </rPr>
      <t xml:space="preserve"> 
</t>
    </r>
  </si>
  <si>
    <t>scholarship; Byzantine art; sculpture; Renaissance and Medieval manuscripts; acquistions; art dealing; BG's social world; images of BG</t>
  </si>
  <si>
    <t>BG's frustration with the lost letter; high volume of work in the library; BG's receving of the Byzantine art book from BB; BG's acquisition of the Coptic manuscripts; BG's concerns over BB's health; BB to visit BG the following year; BG's likelihood of not going to Europe in September; Rothenstein painting a pastel of BG; BG's gossip</t>
  </si>
  <si>
    <t>00175</t>
  </si>
  <si>
    <t>1911_12_15</t>
  </si>
  <si>
    <t>32044150448553_003, 32044150448553_004</t>
  </si>
  <si>
    <t>859</t>
  </si>
  <si>
    <t>Originally sent with Clarence White photographs of BG taken in June 1911</t>
  </si>
  <si>
    <t xml:space="preserve">Christmas gift; photographs of BG; "Esquimaux-N—-Burmese"; Mauretania letter </t>
  </si>
  <si>
    <t>00176</t>
  </si>
  <si>
    <t>1911_12_26</t>
  </si>
  <si>
    <t>32044150448553_018</t>
  </si>
  <si>
    <t>Christimas wishes</t>
  </si>
  <si>
    <t>00177</t>
  </si>
  <si>
    <t>1911_12_29</t>
  </si>
  <si>
    <t>32044150448553_014, 32044150448553_015</t>
  </si>
  <si>
    <t>Morgan, J. Pierpont; Grant, Ethel</t>
  </si>
  <si>
    <t>JPM's trip abroad; BG's New Year wishes; BG's fatigue; Ethel Grant's correspondance with JPM; BG's distancing herself from Grant</t>
  </si>
  <si>
    <t>00178</t>
  </si>
  <si>
    <t>1912_01_02</t>
  </si>
  <si>
    <t>32044150448561_080</t>
  </si>
  <si>
    <t>1912 New Year's wishes</t>
  </si>
  <si>
    <t>2023/06/28</t>
  </si>
  <si>
    <t>00179</t>
  </si>
  <si>
    <t>1912_01_09</t>
  </si>
  <si>
    <t>32044150448561_001, 32044150448561_002, 32044150448561_003, 32044150448561_004, 32044150448561_005, 32044150448561_006, 32044150448561_007, 32044150448561_008, 32044150448561_009, 32044150448561_010, 32044150448561_011, 32044150448561_012, 32044150448561_013, 32044150448561_014, 32044150448561_015, 32044150448561_016, 32044150448561_017, 32044150448561_0018, 32044150448561_019, 32044150448561_020, 32044150448561_021, 32044150448561_022, 32044150448561_023</t>
  </si>
  <si>
    <t>873a; 874b; 875c; 876d; 877e; 878f; 879g; 880h; 881i; 882l; 883m; 884n; 885o; 886p; 887q; 888r; 889s; 890t; 891u; 892v; 893w; 894x; 895y</t>
  </si>
  <si>
    <t>1912-2</t>
  </si>
  <si>
    <t>46</t>
  </si>
  <si>
    <t>23</t>
  </si>
  <si>
    <t>Letterhead changes (BELLE / 138 EAST FORTIETH STREET) from sheet 15 on</t>
  </si>
  <si>
    <r>
      <rPr>
        <rFont val="Times New Roman"/>
        <color rgb="FF000000"/>
        <sz val="12.0"/>
      </rPr>
      <t xml:space="preserve">Morgan, J. Pierpont; Blumenthal, Florence Meyer; Marie; Hyvernat, Henri; Grant, Ethel; Greene, Genevieve Ida Van Vliet Fleet; Harvery, Theodora; </t>
    </r>
    <r>
      <rPr>
        <rFont val="Times New Roman"/>
        <color rgb="FF000000"/>
        <sz val="12.0"/>
      </rPr>
      <t>Baron de Meyer; Baron de Meyer's wife; Mrs. Baldwin; Gladys; Dr. Chartin</t>
    </r>
  </si>
  <si>
    <t>images of BG; art dealing; BG's travel; Medieval and Renaissance manuscripts; sculpture; scholarship; cultural institutions; BG's personal collection; Italian art; Persian art; Dutch art</t>
  </si>
  <si>
    <t>BB's response to BG's photographs; Baron de Meyer to take more photographs of BG; Mrs. Baldwin's trying to trick JPM into buying a "fool" painting; BG's planning her trip to Europe in the fall; BG's response to BB's jealousy toward JPM; BG's distancing herself from Ethel Grant; Coptic manuscripts acquisitions; Theodora's illness; BG's appreciation of Marie and concern that she is getting married; BG's Christmas presents; JPM's trip to Europe and shipping of his collections back to New York; JPM's trip to Egypt</t>
  </si>
  <si>
    <t>00180</t>
  </si>
  <si>
    <t>1912_02_01</t>
  </si>
  <si>
    <t>32044150448561_024, 32044150448561_025, 32044150448561_026, 32044150448561_027, 32044150448561_028, 32044150448561_029, 32044150448561_030, 32044150448561_031, 32044150448561_032, 32044150448561_033, 32044150448561_034</t>
  </si>
  <si>
    <t>[Transcription incomplete]</t>
  </si>
  <si>
    <t>00181</t>
  </si>
  <si>
    <t>1912_02_06</t>
  </si>
  <si>
    <t>32044150448561_074, 32044150448561_075, 32044150448561_076, 32044150448561_077, 32044150448561_078, 32044150448561_079</t>
  </si>
  <si>
    <t>00182</t>
  </si>
  <si>
    <t>1912_02_13</t>
  </si>
  <si>
    <t>32044150448561_035, 32044150448561_036, 32044150448561_037, 32044150448561_038, 32044150448561_039, 32044150448561_040, 32044150448561_041, 32044150448561_042, 32044150448561_043, 32044150448561_044, 32044150448561_045, 32044150448561_046, 32044150448561_047, 32044150448561_048, 32044150448561_049</t>
  </si>
  <si>
    <t>00183</t>
  </si>
  <si>
    <t>1912_02_20</t>
  </si>
  <si>
    <t>32044150448561_050, 32044150448561_051</t>
  </si>
  <si>
    <t>915</t>
  </si>
  <si>
    <t>1912-6</t>
  </si>
  <si>
    <t>"1912" written in a later hand underneath date</t>
  </si>
  <si>
    <t>Greene, Theodora; Grant, Ethel</t>
  </si>
  <si>
    <t>Theodora ill</t>
  </si>
  <si>
    <t>00184</t>
  </si>
  <si>
    <t>1912_02_27</t>
  </si>
  <si>
    <t>32044150448561_052, 32044150448561_053, 32044150448561_054, 32044150448561_055, 32044150448561_056, 32044150448561_057, 32044150448561_058, 32044150448561_059, 32044150448561_060, 32044150448561_061, 32044150448561_062, 32044150448561_063, 32044150448561_064, 32044150448561_065, 32044150448561_066, 32044150448561_067, 32044150448561_068, 32044150448561_069, 32044150448561_070, 32044150448561_071, 32044150448561_072, 32044150448561_073</t>
  </si>
  <si>
    <r>
      <rPr>
        <rFont val="Times New Roman"/>
        <color rgb="FF000000"/>
        <sz val="12.0"/>
      </rPr>
      <t xml:space="preserve">Bode, Wilhelm von; Harvey, Theodora; Greene, Genevieve Ida Van Vliet Fleet; Morgan, J. Pierpont; Berenson, Mary; Marie; Quaritch, Bernard Alfred; Seligmann, Jacques; </t>
    </r>
    <r>
      <rPr>
        <rFont val="Times New Roman"/>
        <color rgb="FF000000"/>
        <sz val="12.0"/>
      </rPr>
      <t>Mrs. Jacques Seligmann; Baron de Meyer</t>
    </r>
  </si>
  <si>
    <t>Medieval and Renaissance manuscripts; acquisitions; images of BG; BG's travel; art dealing</t>
  </si>
  <si>
    <r>
      <rPr>
        <rFont val="Times New Roman"/>
        <color rgb="FF000000"/>
        <sz val="12.0"/>
      </rPr>
      <t xml:space="preserve">Ermanno Wolf-Ferrari's </t>
    </r>
    <r>
      <rPr>
        <rFont val="Times New Roman"/>
        <i/>
        <color rgb="FF000000"/>
        <sz val="12.0"/>
      </rPr>
      <t>Il segreto di Susanna (Le Secret de Suzanne)</t>
    </r>
    <r>
      <rPr>
        <rFont val="Times New Roman"/>
        <color rgb="FF000000"/>
        <sz val="12.0"/>
      </rPr>
      <t xml:space="preserve">; Jules Massenet's </t>
    </r>
    <r>
      <rPr>
        <rFont val="Times New Roman"/>
        <i/>
        <color rgb="FF000000"/>
        <sz val="12.0"/>
      </rPr>
      <t>Le joungleur de Notre-Dame</t>
    </r>
    <r>
      <rPr>
        <rFont val="Times New Roman"/>
        <color rgb="FF000000"/>
        <sz val="12.0"/>
      </rPr>
      <t>; BG's sickness; Theodora's sickness; JPM's travels to Egypt and Italy; JPM's possessiveness of BG; Genevieve to chaperone BG in Europe; BG's reading BB's letter aloud to Quaritch</t>
    </r>
  </si>
  <si>
    <t>2022/07/09</t>
  </si>
  <si>
    <t>00185</t>
  </si>
  <si>
    <t>1912_03_01</t>
  </si>
  <si>
    <t>32044150448579_001, 32044150448579_002</t>
  </si>
  <si>
    <t>Seligmann, Jacques; Morgan, J. Pierpont; Curtis, Ralph; Quaritch, Bernard Alfred</t>
  </si>
  <si>
    <t>scholarship</t>
  </si>
  <si>
    <t>BG's promise to write Mr. Curtis; BG's sending Munich Catalogue via Quaritch; JPM to arrive in Rome; Seligmann's travels; BG's health improving; BG's bemoaning that JPM has stopped writing daily letters</t>
  </si>
  <si>
    <t>00186</t>
  </si>
  <si>
    <t>1912_03_08</t>
  </si>
  <si>
    <t>32044150448579_003, 32044150448579_004</t>
  </si>
  <si>
    <t>Berenson, Mary; Berenson, Senda; Morgan, J. Pierpont</t>
  </si>
  <si>
    <t>images of BG; BG's social world; BG's travel</t>
  </si>
  <si>
    <t>BB's accident; BG's improving health; BG's meeting a friend of Senda Berenson; BG's working on Europe trip</t>
  </si>
  <si>
    <t>00187</t>
  </si>
  <si>
    <t>1912_03_19</t>
  </si>
  <si>
    <t>32044150448579_005, 32044150448579_006, 32044150448579_007, 32044150448579_008, 32044150448579_009, 32044150448579_010, 32044150448579_011, 32044150448579_012, 32044150448579_013, 32044150448579_014, 32044150448579_015, 32044150448579_016, 32044150448579_017, 32044150448579_018, 32044150448579_019, 32044150448579_020, 32044150448579_021, 32044150448579_022, 32044150448579_023, 32044150448579_024, 32044150448579_025, 32044150448579_026, 32044150448579_027</t>
  </si>
  <si>
    <t>Jaccaci, August; Berenson, Mary; Grant, Ethel; Morgan, J. Pierpont; Blumenthal, Florence Meyer; Harvey, Theodora; Berenson, Senda; Greene, Genevieve Ida Van Vliet Fleet; Lydig, Rita de Acosta; Ditson, Alice M.; Morgan, Anne; Marie</t>
  </si>
  <si>
    <t>BG's travel; BG's social world; art dealing; images of BG; cultural institutions</t>
  </si>
  <si>
    <t>BG's response to BB's trip around Italy; BG's concern about BB's health; Theodora home from the hospital; BG's separating herself from Ethel Grant; BG's distaste for Jacacci; Theodora's conversion to Catholicism; Anne Morgan's refusal to marry; BG to make speeches at Bryn Mawr and for the American Library Association; BG's giving her love to Mary; BG's bringing Genevieve to Europe as a chaperone</t>
  </si>
  <si>
    <t>00188</t>
  </si>
  <si>
    <t>1912_03_26</t>
  </si>
  <si>
    <t>32044150448579_028, 32044150448579_029, 32044150448579_030, 32044150448579_031, 32044150448579_032, 32044150448579_033, 32044150448579_034, 32044150448579_035, 32044150448579_036, 32044150448579_037, 32044150448579_038, 32044150448579_039, 32044150448579_040, 32044150448579_041, 32044150448579_042, 32044150448579_043, 32044150448579_044, 32044150448579_045, 32044150448579_046, 32044150448579_047, 32044150448579_048, 32044150448579_049</t>
  </si>
  <si>
    <t>945-955</t>
  </si>
  <si>
    <t>1912-11</t>
  </si>
  <si>
    <t>BG's page numbering repeats "(6" and skips "(9"</t>
  </si>
  <si>
    <t>Berenson, Mary; Greene, Genevieve Ida Van Vliet Fleet; Morgan, J. Pierpont; Altman, Benjamin; Duveen; Knoedler, Roland; Gimpel, René; Blumenthal, George; Kennedy, Charles Rann; Grant, Ethel; Philipps, David Graham; Blumenthal, Florence Meyer</t>
  </si>
  <si>
    <t>BG's travel; library work; music; cultural institutions; BG's  social world; acquisitions; Spanish art; Flemish art; Italian art; Dutch art; sculpture; BG's art collection; Chinese art</t>
  </si>
  <si>
    <r>
      <rPr>
        <rFont val="Times New Roman"/>
        <color rgb="FF000000"/>
        <sz val="12.0"/>
      </rPr>
      <t xml:space="preserve">no longer taking Genevieve to Europe; desire to go to Spain; JPM in Rome; Faulk collection purchased last year; Francesco Francia portrait of a boy and two Velasquezes sold by Duveen to Altman; Anthony van Dyck's </t>
    </r>
    <r>
      <rPr>
        <rFont val="Times New Roman"/>
        <i/>
        <color rgb="FF000000"/>
        <sz val="12.0"/>
      </rPr>
      <t>James Stanley, Lord Strange, Later Seventh Earl of Derby, with his Wife, Charlotte, and Their Daughter</t>
    </r>
    <r>
      <rPr>
        <rFont val="Times New Roman"/>
        <color rgb="FF000000"/>
        <sz val="12.0"/>
      </rPr>
      <t xml:space="preserve">; two Rembrandts of man and wife; Colnaghi art gallery in London; Johannes Vermeer's </t>
    </r>
    <r>
      <rPr>
        <rFont val="Times New Roman"/>
        <i/>
        <color rgb="FF000000"/>
        <sz val="12.0"/>
      </rPr>
      <t>Girl with a Flute</t>
    </r>
    <r>
      <rPr>
        <rFont val="Times New Roman"/>
        <color rgb="FF000000"/>
        <sz val="12.0"/>
      </rPr>
      <t xml:space="preserve">; Leone Leoni bust; Pintoricchio's </t>
    </r>
    <r>
      <rPr>
        <rFont val="Times New Roman"/>
        <i/>
        <color rgb="FF000000"/>
        <sz val="12.0"/>
      </rPr>
      <t>The Virgin and Child</t>
    </r>
    <r>
      <rPr>
        <rFont val="Times New Roman"/>
        <color rgb="FF000000"/>
        <sz val="12.0"/>
      </rPr>
      <t xml:space="preserve">; Simone Martini; a large Rubens; dislike of Matisse sculpture exhibition at the Photo-Secession; Bryn Mawr speech; Kennedy's </t>
    </r>
    <r>
      <rPr>
        <rFont val="Times New Roman"/>
        <i/>
        <color rgb="FF000000"/>
        <sz val="12.0"/>
      </rPr>
      <t>The Terrible Meek</t>
    </r>
    <r>
      <rPr>
        <rFont val="Times New Roman"/>
        <color rgb="FF000000"/>
        <sz val="12.0"/>
      </rPr>
      <t xml:space="preserve">; Washington librarianship speech; considering new apartment; Spinello Aretino; Pre-Duccio </t>
    </r>
    <r>
      <rPr>
        <rFont val="Times New Roman"/>
        <i/>
        <color rgb="FF000000"/>
        <sz val="12.0"/>
      </rPr>
      <t>Madonna</t>
    </r>
    <r>
      <rPr>
        <rFont val="Times New Roman"/>
        <color rgb="FF000000"/>
        <sz val="12.0"/>
      </rPr>
      <t>; Olympic ship</t>
    </r>
  </si>
  <si>
    <t>00189</t>
  </si>
  <si>
    <t>1912_04_09</t>
  </si>
  <si>
    <t>32044150448579_052, 32044150448579_053, 32044150448579_054, 32044150448579_055, 32044150448579_056, 32044150448579_057, 32044150448579_058, 32044150448579_059, 32044150448579_060, 32044150448579_061, 32044150448579_062, 32044150448579_063, 32044150448579_064, 32044150448579_065</t>
  </si>
  <si>
    <r>
      <rPr>
        <rFont val="Times New Roman"/>
        <color rgb="FF000000"/>
        <sz val="12.0"/>
      </rPr>
      <t xml:space="preserve">Lydig, Rita de Acosta; Blumenthal, Florence Meyer; Blumenthal, George; Grant, Ethel; Morgan, J. Pierpont; Hapgood, Norman;  </t>
    </r>
    <r>
      <rPr>
        <rFont val="Times New Roman"/>
        <color rgb="FF000000"/>
        <sz val="12.0"/>
      </rPr>
      <t>Meyer, Agnes; Ely, Katrina</t>
    </r>
  </si>
  <si>
    <t>BG's social world; race and ethnicity; art dealing; images of BG; sculpture; cultural institutions; scholarship; BG's travel</t>
  </si>
  <si>
    <t>BG's "best friends;" Mrs. Eugene Meyer's interest in Rodin, Weber; JPM's trip to Italy; JPM's transferring of collection from Europe to New York; BG's making a speech against suffrage; BG's improving health</t>
  </si>
  <si>
    <t>00190</t>
  </si>
  <si>
    <t>1912_04_23</t>
  </si>
  <si>
    <t>32044150448579_066, 32044150448579_067</t>
  </si>
  <si>
    <r>
      <rPr>
        <rFont val="Times New Roman"/>
        <color rgb="FF000000"/>
        <sz val="12.0"/>
      </rPr>
      <t>Widener, Harry Elkins; Morgan, J. Pierpont;</t>
    </r>
    <r>
      <rPr>
        <rFont val="Times New Roman"/>
        <color rgb="FF000000"/>
        <sz val="12.0"/>
      </rPr>
      <t xml:space="preserve"> Mrs. George; Meyer, Edgar</t>
    </r>
  </si>
  <si>
    <r>
      <rPr>
        <rFont val="Times New Roman"/>
        <color rgb="FF000000"/>
        <sz val="12.0"/>
      </rPr>
      <t xml:space="preserve">BG's grappling with the aftermath of the </t>
    </r>
    <r>
      <rPr>
        <rFont val="Times New Roman"/>
        <i/>
        <color rgb="FF000000"/>
        <sz val="12.0"/>
      </rPr>
      <t>Titanic</t>
    </r>
    <r>
      <rPr>
        <rFont val="Times New Roman"/>
        <color rgb="FF000000"/>
        <sz val="12.0"/>
      </rPr>
      <t>, both professionally and emotionally</t>
    </r>
  </si>
  <si>
    <t>00191</t>
  </si>
  <si>
    <t>1912_04_26</t>
  </si>
  <si>
    <t>32044150448579_068, 32044150448579_069, 32044150448579_070, 32044150448579_071, 32044150448579_072, 32044150448579_073, 32044150448579_074, 32044150448579_075</t>
  </si>
  <si>
    <r>
      <rPr>
        <rFont val="Times New Roman"/>
        <color rgb="FF000000"/>
        <sz val="12.0"/>
      </rPr>
      <t xml:space="preserve">Oakley, Ethel Alice Greene; Morgan, J. Pierpont; Martin, Mary Louise Greener; Harvey, Theodora; Atherton, Gertrude; </t>
    </r>
    <r>
      <rPr>
        <rFont val="Times New Roman"/>
        <color rgb="FF000000"/>
        <sz val="12.0"/>
      </rPr>
      <t>Ismay, J. Bruce</t>
    </r>
  </si>
  <si>
    <t>politics; BG's social world; Italian art; art dealing; language learning; images of BG; BG's travel; scholarship; current events</t>
  </si>
  <si>
    <r>
      <rPr>
        <rFont val="Times New Roman"/>
        <color rgb="FF000000"/>
        <sz val="12.0"/>
      </rPr>
      <t xml:space="preserve">BG's being fed up with suffrage meetings; BB's selling of Botticelli; JPM's being upset with </t>
    </r>
    <r>
      <rPr>
        <rFont val="Times New Roman"/>
        <i/>
        <color rgb="FF000000"/>
        <sz val="12.0"/>
      </rPr>
      <t>Titanic</t>
    </r>
    <r>
      <rPr>
        <rFont val="Times New Roman"/>
        <color rgb="FF000000"/>
        <sz val="12.0"/>
      </rPr>
      <t xml:space="preserve"> politics; BG's plan for trip to Europe; BG's readiing plays (Galsworthy) and books (Munsterberg's </t>
    </r>
    <r>
      <rPr>
        <rFont val="Times New Roman"/>
        <i/>
        <color rgb="FF000000"/>
        <sz val="12.0"/>
      </rPr>
      <t>Psychotherapy</t>
    </r>
    <r>
      <rPr>
        <rFont val="Times New Roman"/>
        <color rgb="FF000000"/>
        <sz val="12.0"/>
      </rPr>
      <t xml:space="preserve">); BG's lacking funds due to sisters' illness, marriage, and college tuition; married sister and husband living with BG in her apartment; Senate investigation of the </t>
    </r>
    <r>
      <rPr>
        <rFont val="Times New Roman"/>
        <i/>
        <color rgb="FF000000"/>
        <sz val="12.0"/>
      </rPr>
      <t>Titanic</t>
    </r>
    <r>
      <rPr>
        <rFont val="Times New Roman"/>
        <color rgb="FF000000"/>
        <sz val="12.0"/>
      </rPr>
      <t>; BG's resignition from the relief committees</t>
    </r>
  </si>
  <si>
    <t>00192</t>
  </si>
  <si>
    <t>1912_04_UNDATED_01</t>
  </si>
  <si>
    <t>32044150448579_050, 32044150448579_051</t>
  </si>
  <si>
    <t>"March 2 1912" added by BB in ink; "March 2" cross out and replaced with "Apr. [illegible]" by BB? in pencil</t>
  </si>
  <si>
    <t>drama</t>
  </si>
  <si>
    <r>
      <rPr>
        <rFont val="Times New Roman"/>
        <color rgb="FF000000"/>
        <sz val="12.0"/>
      </rPr>
      <t xml:space="preserve">Brieux's </t>
    </r>
    <r>
      <rPr>
        <rFont val="Times New Roman"/>
        <i/>
        <color rgb="FF000000"/>
        <sz val="12.0"/>
      </rPr>
      <t xml:space="preserve">Les Avariés </t>
    </r>
  </si>
  <si>
    <t>00193</t>
  </si>
  <si>
    <t>1912_05_03</t>
  </si>
  <si>
    <t>32044150448587_001, 32044150448587_002, 32044150448587_003, 32044150448587_004, 32044150448587_005</t>
  </si>
  <si>
    <r>
      <rPr>
        <rFont val="Times New Roman"/>
        <color rgb="FF000000"/>
        <sz val="12.0"/>
      </rPr>
      <t xml:space="preserve">Hapgood, Hutchins; Grant, Ethel; Morgan, J. Pierpont; </t>
    </r>
    <r>
      <rPr>
        <rFont val="Times New Roman"/>
        <color rgb="FF000000"/>
        <sz val="12.0"/>
      </rPr>
      <t>Hapgood, Norman; Meyer, Agnes</t>
    </r>
  </si>
  <si>
    <t>politics; current events</t>
  </si>
  <si>
    <t>BG's response to BB's angry/jealous (?) letter; BG's meeting with "anarchistic socialist" Hutchins Hapgood; BG's planning a large Suffrage Parade; JPM's trip to Venice</t>
  </si>
  <si>
    <t>00194</t>
  </si>
  <si>
    <t>1912_05_14</t>
  </si>
  <si>
    <t>32044150448587_006, 32044150448587_007, 32044150448587_008, 32044150448587_009, 32044150448587_010, 32044150448587_011, 32044150448587_012, 32044150448587_013, 32044150448587_014</t>
  </si>
  <si>
    <t>BELLE; BELLE / 138 EAST FORTIETH STREETH</t>
  </si>
  <si>
    <t>979a; 980b; 981c; 982d; 983e; 984f; 985g; 986h; 987i</t>
  </si>
  <si>
    <t>1912-18</t>
  </si>
  <si>
    <t>"1912" added by BB; pp. 1-12 on paper with "BELLE" letterhead; pp. 13-18 on paper with "BELLE / 138 EAST FORTIETH STREET" letterhead</t>
  </si>
  <si>
    <t>Morgan, J. Pierpont; Kann, Rodolph? (R. K.); Bailey, Hebert; Nikisch, Arthur; Gerbach?, Elena; Genthe, Arnold; BG's family</t>
  </si>
  <si>
    <t>BG's social world; art dealing; music; cultural institutions; language learning; BG's travel; poetry</t>
  </si>
  <si>
    <r>
      <rPr>
        <rFont val="Times New Roman"/>
        <color rgb="FF000000"/>
        <sz val="12.0"/>
      </rPr>
      <t xml:space="preserve">campanile dedication; La Grippe/flu; </t>
    </r>
    <r>
      <rPr>
        <rFont val="Times New Roman"/>
        <i/>
        <color rgb="FF000000"/>
        <sz val="12.0"/>
      </rPr>
      <t>The Connoisseur</t>
    </r>
    <r>
      <rPr>
        <rFont val="Times New Roman"/>
        <color rgb="FF000000"/>
        <sz val="12.0"/>
      </rPr>
      <t xml:space="preserve">; Bailey exhibition for Dickens fund; London Orchestra; admiration of Arthur Nikisch, Arturo Toscanini, and Franz Kneisel; German lessons; John Masefield's </t>
    </r>
    <r>
      <rPr>
        <rFont val="Times New Roman"/>
        <i/>
        <color rgb="FF000000"/>
        <sz val="12.0"/>
      </rPr>
      <t>The Tragedy of Man</t>
    </r>
    <r>
      <rPr>
        <rFont val="Times New Roman"/>
        <color rgb="FF000000"/>
        <sz val="12.0"/>
      </rPr>
      <t xml:space="preserve">, </t>
    </r>
    <r>
      <rPr>
        <rFont val="Times New Roman"/>
        <i/>
        <color rgb="FF000000"/>
        <sz val="12.0"/>
      </rPr>
      <t>The Widow in the Bye Street</t>
    </r>
    <r>
      <rPr>
        <rFont val="Times New Roman"/>
        <color rgb="FF000000"/>
        <sz val="12.0"/>
      </rPr>
      <t xml:space="preserve">, and </t>
    </r>
    <r>
      <rPr>
        <rFont val="Times New Roman"/>
        <i/>
        <color rgb="FF000000"/>
        <sz val="12.0"/>
      </rPr>
      <t>The Everlasting Mercy</t>
    </r>
    <r>
      <rPr>
        <rFont val="Times New Roman"/>
        <color rgb="FF000000"/>
        <sz val="12.0"/>
      </rPr>
      <t>; mystery of Oscar Wilde's death; Corsair; BG's family going to Adirondacks; cannot afford new apartment; expensive NY housing</t>
    </r>
  </si>
  <si>
    <t>2022/08/11</t>
  </si>
  <si>
    <t>00195</t>
  </si>
  <si>
    <t>1912_05_17</t>
  </si>
  <si>
    <t>32044150448587_015, 32044150448587_016, 32044150448587_017, 32044150448587_018, 32044150448587_019, 32044150448587_020</t>
  </si>
  <si>
    <t>Lawlor, Lillie; Morgan, J. Pierpont; Huntington, Arabella</t>
  </si>
  <si>
    <t>politics; art dealing; BG's social world; current events</t>
  </si>
  <si>
    <t>BG's good mood because of improved weather; presidential elections/nominations (Taft, Roosevelt, Bryan); socialism; Industrial Workers of the World; BG as a go-between for BB's art expertise; JPM's extending his trip in Europe</t>
  </si>
  <si>
    <t>2022/08/011</t>
  </si>
  <si>
    <t>00196</t>
  </si>
  <si>
    <t>1912_05_21</t>
  </si>
  <si>
    <t>32044150448587_021, 32044150448587_022, 32044150448587_023, 32044150448587_024, 32044150448587_025, 32044150448587_026, 32044150448587_027</t>
  </si>
  <si>
    <t>Schwenke, Paul; Morgan, J. Pierpont; Kennerly, Mitchell; Grant, Ethel; Untermeyer, Minnie Carl</t>
  </si>
  <si>
    <t>early printed books; BG's social world; music; politics; current events; poetry</t>
  </si>
  <si>
    <r>
      <rPr>
        <rFont val="Times New Roman"/>
        <color rgb="FF000000"/>
        <sz val="12.0"/>
      </rPr>
      <t xml:space="preserve">good weather; road louse car; Royal Library at Berlin; Gutenberg Bible facsimiles; John Masefield's </t>
    </r>
    <r>
      <rPr>
        <rFont val="Times New Roman"/>
        <i/>
        <color rgb="FF000000"/>
        <sz val="12.0"/>
      </rPr>
      <t>Multidue and Solitude</t>
    </r>
    <r>
      <rPr>
        <rFont val="Times New Roman"/>
        <color rgb="FF000000"/>
        <sz val="12.0"/>
      </rPr>
      <t>; Kneisel quartet at Untermeyer's party; steel investigation; Corey Steel Company; advising BB to invest in British American Tobacco or Anglo-American Oil</t>
    </r>
  </si>
  <si>
    <t>00197</t>
  </si>
  <si>
    <t>1912_06_07</t>
  </si>
  <si>
    <t>32044150448587_028, 32044150448587_029, 32044150448587_030, 32044150448587_031, 32044150448587_032, 32044150448587_033, 32044150448587_034, 32044150448587_035</t>
  </si>
  <si>
    <t>Greene, Russell da Costa; Morgan, J. Pierpont; Grant, Ethel</t>
  </si>
  <si>
    <r>
      <rPr>
        <rFont val="Times New Roman"/>
        <color rgb="FF000000"/>
        <sz val="12.0"/>
      </rPr>
      <t xml:space="preserve">BG's social world; </t>
    </r>
    <r>
      <rPr>
        <rFont val="Times New Roman"/>
        <b/>
        <color rgb="FF000000"/>
        <sz val="12.0"/>
      </rPr>
      <t>library work</t>
    </r>
  </si>
  <si>
    <t>Intense heat in NYC; BG's "house cleaning" at the Morgan; BB in Paris; BG's contempt for NYC/America; BG's luncheon with Ethel Grant; BG's finding a new job for Russell; BG's frustration with her family and her responsibilities toward them</t>
  </si>
  <si>
    <t>2022/08/14</t>
  </si>
  <si>
    <t>00198</t>
  </si>
  <si>
    <t>1912_06_18</t>
  </si>
  <si>
    <t>32044150448587_036, 32044150448587_037, 32044150448587_038, 32044150448587_039, 32044150448587_040, 32044150448587_041, 32044150448587_042, 32044150448587_043, 32044150448587_044, 32044150448587_045, 32044150448587_046</t>
  </si>
  <si>
    <t>BG's doctor; BG's German professor; Montgomery, Marjorie; Johnstone, Lady Antoinette; Lane, John</t>
  </si>
  <si>
    <r>
      <rPr>
        <rFont val="Times New Roman"/>
        <b/>
        <color rgb="FF000000"/>
        <sz val="12.0"/>
      </rPr>
      <t>library work</t>
    </r>
    <r>
      <rPr>
        <rFont val="Times New Roman"/>
        <color rgb="FF000000"/>
        <sz val="12.0"/>
      </rPr>
      <t>; language learning; current events; British literature; fiction; poetry; BG's social world</t>
    </r>
  </si>
  <si>
    <r>
      <rPr>
        <rFont val="Times New Roman"/>
        <color rgb="FF000000"/>
        <sz val="12.0"/>
      </rPr>
      <t xml:space="preserve">German lessons; advising BB to invest in British American Tobacco; Chicago Convention; John Masefield; Joseph Conrad's </t>
    </r>
    <r>
      <rPr>
        <rFont val="Times New Roman"/>
        <i/>
        <color rgb="FF000000"/>
        <sz val="12.0"/>
      </rPr>
      <t>Youth</t>
    </r>
    <r>
      <rPr>
        <rFont val="Times New Roman"/>
        <color rgb="FF000000"/>
        <sz val="12.0"/>
      </rPr>
      <t xml:space="preserve">, </t>
    </r>
    <r>
      <rPr>
        <rFont val="Times New Roman"/>
        <i/>
        <color rgb="FF000000"/>
        <sz val="12.0"/>
      </rPr>
      <t>Heart of Darkness</t>
    </r>
    <r>
      <rPr>
        <rFont val="Times New Roman"/>
        <color rgb="FF000000"/>
        <sz val="12.0"/>
      </rPr>
      <t xml:space="preserve">, and </t>
    </r>
    <r>
      <rPr>
        <rFont val="Times New Roman"/>
        <i/>
        <color rgb="FF000000"/>
        <sz val="12.0"/>
      </rPr>
      <t>Typhoon</t>
    </r>
    <r>
      <rPr>
        <rFont val="Times New Roman"/>
        <color rgb="FF000000"/>
        <sz val="12.0"/>
      </rPr>
      <t xml:space="preserve">; Heinrich Heine's </t>
    </r>
    <r>
      <rPr>
        <rFont val="Times New Roman"/>
        <i/>
        <color rgb="FF000000"/>
        <sz val="12.0"/>
      </rPr>
      <t>Reisebilder</t>
    </r>
    <r>
      <rPr>
        <rFont val="Times New Roman"/>
        <color rgb="FF000000"/>
        <sz val="12.0"/>
      </rPr>
      <t>; Horace; Montogomery's book to be published by Lane; plans to visit BB in August</t>
    </r>
  </si>
  <si>
    <t>2022/08/15</t>
  </si>
  <si>
    <t>2022/08/18</t>
  </si>
  <si>
    <t>00199</t>
  </si>
  <si>
    <t>61</t>
  </si>
  <si>
    <t>1912_07_01 (first letter)</t>
  </si>
  <si>
    <t>32044150448595_001, 32044150448595_002, 32044150448595_003, 32044150448595_004</t>
  </si>
  <si>
    <t>a1; b2</t>
  </si>
  <si>
    <t>1912-24</t>
  </si>
  <si>
    <t>Morgan, J. Pierpont; Morey, Charles Rufus; Hyvernat, Henri; Mather, Frank Jewett</t>
  </si>
  <si>
    <t xml:space="preserve">Medieval and Renaissance manuscripts; scholarship; library work; Italian art; art dealing; acquisitions </t>
  </si>
  <si>
    <t>Coptic manuscripts; Princeton; The Freer Gallery; reference to William Jennings Bryan and Theodore Roosevelt; BG creating a publication regarding Coptic art/language/manuscript; patriotism; Italian XII century manuscripts</t>
  </si>
  <si>
    <t>Pellegrino, Serena</t>
  </si>
  <si>
    <t>SP</t>
  </si>
  <si>
    <t>00200</t>
  </si>
  <si>
    <t>1912_07_01 (second letter)</t>
  </si>
  <si>
    <t>32044150448595_005, 32044150448595_006, 32044150448595_007, 32044150448595_008, 32044150448595_009, 32044150448595_010, 32044150448595_011, 32044150448595_012, 32044150448595_013, 32044150448595_014, 32044150448595_015, 32044150448595_016, 32044150448595_017, 32044150448595_018, 32044150448595_019, 32044150448595_020</t>
  </si>
  <si>
    <t>3-18</t>
  </si>
  <si>
    <t>1912-23</t>
  </si>
  <si>
    <t>Mather, Frank Jewett; Morey, Charles Rufus; Hyvernat, Henri; Kelsey, Francis W.; Morgan, J. Pierpont; Martin, Homer Dodge; Marie; Read, Charles Hercules; Fitzhenry, Joseph Henry; Martin, Homer Dodge; Greene, Genevieve Fleet</t>
  </si>
  <si>
    <r>
      <rPr>
        <rFont val="Times New Roman"/>
        <color rgb="FF000000"/>
        <sz val="12.0"/>
      </rPr>
      <t xml:space="preserve">Byzantine art; Chinese art; Medieval and Renaissance manuscripts; art dealing; scholarship; cultural institutions; </t>
    </r>
    <r>
      <rPr>
        <rFont val="Times New Roman"/>
        <b/>
        <color rgb="FF000000"/>
        <sz val="12.0"/>
      </rPr>
      <t>Babylonian art</t>
    </r>
    <r>
      <rPr>
        <rFont val="Times New Roman"/>
        <color rgb="FF000000"/>
        <sz val="12.0"/>
      </rPr>
      <t>; acquisitions; language learning</t>
    </r>
  </si>
  <si>
    <t>Coptic manuscripts; Princeton; Byzantine art; early Christian art; Ann Arbor, Michigan; Hartford; Washington; British Musuem; Berlin; misogyny; JPM support of BG; Patriotism; Stephen Bushell, Catalogue of the Morgan Collection of Chinese Porcelains; C.H.W. Johns, Cuneiform Inscriptions: Chaldean, Babylonian and Assyrian Collections Contained in the Library of J. Pierpont Morgan; German and Latin language; BG high salary; Mather, Homer Martin, Poet in Landscape; weeding out library collection; editions de luxe; storing books in cellar; BG German lessons; BG Latin lessons; BG new apartment (104 East 40th Street); BG living with family; BG picture collection; BG home library; Paris; London</t>
  </si>
  <si>
    <t>2021/02/03</t>
  </si>
  <si>
    <t>2021/06/25</t>
  </si>
  <si>
    <t>00201</t>
  </si>
  <si>
    <t>1912_07_09</t>
  </si>
  <si>
    <t>32044150448595_021, 32044150448595_022, 32044150448595_023, 32044150448595_024, 32044150448595_025, 32044150448595_026, 32044150448595_026, 32044150448595_027, 32044150448595_028, 32044150448595_029, 32044150448595_030, 32044150448595_031, 32044150448595_032, 32044150448595_033, 32044150448595_034, 32044150448595_035, 32044150448595_036, 32044150448595_037</t>
  </si>
  <si>
    <t>19; 20 (2); 21; 22 (15); 23 (14); 24 (16); 25 (12?); 26 (13); 27 (10); 28 (11); 29 (8); 30 (9); 31 (6); 32 (7); 33 (4); 34 (5); 35 (3)</t>
  </si>
  <si>
    <t>1912-25</t>
  </si>
  <si>
    <t>Includes diagram of BG apartment (104 East 40th Street); pages numbered according to two systems</t>
  </si>
  <si>
    <t>Rey, Emile; Morgan, Anne; Marbury, Elisabeth; De Wolfe, Elsie; Blumenthal, George; Morgan, J. Pierpont; Greene, Genevieve Ida Fleet; Marie; Greene, Russell De Costa; Ryan, John Barry (?); Mrs. Flowerdale (?); Robinson, Edward; Robinson, Elizabeth Gould; Seligmann, Jacques</t>
  </si>
  <si>
    <t>BG's travel; acquisitions</t>
  </si>
  <si>
    <t>BG apartment (104 East 40th Street); Paris; Wall Street; Kiel; Murray Hill; assisting Russell to obtain job; Florida; Italy; European baths and cures; Villa I Tatti; Spain; Metropolitan Museum of Art; Saint Mark's Campanile, Venice; photo of JPM in Venice; Barings; shipping JPM paintings collection to New York; Raphael, Colonna Altarpiece (Metropolitan, 16.30ab); National Gallery, London</t>
  </si>
  <si>
    <t>2021/02/05</t>
  </si>
  <si>
    <t>00202</t>
  </si>
  <si>
    <t>1912_07_15</t>
  </si>
  <si>
    <t>32044150448595_038, 32044150448595_039, 32044150448595_040, 32044150448595_041, 32044150448595_042, 32044150448595_043, 32044150448595_044, 32044150448595_045, 32044150448595_046, 32044150448595_047, 32044150448595_048, 32044150448595_049</t>
  </si>
  <si>
    <t>36a; 37b; 38c; 39d; 40e; 41f</t>
  </si>
  <si>
    <t>1912-26</t>
  </si>
  <si>
    <t>"1912" written by BB; change in stationary beginning on page seven; pages 11 and 12 out of order</t>
  </si>
  <si>
    <t>Read, Charles Hercules; Watson, Thomas J.; Marie; Morgan, J. Pierpont; Read, Charles Hercules; Thompson, Henry Yates; Thompson, Elizabeth Smith; Blumenthal, George; Craig, Edward Gordon; Mrs. Flowerdale (?)</t>
  </si>
  <si>
    <t>BG's travel; BG's social world; Medieval and Renaissance manuscripts</t>
  </si>
  <si>
    <t>Dayton, Ohio; London; Claridge's; National Cash Register Company; Automobile Club of Dayton; Kentucky; BG's assessment of men from the South and Midwest; Bad Kissingen; European cures; Paris; Versailles; BG bookplate; Sleepy Hollow Country Club</t>
  </si>
  <si>
    <t>2021/02/08</t>
  </si>
  <si>
    <t>00203</t>
  </si>
  <si>
    <t>1912_07_26</t>
  </si>
  <si>
    <t>32044150448595_050, 32044150448595_051, 32044150448595_052, 32044150448595_053</t>
  </si>
  <si>
    <t>a42; b43</t>
  </si>
  <si>
    <t>1912-27</t>
  </si>
  <si>
    <t>Morgan, J. Pierpont; Thurston, Ada</t>
  </si>
  <si>
    <t>politics; current events; acquisitions; Medieval and Renaissance manuscripts</t>
  </si>
  <si>
    <t>RMS Olympic; William Howard Taft; Theodore Roosevelt; Frances Perkins; Coptic manuscripts</t>
  </si>
  <si>
    <t>2021/02/11</t>
  </si>
  <si>
    <t>00204</t>
  </si>
  <si>
    <t>1912_08_12</t>
  </si>
  <si>
    <t>32044150448603_001, 32044150448603_002, 32044150448603_003, 32044150448603_004, 32044150448603_005, 32044150448603_006, 32044150448603_007, 32044150448603_008, 32044150448603_009, 32044150448603_010, 32044150448603_011, 32044150448603_012, 32044150448603_013, 32044150448603_014, 32044150448603_015, 32044150448603_016, 32044150448603_017, 32044150448603_018, 32044150448603_019, 32044150448603_020, 32044150448603_021, 32044150448603_022, 32044150448603_023, 32044150448603_024, 32044150448603_025, 32044150448603_026, 32044150448603_027, 32044150448603_028, 32044150448603_029, 32044150448603_030, 32044150448603_031, 32044150448603_032</t>
  </si>
  <si>
    <t>44-74</t>
  </si>
  <si>
    <t>1912-28</t>
  </si>
  <si>
    <t>32</t>
  </si>
  <si>
    <t>Morgan, J. Pierpont; Thompson, Henry Yates; Read, Charles Hercules; Marie</t>
  </si>
  <si>
    <t>BG's travel; race and ethnicity</t>
  </si>
  <si>
    <t>BG frustrated with JPM; BG's purchase of new car 48 Pierce Arrow; jade necklace; Cartier diamond watches; BG reminsicing of her time with BB</t>
  </si>
  <si>
    <t>2021/02/15</t>
  </si>
  <si>
    <t>2021/02/16</t>
  </si>
  <si>
    <t>00205</t>
  </si>
  <si>
    <t>1912_08_14</t>
  </si>
  <si>
    <t>32044150448603_033, 32044150448603_034</t>
  </si>
  <si>
    <t>75a; 76b</t>
  </si>
  <si>
    <t>1912-29</t>
  </si>
  <si>
    <t>poetry; American literature</t>
  </si>
  <si>
    <t>A poem by Grace Fallow Norton ("I have loved many, the more and the few...")</t>
  </si>
  <si>
    <t>2021/02/22</t>
  </si>
  <si>
    <t>00206</t>
  </si>
  <si>
    <t>1912_08_20</t>
  </si>
  <si>
    <t>32044150448603_035, 32044150448603_036, 32044150448603_037, 32044150448603_038, 32044150448603_039, 32044150448603_040, 32044150448603_041, 32044150448603_042, 32044150448603_043, 32044150448603_044, 32044150448603_045, 32044150448603_046, 32044150448603_047</t>
  </si>
  <si>
    <t>77-89</t>
  </si>
  <si>
    <t>1912-30</t>
  </si>
  <si>
    <t>Morgan, J. Pierpont; Ehrle, Franz; Oakley, Ethel Alice Greene; Oakley, George; Berenson, Senda; Chalfin, Paul; Cockerell, Sydney; Read, Charles Hercules</t>
  </si>
  <si>
    <t>BG's travel; scholarship</t>
  </si>
  <si>
    <t>The Vatican; BG's writing to Ethel Grant; BG's writing biography on John Keats</t>
  </si>
  <si>
    <t>2021/02/24</t>
  </si>
  <si>
    <t>00207</t>
  </si>
  <si>
    <t>1912_08_27</t>
  </si>
  <si>
    <t>32044150448603_048, 32044150448603_049, 32044150448603_050, 32044150448603_051, 32044150448603_052, 32044150448603_053</t>
  </si>
  <si>
    <t>90-95</t>
  </si>
  <si>
    <t>1912-31</t>
  </si>
  <si>
    <t>Morgan, J. Pierpont; Chalfin, Paul</t>
  </si>
  <si>
    <t>BG's travel; art dealing</t>
  </si>
  <si>
    <t>BG's new apartment; BB going to Egypt; Paul Chalfin making money by showing wealthy people art</t>
  </si>
  <si>
    <t>00208</t>
  </si>
  <si>
    <t>1912_09_06</t>
  </si>
  <si>
    <t>32044150448611_001, 32044150448611_002, 32044150448611_003, 32044150448611_004, 32044150448611_005, 32044150448611_006, 32044150448611_007, 32044150448611_008, 32044150448611_009, 32044150448611_010, 32044150448611_011, 32044150448611_012, 32044150448611_013, 32044150448611_014, 32044150448611_015, 32044150448611_016, 32044150448611_017, 32044150448611_018, 32044150448611_019, 32044150448611_020</t>
  </si>
  <si>
    <t>96-115</t>
  </si>
  <si>
    <t>1912-32</t>
  </si>
  <si>
    <t>Morgan, J. Pierpont; Kennerly, Mitchell</t>
  </si>
  <si>
    <t>Russian literature; Swedish literature</t>
  </si>
  <si>
    <r>
      <rPr>
        <rFont val="Times New Roman"/>
        <i/>
        <color rgb="FF000000"/>
        <sz val="12.0"/>
      </rPr>
      <t xml:space="preserve">The Idiot </t>
    </r>
    <r>
      <rPr>
        <rFont val="Times New Roman"/>
        <color rgb="FF000000"/>
        <sz val="12.0"/>
      </rPr>
      <t xml:space="preserve">by Fyodor Dostoevsky; </t>
    </r>
    <r>
      <rPr>
        <rFont val="Times New Roman"/>
        <i/>
        <color rgb="FF000000"/>
        <sz val="12.0"/>
      </rPr>
      <t xml:space="preserve">The Confessions of a Fool </t>
    </r>
    <r>
      <rPr>
        <rFont val="Times New Roman"/>
        <color rgb="FF000000"/>
        <sz val="12.0"/>
      </rPr>
      <t>by August Strindberg ; Giacomo Casanova; JPM's mention of BG in his will</t>
    </r>
  </si>
  <si>
    <t>2021/02/29</t>
  </si>
  <si>
    <t>00209</t>
  </si>
  <si>
    <t>1912_09_16</t>
  </si>
  <si>
    <t>32044150448611_021, 32044150448611_022, 32044150448611_023, 32044150448611_024, 32044150448611_025, 32044150448611_026,</t>
  </si>
  <si>
    <t>104 EAST FORTIETH STREET</t>
  </si>
  <si>
    <t>116a; 117b; 118c</t>
  </si>
  <si>
    <t>1912-33</t>
  </si>
  <si>
    <t>Morgan, J. Pierpont; Morgan, Jack</t>
  </si>
  <si>
    <t>BG wanting to travel/feeling run down</t>
  </si>
  <si>
    <t>2021/03/07</t>
  </si>
  <si>
    <t>00210</t>
  </si>
  <si>
    <t>1912_10_01</t>
  </si>
  <si>
    <t>32044150448611_027, 32044150448611_028, 32044150448611_029, 32044150448611_030, 32044150448611_031</t>
  </si>
  <si>
    <t>119a; 120b; 121c</t>
  </si>
  <si>
    <t>1912-34</t>
  </si>
  <si>
    <t>Morgan, J. Pierpont; Hyvernat, Henri; Berenson, Mary</t>
  </si>
  <si>
    <t>BG's determination/JPM's abrasiveness</t>
  </si>
  <si>
    <t>00211</t>
  </si>
  <si>
    <t>1912_10_08</t>
  </si>
  <si>
    <t>32044150448611_032, 32044150448611_033, 32044150448611_034, 32044150448611_035, 32044150448611_036, 32044150448611_037</t>
  </si>
  <si>
    <t>122a; 123b; 124c;</t>
  </si>
  <si>
    <t>1912-35</t>
  </si>
  <si>
    <t>Morgan, J. Pierpont; Altman, Benjamin; Duveens</t>
  </si>
  <si>
    <t>art dealing; Italian art; Medieval and Renaissance manuscripts; language learning</t>
  </si>
  <si>
    <t>portrait of a boy by Francesco Francia; Coptic manuscripts</t>
  </si>
  <si>
    <t>00212</t>
  </si>
  <si>
    <t>1912_10_22</t>
  </si>
  <si>
    <t>32044150448611_038, 32044150448611_039, 32044150448611_040, 32044150448611_041</t>
  </si>
  <si>
    <t>125a; 126b</t>
  </si>
  <si>
    <t>1912-37</t>
  </si>
  <si>
    <t>BG feeling overworked</t>
  </si>
  <si>
    <t>2021/03/12</t>
  </si>
  <si>
    <t>00213</t>
  </si>
  <si>
    <t>1912_10_25</t>
  </si>
  <si>
    <t>32044150448611_042, 32044150448611_043, 32044150448611_044, 32044150448611_045, 32044150448611_046, 32044150448611_047, 32044150448611_048, 32044150448611_049, 32044150448611_050, 32044150448611_051, 32044150448611_051, 32044150448611_052</t>
  </si>
  <si>
    <t>127a; 128b; 129c;  130d; 131e; 132f</t>
  </si>
  <si>
    <t>1912-38</t>
  </si>
  <si>
    <t>Duveens; Morgan, J. Pierpont; Wharton, Edith; The Bourgets (?);  Blumenthal, George; Perkins, George Walbridge; Norton, Richard; Murray, Charles Fairfax; Armour, Allison; Margnaud, Allan (?); Freer, Charles Lang; Ryan, Thomas (?)</t>
  </si>
  <si>
    <t>art dealing; Italian art; acquisitions; cultural institutions; Medieval and Renaissance manuscripts; politics</t>
  </si>
  <si>
    <t>Carlo Crivelli; Filippo Lippi; Bryson Burroughs; Holden Museum (?); James Jackson Jarves and the Jarves Collection; American Archeology Society (probably meaning The Society for American Archeology); Coptic manuscripts</t>
  </si>
  <si>
    <t>2021/03/20</t>
  </si>
  <si>
    <t>00214</t>
  </si>
  <si>
    <t>1912_10_30</t>
  </si>
  <si>
    <t>32044150448611_053, 32044150448611_054, 32044150448611_055, 32044150448611_056, 32044150448611_057, 32044150448611_058, 32044150448611_059, 32044150448611_060, 32044150448611_061</t>
  </si>
  <si>
    <t>133a; 134b; 135c; 136d; 137; 138</t>
  </si>
  <si>
    <t>1912-39</t>
  </si>
  <si>
    <t>"1912" written in later hand; change in stationary on page 11</t>
  </si>
  <si>
    <t>Originally included letter from George Blumenthal</t>
  </si>
  <si>
    <t>Morgan, J. Pierpont; Untermyer, Samuel; Lamar, David; Blumenthal, George; Grant, Peter Geddes; Cockerell, Sydney</t>
  </si>
  <si>
    <t>acquisitions; current events</t>
  </si>
  <si>
    <t>Villa I Tatti; Carlo Crivelli, Madonna and Child Enthroned (Metropolitan, 1975.1.83); investigation of Money Trust; Bar Association; antisemitism; JPM threatening not to make art collection publicly available; Untermyer investigation of JPM; JPM and BG relationship; Boston; New York Stock Exchange; London</t>
  </si>
  <si>
    <t>00215</t>
  </si>
  <si>
    <t>1912_10_13</t>
  </si>
  <si>
    <t>32044150448629_001, 32044150448629_002, 32044150448629_003</t>
  </si>
  <si>
    <t>Blumenthal</t>
  </si>
  <si>
    <t xml:space="preserve">Hotel Ritz Place Vendôme Paris </t>
  </si>
  <si>
    <t>Paris</t>
  </si>
  <si>
    <t>France</t>
  </si>
  <si>
    <t>1912-36</t>
  </si>
  <si>
    <t>Perkins, Frederick Mason; Seligmann, Jacques; Morgan, Anne; Morgan, J. Pierpont</t>
  </si>
  <si>
    <t>BG's travel; art dealing; current events; cultural institutions</t>
  </si>
  <si>
    <t>Henri Matisse; Salon d'Automne</t>
  </si>
  <si>
    <t>00216</t>
  </si>
  <si>
    <t>1912_11_06</t>
  </si>
  <si>
    <t>32044150448637_001, 32044150448637_002, 32044150448637_003, 32044150448637_004, 32044150448637_005, 32044150448637_006, 32044150448637_007, 32044150448637_008, 32044150448637_009, 32044150448637_010</t>
  </si>
  <si>
    <t>139a; 140b; 141c; 142d; 143e</t>
  </si>
  <si>
    <t>1912-40</t>
  </si>
  <si>
    <t>"1912" written by BB</t>
  </si>
  <si>
    <t>Morgan, J. Pierpont; Crawford, Francis Marion; Untermyer, Samuel; De Groot, Cornelis Hofstede; Walker, Thomas Barlow; Burroughs, Bryson; Johnstone, Lady Antoinette; Burne-Jones, Edward</t>
  </si>
  <si>
    <r>
      <rPr>
        <rFont val="Times New Roman"/>
        <b/>
        <color rgb="FF000000"/>
        <sz val="12.0"/>
      </rPr>
      <t>library work</t>
    </r>
    <r>
      <rPr>
        <rFont val="Times New Roman"/>
        <color rgb="FF000000"/>
        <sz val="12.0"/>
      </rPr>
      <t>; Dutch art; painting</t>
    </r>
  </si>
  <si>
    <t>Villa Crawford, Sorrento; telephone; hiring girl to answer phone; BG secretary; Corsair Dining Club; JPM grooming; Rembrandt, Christ and the Woman Taken into Adultery (sold, as manner of Rembrandt, Bonham's, New York, 26 October 2011, lot 37); Metropolitan Museum of Art; exhibit of JPM drawings at Met; closeness of JPM and BG</t>
  </si>
  <si>
    <t>2021/03/24</t>
  </si>
  <si>
    <t>2021/06/26</t>
  </si>
  <si>
    <t>00217</t>
  </si>
  <si>
    <t>1912_11_22</t>
  </si>
  <si>
    <t>32044150448637_011, 32044150448637_012, 32044150448637_013, 32044150448637_014, 32044150448637_015, 32044150448637_016, 32044150448637_017, 32044150448637_018</t>
  </si>
  <si>
    <t>144a; 145b; 146c; 147d</t>
  </si>
  <si>
    <t>1912-41</t>
  </si>
  <si>
    <t>Morgan, J. Pierpont; Seligmann, Jacques; Seligmann, Arnold; Rey, Emile; Blumenthal, George; Blumenthal, Florence; Glaenzer, Eugene; Duveens; Perkins, George Walbridge; Jonhnson, John Graver?; De Forest, Robert W.; Aldrich, Nelson W.</t>
  </si>
  <si>
    <t>current events; art dealing; Italian art; BG's art collection; painting</t>
  </si>
  <si>
    <t>Seven Deadly Sins; breakup of Seligmann firm; Metropolitan Musuem of Art; Carlo Crivelli; Met paintings acquisitions; Blumenthal collection; George Blumenthal gift to BG; BB gift of painting to BG; BG art collection; Bernardo Daddi, Virgin and Child and Saints (Norton Simon, F.1970.06.2.P); fifteenth-century polychrome sculpture; Mauretania; Egypt</t>
  </si>
  <si>
    <t>00218</t>
  </si>
  <si>
    <t>1912_12_06</t>
  </si>
  <si>
    <t>32044150448637_019, 32044150448637_020, 32044150448637_021</t>
  </si>
  <si>
    <t>148a; 149b</t>
  </si>
  <si>
    <t>1912-42</t>
  </si>
  <si>
    <t>"1912" written in a later hand under date</t>
  </si>
  <si>
    <t>Originally included item with description of book with Persian drawings and "circular"</t>
  </si>
  <si>
    <t>Marie; Morgan, J. Pierpont; Quaritch, Bernard Alfred; Binyon, Laurence; Helleu, Paul; Morgan, Anne</t>
  </si>
  <si>
    <t>BG's art collection; Italian art; painting; Persian art; images of BG</t>
  </si>
  <si>
    <t>Bernardo Daddi, Virgin and Child and Saints (Norton Simon, F.1970.06.2.P); Persian drawings; Carlo Crivelli; Paul Helleu drawing of BG</t>
  </si>
  <si>
    <t>00219</t>
  </si>
  <si>
    <t>1912_12_16</t>
  </si>
  <si>
    <t>32044150448637_022, 32044150448637_023, 32044150448637_024, 32044150448637_025, 32044150448637_026, 32044150448637_027, 32044150448637_028, 32044150448637_029, 32044150448637_030</t>
  </si>
  <si>
    <t xml:space="preserve">150a; 151b; 152c; 153d; 154e </t>
  </si>
  <si>
    <t>1912-43</t>
  </si>
  <si>
    <t>Morgan, J. Pierpont; Seligmann, Jacques; Rey, Emile; Glaenzer, Eugene; Mrs. Flamerdale (?); Blumenthal, George</t>
  </si>
  <si>
    <t xml:space="preserve">art dealing; current events; race and ethnicity; BG's travel </t>
  </si>
  <si>
    <t>George Blumenthal expressing anti-Jewish sentiment</t>
  </si>
  <si>
    <t>00220</t>
  </si>
  <si>
    <t>1912_12_24</t>
  </si>
  <si>
    <t>32044150448637_031, 32044150448637_032, 32044150448637_033, 32044150448637_034</t>
  </si>
  <si>
    <t>155a; 156b</t>
  </si>
  <si>
    <t>1912-44</t>
  </si>
  <si>
    <t>Rey, Emile; Seligmann, Jacques; Duveens; Walters, Ryan (?); Morgan, J. Pierpont; Robinson, Edward</t>
  </si>
  <si>
    <t>art dealing; current events</t>
  </si>
  <si>
    <t>15th century Italian art; The Metropolitan Museum of Art</t>
  </si>
  <si>
    <t>00221</t>
  </si>
  <si>
    <t>1912_12_31</t>
  </si>
  <si>
    <t>32044150448637_035, 32044150448637_036, 32044150448637_037, 32044150448637_038, 32044150448637_039, 32044150448637_040, 32044150448637_041, 32044150448637_042, 32044150448637_043, 32044150448637_044, 32044150448637_045, 32044150448637_046, 32044150448637_047, 32044150448637_048, 32044150448637_049, 32044150448637_050, 32044150448637_051, 32044150448637_052</t>
  </si>
  <si>
    <t>157a; 158b; 159c; 160d; 161e; 162f; 163g; 164h; 165i</t>
  </si>
  <si>
    <t>1912-45</t>
  </si>
  <si>
    <t>Morgan, J. Pierpont; Harris, Frank (?); Hendicourt (?); De Rothschild, Maurice; Seligmann, Jacques; Rey, Emile; Altman, Benjamin; Duveens; Lehmann (?); Blumenthal, George; Perkins, George Walbridge; Sambon, Arthur</t>
  </si>
  <si>
    <r>
      <rPr>
        <rFont val="Times New Roman"/>
        <color rgb="FF000000"/>
        <sz val="12.0"/>
      </rPr>
      <t xml:space="preserve">BG's travel; BG's social world; British literature; images of BG; art dealing; current events; acquisitions; Italian painting; Italian art; Persian art; </t>
    </r>
    <r>
      <rPr>
        <rFont val="Times New Roman"/>
        <b/>
        <color rgb="FF000000"/>
        <sz val="12.0"/>
      </rPr>
      <t>Mesopotamian art</t>
    </r>
  </si>
  <si>
    <t>Marie; Morgan, J. Pierpont; Quartich, Bernard Alfred; Binyon, Laurence; Helleu, Paul; Morgan, Anne</t>
  </si>
  <si>
    <t>2021/04/04</t>
  </si>
  <si>
    <t>2021/04/05</t>
  </si>
  <si>
    <t>Foner, Daria Rose</t>
  </si>
  <si>
    <t>00222</t>
  </si>
  <si>
    <t>1913_01_05</t>
  </si>
  <si>
    <t>32044150448645_001, 32044150448645_002, 32044150448645_003, 32044150448645_004, 32044150448645_005, 32044150448645_006</t>
  </si>
  <si>
    <t>166a; 167b; 168c</t>
  </si>
  <si>
    <t>1913-1</t>
  </si>
  <si>
    <t>Morgan, J. Pierpont; Egan, Martin</t>
  </si>
  <si>
    <t>cultural institutions; Italian art; Italian painting; Persian art; scholarship; acquisitions</t>
  </si>
  <si>
    <t>Bestiary plates; book on Oriental art; Goloubeff collection; Amherst papyrus; Coptic art</t>
  </si>
  <si>
    <t>2021/04/11</t>
  </si>
  <si>
    <t>00223</t>
  </si>
  <si>
    <t>1913_01_16</t>
  </si>
  <si>
    <t>32044150448645_007, 32044150448645_008, 32044150448645_009, 32044150448645_010, 32044150448645_011, 32044150448645_012, 32044150448645_013, 32044150448645_014</t>
  </si>
  <si>
    <t>169a; 170b; 171c; 172d</t>
  </si>
  <si>
    <t>1913-2</t>
  </si>
  <si>
    <t>Originally included letter to BG by Léon Gruel and letter to BG from Ethel Harrison</t>
  </si>
  <si>
    <t>Gruel, Léon; Harrison, Ethel; Grant, Ethel; Grant, Peter; Marbury, Elisabeth; Fouquières, André de; Hendecourt, Bernard d'; Helleu, Paul; Astor, Ava Willing</t>
  </si>
  <si>
    <t>library work; Medieval and Renaissance manuscripts; Dutch art; art dealing; Italian art; Italian painting; BG's social world</t>
  </si>
  <si>
    <t>BG preparing catalogue raisonné of Rembrandt prints; catalogue of illuminated manuscripts; early Italian manuscript by Giotto (or school of Giotto); BB consulting on purchase for BG; PG Grant's business problems; Helleu drawings of BG</t>
  </si>
  <si>
    <t>2021/04/12</t>
  </si>
  <si>
    <t>2021/05/02</t>
  </si>
  <si>
    <t>00224</t>
  </si>
  <si>
    <t>1913_01_28_30</t>
  </si>
  <si>
    <t>32044150448645_015, 32044150448645_016, 32044150448645_017, 32044150448645_018, 32044150448645_019, 32044150448645_020, 32044150448645_021, 32044150448645_021</t>
  </si>
  <si>
    <t>173a; 174b; 175c; 176d; 177e</t>
  </si>
  <si>
    <t>1913-3</t>
  </si>
  <si>
    <t>Morgan, J. Pierpont; Morgan, Jack; McAdoo, William Gibbs; Stone, Melville Elijah (?); Butler, Nicholas Murray</t>
  </si>
  <si>
    <r>
      <rPr>
        <rFont val="Times New Roman"/>
        <color rgb="FF000000"/>
        <sz val="12.0"/>
      </rPr>
      <t xml:space="preserve">race and ethnicity; music; cultural institutions; </t>
    </r>
    <r>
      <rPr>
        <rFont val="Times New Roman"/>
        <b/>
        <color rgb="FF000000"/>
        <sz val="12.0"/>
      </rPr>
      <t>library work</t>
    </r>
    <r>
      <rPr>
        <rFont val="Times New Roman"/>
        <color rgb="FF000000"/>
        <sz val="12.0"/>
      </rPr>
      <t>; scholarship; Persian art</t>
    </r>
  </si>
  <si>
    <t>HMS Campania; BG expresses preference for British over French and Asian people; Persian drawings; Cubism; Francis Picabia; Ignacio Zuloaga; Henry Caro-Delvaille</t>
  </si>
  <si>
    <t>00225</t>
  </si>
  <si>
    <t>1913_02_07</t>
  </si>
  <si>
    <t>32044150448645_024, 32044150448645_025, 32044150448645_026, 32044150448645_027, 32044150448645_028, 32044150448645_029, 32044150448645_030, 32044150448645_031</t>
  </si>
  <si>
    <t>178a; 179b; 180c; 181d</t>
  </si>
  <si>
    <t>1913-4</t>
  </si>
  <si>
    <t>Morgan, J. Pierpont; Johnson, Owen; Cobina, Esther; Duveens; Grant, Ethel; Craig, Gordon (?); Egan, Martin; Fouquières, André de; Morgan, Anne; Marbury, Elisabeth; Hendecourt, Bernard d'; Rey, Emile</t>
  </si>
  <si>
    <t>scholarship; acquisitions; BG's social world</t>
  </si>
  <si>
    <t>Bestiary plates; book on Oriental art; Golubeff collection</t>
  </si>
  <si>
    <t>2021/04/14</t>
  </si>
  <si>
    <t>00226</t>
  </si>
  <si>
    <t>1913_02_11</t>
  </si>
  <si>
    <t>32044150448645_032, 32044150448645_033, 32044150448645_034, 32044150448645_035, 32044150448645_036, 32044150448645_037, 32044150448645_038, 32044150448645_039</t>
  </si>
  <si>
    <t>182a; 183b; 184c; 185d</t>
  </si>
  <si>
    <t>1913-5</t>
  </si>
  <si>
    <t>"1913" written in a later hand underneath date</t>
  </si>
  <si>
    <t>Morgan, J. Pierpont; Cobina, Esther; Lydig, Rita de Acosta; Marbury, Elisabeth; Berenson, Mary; Quartich, Bernard Alfred; Hiersemann, Karl Wilhelm; Martin ?; Mather, Frank Jewett; Rey, Emile; Dodge, Mabel; Davidson, Jo; Rothenstein, William; Stein, Gertrude; Wife of Perkins, Frederick Mason or Perkins, George Walbridge; Knoblauch, Mary</t>
  </si>
  <si>
    <t>BG's travel; BG's social world</t>
  </si>
  <si>
    <t>JPM wanting to visit Europe with BG; speculation about JPM's knowledge of BG and BB relationship; New York hotels (Webster and Wolcott); Morgan family access to Library; Library prints room; William Rothenstein portait of BG; Gertrude Stein's "Matissy and Picassonian" writings; BG ill with "fashinable maladies"</t>
  </si>
  <si>
    <t>2021/04/19</t>
  </si>
  <si>
    <t>00227</t>
  </si>
  <si>
    <t>1913_02_18</t>
  </si>
  <si>
    <t>32044150448645_040, 32044150448645_041, 32044150448645_042, 32044150448645_043, 32044150448645_044</t>
  </si>
  <si>
    <t>186a; 187b; 188c</t>
  </si>
  <si>
    <t>1913-6</t>
  </si>
  <si>
    <t>Gruel, Léon; Morgan, J. Pierpont</t>
  </si>
  <si>
    <t>scholarship; Persian art; BG's art collection; music; cultural institutions; modern art</t>
  </si>
  <si>
    <r>
      <rPr>
        <rFont val="Times New Roman"/>
        <color rgb="FF000000"/>
        <sz val="12.0"/>
      </rPr>
      <t xml:space="preserve">Giotto; The Armory Show (formerly known as The International Exhibition of Modern Art); J. Alden Weir; Francis Picabia; </t>
    </r>
    <r>
      <rPr>
        <rFont val="Times New Roman"/>
        <i/>
        <color rgb="FF000000"/>
        <sz val="12.0"/>
      </rPr>
      <t xml:space="preserve">Le Penseur, </t>
    </r>
    <r>
      <rPr>
        <rFont val="Times New Roman"/>
        <color rgb="FF000000"/>
        <sz val="12.0"/>
      </rPr>
      <t>by Auguste Rodin; Cubism; Futurism; Persian miniatures</t>
    </r>
  </si>
  <si>
    <t>2021/04/20</t>
  </si>
  <si>
    <t>2021/04/21</t>
  </si>
  <si>
    <t>00228</t>
  </si>
  <si>
    <t>1913_02_28</t>
  </si>
  <si>
    <t>32044150448645_045, 32044150448645_045</t>
  </si>
  <si>
    <t>189</t>
  </si>
  <si>
    <t>1913-7</t>
  </si>
  <si>
    <t>Lydig, Rita de Acosta</t>
  </si>
  <si>
    <t>art dealing; Italian art</t>
  </si>
  <si>
    <t>Andrea del Verocchio</t>
  </si>
  <si>
    <t>00229</t>
  </si>
  <si>
    <t>1913_03_04</t>
  </si>
  <si>
    <t>32044150448652_001, 32044150448652_002, 32044150448652_003, 32044150448652_004, 32044150448652_005, 32044150448652_006, 32044150448652_007, 32044150448652_008</t>
  </si>
  <si>
    <t>190a; 191b; 192c; 193d</t>
  </si>
  <si>
    <t>1913-8</t>
  </si>
  <si>
    <t>Vignier, Charles; Harrison, Ethel; Grant, Ethel; Lydig, Rita de Acosta; Glaenzer, Eugene; Seligmann, Jacques; Blumenthal, George; Dodge Luhan, Mabel; Cartier, Louis; Sambon, Arthur; Morgan, J. Pierpont</t>
  </si>
  <si>
    <t>Persian art; Italian art; art dealing; personal collections; literature; American scholarship</t>
  </si>
  <si>
    <t>Persian bestiary; potteries; pottery with image of a man on horseback; Andrea del Verocchio; Sano di Pietro; Gertrude Stein; Persian miniatures</t>
  </si>
  <si>
    <t>2021/04/22</t>
  </si>
  <si>
    <t>00230</t>
  </si>
  <si>
    <t>1913_03_17</t>
  </si>
  <si>
    <t>32044150448652_009, 32044150448652_010, 32044150448652_011, 32044150448652_012, 32044150448652_013, 32044150448652_014, 32044150448652_015, 32044150448652_016, 32044150448652_017, 32044150448652_018, 32044150448652_019, 32044150448652_020, 32044150448652_021, 32044150448652_022, 32044150448652_023, 32044150448652_024, 32044150448652_025, 32044150448652_026, 32044150448652_027, 32044150448652_0028</t>
  </si>
  <si>
    <t>194-212</t>
  </si>
  <si>
    <t>1913-9</t>
  </si>
  <si>
    <t>Voynitch, Wilfrid; Gruel, Léon; Cochran, Alexander Smith; Lydig, Rita de Acosta; Ryan, Thomas Fortune; Sheehan, Billy (?); Marbury, Elisabeth; Blumenthal, Florence Meyer; Astor, Ava Alice Muriel</t>
  </si>
  <si>
    <t>Medieval and Renaissance manuscripts; Italian art; personal collections; Persian art; BG's social world</t>
  </si>
  <si>
    <r>
      <rPr>
        <rFont val="Times New Roman"/>
        <color rgb="FF000000"/>
        <sz val="12.0"/>
      </rPr>
      <t xml:space="preserve">Giotto; The Metropolitan Museum; Persian drawings and manuscripts; </t>
    </r>
    <r>
      <rPr>
        <rFont val="Times New Roman"/>
        <i/>
        <color rgb="FF000000"/>
        <sz val="12.0"/>
      </rPr>
      <t>Les Avariés</t>
    </r>
    <r>
      <rPr>
        <rFont val="Times New Roman"/>
        <color rgb="FF000000"/>
        <sz val="12.0"/>
      </rPr>
      <t xml:space="preserve"> by Eugène Brieux; </t>
    </r>
    <r>
      <rPr>
        <rFont val="Times New Roman"/>
        <i/>
        <color rgb="FF000000"/>
        <sz val="12.0"/>
      </rPr>
      <t xml:space="preserve">Any Night </t>
    </r>
    <r>
      <rPr>
        <rFont val="Times New Roman"/>
        <color rgb="FF000000"/>
        <sz val="12.0"/>
      </rPr>
      <t>(a play?); Cobina Wright</t>
    </r>
  </si>
  <si>
    <t>2021/04/24</t>
  </si>
  <si>
    <t>00231</t>
  </si>
  <si>
    <t>1913_03_21</t>
  </si>
  <si>
    <t>32044150448652_029, 32044150448652_030</t>
  </si>
  <si>
    <t>213</t>
  </si>
  <si>
    <t>1913-10</t>
  </si>
  <si>
    <t>Blumenthal, Florence Meyer</t>
  </si>
  <si>
    <t>BG's wishing BB a happy Easter; BG's enjoying the warm weather; BG's seeing off Mrs. Blumenthal and co., who were presumably sailing to Europe; BG's envy of Blumenthal and co; BG's taking a drive in her Mercedes</t>
  </si>
  <si>
    <t>00232</t>
  </si>
  <si>
    <t>1913_04_02</t>
  </si>
  <si>
    <t>32044150448652_031, 32044150448652_032</t>
  </si>
  <si>
    <t xml:space="preserve">United States </t>
  </si>
  <si>
    <t>214</t>
  </si>
  <si>
    <t>1913-11</t>
  </si>
  <si>
    <t>BG's grieving JPM's death</t>
  </si>
  <si>
    <t>2023/07/05</t>
  </si>
  <si>
    <t>00233</t>
  </si>
  <si>
    <t>1913_04_12</t>
  </si>
  <si>
    <t>32044150448652_033, 32044150448652_034</t>
  </si>
  <si>
    <t>215</t>
  </si>
  <si>
    <t>1913-12</t>
  </si>
  <si>
    <t>Morgan, J. Pierpont; Nichols, Rose Standish; Gardner, Isabella Stewart; M. Desprodel; Cram, Ralph Adams; Cram, Elizabeth; Lowell, Amy; Fields, Anne Adams; Mackaye, Percy; Prof. Scoville; Aldrich, Lilian Woodman; Rogers</t>
  </si>
  <si>
    <t>BG's grieiving JPM's death; BG's description of JPM's "homecoming"</t>
  </si>
  <si>
    <t xml:space="preserve">Pellegrino, Serena </t>
  </si>
  <si>
    <t>2021/04/29</t>
  </si>
  <si>
    <t>00234</t>
  </si>
  <si>
    <t>1913_04_21</t>
  </si>
  <si>
    <t>32044150448652_035, 32044150448652_036, 32044150448652_037, 32044150448652_038, 32044150448652_039</t>
  </si>
  <si>
    <t>216a; 217b; 218c</t>
  </si>
  <si>
    <t>1913-13</t>
  </si>
  <si>
    <t>Morgan, J. Pierpont; Morgan, Jack; Marbury, Elizabeth; Grant, Ethel</t>
  </si>
  <si>
    <t>BG's art collection</t>
  </si>
  <si>
    <t xml:space="preserve">Egyptian figure; BG continues mourning; allusion to Elizabeth Marbury being lesbian and others percieving BG as potentially lesbian </t>
  </si>
  <si>
    <t>00235</t>
  </si>
  <si>
    <t>1913_04_29</t>
  </si>
  <si>
    <t>32044150448652_040, 32044150448652_041, 32044150448652_042, 32044150448652_043, 32044150448652_044, 32044150448652_045, 32044150448652_046, 32044150448652_047</t>
  </si>
  <si>
    <t>219a; 220b; 221c; 222d</t>
  </si>
  <si>
    <t>1913-14</t>
  </si>
  <si>
    <t>Morgan, J. Pierpont; Greene, Genevieve Ida Van Vliet Fleet; Harvey, Theodora Greener Leveridge; Martin, Mary Louise Greener; Oakley, Ethel Alice Greene; Oakley, George; Read, Charles Hercules; Cockerell, Sydney; Thompson, Henry Yates; Morgan, Jack; Marbury, Elizabeth</t>
  </si>
  <si>
    <t>BG considering leaving her job but cannot due to financial instability; BG's assessment of men's behavior and how they interact with each other</t>
  </si>
  <si>
    <t>2021/05/03</t>
  </si>
  <si>
    <t>00236</t>
  </si>
  <si>
    <t>1913_05_09</t>
  </si>
  <si>
    <t>32044150448660_001, 32044150448660_002, 32044150448660_003, 32044150448660_004, 32044150448660_005, 32044150448660_006, 32044150448660_007, 32044150448660_008</t>
  </si>
  <si>
    <t>223a; 224b; 225c; 226d</t>
  </si>
  <si>
    <t>1913-15</t>
  </si>
  <si>
    <t>Johnson, Owen; Quaritch, Bernard Alfred; Cobina, Esther; Morgan, J. Pierpont, Jr.; Morgan, J. Pierpont</t>
  </si>
  <si>
    <t>literature; acquisitions; European art</t>
  </si>
  <si>
    <t>changes at the Library since JPM's death; sale of Robert Browning and Elizabeth Barrett Browning manuscripts; Elizabeth Barrett Browning, Sonnets from the Portuguese; Hoentschel collection of early enamels; Thomas Rowlandson drawings; Victorian snuff boxes; condolence letters for JPM's death</t>
  </si>
  <si>
    <t>2021/05/04</t>
  </si>
  <si>
    <t>2021/05/05</t>
  </si>
  <si>
    <t>2021/06/06</t>
  </si>
  <si>
    <t>2023/04/20</t>
  </si>
  <si>
    <t>00237</t>
  </si>
  <si>
    <t xml:space="preserve">1913_05_19 </t>
  </si>
  <si>
    <t>32044150448660_010, 32044150448660_009</t>
  </si>
  <si>
    <t>227</t>
  </si>
  <si>
    <t>1913-16</t>
  </si>
  <si>
    <t>Morgan, Junius Spencer</t>
  </si>
  <si>
    <t>art dealing</t>
  </si>
  <si>
    <t>Aftermath of JPM's death; Junius's initial recommendation of BG</t>
  </si>
  <si>
    <t>00238</t>
  </si>
  <si>
    <t>1913_06_17</t>
  </si>
  <si>
    <t>32044150448660_011, 32044150448660_012, 32044150448660_013, 32044150448660_014, 32044150448660_015, 32044150448660_016</t>
  </si>
  <si>
    <t>228a; 229b; 230c</t>
  </si>
  <si>
    <t>1913-17</t>
  </si>
  <si>
    <t>Marie; BG's family; Berenson, Senda; Morgan, Jack</t>
  </si>
  <si>
    <t>Filippo Lippi; aftermath of JPM's death' BG; BG's firing her three servants; BG's meeting BB's sister; BG's sending her family away for the summer</t>
  </si>
  <si>
    <t>2021/05/29</t>
  </si>
  <si>
    <t>00239</t>
  </si>
  <si>
    <t>1913_06_24</t>
  </si>
  <si>
    <t>32044150448660_017, 32044150448660_018, 32044150448660_019, 32044150448660_020, 32044150448660_021, 32044150448660_022, 32044150448660_023, 32044150448660_024</t>
  </si>
  <si>
    <t>33 EAST 36TH STREET NEW YORK</t>
  </si>
  <si>
    <t>231-232</t>
  </si>
  <si>
    <t>1913-18</t>
  </si>
  <si>
    <t>BG's family; Johnston, Lady Antoinette; Hyvernat, Henri</t>
  </si>
  <si>
    <t>library work; British literature; Medieval and Renaissance manuscripts</t>
  </si>
  <si>
    <r>
      <rPr>
        <rFont val="Times New Roman"/>
        <i/>
        <color rgb="FF000000"/>
        <sz val="12.0"/>
      </rPr>
      <t>The Ambassadors</t>
    </r>
    <r>
      <rPr>
        <rFont val="Times New Roman"/>
        <color rgb="FF000000"/>
        <sz val="12.0"/>
      </rPr>
      <t xml:space="preserve"> by William Wriothesley/Marjorie Montgomery; Coptic manuscripts</t>
    </r>
  </si>
  <si>
    <t>00240</t>
  </si>
  <si>
    <t>1913_07_09</t>
  </si>
  <si>
    <t>32044150448660_025, 32044150448660_026, 32044150448660_027, 32044150448660_028, 32044150448660_029, 32044150448660_030, 32044150448660_031, 32044150448660_032, 32044150448660_032, 32044150448660_033, 32044150448660_034, 32044150448660_034, 32044150448660_035, 32044150448660_036, 32044150448660_037, 32044150448660_038, 32044150448660_039, 32044150448660_040, 32044150448660_041, 32044150448660_042</t>
  </si>
  <si>
    <t>233-241</t>
  </si>
  <si>
    <t>1913-19</t>
  </si>
  <si>
    <t>2021/07/14</t>
  </si>
  <si>
    <t>2023/07/10</t>
  </si>
  <si>
    <t>00241</t>
  </si>
  <si>
    <t>1913_07_17</t>
  </si>
  <si>
    <t>32044150448660_043, 32044150448660_044, 32044150448660_045, 32044150448660_046</t>
  </si>
  <si>
    <t>242a; 243b</t>
  </si>
  <si>
    <t>1913-20</t>
  </si>
  <si>
    <t xml:space="preserve">"1913" added in pencil after date; written on mourning stationery, four months after J. Pierpont Morgan’s death
</t>
  </si>
  <si>
    <t>Marie; Morgan, J. Pierpont, Jr. ; Morgan, J. Pierpont; Berenson, Mary</t>
  </si>
  <si>
    <t>Persian art; BG's travel</t>
  </si>
  <si>
    <t>London, UK; The Ritz; Burlington Magazine; Persian Bestiary; Persian art; JPM's interests compared to Jack's; Rye, New York</t>
  </si>
  <si>
    <t>2022/06/15</t>
  </si>
  <si>
    <t>2022/06/16</t>
  </si>
  <si>
    <t>00242</t>
  </si>
  <si>
    <t>1913_07_28</t>
  </si>
  <si>
    <t>32044150448660_047, 32044150448660_048, 32044150448660_049, 32044150448660_050, 32044150448660_051, 32044150448660_052</t>
  </si>
  <si>
    <t>244-246</t>
  </si>
  <si>
    <t>1913-21</t>
  </si>
  <si>
    <t>Jonhnson, John Graver; Morgan, J. Pierpont; Read, Charles Hercules; Lydig, Rita de Acosta; Grigsby, Emilie; Colvin, Sidney; Johnstone, Lady Antoinette</t>
  </si>
  <si>
    <t>scholarship; personal collections; cultural institutions; BG's social world; library work</t>
  </si>
  <si>
    <t>Russian ballets; family; Johnson Catalogue; Mrs. Lydig's sale at Bar Harbor; friends in Germany; Keats material; Rye, New York</t>
  </si>
  <si>
    <t>2022/06/18</t>
  </si>
  <si>
    <t>00243</t>
  </si>
  <si>
    <t>1913_08_14</t>
  </si>
  <si>
    <t>32044150448678_001, 32044150448678_002, 32044150448678_003, 32044150448678_004</t>
  </si>
  <si>
    <t>MR. MORGAN'S LIBRARY EAST 36TH STREET NEW YORK; 33 EAST 36TH STREET</t>
  </si>
  <si>
    <t>247-249</t>
  </si>
  <si>
    <t>1913-22</t>
  </si>
  <si>
    <t>", 1913" added after date; p.4 as a separate note</t>
  </si>
  <si>
    <t>Marbury, Elisabeth; Burroughs, Bryson; Berenson, Mary; Marie</t>
  </si>
  <si>
    <t>library work; Italian art; BG's social world</t>
  </si>
  <si>
    <t>The Ritz; Bellini photographs; finding a new maid; Bryn Mawr definition; the Deanery, Bryn Mawr College</t>
  </si>
  <si>
    <t>2022/06/21</t>
  </si>
  <si>
    <t>00244</t>
  </si>
  <si>
    <t>1913_08_25</t>
  </si>
  <si>
    <t>32044150448678_005, 32044150448678_006, 32044150448678_007, 32044150448678_008</t>
  </si>
  <si>
    <t xml:space="preserve">250a; 251b; </t>
  </si>
  <si>
    <t>1913-23</t>
  </si>
  <si>
    <t>"1913" added below date</t>
  </si>
  <si>
    <t>Morgan, J. Pierpont, Jr. ; Wharton, Edith; De Castellane, Marie Ernest Paul Boniface; Perkins, Mrs.; Bernath, Morton H.; Blumenthal, Florence Meyer; Morgan, Jane Grew</t>
  </si>
  <si>
    <t>library work; Medieval and Renaissance manuscripts</t>
  </si>
  <si>
    <t>Jack's agreeableness; Leipsic (Leipzig), Germany; Bernath's attraction to BG and Perkins; scandal between BB and Wharton</t>
  </si>
  <si>
    <t>2022/06/20</t>
  </si>
  <si>
    <t>00245</t>
  </si>
  <si>
    <t>1913_09_04</t>
  </si>
  <si>
    <t>32044150448678_009, 32044150448678_010, 32044150448678_011, 32044150448678_012, 32044150448678_013, 32044150448678_014, 32044150448678_015</t>
  </si>
  <si>
    <t>MR. MORGAN'S LIBRARY NEW YORK; 33 EAST 36TH STREET / NEW YORK</t>
  </si>
  <si>
    <t>252a; 253b; 254c; 255c</t>
  </si>
  <si>
    <t>1913-24</t>
  </si>
  <si>
    <t>"10" written in blue after I Tatti number on p. 10; p. 10 as a separate note</t>
  </si>
  <si>
    <t>Wharton, Edith; Berenson, Mary; Morgan, J. Pierpont, Jr. ; Dodge, Mabel; Blumenthal, Florence Meyer; Ryan, John Barry; Ryan, Thomas Fortune; Hofgood, Hutchins; Marbury, Elisabeth; De Wolfe, Elsie; De Castellane, Marie Ernest Paul Boniface; Johnson, Owen</t>
  </si>
  <si>
    <t>Boston, Massachusetts; New Haven train wreck; BG's annoyance with social gatherings; gossip from Paris about the "Trio"; Boni's affection for Mrs. Flowerdale (Blumenthal); Jack's trip to London on the 16th; BG's new Mercedes 1914; John Ryan's new car; "rotten" gossip about Elsie; suggestion to visit Baltimore, Philadelphia, and New Haven with BB</t>
  </si>
  <si>
    <t>00246</t>
  </si>
  <si>
    <t>1913_09_16</t>
  </si>
  <si>
    <t>32044150448678_016, 32044150448678_017, 32044150448678_018</t>
  </si>
  <si>
    <t>33 EAST 36TH STREET / NEW YORK</t>
  </si>
  <si>
    <t>1913-25</t>
  </si>
  <si>
    <t>Johnson, Owen; Cobina, Esther; Berenson, Mary</t>
  </si>
  <si>
    <t>Ten days of no word from BB; the Berensons and Johnsons in Florence</t>
  </si>
  <si>
    <t>00247</t>
  </si>
  <si>
    <t>1913_09_20</t>
  </si>
  <si>
    <t>32044150448678_019, 32044150448678_020, 32044150448678_021, 32044150448678_022, 32044150448678_023, 32044150448678_024, 32044150448678_025, 32044150448678_026, 32044150448678_027, 32044150448678_028, 32044150448678_029, 32044150448678_030, 32044150448678_031, 32044150448678_032, 32044150448678_033, 32044150448678_034, 32044150448678_035, 32044150448678_036, 32044150448678_037, 32044150448678_038</t>
  </si>
  <si>
    <t>259-268</t>
  </si>
  <si>
    <t>1913-26</t>
  </si>
  <si>
    <t>BG's page numbering repeats "(8"</t>
  </si>
  <si>
    <t>Cobina, Esther; Robinson, Edward; Gardner, Isabella Stewart; Karabacek, Josef von; Wharton, Edith; Grigsby, Emilie; Bode, Wilhelm von; Cockerell, Sydney; Morgan, J. Pierpont, Jr. ; Morgan, Jane Grew; Johnson, Owen; Read, Charles Hercules</t>
  </si>
  <si>
    <t>BG's travel; Persian art; scholarship; Medieval and Renaissance manuscripts; personal collections; American literature</t>
  </si>
  <si>
    <r>
      <rPr>
        <rFont val="Times New Roman"/>
        <color rgb="FF000000"/>
        <sz val="12.0"/>
      </rPr>
      <t>past trips to Vienna, Ravenna, Verona, and Siena; Hob-Bibliothek at Vienna; "</t>
    </r>
    <r>
      <rPr>
        <rFont val="Times New Roman"/>
        <color rgb="FF000000"/>
        <sz val="12.0"/>
        <u/>
      </rPr>
      <t>the</t>
    </r>
    <r>
      <rPr>
        <rFont val="Times New Roman"/>
        <color rgb="FF000000"/>
        <sz val="12.0"/>
      </rPr>
      <t xml:space="preserve"> Genesis"; "Persian + Sudo Persian things"; men in London and Paris asking to collaborate on publications; Read believes she is not conceited enough; what Jack will do with Robinson's collection; discussion of being an independent woman/increasing visibility of lesbian women; "Owen's new story the 'Salamander'"; gathering hotel information for BB</t>
    </r>
  </si>
  <si>
    <t>00248</t>
  </si>
  <si>
    <t>1913_10_14</t>
  </si>
  <si>
    <t>32044150448686_001, 32044150448686_002, 32044150448686_003, 32044150448686_004, 32044150448686_005, 32044150448686_006, 32044150448686_007, 32044150448686_008, 32044150448686_009, 32044150448686_010, 32044150448686_011, 32044150448686_012, 32044150448686_013, 32044150448686_014</t>
  </si>
  <si>
    <t>269-275</t>
  </si>
  <si>
    <t>1913-27</t>
  </si>
  <si>
    <t>Castellane, Marie Ernest Paul Boniface de; Morgan, J. Pierpont, Jr.</t>
  </si>
  <si>
    <r>
      <rPr>
        <rFont val="Times New Roman"/>
        <color rgb="FF000000"/>
        <sz val="12.0"/>
      </rPr>
      <t xml:space="preserve">taking inventory; Library catalogue raisonnés; arranging Illuminated Manuscript exhibition for Columbia University; church in Murano, Italy; mosaic Madonna; lunch at Ritz; BB visiting in December until late spring; offered a $25,000/yr job; </t>
    </r>
    <r>
      <rPr>
        <rFont val="Times New Roman"/>
        <i/>
        <color rgb="FF000000"/>
        <sz val="12.0"/>
      </rPr>
      <t>New York Times</t>
    </r>
    <r>
      <rPr>
        <rFont val="Times New Roman"/>
        <color rgb="FF000000"/>
        <sz val="12.0"/>
      </rPr>
      <t xml:space="preserve"> editor offered job; BG becoming known of her own accord rather than who she works for</t>
    </r>
  </si>
  <si>
    <t>00249</t>
  </si>
  <si>
    <t>1913_11_03</t>
  </si>
  <si>
    <t>32044150448686_015, 32044150448686_016, 32044150448686_017, 32044150448686_018, 32044150448686_019, 32044150448686_020, 32044150448686_021, 32044150448686_022, 32044150448686_023, 32044150448686_024, 32044150448686_025, 32044150448686_026, 32044150448686_027, 32044150448686_028, 32044150448686_029, 32044150448686_030, 32044150448686_031, 32044150448686_032, 32044150448686_033</t>
  </si>
  <si>
    <t>Greek manuscript owned by Léon Gruel</t>
  </si>
  <si>
    <t>00250</t>
  </si>
  <si>
    <t>1913_11_17</t>
  </si>
  <si>
    <t>32044150448686_034, 32044150448686_035, 32044150448686_036, 32044150448686_037, 32044150448686_038, 32044150448686_039, 32044150448686_040, 32044150448686_041, 32044150448686_042</t>
  </si>
  <si>
    <t>2022/08/19</t>
  </si>
  <si>
    <t>00251</t>
  </si>
  <si>
    <t>1913_12 _UNDATED_01</t>
  </si>
  <si>
    <t>32044150448694_001, 32044150448694_002, 32044150448694_003</t>
  </si>
  <si>
    <t>00252</t>
  </si>
  <si>
    <t>1913_12_09</t>
  </si>
  <si>
    <t>32044150448694_004, 32044150448694_005, 32044150448694_006, 32044150448694_007, 32044150448694_008, 32044150448694_009, 32044150448694_010, 32044150448694_011, 32044150448694_012, 32044150448694_013</t>
  </si>
  <si>
    <t>00253</t>
  </si>
  <si>
    <t>1913_12_14</t>
  </si>
  <si>
    <t>32044150448694_014, 32044150448694_015, 32044150448694_016, 32044150448694_017, 32044150448694_018, 32044150448694_019, 32044150448694_020, 32044150448694_021, 32044150448694_022, 32044150448694_023, 32044150448694_024, 32044150448694_025</t>
  </si>
  <si>
    <t>admiration of Mary and strong women over men</t>
  </si>
  <si>
    <t>2022/08/21</t>
  </si>
  <si>
    <t>00254</t>
  </si>
  <si>
    <t>1913_12_15</t>
  </si>
  <si>
    <t>32044150448694_030, 32044150448694_031, 32044150448694_032, 32044150448694_033</t>
  </si>
  <si>
    <t>00255</t>
  </si>
  <si>
    <t>1913_12_16</t>
  </si>
  <si>
    <t>32044150448694_034, 32044150448694_035, 32044150448694_036, 32044150448694_037, 32044150448694_038, 32044150448694_039, 32044150448694_040, 32044150448694_041, 32044150448694_042, 32044150448694_043, 32044150448694_044, 32044150448694_045, 32044150448694_046, 32044150448694_047, 32044150448694_048, 32044150448694_049, 32044150448694_050, 32044150448694_051</t>
  </si>
  <si>
    <t>00256</t>
  </si>
  <si>
    <t>1913_12_17</t>
  </si>
  <si>
    <t>32044150448694_052, 32044150448694_053, 32044150448694_054, 32044150448694_055</t>
  </si>
  <si>
    <t>2022/08/23</t>
  </si>
  <si>
    <t>00257</t>
  </si>
  <si>
    <t>1913_12_18</t>
  </si>
  <si>
    <t>32044150448694_056, 32044150448694_057, 32044150448694_058, 32044150448694_059, 32044150448694_060, 32044150448694_061, 32044150448694_062, 32044150448694_063, 32044150448694_064, 32044150448694_065, 32044150448694_066, 32044150448694_067, 32044150448694_068, 32044150448694_069, 32044150448694_070, 32044150448694_071, 32044150448694_072, 32044150448694_073, 32044150448694_074, 32044150448694_075, 32044150448694_076, 32044150448694_077</t>
  </si>
  <si>
    <t>Morgan, J. Pierpont; Hapgood, Norman; Austin, Mary Hunter; Updike, Daniel Berkeley; Wharton, Edith; Berry; Crom?; Livingston, Goodhue; Prince, Dynely; Warren, Mrs.; Ryan, John Barry; Ryan, Thomas Fortune; Rey, Emile; Seligmann, Jacques; Duveen, Mrs.; Duveen, Henry; Stone, Melville Elijah; McAdoo, William Gibbs; Greene, Mary Louise; Greene, Ethel Alice; Greene, Theodora Genevieve; Gardner, Isabella Stewart; Vitry, Paul; Coen, Prof.; Braedius/Braedins?; Reinach?, Solomon; Blumenthal, George; Blumenthal, Florence Meyer; Omont, Henri; Hamilton, Juliet Morgan</t>
  </si>
  <si>
    <t>Harper's Weekly; Boston; USS Amerika; Crom? ending partnership with Livingston; Prince deciphering Persian items; Duveen asking BG to dine with him and his wife; BG's strong aversion to Duveen's wife; Associated Press; occupied by dolls and children with her sisters; FAO Schwarz; everyone low on money; Columbia professor; Gardner's collection; French drawings and 15th and 16th c. French manuscripts at JPL; Van Horne's collection; Francisco Goya; Solomon's Pajon bust; Jean-Antoine Houdon</t>
  </si>
  <si>
    <t>00258</t>
  </si>
  <si>
    <t>1913_12_19</t>
  </si>
  <si>
    <t>32044150448702_001, 32044150448702_002, 32044150448702_003, 32044150448702_004, 32044150448702_005, 32044150448702_006, 32044150448702_007, 32044150448702_008, 32044150448702_009, 32044150448702_010, 32044150448702_011, 32044150448702_012, 32044150448702_013</t>
  </si>
  <si>
    <t>Marbury, Elisabeth; Thurston, Ada; Morgan, J. Pierpont, Jr.; Gardner, Isabella Stewart; Omont, Henri; Lourdes?, Miss; Cavendish, Victor; Strong, Eugénie Sellers; Robinson, Edward</t>
  </si>
  <si>
    <t>new boss; Gardner's pearls; Pope Leo XIII; notes for Omont; enjoying peacefulness of empty library; Montreal trip; Mauretania; copy of Manuscript Catalogue for Duke of Devonshire (Cavendish); Motor Parkway; wildness of Strong</t>
  </si>
  <si>
    <t>2022/08/24</t>
  </si>
  <si>
    <t>00259</t>
  </si>
  <si>
    <t>1913_12_22</t>
  </si>
  <si>
    <t>32044150448702_014, 32044150448702_015, 32044150448702_016, 32044150448702_017, 32044150448702_018, 32044150448702_019, 32044150448702_020, 32044150448702_021, 32044150448702_022, 32044150448702_023, 32044150448702_024, 32044150448702_025, 32044150448702_026, 32044150448702_027, 32044150448702_028, 32044150448702_029, 32044150448702_030, 32044150448702_031, 32044150448702_032, 32044150448702_033, 32044150448702_034, 32044150448702_035, 32044150448702_036, 32044150448702_037</t>
  </si>
  <si>
    <t>Blumenthal, Florence Meyer; Duveen, Henry; Duveen, Mrs.; Seligmann, Jacques; Seligmann, Mrs.; Murray, Charles Fairfax; Morgan, J. Pierpont, Jr.; Morgan, Jane Grew; Read, Charles Hercules; Morgan, J. Pierpont; Blumenthal, George; Berenson, Mary</t>
  </si>
  <si>
    <t>new boss; mixed feelings about Jack; Read's praise of BG to Jack; Jack's trust in Read; Jack's lack of experience; Jack's devotion to JPL; Jacques' distrust of BB; Station School; Jack's Christmas generosity; possible Montreal trip; Morgan sale</t>
  </si>
  <si>
    <t>00260</t>
  </si>
  <si>
    <t>1913_12_24</t>
  </si>
  <si>
    <t>32044150448694_026, 32044150448694_027, 32044150448694_028, 32044150448694_029</t>
  </si>
  <si>
    <t>Christmas; trimmed a tree and filled stockings for children; small gifts for BB and Mary</t>
  </si>
  <si>
    <t>00261</t>
  </si>
  <si>
    <t>1913_12_26</t>
  </si>
  <si>
    <t>32044150448702_038, 32044150448702_039, 32044150448702_040, 32044150448702_041, 32044150448702_042, 32044150448702_043, 32044150448702_044, 32044150448702_045, 32044150448702_045, 32044150448702_046, 32044150448702_047, 32044150448702_048, 32044150448702_049, 32044150448702_050, 32044150448702_051, 32044150448702_052, 32044150448702_053, 32044150448702_054, 32044150448702_055, 32044150448702_056, 32044150448702_057, 32044150448702_058, 32044150448702_059, 32044150448744_060</t>
  </si>
  <si>
    <t>351-361</t>
  </si>
  <si>
    <t>1913-39</t>
  </si>
  <si>
    <t>images out of order</t>
  </si>
  <si>
    <t>Morgan, Junius Spencer; Meyer, Agnes; Seligmman, Jacques; Blumenthal, George; Blumenthal, Florence; Gardner, Isabella Stewart; Halsey, Fred; Riggs, Kate Douglas Wiggin; Wharton, Edith; Jones, Mary Cadwalader; James, William; Van Dusen; Ingraham</t>
  </si>
  <si>
    <t>Poverty of Belle's family; Jack's anti-semitism; Isabella Stewart Gardner; George Bernard Shaw, Philanderer</t>
  </si>
  <si>
    <t>00262</t>
  </si>
  <si>
    <t>1913_12_29</t>
  </si>
  <si>
    <t>32044150448702_060, 32044150448702_061, 32044150448702_062, 32044150448702_063, 32044150448702_064, 32044150448702_065, 32044150448702_066, 32044150448702_067, 32044150448702_068, 32044150448702_069, 32044150448702_070, 32044150448702_071, 32044150448702_072, 32044150448702_073, 32044150448702_074, 32044150448702_075, 32044150448702_076, 32044150448702_077, 32044150448702_078, 32044150448702_079, 32044150448702_080, 32044150448702_081, 32044150448702_082, 32044150448702_083</t>
  </si>
  <si>
    <t>00263</t>
  </si>
  <si>
    <t>1913_12_31</t>
  </si>
  <si>
    <t>32044150448702_084, 32044150448702_085, 32044150448702_086, 32044150448702_087, 32044150448702_088, 32044150448702_089, 32044150448702_090, 32044150448702_091</t>
  </si>
  <si>
    <t>00264</t>
  </si>
  <si>
    <t>1914_01_02</t>
  </si>
  <si>
    <t>32044150448710_001, 32044150448710_002, 32044150448710_003, 32044150448710_004, 32044150448710_005, 32044150448710_006, 32044150448710_007, 32044150448710_008, 32044150448710_009, 32044150448710_010, 32044150448710_011, 32044150448710_012, 32044150448710_013, 32044150448710_014</t>
  </si>
  <si>
    <t>379-385</t>
  </si>
  <si>
    <t>1914-5</t>
  </si>
  <si>
    <t>00265</t>
  </si>
  <si>
    <t>1914_01_04</t>
  </si>
  <si>
    <t>32044150448710_015, 32044150448710_016, 32044150448710_017, 32044150448710_018</t>
  </si>
  <si>
    <t>00266</t>
  </si>
  <si>
    <t>1914_01_19</t>
  </si>
  <si>
    <t>32044150448710_019, 32044150448710_020, 32044150448710_021</t>
  </si>
  <si>
    <t>00267</t>
  </si>
  <si>
    <t>1914_01_21</t>
  </si>
  <si>
    <t>32044150448710_022, 32044150448710_023, 32044150448710_024, 32044150448710_025</t>
  </si>
  <si>
    <t>00268</t>
  </si>
  <si>
    <t>1914_01_22</t>
  </si>
  <si>
    <t>32044150448710_026, 32044150448710_027</t>
  </si>
  <si>
    <t>00269</t>
  </si>
  <si>
    <t>1914_01_23</t>
  </si>
  <si>
    <t>32044150448710_028, 32044150448710_029</t>
  </si>
  <si>
    <t>00270</t>
  </si>
  <si>
    <t>1914_01_25</t>
  </si>
  <si>
    <t>32044150448710_032, 32044150448710_033, 32044150448710_034, 32044150448710_035, 32044150448710_036, 32044150448710_037, 32044150448710_038, 32044150448710_039</t>
  </si>
  <si>
    <t>00271</t>
  </si>
  <si>
    <t>1914_01_26</t>
  </si>
  <si>
    <t>32044150448710_040, 32044150448710_041</t>
  </si>
  <si>
    <t>00272</t>
  </si>
  <si>
    <t>1914_06_23</t>
  </si>
  <si>
    <t>32044150448710_030, 32044150448710_031</t>
  </si>
  <si>
    <t>00273</t>
  </si>
  <si>
    <t>1914_02_13</t>
  </si>
  <si>
    <t>32044150448728_001, 32044150448728_002</t>
  </si>
  <si>
    <t>33 EAST 36th STREET</t>
  </si>
  <si>
    <t>1914-14</t>
  </si>
  <si>
    <t>"Febr. 13, 1914," written by BB</t>
  </si>
  <si>
    <t>Lanier, Mrs.</t>
  </si>
  <si>
    <t>dinner with Bernard Berenson</t>
  </si>
  <si>
    <t>2022/12/15</t>
  </si>
  <si>
    <t>00274</t>
  </si>
  <si>
    <t>1914_02_18</t>
  </si>
  <si>
    <t>32044150448728_003, 32044150448728_004</t>
  </si>
  <si>
    <t>1914-15</t>
  </si>
  <si>
    <t xml:space="preserve">theater tickets with Bernard Berenson; tea with "financier"; Persian art; </t>
  </si>
  <si>
    <t>00275</t>
  </si>
  <si>
    <t>1914_02_26_27_28</t>
  </si>
  <si>
    <t>32044150448728_005, 32044150448728_006, 32044150448728_007, 32044150448728_008, 32044150448728_009, 32044150448728_010, 32044150448728_011, 32044150448728_012</t>
  </si>
  <si>
    <t>403a, 404b, 405c, 406d</t>
  </si>
  <si>
    <t>1914-16</t>
  </si>
  <si>
    <t>"1914" written by BB</t>
  </si>
  <si>
    <t>Meyer, Eugene; Berenson, Mary; Truesdale, William; Walters, Henry; Sanger, Virginia Osborn; Osborn, Lucretia Thatcher Perry; Quaritch, Bernard Alfred; Read, Charles Hercules; Smith, George D.; Truesdale, Annie Topping; Thurston, Ada; Freer, Charles Lang; Meyer, Agnes; La Grange</t>
  </si>
  <si>
    <t>train; Delmonico's; Baltimore; bookdealers; Northampton; book auction; William Makepeace Thackeray; China; Japan; Architectural League; Plaza Hotel; detail in BG's letters to Berenson; Alice's Adventures in Wonderland</t>
  </si>
  <si>
    <t>00276</t>
  </si>
  <si>
    <t>1914_03_01</t>
  </si>
  <si>
    <t>32044150448736_001, 32044150448736_002, 32044150448736_003, 32044150448736_004, 32044150448736_005, 32044150448736_006, 32044150448736_007, 32044150448736_008, 32044150448736_009, 32044150448736_010, 32044150448736_011, 32044150448736_012</t>
  </si>
  <si>
    <t>00277</t>
  </si>
  <si>
    <t>1914_03_03</t>
  </si>
  <si>
    <t>32044150448736_013, 32044150448736_014, 32044150448736_015, 32044150448736_016, 32044150448736_017, 32044150448736_018, 32044150448736_019, 32044150448736_020, 32044150448736_021, 32044150448736_022, 32044150448736_023, 32044150448736_024</t>
  </si>
  <si>
    <t>00278</t>
  </si>
  <si>
    <t>1914_03_04</t>
  </si>
  <si>
    <t>32044150448736_025, 32044150448736_026, 32044150448736_027, 32044150448736_028, 32044150448736_029, 32044150448736_030, 32044150448736_031, 32044150448736_032, 32044150448736_033, 32044150448736_034, 32044150448736_035</t>
  </si>
  <si>
    <t>00279</t>
  </si>
  <si>
    <t>1914_03_05 (first letter)</t>
  </si>
  <si>
    <t>32044150448736_036, 32044150448736_037, 32044150448736_038, 32044150448736_039, 32044150448736_040, 32044150448736_041, 32044150448736_042</t>
  </si>
  <si>
    <t>00280</t>
  </si>
  <si>
    <t>1914_03_05 (second letter)</t>
  </si>
  <si>
    <t>32044150448736_043, 32044150448736_044, 32044150448736_045, 32044150448736_046, 32044150448736_047, 32044150448736_048, 32044150448736_049, 32044150448736_050, 32044150448736_051, 32044150448736_052</t>
  </si>
  <si>
    <t>00281</t>
  </si>
  <si>
    <t>1914_03_08 (first letter)</t>
  </si>
  <si>
    <t>32044150448736_053, 32044150448736_054, 32044150448736_055, 32044150448736_056</t>
  </si>
  <si>
    <t>00282</t>
  </si>
  <si>
    <t>1914_03_08 (second letter)</t>
  </si>
  <si>
    <t>32044150448736_057, 32044150448736_058, 32044150448736_059, 32044150448736_060, 32044150448736_061, 32044150448736_062, 32044150448736_063, 32044150448736_064, 32044150448736_065, 32044150448736_066</t>
  </si>
  <si>
    <t>00283</t>
  </si>
  <si>
    <t>1914_03_09</t>
  </si>
  <si>
    <t>32044150448736_067, 32044150448736_068, 32044150448736_069, 32044150448736_070, 32044150448736_071, 32044150448736_072</t>
  </si>
  <si>
    <t>00284</t>
  </si>
  <si>
    <t>1914_03_10</t>
  </si>
  <si>
    <t>32044150448744_001, 32044150448744_002, 32044150448744_003, 32044150448744_004, 32044150448744_005, 32044150448744_006, 32044150448744_007, 32044150448744_008, 32044150448744_009</t>
  </si>
  <si>
    <t>00285</t>
  </si>
  <si>
    <t>1914_03_11</t>
  </si>
  <si>
    <t>32044150448744_010, 32044150448744_011, 32044150448744_012, 32044150448744_013, 32044150448744_014</t>
  </si>
  <si>
    <t>00286</t>
  </si>
  <si>
    <t>1914_03_12</t>
  </si>
  <si>
    <t>32044150448744_015, 32044150448744_016, 32044150448744_017, 32044150448744_018</t>
  </si>
  <si>
    <t>00287</t>
  </si>
  <si>
    <t>1914_03_13</t>
  </si>
  <si>
    <t>32044150448744_037, 32044150448744_038, 32044150448744_039, 32044150448744_040, 32044150448744_041, 32044150448744_042, 32044150448744_043, 32044150448744_044, 32044150448744_045, 32044150448744_046, 32044150448744_047, 32044150448744_048, 32044150448744_049, 32044150448744_050, 32044150448744_051, 32044150448744_052, 32044150448744_053, 32044150448744_054, 32044150448744_055, 32044150448744_056, 32044150448744_057, 32044150448744_058, 32044150448744_059, 32044150448744_060</t>
  </si>
  <si>
    <t>454-465</t>
  </si>
  <si>
    <t>1914-29</t>
  </si>
  <si>
    <t>"1914" written in a later hand underneath date</t>
  </si>
  <si>
    <t xml:space="preserve">Morgan, Jack; Wharton, Edith; Troubetzkoy, Amélie Rives; Libbey, Laura Jean; Morgan, J. Pierpont; Widener, Eleanor Elkins; Knoblauch, Mary; Meyer, Eugene; Sambon, Arthur; Gardner, Isabella Stewart; Mrs. S.?; Knoblauch, Mary; Delano, Jennie Walters; Delano, Laura Franklin OR Delano, Jean Walters; </t>
  </si>
  <si>
    <t>BG-BB relationship understanding; "maison à trois"; Widener collection (NGA); Johnson collection (PMA); Philadelphia; Raphael; Bryn Mawr; Library visit by boarding school students; BG cultivating Jack taste in Library; Juliana Berners, Book of Hawking, Hunting, and Heraldry (or Boke of Saint Albans) (either PML 721 or PML 7320; trip to China; Rhages pottery; "masculinizing" girls; women working past 50; Baltimore; typewriters for the Library</t>
  </si>
  <si>
    <t>00288</t>
  </si>
  <si>
    <t>1914_03_14</t>
  </si>
  <si>
    <t>32044150448744_019, 32044150448744_020, 32044150448744_021, 32044150448744_022, 32044150448744_023, 32044150448744_024</t>
  </si>
  <si>
    <t>466a, 467b, 468c</t>
  </si>
  <si>
    <t>1914-30</t>
  </si>
  <si>
    <t>Steichen, Edward; Hitchcock, Frank Harris; Harriman, Florence Jaffray; Meyer, Agnes; Liggett, Anna Wardle; McAdoo, Eleanor Wilson; McAdoo, William Gibbs; Brewster, Mr. and Mrs.; Meyer, Eugene; Baruch, Bernard; Baruch, Annie Griffin; French, Mary Walker</t>
  </si>
  <si>
    <t>Chinese art; private collections; language learning</t>
  </si>
  <si>
    <t>Roosevelt administration; Chinese art; stone Buddha head; Montross Gallery; consulting BB on purchases for BG personal collection; Agnes Meyer art collection; BG German lesson; BG Chinese lesson; Yale University; dislike of "philosophizing"</t>
  </si>
  <si>
    <t>00289</t>
  </si>
  <si>
    <t>1914_03_15</t>
  </si>
  <si>
    <t>32044150448744_025, 32044150448744_026, 32044150448744_027, 32044150448744_028, 32044150448744_029, 32044150448744_030, 32044150448744_031, 32044150448744_032, 32044150448744_033, 32044150448744_034, 32044150448744_035, 32044150448744_036</t>
  </si>
  <si>
    <t>00290</t>
  </si>
  <si>
    <t>1914_03_16</t>
  </si>
  <si>
    <t>32044150448744_064, 32044150448744_065, 32044150448744_066, 32044150448744_067, 32044150448744_068, 32044150448744_069, 32044150448744_070, 32044150448744_071, 32044150448744_072, 32044150448744_073, 32044150448744_074, 32044150448744_075, 32044150448744_076</t>
  </si>
  <si>
    <t>00291</t>
  </si>
  <si>
    <t>1914_03_UNDATED_01</t>
  </si>
  <si>
    <t>32044150448744_061, 32044150448744_062, 32044150448744_063</t>
  </si>
  <si>
    <t>475g, 476h</t>
  </si>
  <si>
    <t>2?</t>
  </si>
  <si>
    <t>"March 15, 1914" written in later hand</t>
  </si>
  <si>
    <t>Putnam?; Kent, Henry; Morgan, Junius Spencer;  Morgan, J.P.</t>
  </si>
  <si>
    <t>Kent offered BG position; Grolier Club; Metropolitan Museum of Art; BG marrying Princeton man; BG if not librarian</t>
  </si>
  <si>
    <t>20201/05/03</t>
  </si>
  <si>
    <t>00292</t>
  </si>
  <si>
    <t>1914_03_17</t>
  </si>
  <si>
    <t>32044150448751_001, 32044150448751_002, 32044150448751_003, 32044150448751_004, 32044150448751_005, 32044150448751_006</t>
  </si>
  <si>
    <t>00293</t>
  </si>
  <si>
    <t>1914_03_18</t>
  </si>
  <si>
    <t>32044150448751_007, 32044150448751_008, 32044150448751_009, 32044150448751_010, 32044150448751_011, 32044150448751_012</t>
  </si>
  <si>
    <t>00294</t>
  </si>
  <si>
    <t>1914_03_19 (first letter)</t>
  </si>
  <si>
    <t>32044150448751_013, 32044150448751_014, 32044150448751_015, 32044150448751_016, 32044150448751_017, 32044150448751_018, 32044150448751_019, 32044150448751_020, 32044150448751_021, 32044150448751_022, 32044150448751_023, 32044150448751_024</t>
  </si>
  <si>
    <t>00295</t>
  </si>
  <si>
    <t>1914_03_19 (second letter)</t>
  </si>
  <si>
    <t>32044150448751_025, 32044150448751_026, 32044150448751_027, 32044150448751_028, 32044150448751_029, 32044150448751_030, 32044150448751_031</t>
  </si>
  <si>
    <t>00296</t>
  </si>
  <si>
    <t>1914_03_20</t>
  </si>
  <si>
    <t>32044150448751_032, 32044150448751_033, 32044150448751_034, 32044150448751_035, 32044150448751_036, 32044150448751_037</t>
  </si>
  <si>
    <t>00297</t>
  </si>
  <si>
    <t>1914_03_28</t>
  </si>
  <si>
    <t>32044150448751_038, 32044150448751_039, 32044150448751_040, 32044150448751_041</t>
  </si>
  <si>
    <t>00298</t>
  </si>
  <si>
    <t>1914_03_29</t>
  </si>
  <si>
    <t>32044150448751_042, 32044150448751_043, 32044150448751_044, 32044150448751_045, 32044150448751_046, 32044150448751_047, 32044150448751_048, 32044150448751_049</t>
  </si>
  <si>
    <t>00299</t>
  </si>
  <si>
    <t>1914_04_01_02_03</t>
  </si>
  <si>
    <t>32044150448769_001, 32044150448769_002, 32044150448769_003, 32044150448769_004, 32044150448769_005, 32044150448769_006, 32044150448769_007, 32044150448769_008, 32044150448769_009, 32044150448769_010</t>
  </si>
  <si>
    <t>00300</t>
  </si>
  <si>
    <t>1914_04_03</t>
  </si>
  <si>
    <t>32044150448769_011, 32044150448769_012, 32044150448769_013, 32044150448769_014, 32044150448769_015, 32044150448769_016, 32044150448769_017, 32044150448769_018, 32044150448769_019, 32044150448769_020, 32044150448769_021, 32044150448769_022, 32044150448769_023, 32044150448769_024, 32044150448769_025, 32044150448769_026</t>
  </si>
  <si>
    <t>00301</t>
  </si>
  <si>
    <t>1914_04_04_05_06</t>
  </si>
  <si>
    <t>32044150448769_027, 32044150448769_028, 32044150448769_029, 32044150448769_030, 32044150448769_031, 32044150448769_032, 32044150448769_033, 32044150448769_034, 32044150448769_035, 32044150448769_036, 32044150448769_037, 32044150448769_038, 32044150448769_039, 32044150448769_040</t>
  </si>
  <si>
    <t>00302</t>
  </si>
  <si>
    <t>1914_04_07</t>
  </si>
  <si>
    <t>32044150448769_041, 32044150448769_042, 32044150448769_043, 32044150448769_044, 32044150448769_045, 32044150448769_046</t>
  </si>
  <si>
    <t>00303</t>
  </si>
  <si>
    <t>1914_04_09</t>
  </si>
  <si>
    <t>32044150448769_047, 32044150448769_048, 32044150448769_049, 32044150448769_050, 32044150448769_051, 32044150448769_052, 32044150448769_053, 32044150448769_054</t>
  </si>
  <si>
    <t>00304</t>
  </si>
  <si>
    <t>1914_04_11</t>
  </si>
  <si>
    <t>32044150448777_001, 32044150448777_002, 32044150448777_003, 32044150448777_004, 32044150448777_005, 32044150448777_006, 32044150448777_007, 32044150448777_008, 32044150448777_009, 32044150448777_010</t>
  </si>
  <si>
    <t>00305</t>
  </si>
  <si>
    <t>1914_04_13_14</t>
  </si>
  <si>
    <t>32044150448777_011, 32044150448777_012, 32044150448777_013, 32044150448777_014, 32044150448777_015, 32044150448777_016</t>
  </si>
  <si>
    <t>00306</t>
  </si>
  <si>
    <t>1914_04_15</t>
  </si>
  <si>
    <t>32044150448777_017, 32044150448777_018</t>
  </si>
  <si>
    <t>00307</t>
  </si>
  <si>
    <t>1914_04_16</t>
  </si>
  <si>
    <t>32044150448777_019, 32044150448777_020, 32044150448777_021, 32044150448777_022, 32044150448777_023</t>
  </si>
  <si>
    <t>00308</t>
  </si>
  <si>
    <t>1914_04_17</t>
  </si>
  <si>
    <t>32044150448777_024, 32044150448777_025, 32044150448777_026, 32044150448777_027, 32044150448777_028</t>
  </si>
  <si>
    <t>00309</t>
  </si>
  <si>
    <t>1914_04_18</t>
  </si>
  <si>
    <t>32044150448777_029, 32044150448777_030, 32044150448777_031, 32044150448777_032, 32044150448777_033, 32044150448777_034, 32044150448777_035, 32044150448777_036, 32044150448777_037, 32044150448777_038, 32044150448777_039</t>
  </si>
  <si>
    <t>00310</t>
  </si>
  <si>
    <t>1914_04_21</t>
  </si>
  <si>
    <t>32044150448785_001, 32044150448785_002, 32044150448785_003, 32044150448785_004</t>
  </si>
  <si>
    <t>00311</t>
  </si>
  <si>
    <t>1914_04_22</t>
  </si>
  <si>
    <t>32044150448785_005, 32044150448785_006, 32044150448785_007, 32044150448785_008, 32044150448785_009, 32044150448785_010, 32044150448785_011, 32044150448785_012, 32044150448785_013, 32044150448785_014, 32044150448785_015, 32044150448785_016</t>
  </si>
  <si>
    <t>00312</t>
  </si>
  <si>
    <t>1914_04_25</t>
  </si>
  <si>
    <t>32044150448785_017, 32044150448785_018, 32044150448785_019, 32044150448785_020, 32044150448785_021, 32044150448785_022, 32044150448785_023, 32044150448785_024, 32044150448785_025</t>
  </si>
  <si>
    <t>00313</t>
  </si>
  <si>
    <t>1914_04_26</t>
  </si>
  <si>
    <t>32044150448785_026, 32044150448785_027, 32044150448785_028</t>
  </si>
  <si>
    <t>00314</t>
  </si>
  <si>
    <t>1914_04_28_29</t>
  </si>
  <si>
    <t>32044150448785_029, 32044150448785_030, 32044150448785_031, 32044150448785_032, 32044150448785_033, 32044150448785_034, 32044150448785_035, 32044150448785_036, 32044150448785_037, 32044150448785_038, 32044150448785_039, 32044150448785_040, 32044150448785_041, 32044150448785_042</t>
  </si>
  <si>
    <t>00315</t>
  </si>
  <si>
    <t>62</t>
  </si>
  <si>
    <t>1914_05_02_03_04_05</t>
  </si>
  <si>
    <t>32044150448793_001, 32044150448793_002, 32044150448793_003, 32044150448793_004, 32044150448793_005, 32044150448793_006</t>
  </si>
  <si>
    <t>1a, 2b, 3c</t>
  </si>
  <si>
    <t>1914-55</t>
  </si>
  <si>
    <t>Harrison, Ethel; Read, Charles Hercules; Murray, Charles Fairfax; Raphael, Oscar Charles; Whitman, Charles Seymour; Kennerly, Mitchell; Bing, Marcel; Rosenberg, Léonce; Meyer, Agnes</t>
  </si>
  <si>
    <t>Seated Buddha with attendants statue; bronze vessel; The Museum of Natural History; John Keats; Percy Shelley; Robert Bridges</t>
  </si>
  <si>
    <t>Braccia, Zoe</t>
  </si>
  <si>
    <t>ZEB</t>
  </si>
  <si>
    <t>2020/07/28</t>
  </si>
  <si>
    <t>00316</t>
  </si>
  <si>
    <t>1914_05_06_07_08</t>
  </si>
  <si>
    <t>32044150448793_007, 32044150448793_008, 32044150448793_009, 32044150448793_010, 32044150448793_011, 32044150448793_012, 32044150448793_013, 32044150448793_014, 32044150448793_015, 32044150448793_016, 32044150448793_017, 32044150448793_018, 32044150448793_019, 32044150448793_020, 32044150448793_021</t>
  </si>
  <si>
    <t>4a, 5b, 6c, 7d, 8e, 9f, 10g, 11h</t>
  </si>
  <si>
    <t>1914-56</t>
  </si>
  <si>
    <t>Read, Charles Hercules; Morgan, Jack; Murray, Charles Fairfax; Meyer-Riefstahl, Rudolph; Seligmann, Jacques; Duveens; Meyer, Agnes; Thurston, Ada; Hyvernat, Henri; Ryan, John Barry; Robinson, Edward; Meyer, Eugene; Freer, Charles Lang</t>
  </si>
  <si>
    <t>The Arthur Sambon Collection (now at The Isabella Stewart Gardener Museum); early printed books; Paul Cézanne; BG's quick temper; BB's Chinese art collection</t>
  </si>
  <si>
    <t>2020/08/26</t>
  </si>
  <si>
    <t>00317</t>
  </si>
  <si>
    <t>1914_05_09_10_11_12</t>
  </si>
  <si>
    <t>32044150448793_022, 32044150448793_023, 32044150448793_024, 
32044150448793_025, 32044150448793_026, 32044150448793_027, 
32044150448793_028, 32044150448793_029, 32044150448793_030, 
32044150448793_031, 32044150448793_032, 32044150448793_033</t>
  </si>
  <si>
    <t>12a–17f</t>
  </si>
  <si>
    <t>1914-57</t>
  </si>
  <si>
    <t>"Agoness" identified in this letter as Agnes Meyer</t>
  </si>
  <si>
    <t>Read, Charles Hercules; Murray, Charles Fairfax; Raphael, Oscar Charles; Kennerley, Mitchell; Robinson, Edward; Meyer, Eugene; Meyer, Agnes; Johnson, John Graver; Mortimer, Sr., Stanley G.; Winthrops; Mr. Grenville W.; Valentiner, Wilhelm</t>
  </si>
  <si>
    <t>Pre-Raphaelite Art; Chinese Art; British Museum; Altman Collection</t>
  </si>
  <si>
    <t>2020/10/13</t>
  </si>
  <si>
    <t>2020/10/15</t>
  </si>
  <si>
    <t>00318</t>
  </si>
  <si>
    <t>1914_05_13_14_15</t>
  </si>
  <si>
    <t>32044150448793_034, 32044150448793_035, 32044150448793_036, 
32044150448793_037, 32044150448793_038, 32044150448793_039, 
32044150448793_040, 32044150448793_041, 32044150448793_042, 
32044150448793_043, 32044150448793_044, 32044150448793_045</t>
  </si>
  <si>
    <t>18a–23f</t>
  </si>
  <si>
    <t>1914-58</t>
  </si>
  <si>
    <t>Nicols, Rose; Freer, Charles Lang; Meyer, Agnes; Mortimer, Sr., Stanley G.; Murray, Charles Fairfax; Winthrops; Whitmans; Whitehouses; Read, Charles Hercules; Raphael, Oscar; Valentiner, Wilhelm; Taylor, Josephine; Knaublach, Mary; Stein, Gertrude; Stein, Leo; Kinnerley, Mitchell; John and Mrs. Ryan</t>
  </si>
  <si>
    <t>Pre-Raphaelite Art; Metropolitan Museum of Art; Chinese Art; American Museum of Natural History; Mayan Art and Artifacts; Italian Art</t>
  </si>
  <si>
    <t>2020/10/19</t>
  </si>
  <si>
    <t>2020/10/20</t>
  </si>
  <si>
    <t>00319</t>
  </si>
  <si>
    <t>1914_05_16_18_19_20_21_22</t>
  </si>
  <si>
    <t>32044150448801_048, 32044150448801_049, 32044150448801_050, 32044150448801_051, 32044150448801_052, 32044150448801_053, 32044150448801_054, 32044150448801_055, 32044150448801_056, 32044150448801_057, 32044150448801_058, 32044150448801_059, 32044150448801_060, 32044150448801_061</t>
  </si>
  <si>
    <t>219 MADISON AVENUE</t>
  </si>
  <si>
    <t>24a–25b, 26a–30e</t>
  </si>
  <si>
    <t>1914-59; 1914-60</t>
  </si>
  <si>
    <t>Letterhead struckthrough; sheet 26a labeled with new letter # (1914-60), but here the letter actually continues 1914-59</t>
  </si>
  <si>
    <t>Read, Charles Hercules; Thurston, Ada; Murray, Charles Fairfax; Miller, Martha; Faust, Nancy; Greene, Genevieve Ida Van Vliet Fleet; Oakley, Ethel Alice Greener; Harvey, Theodora Greener Leveridge; Kennerly, Mitchell; Meyer, Agnes; Benson, Robert; Agnew; Mr. or Mrs. Fields; Meyer, Eugene; Grinnell; Burgess, Gellet</t>
  </si>
  <si>
    <t>Walt Whitman's poetry; British Museum</t>
  </si>
  <si>
    <t>2020/10/26</t>
  </si>
  <si>
    <t>2020/10/27</t>
  </si>
  <si>
    <t>00320</t>
  </si>
  <si>
    <t>1914_05_23_24</t>
  </si>
  <si>
    <t>32044150448801_010, 32044150448801_011, 32044150448801_012, 32044150448801_013, 32044150448801_014, 32044150448801_015, 32044150448801_016, 32044150448801_017</t>
  </si>
  <si>
    <t>31-34</t>
  </si>
  <si>
    <t>1914-61</t>
  </si>
  <si>
    <t>Thurston, Ada; Read, Charles Hercules; Murray, Charles Fairfax; Meyer, Agnes</t>
  </si>
  <si>
    <t>Vassar College; Read's love letters to BG; BG falling "desperately in love" with younger women; Corsair; SS Vaterland (also known as SS Leviathan)</t>
  </si>
  <si>
    <t>Fletcher, Meghan</t>
  </si>
  <si>
    <t>MF</t>
  </si>
  <si>
    <t>00321</t>
  </si>
  <si>
    <t>1914_05_26</t>
  </si>
  <si>
    <t>32044150448801_062</t>
  </si>
  <si>
    <t>insert</t>
  </si>
  <si>
    <t>00322</t>
  </si>
  <si>
    <t>1914_05_26_27_28_29</t>
  </si>
  <si>
    <t>32044150448801_018, 32044150448801_019, 32044150448801_020, 32044150448801_021, 32044150448801_022, 32044150448801_023, 32044150448801_024, 32044150448801_025, 32044150448801_026, 32044150448801_027, 32044150448801_028, 32044150448801_029, 32044150448801_030, 32044150448801_031, 32044150448801_032, 32044150448801_033, 32044150448801_034, 32044150448801_035, 32044150448801_036, 32044150448801_037, 32044150448801_038, 32044150448801_039, 32044150448801_040, 32044150448801_041, 32044150448801_042, 32044150448801_043, 32044150448801_044, 32044150448801_045, 32044150448801_046, 32044150448801_047</t>
  </si>
  <si>
    <t>35-49</t>
  </si>
  <si>
    <t>1914-62</t>
  </si>
  <si>
    <t>Murray, Charles Fairfax; Morgan, J. Pierpont, Jr.; Seligmann, Jacques; Duveen; Wildenstein; Read, Charles Hercules; Meyer, Agnes; Kennerly, Mitchell; Faust, Nancy (?); Morgan, Jack; Altman, Benjamin; Blumenthal, George; Steele, Fletcher; Ross, Denman; Truesdales</t>
  </si>
  <si>
    <r>
      <rPr>
        <rFont val="Times New Roman"/>
        <color theme="1"/>
        <sz val="12.0"/>
      </rPr>
      <t xml:space="preserve">SS Vaterland; reference to </t>
    </r>
    <r>
      <rPr>
        <rFont val="Times New Roman"/>
        <i/>
        <color theme="1"/>
        <sz val="12.0"/>
      </rPr>
      <t>Portrait of Giovanna Tornabuoni</t>
    </r>
    <r>
      <rPr>
        <rFont val="Times New Roman"/>
        <color theme="1"/>
        <sz val="12.0"/>
      </rPr>
      <t xml:space="preserve"> by Domenico Ghirlandaio; The University of Edinburgh; The Metropolitan Museum; </t>
    </r>
    <r>
      <rPr>
        <rFont val="Times New Roman"/>
        <i/>
        <color theme="1"/>
        <sz val="12.0"/>
      </rPr>
      <t>The Beauty Sleep</t>
    </r>
    <r>
      <rPr>
        <rFont val="Times New Roman"/>
        <color theme="1"/>
        <sz val="12.0"/>
      </rPr>
      <t>; Raymonda Hitchcock</t>
    </r>
  </si>
  <si>
    <t>Bleznick, Alison</t>
  </si>
  <si>
    <t>AB</t>
  </si>
  <si>
    <t>2021/02/23</t>
  </si>
  <si>
    <t>2021/02/26</t>
  </si>
  <si>
    <t>00323</t>
  </si>
  <si>
    <t>1914_05_30_31_06_01_02_03</t>
  </si>
  <si>
    <t>32044150448801_001, 32044150448801_002, 32044150448801_003, 32044150448801_004, 32044150448801_005, 32044150448801_006, 32044150448801_007, 32044150448801_008, 32044150448801_009</t>
  </si>
  <si>
    <t>50-58</t>
  </si>
  <si>
    <t>1914-63</t>
  </si>
  <si>
    <t>Murray, Charles Fairfax; Morgan, J. Pierpont; Read, Charles Hercules; Meyer, Eugene; Meyer, Agnes; Raphael (?); Truesdales; Morgan, Jack; Gleins (?); Morgan, Junius Spencer; Thurston, Ada; Guest, Ivor (Viscount Wimborne); Pratt, Frederick; Johnstone, Lady Antoinette; Mrs. Guthrie (?); De Wolfe, Elsie; Morgan, Anne; Marbury, Elisabeth; Castellane, Marie Ernest Paul Boniface de</t>
  </si>
  <si>
    <t>Memorial Day; Greek theatre; The Pembroke Library; Sotheby's; Caxton Press; The Brooklyn Museum; The Piping Rock Club; RMS Olympic; RMS Carmania</t>
  </si>
  <si>
    <t>00324</t>
  </si>
  <si>
    <t>1914_06_04_05_06_08_09</t>
  </si>
  <si>
    <t xml:space="preserve">32044150448827_003, 32044150448827_004, 32044150448827_005, 32044150448827_006, 32044150448827_007, 32044150448827_008, 32044150448827_009, 32044150448827_010, 32044150448827_011, 32044150448827_012, 32044150448827_013, 32044150448827_014, 32044150448827_015, 32044150448827_016, 32044150448827_017 </t>
  </si>
  <si>
    <t xml:space="preserve">61a; 62b; 63c; 64d; 65e; 66f; 67g; 68h; 69i; 70l; 71m; 72n; 73o; 74q; 75r </t>
  </si>
  <si>
    <t>1914-64</t>
  </si>
  <si>
    <t>Morgan, Junius Spencer; Read, Hercules; Auger, Eugene; Wharton, Edith; Ross, Denman; Murray, Charles Fairfax; Holland, Henry; Russell, Bertrand; Watson, Graham; Ruutz-Rees, Caroline; Freer, Charles; Faulkner, Barry; Manship, Paul</t>
  </si>
  <si>
    <t>Buddhist art history; Read visit to New York; Rosemary Hall; Ritz</t>
  </si>
  <si>
    <t>2020/07/15</t>
  </si>
  <si>
    <t>00325</t>
  </si>
  <si>
    <t>1914_06_05</t>
  </si>
  <si>
    <t>32044150448827_002, 32044150448827_003</t>
  </si>
  <si>
    <t>Morgan, Junius</t>
  </si>
  <si>
    <t>Postcard sent by Junius Spencer Morgan to Belle Greene depicting Campus Martius, Detroit, Mich.</t>
  </si>
  <si>
    <t>Morgan, Junius Spencer; Freer, Charles</t>
  </si>
  <si>
    <t>Detroit</t>
  </si>
  <si>
    <t>00326</t>
  </si>
  <si>
    <t>1914_06_10_12</t>
  </si>
  <si>
    <t>32044150448827_018, 32044150448827_019, 32044150448827_020, 32044150448827_021</t>
  </si>
  <si>
    <t>76a; 77b; 78c; 79d</t>
  </si>
  <si>
    <t>1914-65</t>
  </si>
  <si>
    <t>Burgess, Gelett; Kennerly, Mitchell; Seligmann, Jacques</t>
  </si>
  <si>
    <t>Pembroke books</t>
  </si>
  <si>
    <t>00327</t>
  </si>
  <si>
    <t>1914_06_13_14_15</t>
  </si>
  <si>
    <t>32044150448827_022, 32044150448827_023, 32044150448827_024, 32044150448827_025, 32044150448827_026, 32044150448827_027, 32044150448827_028, 32044150448827_029, 32044150448827_030, 32044150448827_031, 32044150448827_032</t>
  </si>
  <si>
    <t>80a; 81b; 82c; 83d; 84e; 85f; 86g; 87h; 88i; 89l; 90m</t>
  </si>
  <si>
    <t>1914-66</t>
  </si>
  <si>
    <t>Meyer, Eugene; Morgan, Jack; Knoblauch, Charles; Burroughs, Bryson; Read, Charles Hercules; Muray, Charles Fairfax;  Duveens; Meyer, Agnes;  Blumenthal, Florence Meyer</t>
  </si>
  <si>
    <r>
      <rPr>
        <rFont val="Times New Roman"/>
        <color theme="1"/>
        <sz val="12.0"/>
      </rPr>
      <t xml:space="preserve">Gabriele d'Annunzio; </t>
    </r>
    <r>
      <rPr>
        <rFont val="Times New Roman"/>
        <i/>
        <color theme="1"/>
        <sz val="12.0"/>
      </rPr>
      <t>Cabiria</t>
    </r>
    <r>
      <rPr>
        <rFont val="Times New Roman"/>
        <color theme="1"/>
        <sz val="12.0"/>
      </rPr>
      <t>; banquet at the Ritz; English vs. American polo match; Agnes Meyer's affair; Futurist art; Rita Lydig;</t>
    </r>
  </si>
  <si>
    <t>00328</t>
  </si>
  <si>
    <t>1914_06_17_18_19</t>
  </si>
  <si>
    <t>32044150448827_033, 32044150448827_034, 32044150448827_035, 32044150448827_036, 32044150448827_037, 32044150448827_038, 32044150448827_039, 32044150448827_040, 32044150448827_041, 32044150448827_042, 32044150448827_043, 32044150448827_044, 32044150448827_045, 32044150448827_046, 32044150448827_047, 32044150448827_048</t>
  </si>
  <si>
    <t>91a; 92b; 93c; 94d; 95e; 96f; 97g; 98h; 99i; 100l; 101m; 102n; 103o; 104p; 105q; 106r</t>
  </si>
  <si>
    <t>1914-67</t>
  </si>
  <si>
    <t>"1914" added by BB</t>
  </si>
  <si>
    <t>Meyer, Eugene; Read, Charles Hercules; Morgan, Jack; Meyer, Agnes; Murray, Charles Fairfax; Thurston, Ada; Truesdale, William; Johnstone, Lady Antoinette; Rey, Emile; Seligmann, Arnold; Freer, Charles Lang; Berenson, Mary; Eames, Wilberforce; Truesdale, Annie Topping; Agnew, William Lockett; Raphael?; Rives, George L.; March?; Laufer, Berthold</t>
  </si>
  <si>
    <t>Vaudeville; RMS Olympic; Rembrandt, Portrait of His Brother; Federation of Women’s Clubs; Chicago; BG's resistance to women's suffrage/feminism; New York Public Library; British Museum; Ku-Kai-Chi (also known as Gu Kaizhi), Admonitions Scroll (British Museum, 1903,0408.0,1); jade; Jack wanting to sell JPM art collection at auction; London; valuation of JPM art collection; Read crush on BG; London; Berlin; Kaiser-Friedrich-Museum; Italy; Enno collection?; Freer collection; Aix-les-Bains; Agnew's; Fairfax Murray collection sale catalogue; women's suffrage; Greenwich; exchange of photographs; BB collection of paintings, Persian miniatures, and Armenian leaves; Villa I Tatti</t>
  </si>
  <si>
    <t>2021/03/04</t>
  </si>
  <si>
    <t>2021/03/06</t>
  </si>
  <si>
    <t>00329</t>
  </si>
  <si>
    <t>1914_06_20_22</t>
  </si>
  <si>
    <t>32044150448827_049, 32044150448827_050, 32044150448827_051, 32044150448827_052, 32044150448827_053, 32044150448827_054</t>
  </si>
  <si>
    <t>107a, 108b, 109c, 110d, 111e, 112e</t>
  </si>
  <si>
    <t>1914-68</t>
  </si>
  <si>
    <t>Meyer, Agnes; Morgan, J. Pierpont</t>
  </si>
  <si>
    <r>
      <rPr>
        <rFont val="Times New Roman"/>
        <color theme="1"/>
        <sz val="12.0"/>
      </rPr>
      <t xml:space="preserve">XVIII century jade carving; The Brearley School; </t>
    </r>
    <r>
      <rPr>
        <rFont val="Times New Roman"/>
        <i/>
        <color theme="1"/>
        <sz val="12.0"/>
      </rPr>
      <t xml:space="preserve">Sirenica, </t>
    </r>
    <r>
      <rPr>
        <rFont val="Times New Roman"/>
        <color theme="1"/>
        <sz val="12.0"/>
      </rPr>
      <t xml:space="preserve">by W. Compton Leith; John Lane; </t>
    </r>
    <r>
      <rPr>
        <rFont val="Times New Roman"/>
        <i/>
        <color theme="1"/>
        <sz val="12.0"/>
      </rPr>
      <t>Primal Law</t>
    </r>
    <r>
      <rPr>
        <rFont val="Times New Roman"/>
        <color theme="1"/>
        <sz val="12.0"/>
      </rPr>
      <t xml:space="preserve"> (unknown author)</t>
    </r>
  </si>
  <si>
    <t>00330</t>
  </si>
  <si>
    <t>1914_06_24_25_26</t>
  </si>
  <si>
    <t>32044150448827_055, 32044150448827_056, 32044150448827_057, 32044150448827_058, 32044150448827_059, 32044150448827_060, 32044150448827_061, 32044150448827_062, 32044150448827_063, 32044150448827_064</t>
  </si>
  <si>
    <t>113a; 114b; 115c; 116d; 117e; 118f; 119 g; 120h; 121i; 122j</t>
  </si>
  <si>
    <t>1914–69</t>
  </si>
  <si>
    <t>Carlisle (?); Strong, Eugénie Sellers; Carl (Belle's chauffeur); Cammon (?); Mellon (?); Duveen, Joseph; Murray, Charles Fairfax; Murray, Louis (brother of Charles?); Uncle Henry (?); Read,Charles Hercules; Morgan, Jack; Meyer, Eugene; Meyer, Agnes; de Castillane, Boni; Flowerdale (?); Blumenthal, Florence Meyer</t>
  </si>
  <si>
    <t>The Larchmont Yacht Club; minstrel show; a fire near New Rochelle, NY; Ottaviano Petrucci; Chinese art; The Petit Palais; 12th century Chinese head; Cufic writing; Johann Wolfgang von Goethe; Egyptian art; Greek art; jade</t>
  </si>
  <si>
    <t>2021/1/13</t>
  </si>
  <si>
    <t>2021/ 1/ 15</t>
  </si>
  <si>
    <t>00331</t>
  </si>
  <si>
    <t>1914_07_01_02_03</t>
  </si>
  <si>
    <t>32044150448835_001, 32044150448835_002, 32044150448835_003, 32044150448835_004, 32044150448835_005, 32044150448835_006</t>
  </si>
  <si>
    <t>123a; 124b; 125c; 126d; 127e; 128f</t>
  </si>
  <si>
    <t>1914–70</t>
  </si>
  <si>
    <t>Murray, Charles Fairfax; Meyer, Agnes; Read, Charles Hercules; Kevorkian (?); Meyer, Eugene; Duveen, Joseph; Morgan, Jack; Valentiner, Wilhelm; Morgan, Junius Spencer; Miss Converse (?); Morgan, Jane Grew; Cockerell, Sydney; Uncle Henry (?); Thurston, Ada</t>
  </si>
  <si>
    <t>Cufic writing; The Met Museum; The British Museum; RMS Mauretania</t>
  </si>
  <si>
    <t>2021/1/16</t>
  </si>
  <si>
    <t>2021/1/17</t>
  </si>
  <si>
    <t>00332</t>
  </si>
  <si>
    <t>1914_07_04_05_06</t>
  </si>
  <si>
    <t>32044150448835_007, 32044150448835_008, 32044150448835_009, 32044150448835_010, 32044150448835_011, 32044150448835_012, 32044150448835_013, 32044150448835_014</t>
  </si>
  <si>
    <t>BUCKWOOD INN SHAWNEE-ON-DELAWARE PENNSYLVANIA</t>
  </si>
  <si>
    <t>Shawnee-on-Delaware, Pennsylvania</t>
  </si>
  <si>
    <t>129a; 130b; 131c; 132d</t>
  </si>
  <si>
    <t>1914–73</t>
  </si>
  <si>
    <t xml:space="preserve">Meyer, Agnes; Duveens; Murray, Charles Fairfax; Morgan, J. Pierpont; Meyer, Eugene; Vignier, Charles; Read, Charles Hercules; Burroughs, Bryson (?); Benson, Robert Henry; Wildenstein, Nathan; Guripel (?); Dalton, Ormande Maddock; Morgan, Jack; </t>
  </si>
  <si>
    <r>
      <rPr>
        <rFont val="Times New Roman"/>
        <color theme="1"/>
        <sz val="12.0"/>
      </rPr>
      <t xml:space="preserve">BG's intolerance for people of different nationalities; The Shawnee Country Club; </t>
    </r>
    <r>
      <rPr>
        <rFont val="Times New Roman"/>
        <i/>
        <color theme="1"/>
        <sz val="12.0"/>
      </rPr>
      <t>La Schiavona</t>
    </r>
    <r>
      <rPr>
        <rFont val="Times New Roman"/>
        <color theme="1"/>
        <sz val="12.0"/>
      </rPr>
      <t>; Titian; Giorgione; figure of a luohan at The British Museum; Chinese painting; 9th century head; Goloubeff collection</t>
    </r>
  </si>
  <si>
    <t>2021/1/18</t>
  </si>
  <si>
    <t>00333</t>
  </si>
  <si>
    <t>1914_07_07_08</t>
  </si>
  <si>
    <t>32044150448835_015, 32044150448835_016, 32044150448835_017, 32044150448835_018, 32044150448835_019, 32044150448835_020, 32044150448835_021, 32044150448835_022</t>
  </si>
  <si>
    <t>133-136</t>
  </si>
  <si>
    <t>1914–74</t>
  </si>
  <si>
    <t>Meyer, Agnes; Read, Charles Hercules; Miss Thackery (?); Mrs. Flamerdale (?); Glaenzer, Eugene; Seligmann, Jacques; Rey, Emile; Morgan, Jane Grew; Morgan, Jack; Duveens</t>
  </si>
  <si>
    <t>Salomon Reinach; Boncher (a painter?); Jacques Seligmann &amp; Co., Inc.</t>
  </si>
  <si>
    <t>2021/1/19</t>
  </si>
  <si>
    <t>00334</t>
  </si>
  <si>
    <t>1914_07_10_11</t>
  </si>
  <si>
    <t>32044150448835_023, 32044150448835_024, 32044150448835_025, 32044150448835_026, 32044150448835_027, 32044150448835_028, 32044150448835_029, 32044150448835_030, 32044150448835_031, 32044150448835_032, 32044150448835_033, 32044150448835_034</t>
  </si>
  <si>
    <t>137a; 138b; 139c; 140d; 141e; 142f; 143g; 144h; 145i; 146l; 147m; 148n</t>
  </si>
  <si>
    <t>1914-75</t>
  </si>
  <si>
    <t xml:space="preserve">Morgan, J. Pierpont, Jr.; Duveen; Murray, Charles Fairfax; Read, Hercules; Morgan, Junius Spencer; Seligmann, Jacques; Rothschild, Maurice de; Valentier, Wilhelm; </t>
  </si>
  <si>
    <t>Art collections on view at Metropolitan Museum; Fragonard panels; Berenson-Fairfax Murray rivalry; "Hapsburg" Bookcover (MLM AZ153); frauds in the marktet; BG art collection; jade gift from BB to BG; Persian manuscripts; Goloubeff collection</t>
  </si>
  <si>
    <t>00335</t>
  </si>
  <si>
    <t>1914_07_13</t>
  </si>
  <si>
    <t>32044150448835_035, 32044150448835_036</t>
  </si>
  <si>
    <t>149a; 150b</t>
  </si>
  <si>
    <t>1914-76</t>
  </si>
  <si>
    <t>"1914" written in pencil in a different hand</t>
  </si>
  <si>
    <t>Morgan, J. Pierpont, Jr.; Rey, Emile; Murray, Charles Fairfax; Thurston, Ada; Meyer, Eugene</t>
  </si>
  <si>
    <t>private collections; Chinese art; British literature</t>
  </si>
  <si>
    <t>JPM's collection of Chinese porcelain; appraisal of JPM's collection; jewelry; Ralph Milbanke, Astarte; George Gordon, Lord Byron; Bar Harbor, ME</t>
  </si>
  <si>
    <t>2021/06/04</t>
  </si>
  <si>
    <t>00336</t>
  </si>
  <si>
    <t>1914_07_18</t>
  </si>
  <si>
    <t>32044150448835_037, 32044150448835_038, 32044150448835_039, 32044150448835_040, 32044150448835_041, 32044150448835_042, 32044150448835_043, 32044150448835_044, 32044150448835_045, 32044150448835_046, 32044150448835_047, 32044150448835_048</t>
  </si>
  <si>
    <t>151a; 152b; 153c; 154d; 155e; 156f; 157g; 158h; 159i; 160l; 161m; 162n</t>
  </si>
  <si>
    <t>1914-77</t>
  </si>
  <si>
    <t>Morgan, J. Pierpont, Jr.; Read, Charles Hercules; Murray, Charles Fairfax; Duveen; Rey, Emile; Seligmann, Jacques; Meyer, Agnes; Ludres, Isabelle de; Federn, Paul; Freud, Sigmund; Noguchi, Hideyo; Prince, Morton; Bergson, Henri; Meyer, Eugene; Greene, Genevieve Ida Van Vliet Fleet; Morgan, J. Pierpont; Morgan, Jane Grew</t>
  </si>
  <si>
    <t>totaling miniatures + Chinese Porcelains; letters from Murray and Seligmann about Duveen; Read's purchase of the Lo'han; Pergzinsky(?) Lo'han purchased by Morgan Museum; terrible small marble S'ang lion sent to BG by Read; Read's keenness for African objects; BB in Paris; dislike for de Ludres; BG fascination with Freud and psychoanalysis done by Federn; BG dream diary; Freud's "The Interpretation of Dreams";"little bronze" and "little Buddha" from BB; asking for photograph of BB's Siamese head; plan to visit BB with Genevieve; Jane's asking for BG to visit</t>
  </si>
  <si>
    <t>2022/07/26</t>
  </si>
  <si>
    <t>00337</t>
  </si>
  <si>
    <t>1914_07_20</t>
  </si>
  <si>
    <t>32044150448835_049, 32044150448835_050, 32044150448835_051, 32044150448835_052, 32044150448835_053, 32044150448835_054</t>
  </si>
  <si>
    <t>163a; 164b-c</t>
  </si>
  <si>
    <t>1914-78</t>
  </si>
  <si>
    <t>Ludres, Isabelle de; Rey, Emile; Seligmann, Jacques; Murray, Charles Fairfax; Duveen; Morgan, J. Pierpont, Jr.; Read, Charles Hercules; Stich[--]?; Meyer, Agnes; Meyer, Eugene; Castellane, Marie Ernest Paul Boniface de; Bourget, Paul; Durrieu, Paul; Goloubeff, M. Victor; Berenson, Mary; "my small sister"</t>
  </si>
  <si>
    <t>Chinese porcelain price increase; sending letters of Rey, Seligmann, and Murray; Jack and BG discuss Murray visiting in August; Chinese AI head; Murray's little Sarengetti; Stein things going back to India; gold matchbox souvenir for BB, matches Jack's; Ars Asiatica Vol. 1; hope that BB destroyed a "beastly" complaint letter from her; Eugene Meyer's crush on BG; Anatole France's "La revolte des Anges"; annoyance at BB liking de Ludres</t>
  </si>
  <si>
    <t>00338</t>
  </si>
  <si>
    <t>1914_07_21</t>
  </si>
  <si>
    <t>32044150448835_059, 32044150448835_060</t>
  </si>
  <si>
    <t>1914-79</t>
  </si>
  <si>
    <t>Greene, Genevieve Ida Van Vliet Fleet</t>
  </si>
  <si>
    <r>
      <rPr>
        <rFont val="Times New Roman"/>
        <color theme="1"/>
        <sz val="12.0"/>
      </rPr>
      <t xml:space="preserve">Aquitania; declined invitation to dinner and dance at Meadowbrook at Piping Rock Club; striking similarity to Isabel in H. G. Wells' </t>
    </r>
    <r>
      <rPr>
        <rFont val="Times New Roman"/>
        <i/>
        <color theme="1"/>
        <sz val="12.0"/>
      </rPr>
      <t>The New Machiavelli</t>
    </r>
    <r>
      <rPr>
        <rFont val="Times New Roman"/>
        <color theme="1"/>
        <sz val="12.0"/>
      </rPr>
      <t>; Genevieve sends love to BB</t>
    </r>
  </si>
  <si>
    <t>00339</t>
  </si>
  <si>
    <t>1914_07_27</t>
  </si>
  <si>
    <t>32044150448835_055, 32044150448835_056, 32044150448835_057, 32044150448835_058</t>
  </si>
  <si>
    <t>the M.D. (Dr. Connor?); Morgan, J. Pierpont, Jr.; Greene, Genevieve Ida Van Vliet Fleet</t>
  </si>
  <si>
    <t>diagnosed with nervous prostration; Jack visiting each day and bringing flowers and fruit; importance of BG in Library; desire to convince Jack to move Library to England</t>
  </si>
  <si>
    <t>00340</t>
  </si>
  <si>
    <t>1914_07_29_30_31</t>
  </si>
  <si>
    <t>32044150448835_061, 32044150448835_062, 32044150448835_063, 32044150448835_064, 32044150448835_065, 32044150448835_066, 32044150448835_067, 32044150448835_068, 32044150448835_069, 32044150448835_070, 32044150448835_071, 32044150448835_072, 32044150448835_073</t>
  </si>
  <si>
    <t>171d; 172c; 173a; 174b; 175c; 176d; 177e; 178f</t>
  </si>
  <si>
    <t>pp. 1-12 written in pencil; pp. 12-15 written in ink</t>
  </si>
  <si>
    <t>Typed letter from Charles Fairfax Murray to J. Pierpont Morgan, Jr.; originally included letter from Charles Hercules Read to BG</t>
  </si>
  <si>
    <t>the M.D. (Dr. Connor?); Murray, Charles Fairfax; Duveen, Henry; Duveen, Joseph; Morgan, J. Pierpont, Jr.; Seligmann, Jacques; Agnew, William Lockett; Raphael; Read, Charles Hercules; Kahn, Adelaide Wolff; Sirén, Osvald; Meyer, Agnes; Meyer, Eugene</t>
  </si>
  <si>
    <r>
      <rPr>
        <rFont val="Times New Roman"/>
        <color theme="1"/>
        <sz val="12.0"/>
      </rPr>
      <t xml:space="preserve">shorter hours at Museum due to illness; suspicious of Murray; letter from Duveen in regard to Agnew; Read's change from dislike to neutrality in regard to BB; Dostoevsky; H. G. Wells; Anatole France; Paul Bourget; love of Wells' </t>
    </r>
    <r>
      <rPr>
        <rFont val="Times New Roman"/>
        <i/>
        <color theme="1"/>
        <sz val="12.0"/>
      </rPr>
      <t>The New Machiavelli</t>
    </r>
    <r>
      <rPr>
        <rFont val="Times New Roman"/>
        <color theme="1"/>
        <sz val="12.0"/>
      </rPr>
      <t xml:space="preserve">; distaste for Wells' </t>
    </r>
    <r>
      <rPr>
        <rFont val="Times New Roman"/>
        <i/>
        <color theme="1"/>
        <sz val="12.0"/>
      </rPr>
      <t>Marriage</t>
    </r>
    <r>
      <rPr>
        <rFont val="Times New Roman"/>
        <color theme="1"/>
        <sz val="12.0"/>
      </rPr>
      <t xml:space="preserve">; Munsey's Magazine; France's </t>
    </r>
    <r>
      <rPr>
        <rFont val="Times New Roman"/>
        <i/>
        <color theme="1"/>
        <sz val="12.0"/>
      </rPr>
      <t>La Révolte des Anges</t>
    </r>
    <r>
      <rPr>
        <rFont val="Times New Roman"/>
        <color theme="1"/>
        <sz val="12.0"/>
      </rPr>
      <t xml:space="preserve">; fascination with the Old Testament, desire to read it in Hebrew; Song of Solomon 7:10 quotation; Felicia Dorothea Hemans' "Casabianca" quotation; stock exchanges closing; Eugene discussing people's dislike of Agnes with BG; enclosed letter from Read </t>
    </r>
  </si>
  <si>
    <t>00341</t>
  </si>
  <si>
    <t>1914_08_02_03</t>
  </si>
  <si>
    <t>32044150448843_001, 32044150448843_002, 32044150448843_003, 32044150448843_004, 32044150448843_005, 32044150448843_006</t>
  </si>
  <si>
    <t>Indian Field, Greenwich Connecticut</t>
  </si>
  <si>
    <t>Greenwich, Connectituct</t>
  </si>
  <si>
    <t>182a, 183b, 184c</t>
  </si>
  <si>
    <t>1914-83</t>
  </si>
  <si>
    <t>Incomplete</t>
  </si>
  <si>
    <t>Joubert, Ariana</t>
  </si>
  <si>
    <t>AJ</t>
  </si>
  <si>
    <t>2020/08/04</t>
  </si>
  <si>
    <t>00342</t>
  </si>
  <si>
    <t>1914_08_04_05_06</t>
  </si>
  <si>
    <t>32044150448843_007, 32044150448843_008, 32044150448843_009, 32044150448843_010, 32044150448843_011, 32044150448843_012, 32044150448843_013, 32044150448843_014, 32044150448843_015, 32044150448843_016, 32044150448843_017, 32044150448843_018</t>
  </si>
  <si>
    <t>Mr. Morgan's Library New York</t>
  </si>
  <si>
    <t>185a, 186b, 187c, 188d, 189e, 190f</t>
  </si>
  <si>
    <t>1914-84</t>
  </si>
  <si>
    <t>Perhaps missing page between pp. 15 and 16?</t>
  </si>
  <si>
    <t>2020/08/05</t>
  </si>
  <si>
    <t>00343</t>
  </si>
  <si>
    <t>1914_08_07</t>
  </si>
  <si>
    <t>32044150448843_019, 32044150448843_020</t>
  </si>
  <si>
    <t>104 East 40th Street</t>
  </si>
  <si>
    <t>1914-85</t>
  </si>
  <si>
    <t>00344</t>
  </si>
  <si>
    <t>1914_08_08_10</t>
  </si>
  <si>
    <t>32044150448843_021, 32044150448843_022, 32044150448843_023, 32044150448843_024, 32044150448843_025, 32044150448843_026</t>
  </si>
  <si>
    <t>192a, 193a, 193b, 194c</t>
  </si>
  <si>
    <t>1914-86</t>
  </si>
  <si>
    <t>00345</t>
  </si>
  <si>
    <t>1914_08_12_13</t>
  </si>
  <si>
    <t>32044150448843_027, 32044150448843_028, 32044150448843_029, 32044150448843_030</t>
  </si>
  <si>
    <t>195, 196</t>
  </si>
  <si>
    <t>00346</t>
  </si>
  <si>
    <t>1914_08_24</t>
  </si>
  <si>
    <t>32044150448843_031, 32044150448843_032, 32044150448843_033, 32044150448843_034, 32044150448843_035, 32044150448843_036, 32044150448843_037, 32044150448843_038, 32044150448843_039, 32044150448843_040, 32044150448843_041, 32044150448843_042</t>
  </si>
  <si>
    <t>104 East Fortieth Street</t>
  </si>
  <si>
    <t>197a, 198b, 199c, 200d, 201e, 202f</t>
  </si>
  <si>
    <t>1914-87</t>
  </si>
  <si>
    <t>Roosevelt, Theodore; Borglum, Gutzon</t>
  </si>
  <si>
    <t>00347</t>
  </si>
  <si>
    <t>1914_08_27</t>
  </si>
  <si>
    <t>32044150448843_043, 32044150448843_044, 32044150448843_045, 32044150448843_046, 32044150448843_047</t>
  </si>
  <si>
    <t>1914-88</t>
  </si>
  <si>
    <t>00348</t>
  </si>
  <si>
    <t>1914_09_08</t>
  </si>
  <si>
    <t>32044150448850_001, 32044150448850_002, 32044150448850_003, 32044150448850_004, 32044150448850_005, 32044150448850_006</t>
  </si>
  <si>
    <t>208-213</t>
  </si>
  <si>
    <t>1914-89</t>
  </si>
  <si>
    <t>Saint-Gaudens, Augusta Fisher Homer; Saint-Gaudens, Augustus; Mackaye, Percy</t>
  </si>
  <si>
    <t>World War I; Woodrow Wilson; Charles William Eliot; Winston Churchill; Maxfield Parrish; Margaret Wilson; Jessie Woodrow Wilson Sayre; Mr. Axton (cannot locate first name); Wilhelm II; Sir Edward Grey</t>
  </si>
  <si>
    <t>Malanowski, Kelsey</t>
  </si>
  <si>
    <t>KM</t>
  </si>
  <si>
    <t>00349</t>
  </si>
  <si>
    <t>1914_09_10_11_13_14_15</t>
  </si>
  <si>
    <t>32044150448860_007, 32044150448860_008, 32044150448860_009, 32044150448860_010, 32044150448860_011, 32044150448860_012, 32044150448860_013, 32044150448860_014, 32044150448860_015, 32044150448860_016, 32044150448860_017, 32044150448860_018, 32044150448860_019</t>
  </si>
  <si>
    <t>214a, 215b, 216c, 217d, 218e, 219f, 220g, 221h, 222i, 223l, 224m, 225n, 226o</t>
  </si>
  <si>
    <t>1914-90</t>
  </si>
  <si>
    <t>Morgan, Junius Spencer; Gardner, Sarah Spencer Morgan; Morgan, Caroline Lucy; Hamilton, Juliet Morgan; Hamilton, Helen Morgan; Harriman, Carol; Morgan, Jack; Cram, Ralph Adams; Morgan, Jane Grew; Wilson, Woodrow; Vandervelde, Lalla; Sloane, William Milligan; Meyer, Eugene; Blumenthal, George; Blumenthal, Florence; Valentiner, Wilhlem; Bode, Wilhelm von; Robinson, Edward; Read, Hercules; Murray, Charles Fairfax; Kluck, Alexander von</t>
  </si>
  <si>
    <t>World War I; wedding of Sarah Morgan Gardner; Princeton architecture; Belgian relief aid; Jack's anti-German sentiment; letter censorship; German surrender</t>
  </si>
  <si>
    <t>00350</t>
  </si>
  <si>
    <t>1914_09_17_19</t>
  </si>
  <si>
    <t>32044150448860_020, 32044150448860_021, 32044150448860_022, 32044150448860_023, 32044150448860_024, 32044150448860_025, 32044150448860_026, 32044150448860_027, 32044150448860_028, 32044150448860_029, 32044150448860_030, 32044150448860_031</t>
  </si>
  <si>
    <t>227-238</t>
  </si>
  <si>
    <t>1914-91</t>
  </si>
  <si>
    <t>Morgan, Jack; Murray, Charles Fairfax; Duveens; Widener, Joseph E.; Rockefeller, John D.; Garer (?); Greene, Genevieve Ida Van Vliet Fleet; Greene, Russell da Costa; Seligmann, Jacques; Huntington, Archer Milton; Robinson, Edward; Read, Charles Hercules; Valentiner, Wilhelm</t>
  </si>
  <si>
    <t>RMS Lusitania; The Fragonard Room; Spanish tapestries; Chinese porcelains; The Metropolitan Museum; "The Boston Museum" (?)</t>
  </si>
  <si>
    <t>2020/08/21</t>
  </si>
  <si>
    <t>00351</t>
  </si>
  <si>
    <t>1914_09_21_22</t>
  </si>
  <si>
    <t>32044150448850_032, 32044150448850_033, 32044150448850_034, 32044150448850_035, 32044150448850_036, 32044150448850_037</t>
  </si>
  <si>
    <t>1914-92</t>
  </si>
  <si>
    <t>Whitmans; Trusdales; Cosgrave, John O'Hara; Steffens, Lincoln; Lee, Gerald Stanley; Morgan, Junius Spencer; Murray, Charles Fairfax; Morgan, Jack; Duveens; Uncle Henry (?); Widener, Joseph E.; Robinson, Edward; Valentiner, Wilhelm; Jonhnson, John Graver; Huntington, Archer Milton; Sands, Gertrude Sheldon</t>
  </si>
  <si>
    <t>pro-German and anti-English sentiment; Wilhelm II and Russia; dynamics between England, South Africa, Russia; Raphael; The Metropolitan Museum</t>
  </si>
  <si>
    <t>00352</t>
  </si>
  <si>
    <t>1914_09_23_24_25</t>
  </si>
  <si>
    <t>32044150448850_038, 32044150448850_039, 32044150448850_040, 32044150448850_041, 32044150448850_042, 32044150448850_043, 32044150448850_044, 32044150448850_045</t>
  </si>
  <si>
    <t>245-252</t>
  </si>
  <si>
    <t>1914-94</t>
  </si>
  <si>
    <t>date incorrectly written as 9_22</t>
  </si>
  <si>
    <t>Mott, Katherine; Armour, Allison; Mott Jr., Jordan Lawrence; Murray, Charles Fairfax; Morgan, Junius Spencer; Hamilton, Juliet Morgan; Brunner, Arnold W.; Thurston, Ada; Holt, Winifred</t>
  </si>
  <si>
    <r>
      <rPr>
        <rFont val="Times New Roman"/>
        <color theme="1"/>
        <sz val="12.0"/>
      </rPr>
      <t xml:space="preserve">Wilhelm II; J. L. Iron Work; yachts; RMS Lusitania; RMS Olympic; Palazzo Pitti; Alexander von Kluck; Brunners detained and inspected by German soldiers; German soldiers torturing Belgian boys and raping peasant woman; </t>
    </r>
    <r>
      <rPr>
        <rFont val="Times New Roman"/>
        <i/>
        <color theme="1"/>
        <sz val="12.0"/>
      </rPr>
      <t xml:space="preserve">August 1915 </t>
    </r>
    <r>
      <rPr>
        <rFont val="Times New Roman"/>
        <color theme="1"/>
        <sz val="12.0"/>
      </rPr>
      <t xml:space="preserve">by John Masefield; </t>
    </r>
    <r>
      <rPr>
        <rFont val="Times New Roman"/>
        <i/>
        <color theme="1"/>
        <sz val="12.0"/>
      </rPr>
      <t xml:space="preserve">The English Review; </t>
    </r>
    <r>
      <rPr>
        <rFont val="Times New Roman"/>
        <color theme="1"/>
        <sz val="12.0"/>
      </rPr>
      <t>glass and tapestries in the Reims Cathedral</t>
    </r>
  </si>
  <si>
    <t>00353</t>
  </si>
  <si>
    <t>1917_09_22_24_25</t>
  </si>
  <si>
    <t>32044150448850_046, 32044150448850_047, 32044150448850_048, 32044150448850_049, 32044150448850_050, 32044150448850_051</t>
  </si>
  <si>
    <t>253a, 254b, 155c, 256d, 257e, 258f</t>
  </si>
  <si>
    <t>1914-93</t>
  </si>
  <si>
    <t>erroneous year ID of 1914</t>
  </si>
  <si>
    <t>Oakley, Ethel Alice Greene; Oakley, George; Morgan, Jane Grew; Kennerly, Mitchel; Morgan. Jack; Merkel (?); Holen (?); Collier, Price; Thurston, Ada</t>
  </si>
  <si>
    <r>
      <rPr>
        <rFont val="Times New Roman"/>
        <color theme="1"/>
        <sz val="12.0"/>
      </rPr>
      <t xml:space="preserve">Wilhelm II; conflict between England and Germany; marble bust of Jack Morgan; Kennerly's book on the war; </t>
    </r>
    <r>
      <rPr>
        <rFont val="Times New Roman"/>
        <i/>
        <color theme="1"/>
        <sz val="12.0"/>
      </rPr>
      <t>The Hawk</t>
    </r>
    <r>
      <rPr>
        <rFont val="Times New Roman"/>
        <color theme="1"/>
        <sz val="12.0"/>
      </rPr>
      <t>; Mr. Faversham and Mademoiselle Dorziat; New Yorker Staats-Zeitung</t>
    </r>
  </si>
  <si>
    <t>2020/09/01</t>
  </si>
  <si>
    <t>00354</t>
  </si>
  <si>
    <t>1914_10_04_05</t>
  </si>
  <si>
    <t>32044150448868_001, 32044150448868_002, 32044150448868_003, 32044150448868_004, 32044150448868_005</t>
  </si>
  <si>
    <t>259-263</t>
  </si>
  <si>
    <t>1914-95</t>
  </si>
  <si>
    <t>2020/08/11</t>
  </si>
  <si>
    <t>00355</t>
  </si>
  <si>
    <t>1914_10_06</t>
  </si>
  <si>
    <t>32044150448868_006, 32044150448868_007, 32044150448868_008</t>
  </si>
  <si>
    <t>264-266</t>
  </si>
  <si>
    <t>1914-96</t>
  </si>
  <si>
    <t>00356</t>
  </si>
  <si>
    <t>1914_10_08_09_11_12</t>
  </si>
  <si>
    <t>32044150448868_009, 32044150448868_010, 32044150448868_011, 32044150448868_012, 32044150448868_013, 32044150448868_014, 32044150448868_015, 32044150448868_016, 32044150448868_017, 32044150448868_018, 32044150448868_019, 32044150448868_020, 32044150448868_021, 32044150448868_022</t>
  </si>
  <si>
    <t>267-280</t>
  </si>
  <si>
    <t>1914-97</t>
  </si>
  <si>
    <t>00357</t>
  </si>
  <si>
    <t>1914_10_25_26</t>
  </si>
  <si>
    <t>32044150448868_034, 32044150448868_035, 32044150448868_036, 32044150448868_037</t>
  </si>
  <si>
    <t>292-295</t>
  </si>
  <si>
    <t>1914-99</t>
  </si>
  <si>
    <t>00358</t>
  </si>
  <si>
    <t>1914_10_27</t>
  </si>
  <si>
    <t>32044150448868_038, 32044150448868_039, 32044150448868_040, 32044150448868_041, 32044150448868_042</t>
  </si>
  <si>
    <t>296-300</t>
  </si>
  <si>
    <t>1914-100</t>
  </si>
  <si>
    <t>2020/08/14 [but no transcription present, 4/20/21]</t>
  </si>
  <si>
    <t>00359</t>
  </si>
  <si>
    <t>1916_10_13</t>
  </si>
  <si>
    <t>32044150448868_023, 32044150448868_024, 32044150448868_025, 32044150448868_026, 32044150448868_027, 32044150448868_028, 32044150448868_029, 32044150448868_030, 32044150448868_031, 32044150448868_032, 32044150448868_033</t>
  </si>
  <si>
    <t>281-291</t>
  </si>
  <si>
    <t>1914-98</t>
  </si>
  <si>
    <t>de Acosta Lydig, Rita; Pankhurst, Cristabel</t>
  </si>
  <si>
    <t>2020/08/14</t>
  </si>
  <si>
    <t>00360</t>
  </si>
  <si>
    <t>1914_05_12</t>
  </si>
  <si>
    <t>32044150448884_038, 32044150448884_039</t>
  </si>
  <si>
    <t>TELEGRAMMA</t>
  </si>
  <si>
    <t>1914-102</t>
  </si>
  <si>
    <t>2020/07/31</t>
  </si>
  <si>
    <t>00361</t>
  </si>
  <si>
    <t>1914_11_01_03</t>
  </si>
  <si>
    <t>32044150448884_001, 32044150448884_002, 32044150448884_003, 32044150448884_004, 32044150448884_005, 32044150448884_006, 32044150448884_007, 32044150448884_008, 32044150448884_009, 32044150448884_010, 32044150448884_011, 32044150448884_012, 32044150448884_013, 32044150448884_014, 32044150448884_015, 32044150448884_016</t>
  </si>
  <si>
    <t>301-316</t>
  </si>
  <si>
    <t>1914-101</t>
  </si>
  <si>
    <t>2020/08//04</t>
  </si>
  <si>
    <t>00362</t>
  </si>
  <si>
    <t>1914_12_07_08</t>
  </si>
  <si>
    <t>32044150448884_017, 32044150448884_018, 32044150448884_019, 32044150448884_020, 32044150448884_021, 32044150448884_022</t>
  </si>
  <si>
    <t>317-322</t>
  </si>
  <si>
    <t>1914-103</t>
  </si>
  <si>
    <t>Murray, Fairfax; Duveen, Joseph; Morgan, J. Pierpont, Jr; Thurston, Ada; Uncle Henry?</t>
  </si>
  <si>
    <t>00363</t>
  </si>
  <si>
    <t>1914_12_08</t>
  </si>
  <si>
    <t>32044150448884_023, 32044150448884_024, 32044150448884_025, 32044150448884_026, 32044150448884_027, 32044150448884_028, 32044150448884_029, 32044150448884_030, 32044150448884_031, 32044150448884_032, 32044150448884_033, 32044150448884_034</t>
  </si>
  <si>
    <t>The Library of J. Pierpont Morgan Thirty-Three East Thirty-Sixth Street New York</t>
  </si>
  <si>
    <t>323-328</t>
  </si>
  <si>
    <t>1914-104</t>
  </si>
  <si>
    <t>Schumann-Heink, Ernestine; Gadski, Johanna Emilia Agnes; Muck, Karl</t>
  </si>
  <si>
    <t>00364</t>
  </si>
  <si>
    <t>1914_12_11</t>
  </si>
  <si>
    <t>32044150448884_035</t>
  </si>
  <si>
    <t>1914-105</t>
  </si>
  <si>
    <t xml:space="preserve">Wilson, Maya </t>
  </si>
  <si>
    <t>MW</t>
  </si>
  <si>
    <t>00365</t>
  </si>
  <si>
    <t>1914_12_12</t>
  </si>
  <si>
    <t>32044150448884_037</t>
  </si>
  <si>
    <t>1914-106</t>
  </si>
  <si>
    <t>No letterhead</t>
  </si>
  <si>
    <t>00366</t>
  </si>
  <si>
    <t>UNDATED 01</t>
  </si>
  <si>
    <t>32044150448884_036</t>
  </si>
  <si>
    <t>New York</t>
  </si>
  <si>
    <t>2020//08/18</t>
  </si>
  <si>
    <t>00367</t>
  </si>
  <si>
    <t>1914_12_16_17_18</t>
  </si>
  <si>
    <t>32044150448892_001, 32044150448892_002, 32044150448892_003, 32044150448892_004, 32044150448892_005, 32044150448892_006, 32044150448892_007, 32044150448892_008, 32044150448892_009, 32044150448892_010, 32044150448892_011, 32044150448892_012, 32044150448892_013, 32044150448892_014, 32044150448892_015, 32044150448892_016, 32044150448892_017, 32044150448892_018, 32044150448892_019, 32044150448892_020, 32044150448892_021, 32044150448892_022, 32044150448892_023, 32044150448892_024</t>
  </si>
  <si>
    <t>332-345</t>
  </si>
  <si>
    <t>1914-108</t>
  </si>
  <si>
    <t>2020/08/13</t>
  </si>
  <si>
    <t>00368</t>
  </si>
  <si>
    <t>1914_12_29</t>
  </si>
  <si>
    <t>32044150448892_025, 32044150448892_026, 32044150448892_027, 32044150448892_028, 32044150448892_029, 32044150448892_030, 32044150448892_031, 32044150448892_032</t>
  </si>
  <si>
    <t>346-349</t>
  </si>
  <si>
    <t>1914-110</t>
  </si>
  <si>
    <t>Page missing in between p. 6 and p. 7?</t>
  </si>
  <si>
    <t>2020/07/24</t>
  </si>
  <si>
    <t>00369</t>
  </si>
  <si>
    <t>1914_01_07</t>
  </si>
  <si>
    <t>32044150448900_001</t>
  </si>
  <si>
    <t>33 East 36th Street New York</t>
  </si>
  <si>
    <t>1914?</t>
  </si>
  <si>
    <t>00370</t>
  </si>
  <si>
    <t>1914_UNDATED_01</t>
  </si>
  <si>
    <t>32044150448900_002, 32044150448900_003, 32044150448900_004, 32044150448900_005, 32044150448900_006, 32044150448900_007, 32044150448900_008, 32044150448900_009, 32044150448900_010, 32044150448900_011, 32044150448900_012, 32044150448900_013</t>
  </si>
  <si>
    <t>351-356</t>
  </si>
  <si>
    <t>2020/0729</t>
  </si>
  <si>
    <t>00371</t>
  </si>
  <si>
    <t>1914_UNDATED_02</t>
  </si>
  <si>
    <t>32044150448900_014, 32044150448900_015, 32044150448900_016, 32044150448900_017, 32044150448900_018, 32044150448900_019, 32044150448900_020, 32044150448900_021, 32044150448900_022, 32044150448900_023, 32044150448900_024, 32044150448900_025, 32044150448900_026, 32044150448900_027, 32044150448900_028, 32044150448900_029, 32044150448900_030, 32044150448900_031, 32044150448900_032, 32044150448900_033</t>
  </si>
  <si>
    <t>357-366</t>
  </si>
  <si>
    <t>1914-1</t>
  </si>
  <si>
    <t>Sleeper (?); Jones, Andrew (?); Seligmann, Jacques; Fields, Annie Adams; Morgan, J. Pierpont; Teevelt, Sarah Asure (?); Greenslet, Ferris; Miss Norris (?); Dillingham (?); McVoy, Martin (?); Morgan, Henry Sturgis; Ingraham; George, Jannis (?); Kennerly, Mitchell</t>
  </si>
  <si>
    <t>Johns Hopkins University; early French and Italian troubadour poetry; Christmas gifts to BG; The Boer War</t>
  </si>
  <si>
    <t>2020/07/29</t>
  </si>
  <si>
    <t>00372</t>
  </si>
  <si>
    <t>1914_UNDATED_03</t>
  </si>
  <si>
    <t>32044150448900_034, 32044150448900_035</t>
  </si>
  <si>
    <t>MR MORGAN'S LIBRARY NEW YORK</t>
  </si>
  <si>
    <t>1914-2</t>
  </si>
  <si>
    <t>Wilson, Maya</t>
  </si>
  <si>
    <t>2020/07/30</t>
  </si>
  <si>
    <t>00373</t>
  </si>
  <si>
    <t>1914_UNDATED_04</t>
  </si>
  <si>
    <t>32044150448900_036, 32044150448900_037, 32044150448900_038, 32044150448900_039, 32044150448900_040, 32044150448900_041, 32044150448900_042, 32044150448900_043</t>
  </si>
  <si>
    <t>1914-3</t>
  </si>
  <si>
    <t>00374</t>
  </si>
  <si>
    <t>1914_UNDATED_05</t>
  </si>
  <si>
    <t>32044150448900_044, 32044150448900_045, 32044150448900_046, 32044150448900_047</t>
  </si>
  <si>
    <t>1914-4</t>
  </si>
  <si>
    <t>00375</t>
  </si>
  <si>
    <t>1915_01_10_11</t>
  </si>
  <si>
    <t>32044150448793_001, 32044150448793_002, 32044150448793_003, 
32044150448793_004, 32044150448793_005, 32044150448793_006, 32044150448793_007, 32044150448793_008, 32044150448793_009, 32044150448793_010, 32044150448793_011, 32044150448793_012, 32044150448793_013</t>
  </si>
  <si>
    <t>374–380</t>
  </si>
  <si>
    <t>1915-1</t>
  </si>
  <si>
    <t>Murray, Charles Fairfax; Duveens; Morgan, Jack; Duveen, Henry; Gorer, Edgar; Gardner, Isabella Stewart; Knoedler, Roland; Bourgeois, Stephan; Widener, Joseph</t>
  </si>
  <si>
    <t>art dealing; Chinese art; library work; personal collections; cultural institutions; Spanish art; Italian art; paintings; English literature; BG's art collection</t>
  </si>
  <si>
    <t>Appraising JPM art collection; BG quarrell with Fairfax Murray; JPM collection of Chinese porcelains; Duveen buisness practices; red vases in library (not sold to Duveens); JPM tapestry collection; JPM furniture collection; Metropolitan Museum of Art bequest; Wadsworth Athenaeum bequest; Velazquez portrait; Giovanni Bellini; Knoedler exhibtiion of El Greco and Goya; Yamanaka &amp; Co.; Sung plates; Kuan-Yin head (Head of a Bodhisattva, Metropolitan Museum, 14.50?); York and Chester Cycles of Miracle Plays; Fragonard room (Frick)</t>
  </si>
  <si>
    <t>2020/11/02</t>
  </si>
  <si>
    <t>2020/11/09</t>
  </si>
  <si>
    <t>00376</t>
  </si>
  <si>
    <t>1915_01_15</t>
  </si>
  <si>
    <t>32044150448918_014, 32044150448918_015, 32044150448918_016, 32044150448918_017, 32044150448918_018, 32044150448918_019, 32044150448918_020</t>
  </si>
  <si>
    <t>381–384</t>
  </si>
  <si>
    <t>1915-2</t>
  </si>
  <si>
    <t>Images out of order</t>
  </si>
  <si>
    <t>Valentiner, Wilhelm; von Bode, Wilhelm; Duveens; Marquis di Campo/Duke di Monterana; Wildenstein, Georges; Morgan, Jane Grew; Morgan, Jack</t>
  </si>
  <si>
    <t>scholarship; Italian art; art dealing; Persian art</t>
  </si>
  <si>
    <r>
      <rPr>
        <rFont val="Times New Roman"/>
        <i/>
        <color theme="1"/>
        <sz val="12.0"/>
      </rPr>
      <t>Art in America</t>
    </r>
    <r>
      <rPr>
        <rFont val="Times New Roman"/>
        <color theme="1"/>
        <sz val="12.0"/>
      </rPr>
      <t>; Antonio Vivarini (Frick, now Lazzaro Bastiani, Adoration of the Magi, 1935.1.130); Chinese porcelain deal with the Duveens; JPM's Fragonard room (Jean-Honoré Fragonard); JPM's XVIIIth cen. furniture collection; Antonello da Messina; Persian Bestiary; Saturnino Gatti, Translation of the Holy House of Loreto (Metropolitan, 1973.319); painting conservation; transfer from panel to canvas; BG relationship with Duveens; BB relationship with Duveens</t>
    </r>
  </si>
  <si>
    <t>00377</t>
  </si>
  <si>
    <t>1915_01_27</t>
  </si>
  <si>
    <t>32044150448918_021, 32044150448918_022, 32044150448918_023, 32044150448918_024, 32044150448918_025, 32044150448918_026, 32044150448918_027, 32044150448918_028, 32044150448918_029, 32044150448918_030, 32044150448918_031, 32044150448918_032, 32044150448918_033, 32044150448918_034, 32044150448918_035, 32044150448918_036, 32044150448918_037, 32044150448918_038, 32044150448918_039</t>
  </si>
  <si>
    <t>385–403</t>
  </si>
  <si>
    <t>1915-3</t>
  </si>
  <si>
    <t>Wildenstein, Georges; Guilfel, Renée; Kneadley, Harvey; Duveens; Marbury, Elisabeth (Bessie); De Wolfe, Elsie; Frick, Henry Clay; Widener, Eleanor Elkins; Morgan, Anne (Annie); Morgan, J. Pierpont, Jr.; Mrs. Rolex (?); Mr. and Mrs. Albert Spaulding; Johnson, Esther; Gardener, Isabella; Lawlor, Lillie; Mrs. P.C. Huntington (?); Wright, Hamilton; Caruso, Enrico; Toscanini, Arturo; Sembrich, Marcella; Scatti (opera singer?)</t>
  </si>
  <si>
    <t>art dealing; paintings; Spanish art; Italian art; current events; BG's social world; music</t>
  </si>
  <si>
    <t>François Boucher, Diego Velazques; Giovanni Bellini; porcelain; tapestry; Fragonard room; French furniture of the Duke of Devonshire; Beauvois tapestry; La Marseillaise; Strand Theatre in Manhattan</t>
  </si>
  <si>
    <t>2020/11/16</t>
  </si>
  <si>
    <t>2020/11/20</t>
  </si>
  <si>
    <t>00378</t>
  </si>
  <si>
    <t>1915_01_29</t>
  </si>
  <si>
    <t>32044150448918_040, 32044150448918_041, 32044150448918_042, 32044150448918_043, 32044150448918_044, 32044150448918_045, 32044150448918_046, 32044150448918_047, 32044150448918_048, 32044150448918_049</t>
  </si>
  <si>
    <t>404-408</t>
  </si>
  <si>
    <t>1915-4</t>
  </si>
  <si>
    <t>Frick, Henry Clay; Morgan, J. Pierpont; Wertheimer, Jacques; Morgan, Jane Grew; Allom, Sir Charles; De Wolfe, Elsie; Mansfield, Howard; Granville-Barker, Harley; Uncle Henry (?); Widener, Eleanor Elkins; Widener, Joseph E.; Knoedler, Agnes; Freer, Charles Lang; Wharton, Edith; James, Henry</t>
  </si>
  <si>
    <t>BG's social world; art dealing; personal collections; Dutch art; Spanish art; decorative arts; Chinese art; Japanese art; sculpture; modern art; French art; literature; French literature; British literature; BG's travel</t>
  </si>
  <si>
    <r>
      <rPr>
        <rFont val="Times New Roman"/>
        <color theme="1"/>
        <sz val="12.0"/>
      </rPr>
      <t xml:space="preserve">The Lenox Library; Johannes Vermeer; El Greco; </t>
    </r>
    <r>
      <rPr>
        <rFont val="Times New Roman"/>
        <i/>
        <color theme="1"/>
        <sz val="12.0"/>
      </rPr>
      <t>Portait of Georgiana, Duchess of Devonshire</t>
    </r>
    <r>
      <rPr>
        <rFont val="Times New Roman"/>
        <color theme="1"/>
        <sz val="12.0"/>
      </rPr>
      <t xml:space="preserve"> (The Gainsborough Lady); Francisco José de Goya; James Abbott McNeill Whistler; M. Knoedler &amp; Co.; Chinese Chippendale furniture; </t>
    </r>
    <r>
      <rPr>
        <rFont val="Times New Roman"/>
        <i/>
        <color theme="1"/>
        <sz val="12.0"/>
      </rPr>
      <t>Androcles and the Lion</t>
    </r>
    <r>
      <rPr>
        <rFont val="Times New Roman"/>
        <color theme="1"/>
        <sz val="12.0"/>
      </rPr>
      <t xml:space="preserve">; Japanese bronzes; Chinese porcelain; Rose Du Barry; Rembrandt; </t>
    </r>
    <r>
      <rPr>
        <rFont val="Times New Roman"/>
        <i/>
        <color theme="1"/>
        <sz val="12.0"/>
      </rPr>
      <t xml:space="preserve">The Polish Rider; </t>
    </r>
    <r>
      <rPr>
        <rFont val="Times New Roman"/>
        <color theme="1"/>
        <sz val="12.0"/>
      </rPr>
      <t xml:space="preserve">Chinese painting; Henri Matisse; </t>
    </r>
    <r>
      <rPr>
        <rFont val="Times New Roman"/>
        <i/>
        <color theme="1"/>
        <sz val="12.0"/>
      </rPr>
      <t>Appearances;</t>
    </r>
    <r>
      <rPr>
        <rFont val="Times New Roman"/>
        <color theme="1"/>
        <sz val="12.0"/>
      </rPr>
      <t xml:space="preserve"> Goldsworthy Lowes Dickinson; François Rabelais; </t>
    </r>
    <r>
      <rPr>
        <rFont val="Times New Roman"/>
        <i/>
        <color theme="1"/>
        <sz val="12.0"/>
      </rPr>
      <t xml:space="preserve">Alice in Wonderland; The Bible; Le Livre des Mille Nuits et une Nuit </t>
    </r>
    <r>
      <rPr>
        <rFont val="Times New Roman"/>
        <color theme="1"/>
        <sz val="12.0"/>
      </rPr>
      <t xml:space="preserve">(Mille Nuits); </t>
    </r>
    <r>
      <rPr>
        <rFont val="Times New Roman"/>
        <i/>
        <color theme="1"/>
        <sz val="12.0"/>
      </rPr>
      <t xml:space="preserve">York &amp; Chester Cycles of Miracle Plays </t>
    </r>
    <r>
      <rPr>
        <rFont val="Times New Roman"/>
        <color theme="1"/>
        <sz val="12.0"/>
      </rPr>
      <t>(The Miracle Plays);Giacomo Casanova</t>
    </r>
  </si>
  <si>
    <t>2020/11/24</t>
  </si>
  <si>
    <t>2020/11/27</t>
  </si>
  <si>
    <t>00379</t>
  </si>
  <si>
    <t>1915_02_03_05</t>
  </si>
  <si>
    <t>32044150448926_001, 32044150448926_002, 32044150448926_003, 32044150448926_004, 32044150448926_005, 32044150448926_006, 32044150448926_007, 32044150448926_008, 32044150448926_009, 32044150448926_010, 32044150448926_011, 32044150448926_012</t>
  </si>
  <si>
    <t>Copley-Plaza Dartmouth Street – Trinity Place – Copley Square  Boston Massachusetts</t>
  </si>
  <si>
    <t>409–414</t>
  </si>
  <si>
    <t>1915-5</t>
  </si>
  <si>
    <t>Lowell, Amy; Crams; Post, Chandler Rathfon; Wetzel, Harvey E.; Dexter, Josephine Moore (Mrs. Wirt Dexter);  Gardener, Isabella; Evans; Youmamaka (art dealer?); Morgan, J. Pierpont, Jr.; Mr. Lodge (?); Kershaw (?); King, Basil; Hill, L. David; Moïse (?); Sharp (?); Widener, Harry Elkins; Moore, Charles; Forbes, Edward W.; Sachs, Paul J.; Copeland, George; Hale, Philip; Levinburne (?); Duveens; Henry, Chuck; Frick, Henry Clay; De Wolfe, Elsie; Allom, Sir Charles; Read, Charles Hercules; Murray, Charles Fairfax; Morgan, Jane Grew; Morgan, Frances Louisa Tracy; Thurston, Ada</t>
  </si>
  <si>
    <t>BG's social world; current events; race and ethnicity; cultural institutions; Chinese art; music; personal collections; decorative arts</t>
  </si>
  <si>
    <r>
      <rPr>
        <rFont val="Times New Roman"/>
        <color theme="1"/>
        <sz val="12.0"/>
      </rPr>
      <t xml:space="preserve">The Chilton Club; Kuan-Yin; Lo-Han; Chinese painting; Kua-Yuan; Hain-Kuan; jades; bronzes; Sung porcelain; Han pottery; Chinese porcelain; Ming porcelain; Kang-Hsi porcelain; Widener Library; Sampson Building (?); Fogg Museum; Alteman trustee; Samuel Taylor Coleridge; </t>
    </r>
    <r>
      <rPr>
        <rFont val="Times New Roman"/>
        <i/>
        <color theme="1"/>
        <sz val="12.0"/>
      </rPr>
      <t>Berceuse Heroique</t>
    </r>
    <r>
      <rPr>
        <rFont val="Times New Roman"/>
        <color theme="1"/>
        <sz val="12.0"/>
      </rPr>
      <t xml:space="preserve">; Calude Debussy; King Albert of Belgium; </t>
    </r>
    <r>
      <rPr>
        <rFont val="Times New Roman"/>
        <i/>
        <color theme="1"/>
        <sz val="12.0"/>
      </rPr>
      <t>Après-midi d'un feune</t>
    </r>
    <r>
      <rPr>
        <rFont val="Times New Roman"/>
        <color theme="1"/>
        <sz val="12.0"/>
      </rPr>
      <t>; The Fragonard Room; The British Museum (B. Museum)</t>
    </r>
  </si>
  <si>
    <t>2020/12/02</t>
  </si>
  <si>
    <t>2020/12/6</t>
  </si>
  <si>
    <t>00380</t>
  </si>
  <si>
    <t>1915_02_15</t>
  </si>
  <si>
    <t>32044150448926_013, 32044150448926_014, 32044150448926_015, 32044150448926_016, 32044150448926_017, 32044150448926_018, 32044150448926_019, 32044150448926_020, 32044150448926_021, 32044150448926_022, 32044150448926_023, 32044150448926_024, 32044150448926_025, 32044150448926_026, 32044150448926_027, 32044150448926_028, 32044150448926_029, 32044150448926_030, 32044150448926_031, 32044150448926_032, 32044150448926_033, 32044150448926_034, 32044150448926_035, 32044150448926_036, 32044150448926_037, 32044150448926_038, 32044150448926_039, 32044150448926_040, 32044150448926_041, 32044150448926_042</t>
  </si>
  <si>
    <t>415–429</t>
  </si>
  <si>
    <t>1915-6</t>
  </si>
  <si>
    <t>Morgan, J. Pierpont, Jr.; Sully (?); Duveen, Henry; Duveen, Joseph; Frick, Henry Clay; Rockefeller, John D.; Knoedler, Ronald; Glaenzer, Eugene; Sirén, Osvald; Murray, Charles Fairfax; Agnew, William Lockett; Read, Charles Hercules; Volpi, Elia Morgan, J. Pierpont; Morgan, Junius Spencer; Ellsworth ?; Halsey, Frederic R.; Granville-Barker, Harley; Wetzel, Harvey E.; Ross (maybe: Ross, Denman); Meyer, Agnes</t>
  </si>
  <si>
    <r>
      <rPr>
        <rFont val="Times New Roman"/>
        <color theme="1"/>
        <sz val="12.0"/>
      </rPr>
      <t xml:space="preserve">politics; </t>
    </r>
    <r>
      <rPr>
        <rFont val="Times New Roman"/>
        <b/>
        <color theme="1"/>
        <sz val="12.0"/>
      </rPr>
      <t>library work</t>
    </r>
    <r>
      <rPr>
        <rFont val="Times New Roman"/>
        <color theme="1"/>
        <sz val="12.0"/>
      </rPr>
      <t xml:space="preserve">; personal collections; art dealing; decorative arts; French art; paintings; Italian art; literature; British literature; French literature; </t>
    </r>
    <r>
      <rPr>
        <rFont val="Times New Roman"/>
        <b/>
        <color theme="1"/>
        <sz val="12.0"/>
      </rPr>
      <t>Russian literature</t>
    </r>
    <r>
      <rPr>
        <rFont val="Times New Roman"/>
        <color theme="1"/>
        <sz val="12.0"/>
      </rPr>
      <t>; cultural institutions</t>
    </r>
  </si>
  <si>
    <t>Women's suffrage; selling JPM art collection through Duveens; Fragonard Room (Frick Collection); JPM Chinese porcelain collection; New York Times; JPM eighteenth-century collection; Metropolitan Museum of Art; art market; BG gift of paperweight to Jack; Benvenuto Cellini; Murray-Berenson relationship; Paris; exchange of photographs; Giovanni Bellini; Saturnino Gatti, The Translation of the Holy House of Loreto (Metropolitan, 1973.319); Metropolitan Museum of Art; paintings conservation; Raphael, Madonna and Child; Filippo Lippi, Saint Lawrence Enthroned with Saints and Donors (Metropolitan, 35.31a-c); BG relationship with Jack; stock in US Steel; opera; Florence; Halsey collection; Rembrandt painting; Shakespeare, A Midsummer Night's Dream; Léon Bakst; Dmitry Merezhkovsky, The Death of the Gods; Dmitry Merezhkovsky, Leonardo da Vinci, The Resurrection of the Gods; Boston; Museum of Fine Arts, Boston</t>
  </si>
  <si>
    <t>2020/12/7</t>
  </si>
  <si>
    <t>2020/12/11</t>
  </si>
  <si>
    <t>00381</t>
  </si>
  <si>
    <t>1915_02_19</t>
  </si>
  <si>
    <t>32044150448926_043, 32044150448926_044</t>
  </si>
  <si>
    <t>1915-8</t>
  </si>
  <si>
    <t>Frick, Henry Clay; Duveens</t>
  </si>
  <si>
    <t>art dealing; personal collections</t>
  </si>
  <si>
    <t>The Fragonard Room</t>
  </si>
  <si>
    <t>2020/12/14</t>
  </si>
  <si>
    <t>00382</t>
  </si>
  <si>
    <t>1915_02_26</t>
  </si>
  <si>
    <t>32044150448926_045, 32044150448926_046, 32044150448926_047, 32044150448926_048, 32044150448926_049, 32044150448926_050, 32044150448926_051, 32044150448926_052, 32044150448926_053, 32044150448926_054, 32044150448926_055, 32044150448926_056, 32044150448926_057, 32044150448926_058, 32044150448926_059</t>
  </si>
  <si>
    <t>431–445</t>
  </si>
  <si>
    <t>1915-7</t>
  </si>
  <si>
    <t>Duveens; Knoedler (?); Frick, Henry Clay; Robinson, Edward; Morgan, J. Pierpont, Jr.; Spaulding, Elizabeth (?); Ellsworth (?); Gardener, Isabella; Wetzel, Harvey E.; Cram, Elizabeth Carrington Read; Eugene, Meyer; Kraftmeier, E. A. (?); Fernand, Charles, Sir; Asgmith (?); Krupps</t>
  </si>
  <si>
    <r>
      <rPr>
        <rFont val="Times New Roman"/>
        <color theme="1"/>
        <sz val="12.0"/>
      </rPr>
      <t xml:space="preserve">art dealing; </t>
    </r>
    <r>
      <rPr>
        <rFont val="Times New Roman"/>
        <b/>
        <color theme="1"/>
        <sz val="12.0"/>
      </rPr>
      <t>library work</t>
    </r>
    <r>
      <rPr>
        <rFont val="Times New Roman"/>
        <color theme="1"/>
        <sz val="12.0"/>
      </rPr>
      <t>; French art; Chinese art; Persian art</t>
    </r>
  </si>
  <si>
    <t>The Fragonard Room; 18th century French art; Chinese porcelain; Persian art; Giovanni Bellini</t>
  </si>
  <si>
    <t>00383</t>
  </si>
  <si>
    <t>1915_03_03</t>
  </si>
  <si>
    <t>32044150448934_001, 32044150448934_002, 32044150448934_003, 32044150448934_004, 32044150448934_005, 32044150448934_006, 32044150448934_007, 32044150448934_008, 32044150448934_009, 32044150448934_010</t>
  </si>
  <si>
    <t>The Library of J. Pierpont Morgan Thirty-three East Thirty-sixth Street New York</t>
  </si>
  <si>
    <t>446–450</t>
  </si>
  <si>
    <t>1915-9</t>
  </si>
  <si>
    <t>Duveen, Joseph; Morgan, J. Pierpont, Jr.; Frick, Henry Clay; Knoedler (?);  Carstairs (?);  Morgan, J. Pierpont; Meyer-Rieptahl (?); Read, Charles Hercules; Freer, Charles Lang; Ferguson, John C.; Wetzel, Harvey E.; Yamanaka, Sadjiro</t>
  </si>
  <si>
    <r>
      <rPr>
        <rFont val="Times New Roman"/>
        <color theme="1"/>
        <sz val="12.0"/>
      </rPr>
      <t xml:space="preserve">Italian art; art dealing; British art; French art; personal collections; scholarship; cultural institutions; current events; Persian art; </t>
    </r>
    <r>
      <rPr>
        <rFont val="Times New Roman"/>
        <b/>
        <color theme="1"/>
        <sz val="12.0"/>
      </rPr>
      <t>library work</t>
    </r>
    <r>
      <rPr>
        <rFont val="Times New Roman"/>
        <color theme="1"/>
        <sz val="12.0"/>
      </rPr>
      <t>; BG's art collection; Chinese art</t>
    </r>
  </si>
  <si>
    <r>
      <rPr>
        <rFont val="Times New Roman"/>
        <color theme="1"/>
        <sz val="12.0"/>
      </rPr>
      <t xml:space="preserve">Antonella da Messina; Jean-Honoré Fragonard; Giovanni Bellini; porcelain; </t>
    </r>
    <r>
      <rPr>
        <rFont val="Times New Roman"/>
        <i/>
        <color theme="1"/>
        <sz val="12.0"/>
      </rPr>
      <t>The Sunday Times</t>
    </r>
    <r>
      <rPr>
        <rFont val="Times New Roman"/>
        <color theme="1"/>
        <sz val="12.0"/>
      </rPr>
      <t xml:space="preserve">; Persian manuscripts; Chinese painting; Song Dynasty; </t>
    </r>
    <r>
      <rPr>
        <rFont val="Times New Roman"/>
        <i/>
        <color theme="1"/>
        <sz val="12.0"/>
      </rPr>
      <t>Wang Chu'an Villa</t>
    </r>
    <r>
      <rPr>
        <rFont val="Times New Roman"/>
        <color theme="1"/>
        <sz val="12.0"/>
      </rPr>
      <t>; Wang Wei; Ku Kai Chi; Kuan-Yin; The Cleveland Museum; Pedanius Dioscorides; Persian plates;</t>
    </r>
  </si>
  <si>
    <t>2020/12/15</t>
  </si>
  <si>
    <t>2020/12/16</t>
  </si>
  <si>
    <t>00384</t>
  </si>
  <si>
    <t>1915_03_05</t>
  </si>
  <si>
    <t>32044150448934_011, 32044150448934_012, 32044150448934_013, 32044150448934_014</t>
  </si>
  <si>
    <t>451–452</t>
  </si>
  <si>
    <t>1915-10</t>
  </si>
  <si>
    <t>", 1915" written by BB</t>
  </si>
  <si>
    <t>Meyer-Riefstahl, Rudolph; Harvey, Theodora; Yamanaka, Sadjiro; Morgan, J. Pierpont, Jr.</t>
  </si>
  <si>
    <t>Chinese art; BG's art collection; cultural institutions; Italian art</t>
  </si>
  <si>
    <t>Han Dynasty jade disc; Tang Dynasty Kuan-Yin stone bead; The Fogg Art Museum; Apinello Aretino; Bernardo Daddi</t>
  </si>
  <si>
    <t>2020/12/17</t>
  </si>
  <si>
    <t>00385</t>
  </si>
  <si>
    <t>1915_03_25</t>
  </si>
  <si>
    <t>32044150448934_015, 32044150448934_016, 32044150448934_017, 32044150448934_018, 32044150448934_019, 32044150448934_020, 32044150448934_021, 32044150448934_022, 32044150448934_023, 32044150448934_024</t>
  </si>
  <si>
    <t>453–460</t>
  </si>
  <si>
    <t>1915-11</t>
  </si>
  <si>
    <t>Morgan, J. Pierpont, Jr.; Duveens; Lihgmann (?); Read, Charles Hercules; Murray, Charles Fairfax; Uncle Henry (?); Freer, Charles Lang; Mrs. Henemeyer (?); Mrs. Lebmann (?); Mrs. Mansfield (?); Mrs. Peters (?); Wetzel, Harvey E.; Ross, Denman; Gardener, Isabella; Berenson, Mary</t>
  </si>
  <si>
    <r>
      <rPr>
        <rFont val="Times New Roman"/>
        <b/>
        <color theme="1"/>
        <sz val="12.0"/>
      </rPr>
      <t>library work</t>
    </r>
    <r>
      <rPr>
        <rFont val="Times New Roman"/>
        <color theme="1"/>
        <sz val="12.0"/>
      </rPr>
      <t>; personal collections; BG's travel; Chinese art; Persian art; Italian art</t>
    </r>
  </si>
  <si>
    <t>furniture; clocks; candelabra; Oriental art; early Chinese art; early Persian manuscripts; pottery; rugs; Persian books; Cufic writings; small bronzes; Giovanni Bellini; Marquis Castelbarco collection in Milan; Antonio Canova; Mélanie de Pourtalès; Andrea del Castagno; Limoges porcelain; RMS Lusitania</t>
  </si>
  <si>
    <t>2020/12/28</t>
  </si>
  <si>
    <t>00386</t>
  </si>
  <si>
    <t>1915_04_20_26_27</t>
  </si>
  <si>
    <t>32044150448934_025, 32044150448934_026, 32044150448934_027, 32044150448934_028, 32044150448934_029, 32044150448934_030, 32044150448934_031, 32044150448934_032, 32044150448934_033, 32044150448934_034, 32044150448934_035</t>
  </si>
  <si>
    <t>461–466</t>
  </si>
  <si>
    <t>1915-12</t>
  </si>
  <si>
    <t>Loo, C.T.; Ross, Denman; Wetzel, Harvey E.; Mr. Peters (?); Breck, Joseph; Frick, Henry Clay; Sterne, Maurice; Mrs. Romison (?); Misses Heints (?); Mrs. Dydig (?); Mrs. Whitney; Meyer-Rieptahl (?); Duveens; Freer, Charles; Read, Charles; Bell, Hamilton; Blumenthal, George; Meyer, Agnes; Thurston, Ada; Satterlee, Herbert Livingston; Berenson, Mary</t>
  </si>
  <si>
    <t>paintings; Chinese art; personal collections; Italian art; scholarship; race and ethnicity; images of BG; BG's social world; art dealing; Persian art; library work</t>
  </si>
  <si>
    <r>
      <rPr>
        <rFont val="Times New Roman"/>
        <i/>
        <color theme="1"/>
        <sz val="12.0"/>
      </rPr>
      <t xml:space="preserve">Palace Ladies; </t>
    </r>
    <r>
      <rPr>
        <rFont val="Times New Roman"/>
        <color theme="1"/>
        <sz val="12.0"/>
      </rPr>
      <t xml:space="preserve">Han Kan scroll of horses and attendants; Oriental art; Khalounish (?) art; Han/Tang/Sung pottery; Antonio Vivarini; </t>
    </r>
    <r>
      <rPr>
        <rFont val="Times New Roman"/>
        <i/>
        <color theme="1"/>
        <sz val="12.0"/>
      </rPr>
      <t>Art in America</t>
    </r>
    <r>
      <rPr>
        <rFont val="Times New Roman"/>
        <color theme="1"/>
        <sz val="12.0"/>
      </rPr>
      <t>; François Villon; Hokon's (?) book on Chinese pottery/porcelain; The Burlington Chinese Show; Goloubev collection; Persian miniatures; bestiary; RMS Lusitania</t>
    </r>
  </si>
  <si>
    <t>2021/1/4</t>
  </si>
  <si>
    <t>00387</t>
  </si>
  <si>
    <t>1915_UNDATED_01</t>
  </si>
  <si>
    <t>32044150448934_036, 32044150448934_037, 32044150448934_038, 32044150448934_039, 32044150448934_040, 32044150448934_041, 32044150448934_042, 32044150448934_043, 32044150448934_044</t>
  </si>
  <si>
    <t>466–473</t>
  </si>
  <si>
    <t>1915-?</t>
  </si>
  <si>
    <t>Bishop Coutourier (?); Ceretti (?); Hyvernat, Henri; Samuels (?)</t>
  </si>
  <si>
    <t>Chinese art; Greco-Roman art; Italian art; Byzantine art; Persian art; personal collections; cultural institutions</t>
  </si>
  <si>
    <t>Chinese art; Greek art; Gothic art; Italian art; Byzantine art; Byzantine silks; Persian carpets and textiles; Santa Cecilia (Caecilia?); Pietro Cavallini; The Stein Collection at The British Museum</t>
  </si>
  <si>
    <t>2021/1/5</t>
  </si>
  <si>
    <t>00388</t>
  </si>
  <si>
    <t>1915_05_14</t>
  </si>
  <si>
    <t>32044150448942_001, 32044150448942_002, 32044150448942_003, 32044150448942_004</t>
  </si>
  <si>
    <t>475–476</t>
  </si>
  <si>
    <t>1915-14</t>
  </si>
  <si>
    <t>Duveen, Joseph; Morgan, J. Pierpont, Jr.; Meyer, Agnes; Meyer, Eugene; Lane, Hugh; Forman (?); Frick, Henry Clay; Oakley, Ethel Alice Greener; Berenson, Mary</t>
  </si>
  <si>
    <t>current events; politics; Italian art; scholarship; BG's social world; paintings; race and ethnicity</t>
  </si>
  <si>
    <r>
      <rPr>
        <rFont val="Times New Roman"/>
        <color theme="1"/>
        <sz val="12.0"/>
      </rPr>
      <t xml:space="preserve">RMS Lusitania; WWI; Theodore Roosevelt; President Woodrow Wilson; Piero dells Francesca; </t>
    </r>
    <r>
      <rPr>
        <rFont val="Times New Roman"/>
        <i/>
        <color theme="1"/>
        <sz val="12.0"/>
      </rPr>
      <t xml:space="preserve">Catalogue of the Blakeslee Collection of Valuable Paintings; </t>
    </r>
    <r>
      <rPr>
        <rFont val="Times New Roman"/>
        <color theme="1"/>
        <sz val="12.0"/>
      </rPr>
      <t>Giovanni Bellini</t>
    </r>
  </si>
  <si>
    <t>2021/1/6</t>
  </si>
  <si>
    <t>00389</t>
  </si>
  <si>
    <t>1915_05_28</t>
  </si>
  <si>
    <t>32044150448942_007, 32044150448942_008, 32044150448942_009, 32044150448942_010, 32044150448942_011, 32044150448942_012</t>
  </si>
  <si>
    <t>477–479</t>
  </si>
  <si>
    <t>1915-15</t>
  </si>
  <si>
    <t>Frick, Henry Clay; Calnaghi (?); Knoedler (?); Meyer, Eugene; Sherman, Frederic Fairchild</t>
  </si>
  <si>
    <t>Italian art; scholarship</t>
  </si>
  <si>
    <r>
      <rPr>
        <rFont val="Times New Roman"/>
        <color theme="1"/>
        <sz val="12.0"/>
      </rPr>
      <t xml:space="preserve">Giovanni Bellini; St. Francis; </t>
    </r>
    <r>
      <rPr>
        <rFont val="Times New Roman"/>
        <i/>
        <color theme="1"/>
        <sz val="12.0"/>
      </rPr>
      <t>Art in America</t>
    </r>
    <r>
      <rPr>
        <rFont val="Times New Roman"/>
        <color theme="1"/>
        <sz val="12.0"/>
      </rPr>
      <t>; BG town house address</t>
    </r>
  </si>
  <si>
    <t>2021/1/7</t>
  </si>
  <si>
    <t>00390</t>
  </si>
  <si>
    <t>1915_07_02_12</t>
  </si>
  <si>
    <t>32044150448942_013, 32044150448942_014, 32044150448942_015, 32044150448942_016, 32044150448942_017, 32044150448942_018, 32044150448942_019, 32044150448942_020, 32044150448942_021, 32044150448942_022, 32044150448942_023, 32044150448942_024, 32044150448942_025, 32044150448942_026</t>
  </si>
  <si>
    <t>SEA GATE NEW YORK HARBOUR</t>
  </si>
  <si>
    <t>Sea Gate, New York</t>
  </si>
  <si>
    <t>480–486</t>
  </si>
  <si>
    <t>1915-16</t>
  </si>
  <si>
    <t>Thurston, Ada; Morgan, Jack; Meyer, Julius P.; Armour, Allison; Mott, Katherine; Duveens; Greene, Genevieve Ida Van Vliet Fleet; Oakley, Ethel Alice Greene; Greene, Russell De Costa; Meyer-Riefstahl, Rudolph; Breck, Joseph; Wetzel, Harvey E.; Murray, Charles Fairfax; Kennerly, Mitchell; Meyer, Eugene; Meyer, Agnes</t>
  </si>
  <si>
    <t>current events; race and ethnicity; Italian art; paintings; cultural institutions; scholarship; Medieval and Renaissance manuscripts</t>
  </si>
  <si>
    <r>
      <rPr>
        <rFont val="Times New Roman"/>
        <color theme="1"/>
        <sz val="12.0"/>
      </rPr>
      <t xml:space="preserve">BG relationship with Jack and JPM; assassination attempt on Jack by Eric Muenter; sinking of the Minnehaha; Wilhelm II; Invasion of Belgium and Louvain; RMS Lusitania; Saturnino Gatti; Piero della Francesca; BG moving apartments; BG not being "in funds"; Ethel Greene as "quasi-blonde""; wedding of Ethel Greene; BG financial responsibility for family; BG relationship with brother; The Cooper Institute; Coptic and Sasanian textiles; </t>
    </r>
    <r>
      <rPr>
        <rFont val="Times New Roman"/>
        <i/>
        <color theme="1"/>
        <sz val="12.0"/>
      </rPr>
      <t>Art in America</t>
    </r>
    <r>
      <rPr>
        <rFont val="Times New Roman"/>
        <color theme="1"/>
        <sz val="12.0"/>
      </rPr>
      <t>; purchase of Kufic manuscripts from Meyer-Reifstahl; Minneapolis Institute; rumours of affair between Joseph Breck and Harvey Wetzel; rumours of BG being a lesbian; investing in Chile Copper; Eugene Meyer investing BG savings on her behalf; divesting US Steel stock</t>
    </r>
  </si>
  <si>
    <t>2021/1/8</t>
  </si>
  <si>
    <t>2021/1/9</t>
  </si>
  <si>
    <t>00391</t>
  </si>
  <si>
    <t>1915_UNTITLED_01</t>
  </si>
  <si>
    <t>32044150448942_005, 32044150448942_006</t>
  </si>
  <si>
    <t>1915-13</t>
  </si>
  <si>
    <t>Telegram</t>
  </si>
  <si>
    <r>
      <rPr>
        <rFont val="Times New Roman"/>
        <color theme="1"/>
        <sz val="12.0"/>
      </rPr>
      <t xml:space="preserve">BG's travel; </t>
    </r>
    <r>
      <rPr>
        <rFont val="Times New Roman"/>
        <color theme="1"/>
        <sz val="12.0"/>
      </rPr>
      <t>library work</t>
    </r>
    <r>
      <rPr>
        <rFont val="Times New Roman"/>
        <color theme="1"/>
        <sz val="12.0"/>
      </rPr>
      <t>; art dealing; personal collections; Chinese art;</t>
    </r>
  </si>
  <si>
    <t>Italian art; paintings; scholarship</t>
  </si>
  <si>
    <t xml:space="preserve">Giovanni Bellini </t>
  </si>
  <si>
    <t>2021/1/11</t>
  </si>
  <si>
    <t>00392</t>
  </si>
  <si>
    <t>1915_10_19</t>
  </si>
  <si>
    <t>32044150448959_001, 32044150448959_002, 32044150448959_003, 
32044150448959_004, 32044150448959_005, 32044150448959_006, 
32044150448959_007, 32044150448959_008, 32044150448959_009, 
32044150448959_010, 32044150448959_011, 32044150448959_012</t>
  </si>
  <si>
    <t>487a–492f</t>
  </si>
  <si>
    <t>1915-18</t>
  </si>
  <si>
    <t>Loo, C.T.; Kennerley, Mitchell; "Sonying" (dealer); Morgan, Junius; Duveen, Joseph; Frick, Henry Clay</t>
  </si>
  <si>
    <t>current events; art dealing; sculpture; French art; Dutch art; British art; paintings; Chinese art; BG's art collection</t>
  </si>
  <si>
    <t>Chinese art; Limoges enamels; Levres porcelains; French furniture; stock market; World War I</t>
  </si>
  <si>
    <t>2020/09/22</t>
  </si>
  <si>
    <t>2020/09/23</t>
  </si>
  <si>
    <t>00393</t>
  </si>
  <si>
    <t>1915_10_27</t>
  </si>
  <si>
    <t>32044150448959_013, 32044150448959_014, 32044150448959_015, 
32044150448959_016, 32044150448959_017, 32044150448959_018</t>
  </si>
  <si>
    <t>493a–495c</t>
  </si>
  <si>
    <t>1915-17</t>
  </si>
  <si>
    <t>Widener, Eleanor Elkins; Rice, Jr., Alexander Hamilton; Lydig, Rita da Acosta; Duveens; Loo, C.T.; Breck, Joseph; Bahr, Abel William; Freer, Charles Lang</t>
  </si>
  <si>
    <t>BG's social world; French art; sculpture; art dealing; BG's art collection</t>
  </si>
  <si>
    <t>Limoges enamels; Levres porcelains; Minneapolis Institute of Arts; Cleveland Museum of Art; Chinese Art</t>
  </si>
  <si>
    <t>2020/10/02</t>
  </si>
  <si>
    <t>00394</t>
  </si>
  <si>
    <t>1916_01_17</t>
  </si>
  <si>
    <t>32044150448967_001, 32044150448967_002</t>
  </si>
  <si>
    <t>1916-1</t>
  </si>
  <si>
    <t>BG's "despondance;" BG upset about BB's not coming to New York</t>
  </si>
  <si>
    <t xml:space="preserve">PSP </t>
  </si>
  <si>
    <t>2020/10/05</t>
  </si>
  <si>
    <t>00395</t>
  </si>
  <si>
    <t>1916_02_10</t>
  </si>
  <si>
    <t>32044150448967_003, 32044150448967_004, 32044150448967_005, 
32044150448967_006, 32044150448967_007, 32044150448967_008, 
32044150448967_009, 32044150448967_010</t>
  </si>
  <si>
    <t>ONE HUNDRED AND FORTY-FIVE EAST THIRTY-EIGHTH STREET</t>
  </si>
  <si>
    <t>497a–499c, 500a</t>
  </si>
  <si>
    <t>1916-2</t>
  </si>
  <si>
    <t>Kennerley, Mitchell; Meyer, Agnes; Freer, Charles Lang; Stein, Leo; Manship, Paul; Blumenthal, Florence Meyer</t>
  </si>
  <si>
    <t>French art; Chinese art; BG's travels; art dealing</t>
  </si>
  <si>
    <t>Chinese Art; Cezanne; Matisse; Renoir</t>
  </si>
  <si>
    <t>00396</t>
  </si>
  <si>
    <t>1916_02_17</t>
  </si>
  <si>
    <t>32044150448967_011, 32044150448967_012, 32044150448967_013, 
32044150448967_014, 32044150448967_015, 32044150448967_016, 
32044150448967_017, 32044150448967_018, 32044150448967_019, 
32044150448967_020</t>
  </si>
  <si>
    <t>THE LIBRARY OF J. PIERPONT MORGAN THIRTY-THREE EAST THIRTY-SIXTH STREET NEW YORK</t>
  </si>
  <si>
    <t>501–505</t>
  </si>
  <si>
    <t>1916-3</t>
  </si>
  <si>
    <t>Freer, Charles Lang; Voynich, Wilfrid; Bahr, Abel William; Loo, C.T.; Bing; Duveens; Wetzel, Hervey; Blumenthal, Florence Meyer; Gardner, Isabella Stewart; Post, Chandler; Widener, Eleanor Elkins; Rice, Jr., Alexander Hamilton; Sherman, Frederic Fairchild; Glaenzer, Eugene</t>
  </si>
  <si>
    <t>BG's travel; art dealing; Medieval and Renaissance manuscripts; BG's art collection; French art; sculpture; Italian art; decorative arts; race and ethnicity; BG's social world</t>
  </si>
  <si>
    <t>Giotto; Finiguerra; Chinese Art; Bernini; Houdon; Filippo Lippi; Egyptian Art; stained glass</t>
  </si>
  <si>
    <t>2020/10/06</t>
  </si>
  <si>
    <t>00397</t>
  </si>
  <si>
    <t>1916_02_23</t>
  </si>
  <si>
    <t>32044150448967_021, 32044150448967_022, 32044150448967_023, 
32044150448967_024, 32044150448967_025, 32044150448967_026, 
32044150448967_027, 32044150448967_028, 32044150448967_029, 
32044150448967_030</t>
  </si>
  <si>
    <t>506–509, 410, 511–514</t>
  </si>
  <si>
    <t>1916-4</t>
  </si>
  <si>
    <t>Forbes, Edward W.; Sachs, Paul J.; Freer, Charles Lang; Wetzel, Hervey; Bing; Loo, C.T.; Reitz, Gijs Bosch; Robinson, Elizabeth Gould; Tiffany, Louis Comfort; Dreicer, Jacob; Sherman, Frederic Fairchild; Gruel, Léon; Voynich, Wilfrid</t>
  </si>
  <si>
    <t>race and ethnicity; music; cultural institutions; BG's social world; art dealing; Chinese art; sculpture; BG's art collection; French art; Italian art; Medieval and Renaissance art</t>
  </si>
  <si>
    <t>Chinese Art; Giotto; Finiguerra; Filippo Lippi</t>
  </si>
  <si>
    <t>00398</t>
  </si>
  <si>
    <t>1916_02_29_03_02</t>
  </si>
  <si>
    <t>32044150448967_031, 32044150448967_032, 32044150448967_033, 
32044150448967_034, 32044150448967_035, 32044150448967_036, 
32044150448967_037, 32044150448967_038</t>
  </si>
  <si>
    <t>515a–518d</t>
  </si>
  <si>
    <t>1916-5</t>
  </si>
  <si>
    <t>Read, Charles Hercules; Murray, Charles Fairfax; Pulitzer, Ralph; Stanchfield, John B.; Swope, Herbert Bavard; Duveens</t>
  </si>
  <si>
    <t xml:space="preserve">current events; BG's travel; art dealing; sculpture; scholarship </t>
  </si>
  <si>
    <t>World War I; New York Stock Exchange; Saturnino Gatti; Raphael</t>
  </si>
  <si>
    <t>2020/10/07</t>
  </si>
  <si>
    <t>00399</t>
  </si>
  <si>
    <t>1916_03_13</t>
  </si>
  <si>
    <t>32044150448975_001, 32044150448975_002, 32044150448975_003, 
32044150448975_004</t>
  </si>
  <si>
    <t>519–522</t>
  </si>
  <si>
    <t>1916-6</t>
  </si>
  <si>
    <t>Sheet numbers enumerate number of pages, not leaves</t>
  </si>
  <si>
    <t>Coomaraswamy, Ananda; Freer, Charles Lang; Manship, Paul; Loo, C.T.; Blumenthal, Florence Meyer; Duveen, Joe; Seligmann, Jacques; Glaenzer, Eugene</t>
  </si>
  <si>
    <t>current events; BG's social world; Indian art; sculpture; BG's art collection; art dealing</t>
  </si>
  <si>
    <t>South Asian Art; Chinese Art</t>
  </si>
  <si>
    <t>2020/10/12</t>
  </si>
  <si>
    <t>00400</t>
  </si>
  <si>
    <t>1916_06_16</t>
  </si>
  <si>
    <t>32044150448975_005, 32044150448975_006</t>
  </si>
  <si>
    <t>1916-7</t>
  </si>
  <si>
    <t>BG's letters returned back to her; BG's inquiring about BB's trip to New York</t>
  </si>
  <si>
    <t>00401</t>
  </si>
  <si>
    <t>1916_07_28</t>
  </si>
  <si>
    <t>32044150448975_007, 32044150448975_008</t>
  </si>
  <si>
    <t>1916-8</t>
  </si>
  <si>
    <t>BB's trip to New York delayed to November</t>
  </si>
  <si>
    <t>00402</t>
  </si>
  <si>
    <t>1916_08_11</t>
  </si>
  <si>
    <t>32044150448975_009, 32044150448975_010</t>
  </si>
  <si>
    <t>1916-9</t>
  </si>
  <si>
    <t>BG's leaving to Canada; BB's trip to New York moved to October</t>
  </si>
  <si>
    <t>00403</t>
  </si>
  <si>
    <t>1916_09_05</t>
  </si>
  <si>
    <t>32044150448983_003, 32044150448983_004</t>
  </si>
  <si>
    <t>1916-10</t>
  </si>
  <si>
    <t>BG's return from Canada; BG's impatience to see BB; Freer Gallery ("freer museums" ?)</t>
  </si>
  <si>
    <t>00404</t>
  </si>
  <si>
    <t>1916_09_08</t>
  </si>
  <si>
    <t>32044150448983_001, 32044150448983_002</t>
  </si>
  <si>
    <t>1916-11</t>
  </si>
  <si>
    <t>BG's excitment for BB's arrival</t>
  </si>
  <si>
    <t>00405</t>
  </si>
  <si>
    <t>1916_09_13</t>
  </si>
  <si>
    <t>32044150448983_005, 32044150448983_006, 32044150448983_007, 32044150448983_008, 32044150448983_009, 32044150448983_010</t>
  </si>
  <si>
    <t>NATIONAL COMMITTEE OF THE UNITED STATES FOR THE RESTORATION OF THE UNIVERSITY OF LOUVAIN</t>
  </si>
  <si>
    <t>528–530</t>
  </si>
  <si>
    <t>1916-12</t>
  </si>
  <si>
    <t>Morgan, Jack; Breck, Joseph; Berenson, Mary</t>
  </si>
  <si>
    <t>BB's trip cancelled; The Minneapolis Art Museum</t>
  </si>
  <si>
    <t>00406</t>
  </si>
  <si>
    <t>1916_09_15</t>
  </si>
  <si>
    <t>32044150448983_011, 32044150448983_012</t>
  </si>
  <si>
    <t>1916-13</t>
  </si>
  <si>
    <t>BG's regretting her refusal to go to Europe</t>
  </si>
  <si>
    <t>00407</t>
  </si>
  <si>
    <t>1916_09_19</t>
  </si>
  <si>
    <t>32044150448983_013, 32044150448983_014, 32044150448983_015, 32044150448983_016, 32044150448983_017, 32044150448983_018, 32044150448983_019, 32044150448983_020, 32044150448983_021, 32044150448983_022, 32044150448983_023, 32044150448983_024, 32044150448983_025, 32044150448983_026</t>
  </si>
  <si>
    <t>532–538</t>
  </si>
  <si>
    <t>1916-14</t>
  </si>
  <si>
    <t>Morgan, Jack; Blumenthal, George; Freer, Charles Lang; Duveen, Joseph;  Frick, Henry Clay; Johnson (?); Widener, Peter; Blumenthal, Florence Meyer; Seligmann, Jacques; Meyer, Agnes; Meyer, Eugene; Bing (?); Bosch-Reitz (?); Fukushima (?); Loo, C.T.</t>
  </si>
  <si>
    <r>
      <rPr>
        <rFont val="Times New Roman"/>
        <color theme="1"/>
        <sz val="12.0"/>
      </rPr>
      <t xml:space="preserve">BG's travel; </t>
    </r>
    <r>
      <rPr>
        <rFont val="Times New Roman"/>
        <b/>
        <color theme="1"/>
        <sz val="12.0"/>
      </rPr>
      <t>library work</t>
    </r>
    <r>
      <rPr>
        <rFont val="Times New Roman"/>
        <color theme="1"/>
        <sz val="12.0"/>
      </rPr>
      <t>; art dealing; personal collections</t>
    </r>
  </si>
  <si>
    <t>BG in poor health; BG not receiving comission from Jack; Bridgewater paintings; charging high prices for art after the war; Chinese art market; bronzes; Chan, Han, Ming dynasty art;</t>
  </si>
  <si>
    <t>00408</t>
  </si>
  <si>
    <t>1916_09_27</t>
  </si>
  <si>
    <t>32044150448983_027, 32044150448983_028, 32044150448983_029, 32044150448983_030</t>
  </si>
  <si>
    <t>539–540</t>
  </si>
  <si>
    <t>1916-15</t>
  </si>
  <si>
    <t xml:space="preserve">Morgan, Jack; Morgan, Jane Grew; Seligmann, Jacques; Glanzer (?); </t>
  </si>
  <si>
    <t>False rumours of BG's marriage; Aldenham Abbey country home; Jacque Seligmann's partnership offer to BG</t>
  </si>
  <si>
    <t>00409</t>
  </si>
  <si>
    <t>1916_10_01</t>
  </si>
  <si>
    <t>32044150448991_001, 32044150448991_002</t>
  </si>
  <si>
    <t>1916-16</t>
  </si>
  <si>
    <t>Sailing on the St. Louis to London</t>
  </si>
  <si>
    <t>2021/01/27</t>
  </si>
  <si>
    <t>00410</t>
  </si>
  <si>
    <t>1916_10_03</t>
  </si>
  <si>
    <t>32044150448991_003, 32044150448991_004, 32044150448991_005, 32044150448991_006, 32044150448991_007, 32044150448991_008, 32044150448991_009, 32044150448991_010, 32044150448991_011, 32044150448991_012</t>
  </si>
  <si>
    <t>542–546</t>
  </si>
  <si>
    <t>1916-17</t>
  </si>
  <si>
    <t>Morgan, Jack; Blumenthal, Florence Meyer; Meyer, Agnes;</t>
  </si>
  <si>
    <t>Meurice Hotel, Paris; MS St. Louis</t>
  </si>
  <si>
    <t>00411</t>
  </si>
  <si>
    <t>1916_10_05</t>
  </si>
  <si>
    <t>32044150448991_013, 32044150448991_014</t>
  </si>
  <si>
    <t>1916-18</t>
  </si>
  <si>
    <t>BG meeting BB in Paris and London</t>
  </si>
  <si>
    <t>2021/01/28</t>
  </si>
  <si>
    <t>00412</t>
  </si>
  <si>
    <t>1916_10_22</t>
  </si>
  <si>
    <t>32044150448991_019, 32044150448991_020, 32044150448991_021, 32044150448991_022</t>
  </si>
  <si>
    <t>CLARIDGE'S HOTEL, BROOK STREET, W.</t>
  </si>
  <si>
    <t>550a–551b</t>
  </si>
  <si>
    <t>1916-19</t>
  </si>
  <si>
    <t>Lady Barlow (?); Smith, Joseph Lindon</t>
  </si>
  <si>
    <t>BG trip to London</t>
  </si>
  <si>
    <t>00413</t>
  </si>
  <si>
    <t>32044150448991_023, 32044150448991_024</t>
  </si>
  <si>
    <t>1916-21</t>
  </si>
  <si>
    <t>BG trip/arrival in London</t>
  </si>
  <si>
    <t>00414</t>
  </si>
  <si>
    <t>1916_10_23</t>
  </si>
  <si>
    <t>32044150448991_015, 32044150448991_016, 32044150448991_017, 32044150448991_018</t>
  </si>
  <si>
    <t>548-549</t>
  </si>
  <si>
    <t>1916-25</t>
  </si>
  <si>
    <t>Morgan, Jack</t>
  </si>
  <si>
    <t>BG trip to London; traveling during the war; Paris</t>
  </si>
  <si>
    <t>2021/02/01</t>
  </si>
  <si>
    <t>00415</t>
  </si>
  <si>
    <t>1916_10_24</t>
  </si>
  <si>
    <t>32044150448991_025, 32044150448991_026</t>
  </si>
  <si>
    <t>1916-20</t>
  </si>
  <si>
    <t>BG's trip to Paris</t>
  </si>
  <si>
    <t>00416</t>
  </si>
  <si>
    <t>1916_10_28</t>
  </si>
  <si>
    <t>32044150448991_027, 32044150448991_028</t>
  </si>
  <si>
    <t>1916-22</t>
  </si>
  <si>
    <t>Transportation difficulties to Paris</t>
  </si>
  <si>
    <t>00417</t>
  </si>
  <si>
    <t>1916_10_30</t>
  </si>
  <si>
    <t>32044150448991_029, 32044150448991_030</t>
  </si>
  <si>
    <t>1916-23</t>
  </si>
  <si>
    <r>
      <rPr>
        <rFont val="Times New Roman"/>
        <color theme="1"/>
        <sz val="12.0"/>
      </rPr>
      <t xml:space="preserve">BG's difficulties with returning from London to NY; reference to Shakespeare </t>
    </r>
    <r>
      <rPr>
        <rFont val="Times New Roman"/>
        <i/>
        <color theme="1"/>
        <sz val="12.0"/>
      </rPr>
      <t xml:space="preserve">Henry IV, Part II </t>
    </r>
    <r>
      <rPr>
        <rFont val="Times New Roman"/>
        <color theme="1"/>
        <sz val="12.0"/>
      </rPr>
      <t>"he hath eaten me out of house and home"</t>
    </r>
  </si>
  <si>
    <t>00418</t>
  </si>
  <si>
    <t>1916_11_04</t>
  </si>
  <si>
    <t>32044150449007_001, 32044150449007_002, 32044150449007_003, 32044150449007_004, 32044150449007_005</t>
  </si>
  <si>
    <t>BUCKHURST, WITHYHAM, SUSSEX.</t>
  </si>
  <si>
    <t>Withyham</t>
  </si>
  <si>
    <t xml:space="preserve">556a-558 </t>
  </si>
  <si>
    <t>1916-27</t>
  </si>
  <si>
    <t xml:space="preserve">Cecil, Robert; Duveen, Henry; Duveen, Joseph; Morgan, J. Pierpont Jr.; Grey, Albert Henry George; Jones, Evelyn Alice Grey </t>
  </si>
  <si>
    <t>European travel; military train travel</t>
  </si>
  <si>
    <t>2020/10/01</t>
  </si>
  <si>
    <t>00419</t>
  </si>
  <si>
    <t>1916_11_05</t>
  </si>
  <si>
    <t>32044150449007_006, 32044150449007_007, 32044150449007_008, 32044150449007_009, 32044150449007_010, 32044150449007_011, 32044150449007_012, 32044150449007_013</t>
  </si>
  <si>
    <t>CLARIDGE HOTEL, BROOK STREET, W.</t>
  </si>
  <si>
    <t>559a-562</t>
  </si>
  <si>
    <t>1916-38</t>
  </si>
  <si>
    <t>7/11/23: Missing copy of transcription in Google Drive folder</t>
  </si>
  <si>
    <t xml:space="preserve">Benson, Robert Henry; Benson, Evelyn Holford; Howard, Geoffrey; Eumorfopoulos, George; Cockerell, Sydney; Stein, Aurel; Devonshires; Durlacher, George; Glaenzer, Eugene; Cook, Herbert; John, Augustus Edwin
</t>
  </si>
  <si>
    <t>John Rylands library; Doughty House</t>
  </si>
  <si>
    <t>00420</t>
  </si>
  <si>
    <t>1916_11_06</t>
  </si>
  <si>
    <t>32044150449007_014, 32044150449007_015, 32044150449007_016, 32044150449007_017</t>
  </si>
  <si>
    <t>563-564</t>
  </si>
  <si>
    <t>1916-28</t>
  </si>
  <si>
    <t xml:space="preserve">Glaenzer, Eugene; Benson, Robert Henry </t>
  </si>
  <si>
    <t>Boat travel</t>
  </si>
  <si>
    <t>2010/10/15</t>
  </si>
  <si>
    <t>2020/10/23</t>
  </si>
  <si>
    <t>00421</t>
  </si>
  <si>
    <t>1916_11_09</t>
  </si>
  <si>
    <t>32044150449007_018, 32044150449007_019</t>
  </si>
  <si>
    <t>1916-26</t>
  </si>
  <si>
    <t>Seligmann, Jacques</t>
  </si>
  <si>
    <t xml:space="preserve">Train travel; Chatsworth </t>
  </si>
  <si>
    <t>2020/10/28</t>
  </si>
  <si>
    <t>00422</t>
  </si>
  <si>
    <t>32044150449007_020, 32044150449007_021</t>
  </si>
  <si>
    <t>TELEGRAMME</t>
  </si>
  <si>
    <t>1916-29</t>
  </si>
  <si>
    <t>BG's inability to come to Paris</t>
  </si>
  <si>
    <t>00423</t>
  </si>
  <si>
    <t>1916_11_10</t>
  </si>
  <si>
    <t>32044150449007_022, 32044150449007_023, 32044150449007_024, 32044150449007_025, 32044150449007_026, 32044150449007_027, 32044150449007_028, 32044150449007_029, 32044150449007_030, 32044150449007_031</t>
  </si>
  <si>
    <t>567a-572</t>
  </si>
  <si>
    <t>1916-30</t>
  </si>
  <si>
    <t xml:space="preserve">Image 32044150449007_028.jpg is a note from biographer Heidi Ardizzone </t>
  </si>
  <si>
    <t>Holfords; Hornby, John;  Thompson, Henry Yates; Benson, Evelyn Holford</t>
  </si>
  <si>
    <r>
      <rPr>
        <rFont val="Times New Roman"/>
        <color theme="1"/>
        <sz val="12.0"/>
      </rPr>
      <t xml:space="preserve">politics; BG's social world; Medieval and Renaissance manuscripts; Flemish art; sculpture; paintings; Chinese art; personal collections; Dutch art; art dealing; </t>
    </r>
    <r>
      <rPr>
        <rFont val="Times New Roman"/>
        <b/>
        <color theme="1"/>
        <sz val="12.0"/>
      </rPr>
      <t>African art</t>
    </r>
    <r>
      <rPr>
        <rFont val="Times New Roman"/>
        <color theme="1"/>
        <sz val="12.0"/>
      </rPr>
      <t>; BG's travel</t>
    </r>
  </si>
  <si>
    <t xml:space="preserve">Presidential election; Wilson, Woodrow; Hughes; Evans, Charles ; Chatsworth House; Hardwicke Hall; Benedictional of St. Aethelwold; Flemish tapestry; Anthony van Dyck; Bess of Hardwick; jade water buffalo; </t>
  </si>
  <si>
    <t>2020/10/29</t>
  </si>
  <si>
    <t>2021/01/07</t>
  </si>
  <si>
    <t>00424</t>
  </si>
  <si>
    <t>1916_11_13</t>
  </si>
  <si>
    <t>32044150449007_032, 32044150449007_033, 32044150449007_034, 32044150449007_035, 32044150449007_036, 32044150449007_037</t>
  </si>
  <si>
    <t>573a-575c</t>
  </si>
  <si>
    <t>1916-31</t>
  </si>
  <si>
    <t>Benson, Robert Henry; Benson, Evelyn Holford; Grenfell, Francis?; Grenfell, Margaret Majendie?; Smith, Vivan B.; Smith, Ella Dawson; Holford, George Lindsay; Holford, Susannah West; Read, Charles Hercules; Ermo[-]popoulos?, Mr.; Ermo[-]popoulos?, Mrs.; [illegible], Sallie; Viguier, Fortuné; Poincaré, Raymond?; Poincaré, Henriette?; Denman, Thomas?; Denman; Gertrude Pearson?; Cockerell, Sydney; Thompson, Henry Yates; Thompson, Elizabeth Smith; Backhouse?</t>
  </si>
  <si>
    <r>
      <rPr>
        <rFont val="Times New Roman"/>
        <color theme="1"/>
        <sz val="12.0"/>
      </rPr>
      <t xml:space="preserve">BG's social world; </t>
    </r>
    <r>
      <rPr>
        <rFont val="Times New Roman"/>
        <b/>
        <color theme="1"/>
        <sz val="12.0"/>
      </rPr>
      <t>African art</t>
    </r>
    <r>
      <rPr>
        <rFont val="Times New Roman"/>
        <color theme="1"/>
        <sz val="12.0"/>
      </rPr>
      <t>; Chinese art; sculpture; art dealing; BG's travel</t>
    </r>
  </si>
  <si>
    <t>surrounded by high society; close with Bensons; two enchanting Congo wood figures from Read; Chinese objects (including Han and S'ang pottery and Sung pieces) at the Ermo[-]popoulos'; Ermo[-]popoulos' bronze owl likely from Viguier; photographs of Viguier's jades and Ming and Kang hsi porcelains; England-Ireland treatment compared to Germany-Belgium; planning time with Cockerell at Cambridge; Westonbirt; Dorchester House; dinner at Thompsons on Tuesday</t>
  </si>
  <si>
    <t>2022/08/02</t>
  </si>
  <si>
    <t>00425</t>
  </si>
  <si>
    <t>1916_11_15</t>
  </si>
  <si>
    <t>32044150449007_038, 32044150449007_039</t>
  </si>
  <si>
    <t>1916-32</t>
  </si>
  <si>
    <t>Egan, Martin</t>
  </si>
  <si>
    <t>Medieval and Renaissance manuscripts; BG's social world; BG's travel</t>
  </si>
  <si>
    <t>BG's seeing manuscripts at the British Museum; BG's encouraing BB to befriend Martin Egan</t>
  </si>
  <si>
    <t>2021/02/09</t>
  </si>
  <si>
    <t>00426</t>
  </si>
  <si>
    <t>1916_11_17</t>
  </si>
  <si>
    <t>32044150449007_040, 32044150449007_041, 32044150449007_042, 32044150449007_043, 32044150449007_044, 32044150449007_045</t>
  </si>
  <si>
    <t>577-579</t>
  </si>
  <si>
    <t>1916-33</t>
  </si>
  <si>
    <t>Cockerell, Sydney; Jenkinson, Francis; Cockerell, Florence Kate Kingsford; Cockerell, Margaret; Cockerell, Katharine; Cockerell, Christopher; Read, Charles Hercules; Durlacher, George; Duveen; Greene, Theodora; Greene, Genevieve Ida Van Vliet Fleet; Pollard, Alfred; Grey, Albert Henry George; Grey, Alice Holford; Morgans; the Kirk?; Holford, George Lindsay; Holford, Susannah West; Seligmann, Jacques; Glaenzer, Eugene</t>
  </si>
  <si>
    <t>BG's social world; sculpture; BG's travel; sculpture; Italian art; art dealing</t>
  </si>
  <si>
    <r>
      <rPr>
        <rFont val="Times New Roman"/>
        <color theme="1"/>
        <sz val="12.0"/>
      </rPr>
      <t xml:space="preserve">Cambridge with Cockerell; Sergei Rachmaninoff's "All-Night Vigil (Vespers)" in King's College Chapel; Cockerell's seeming attraction to BG; Cockerell family; Re[---]ione Library; Desiderio da Settignano's </t>
    </r>
    <r>
      <rPr>
        <rFont val="Times New Roman"/>
        <i/>
        <color theme="1"/>
        <sz val="12.0"/>
      </rPr>
      <t>Tabernacle</t>
    </r>
    <r>
      <rPr>
        <rFont val="Times New Roman"/>
        <color theme="1"/>
        <sz val="12.0"/>
      </rPr>
      <t>; business relations with Duveens, French &amp; Co., and Durlacher; buying lingerie for Theodora's trousseau to be married next year; dinner with Greys and Morgans; Holford's place in Tetbury; rejecting Seligmann business through Glaenzer; inquiring about BB's involvement with Duveens</t>
    </r>
  </si>
  <si>
    <t>2021/02/10</t>
  </si>
  <si>
    <t>00427</t>
  </si>
  <si>
    <t>1916_11_20</t>
  </si>
  <si>
    <t>32044150449007_046, 32044150449007_047, 32044150449007_048, 32044150449007_049</t>
  </si>
  <si>
    <t>580-581</t>
  </si>
  <si>
    <t>1916-34</t>
  </si>
  <si>
    <t>Cockerell, Sydney; Durrieu, Paul; Thompson, Henry Yates; Holford, Susannah West; Holford, George Lindsay; Morgans; Grey, Albert Henry George; Crawford, Lord; Crawford, Lady; Seligmann, Jacques; Laborde, Léon-Joseph-Alexandre de; Quaritch, Bernard Alfred; Duveen; Douglas, R. Langton; Howard, Rosalind? (Lady Carlisle); De Rothschild, Maurice; Fenwick?</t>
  </si>
  <si>
    <t>BG's social world; Flemish art; Italian art; paintings; Dutch art; drawings; scholarship; Chinese art; BG's travel</t>
  </si>
  <si>
    <r>
      <rPr>
        <rFont val="Times New Roman"/>
        <color theme="1"/>
        <sz val="12.0"/>
      </rPr>
      <t xml:space="preserve">Holford house; Anthony van Dyck; Titian; Rembrandt; Domenico Veneziano's </t>
    </r>
    <r>
      <rPr>
        <rFont val="Times New Roman"/>
        <i/>
        <color theme="1"/>
        <sz val="12.0"/>
      </rPr>
      <t>Portrait of a Young Woman</t>
    </r>
    <r>
      <rPr>
        <rFont val="Times New Roman"/>
        <color theme="1"/>
        <sz val="12.0"/>
      </rPr>
      <t>; Peter Paul Rubens; Pietro Perugino; Aelbert Cuyp; Morgan, Grenfell &amp; Co.; Chinese painting and sculptures; requesting Quaritch to send Manuscript Catalogue copy to de Laborde; Phillips Collection at Cheltenham; Stein collection; S.S. St. Louis</t>
    </r>
  </si>
  <si>
    <t>00428</t>
  </si>
  <si>
    <t>1916_11_25</t>
  </si>
  <si>
    <t>32044150449007_051, 32044150449007_052</t>
  </si>
  <si>
    <t>1916-35</t>
  </si>
  <si>
    <t>Morgan, J. Pierpont; Benson, Robert Henry</t>
  </si>
  <si>
    <t>returning home</t>
  </si>
  <si>
    <t>00429</t>
  </si>
  <si>
    <t>1916_11_UNDATED_01</t>
  </si>
  <si>
    <t>32044150449007_050</t>
  </si>
  <si>
    <t>Westonbirt, / Tetbury.</t>
  </si>
  <si>
    <t>Tetbury</t>
  </si>
  <si>
    <t>1916-24</t>
  </si>
  <si>
    <t>Holfords</t>
  </si>
  <si>
    <t>snow</t>
  </si>
  <si>
    <t>00430</t>
  </si>
  <si>
    <t>1916_12_03_07</t>
  </si>
  <si>
    <t>32044150449015_001, 32044150449015_002, 32044150449015_003, 32044150449015_004, 32044150449015_005, 32044150449015_006, 32044150449015_007</t>
  </si>
  <si>
    <t>U.S.M.S. "ST LOUIS"</t>
  </si>
  <si>
    <t>Atlantic Ocean</t>
  </si>
  <si>
    <t>584-590</t>
  </si>
  <si>
    <t>1916-36</t>
  </si>
  <si>
    <t xml:space="preserve">Seligmann, Jacques; "Sully"; Robert </t>
  </si>
  <si>
    <t>Claridge Hotel, London; Zepplin raids</t>
  </si>
  <si>
    <t>00431</t>
  </si>
  <si>
    <t>1916_12_07</t>
  </si>
  <si>
    <t>32044150449015_008, 32044150449015_009, 32044150449015_010</t>
  </si>
  <si>
    <t>591-592</t>
  </si>
  <si>
    <t>1916-37</t>
  </si>
  <si>
    <t xml:space="preserve">Duveens; Seligmann, Jacques </t>
  </si>
  <si>
    <t>BG's return to NY announced in newspapers</t>
  </si>
  <si>
    <t>00432</t>
  </si>
  <si>
    <t>63</t>
  </si>
  <si>
    <t>1917_09_15</t>
  </si>
  <si>
    <t>32044150449023_001, 32044150449023_002, 32044150449023_003, 32044150449023_004</t>
  </si>
  <si>
    <t>[telegram]</t>
  </si>
  <si>
    <t>1917-1</t>
  </si>
  <si>
    <t>Telegram, addresssed to "Berenson c/o Baring Bros 8 Bishopsgate E.C." Red stamp (partially illegible) of Baring Brothers dated 15 Sept. 1917; Blue stamp (partially illegible) of "... Cable System London Wall 22 Great Winchester St" dated 14 Sept. 1917</t>
  </si>
  <si>
    <t>BG's thanking BB for letter</t>
  </si>
  <si>
    <t>00433</t>
  </si>
  <si>
    <t>1917_09_18</t>
  </si>
  <si>
    <t>32044150449023_005, 32044150449023_006, 32044150449023_007, 
32044150449023_008, 32044150449023_009, 32044150449023_010, 32044150449023_011, 32044150449023_012</t>
  </si>
  <si>
    <t>1917-2</t>
  </si>
  <si>
    <t>Davison, Henry Pomeroy; Oakley, George; Nichols, Rose Standish; Cram, Ralph Adams; Cram, Elizabeth Carrington Read; Wetzel, Hervey; Post, Chandler Rathfon; Baker Jr., George Fisher; Blumenthal, George; Gardner, Isabella Stewart; Robinson, Edward; Breck, Joseph; Seligmann, Jacob; Duveen Bros.</t>
  </si>
  <si>
    <t>current events; BG's health; BG's social world; race and ethnicity; personal collections; sculpture; cultural institutions; art dealing</t>
  </si>
  <si>
    <t>American Red Cross; Naval League; Metropolitan Museum of Art; World War One</t>
  </si>
  <si>
    <t>2020/06/16</t>
  </si>
  <si>
    <t>00434</t>
  </si>
  <si>
    <t>1919_02_21</t>
  </si>
  <si>
    <t>32044150449031_001, 32044150449031_002, 32044150449031_003, 32044150449031_004, 32044150449031_005, 32044150449031_006, 32044150449031_007, 32044150449031_008, 32044150449031_009, 32044150449031_010, 32044150449031_011, 32044150449031_012, 32044150449031_013, 32044150449031_014</t>
  </si>
  <si>
    <t>123 East 38th Street New York</t>
  </si>
  <si>
    <t>1919-1</t>
  </si>
  <si>
    <t>Thompson, Henry Yates; De Ricci, Seymour; Butler, Nicholas Murray; Murray, Charles Fairfax; Cockerell, Sydney; Frick, Henry Clay; Widener, Joseph E.; Gardner, Isabella Stewart; Pollard, Alfred; Thurston, Ada; Thompson, Edward Maunde; Read, Charles Hercules; Benson, Robert Henry; Benson, Evelyn Holford; Herford, Oliver</t>
  </si>
  <si>
    <t>BG's travel; art dealing; Medieval and Renaissance manuscripts; private collections; BG's social world; scholarship; finance; BG's health</t>
  </si>
  <si>
    <t>Coptic Manuscripts; Vatican; Metropolitan Museum of Art; Manuscripts Catalog; China; Japan; Baudelaire</t>
  </si>
  <si>
    <t>00435</t>
  </si>
  <si>
    <t>1919_03_31</t>
  </si>
  <si>
    <t>32044150449031_015, 32044150449031_016, 32044150449031_017, 32044150449031_018, 32044150449031_019, 32044150449031_020, 32044150449031_021, 32044150449031_022</t>
  </si>
  <si>
    <t>14-17</t>
  </si>
  <si>
    <t>1919-2</t>
  </si>
  <si>
    <t>Hyvernat, Henry; Cram, Ralph Adams; Cram, Elizabeth Carrington Read; Whittemore, Thomas; Stein, Leo; Freedly, Durr; Manship, Paul; Breck, Joseph; Loo, C.T.; Wilson, Woodrow</t>
  </si>
  <si>
    <t>BG's travel; Medieval and Renaissance manuscripts; current events; politics; race and ethnicity; BG's social world; scholarship; images of BG</t>
  </si>
  <si>
    <t>Coptic Manuscripts; Vatican; World War One; League of Nations; Bolshelvikism; sculpture</t>
  </si>
  <si>
    <t>2020/06/18</t>
  </si>
  <si>
    <t>00436</t>
  </si>
  <si>
    <t>1919_09_05</t>
  </si>
  <si>
    <t>32044150449031_023, 32044150449031_024</t>
  </si>
  <si>
    <t>1919-3</t>
  </si>
  <si>
    <t>BG's changing feelings for BB; BG's irritation with veterans</t>
  </si>
  <si>
    <t>00437</t>
  </si>
  <si>
    <t>1919_09_26_29</t>
  </si>
  <si>
    <t xml:space="preserve">32044150449031_025, 32044150449031_026, 32044150449031_027, 32044150449031_028, 32044150449031_029, 32044150449031_030, 32044150449031_031, 32044150449031_032, 32044150449031_033, 32044150449031_034, 32044150449031_035, 32044150449031_036, 32044150449031_037, 32044150449031_038, 32044150449031_039, 32044150449031_040, 32044150449031_041, 32044150449031_042, 32044150449031_043, 32044150449031_044, 32044150449031_045, 32044150449031_046, 32044150449031_047, 32044150449031_048, 
32044150449031_049 </t>
  </si>
  <si>
    <t>[none] | 123 EAST 38TH STREET</t>
  </si>
  <si>
    <t>19-34</t>
  </si>
  <si>
    <t>1919-5 | 1919-4</t>
  </si>
  <si>
    <t>1919-5 (written from Saltaire, NY) comprises the first seven pages of the letter. 1919-4 (written from NYC) comprises the final eighteen pages. 1919-5 is paginated 1–7, while 1919-4 is foliated 8–16. On the first page of 1919-4 (32044150449031_032), BG writes that she "did not have any time to finish my letter to you down on the Island" (i.e., 1919-5) suggesting she is continuing the letter started in Saltaire. Given that 1919-5 is unsigned and 1919-4 begins without a salutation, they are effectively a single letter and were most likely sent as such to Berenson. Given this evidence, the two documents have been combined into a single letter despite their separate I Tatti numbers and the change in letterhead and ink.</t>
  </si>
  <si>
    <t>originally included photograph of 6-month-old Bobbie (Teddy's son)</t>
  </si>
  <si>
    <t>De Ricci, Seymour; Hamilton, Carl; Wetzel, Hervey</t>
  </si>
  <si>
    <t>BG's heath; race and ethnicity; Medieval and Renaissance manuscripts; library work; art dealing; BG's social world</t>
  </si>
  <si>
    <t>BG's trip to visit Ethel Oakley at the sea; birth of BG's nephew; BG's meeting/spending time with WWI vets; BG's work on Coptic manuscript catalogue</t>
  </si>
  <si>
    <t>2020/07/08</t>
  </si>
  <si>
    <t>2020/07/22</t>
  </si>
  <si>
    <t>00438</t>
  </si>
  <si>
    <t>1919_10_09</t>
  </si>
  <si>
    <t>32044150449049_001, 32044150449049_002</t>
  </si>
  <si>
    <t>THE LIBRARY OF J. PIERPONT MORGAN / THIRTY-THREE EAST THIRTY-SIXTH STREET / NEW YORK</t>
  </si>
  <si>
    <t>1919-6</t>
  </si>
  <si>
    <t>First page is written on a typewriter, and an accompanying handwritten note is on the back</t>
  </si>
  <si>
    <t>Offner, Richard; Stein, Gertrude; Sherman, Frederic Fairchild</t>
  </si>
  <si>
    <t>scholarship; literature</t>
  </si>
  <si>
    <r>
      <rPr>
        <rFont val="Times New Roman"/>
        <i/>
        <color theme="1"/>
        <sz val="12.0"/>
      </rPr>
      <t>Art in America</t>
    </r>
    <r>
      <rPr>
        <rFont val="Times New Roman"/>
        <color theme="1"/>
        <sz val="12.0"/>
      </rPr>
      <t xml:space="preserve"> magazine; Gertrude Stein, </t>
    </r>
    <r>
      <rPr>
        <rFont val="Times New Roman"/>
        <i/>
        <color theme="1"/>
        <sz val="12.0"/>
      </rPr>
      <t>A Portrait of Mabel Dodge at the Villa Curonia</t>
    </r>
  </si>
  <si>
    <t>2020/06/29</t>
  </si>
  <si>
    <t>00439</t>
  </si>
  <si>
    <t>1919_10_21</t>
  </si>
  <si>
    <t>32044150449049_003, 32044150449049_004, 32044150449049_005, 32044150449049_006, 32044150449049_007, 32044150449049_008</t>
  </si>
  <si>
    <t>33 EAST 36TH STREET</t>
  </si>
  <si>
    <t>36-38</t>
  </si>
  <si>
    <t>1919-7</t>
  </si>
  <si>
    <t>Hamilton, Carl W.; Thurston, Ada; de Ricci, Seymour; Plunkett, Edward; Drinkwater, John</t>
  </si>
  <si>
    <t>current events; BG's social world</t>
  </si>
  <si>
    <t>New York shipyard strike of October 1919</t>
  </si>
  <si>
    <t>2020/06/26</t>
  </si>
  <si>
    <t>00440</t>
  </si>
  <si>
    <t>1919_11_26</t>
  </si>
  <si>
    <t>32044150449049_009, 32044150449049_010, 32044150449049_011, 32044150449049_012, 32044150449049_013, 32044150449049_014, 32044150449049_015, 32044150449049_016, 32044150449049_017, 32044150449049_018, 32044150449049_019, 32044150449049_020, 32044150449049_021, 32044150449049_022, 32044150449049_023, 32044150449049_024</t>
  </si>
  <si>
    <t>39-46</t>
  </si>
  <si>
    <t>1919-8</t>
  </si>
  <si>
    <t>Edward VIII, Prince of Wales; Davison, Henry Pomeroy; Davison, Kate Trubee; Morgan, J. Pierpont, Sr.; Grey, Edward; Root, Elihu; Schiff, Jacob; Schiff, Therese Loeb; Kahn, Otto Hermann; Kahn, Adelaide Wolff; Ward, Freda Dudley; Benson, Evelyn Holford; Benson, Robert Henry; Morgan, Junius Spencer; Rogers, Millicent; Baruch, Bernard; Satterlee, Herbert Livingston; Satterlee, Louisa Pierpont Morgan; Hamilton, Carl W.; Berenson, Mary; de Ricci, Seymour; Morgan, J. Pierpont, Jr.; Pershing, John J.; Sturgis, Frank K.; Duveen, Henry; Hyvernat, Henry</t>
  </si>
  <si>
    <t>BG's social world; music; BG's travel; race and ethnicity; politics; art dealing; Italian art; Medieval and Renaissance manuscripts; scholarship; personal collections</t>
  </si>
  <si>
    <t>Waldorf Hotel; War Council of the American Red Cross; New York society; British society; World War I; England; Coptic collections; American Tour of Edward, Prince of Wales</t>
  </si>
  <si>
    <t>2020/07/01</t>
  </si>
  <si>
    <t>00441</t>
  </si>
  <si>
    <t>1919_12_23</t>
  </si>
  <si>
    <t>32044150449049_025, 32044150449049_026, 32044150449049_027, 32044150449049_028, 32044150449049_029, 32044150449049_030</t>
  </si>
  <si>
    <t>47-50</t>
  </si>
  <si>
    <t>1919-9</t>
  </si>
  <si>
    <t>Last page appears to be on a different stationary</t>
  </si>
  <si>
    <t>Hamilton, Carl W.; Hyvernat, Henry; Duveen, Joseph; Thompson, Henry Yates; Berenson, Mary; Papp?</t>
  </si>
  <si>
    <t>art dealing; BG's travel; Medieval and Renaissance manuscripts; Italian art</t>
  </si>
  <si>
    <t>European travel; Buying manuscripts; Works of Desiderio</t>
  </si>
  <si>
    <t>2020/07/02</t>
  </si>
  <si>
    <t>00442</t>
  </si>
  <si>
    <t>1919_12_27</t>
  </si>
  <si>
    <t>32044150449049_031, 32044150449049_032, 32044150449049_033, 32044150449049_034, 32044150449049_035, 32044150449049_036, 32044150449049_037, 32044150449049_038, 32044150449049_039, 32044150449049_040, 32044150449049_041, 32044150449049_042, 32044150449049_043, 32044150449049_044, 32044150449049_045, 32044150449049_046, 32044150449049_047</t>
  </si>
  <si>
    <t>51-59</t>
  </si>
  <si>
    <t>1919-20</t>
  </si>
  <si>
    <t>de Ricci, Seymour; Duveen; Thurston, Ada; Hamilton, Carl; Frick, Henry Clay; Seligmann, Jacques; Seligman, Germain</t>
  </si>
  <si>
    <t>scholarship; art dealing; early printed books; Medieval and Renaissance manuscripts; current events; paintings; sculpture; BG's travel</t>
  </si>
  <si>
    <t>BG's in-depth description and skepticism of art historian de Ricci; BG's advising BB not to hire de Ricci; Frick's death; BG's planning her February 1920 trip to Europe; Anne Morgan's fall in prominence</t>
  </si>
  <si>
    <t>2020/07/10</t>
  </si>
  <si>
    <t>00443</t>
  </si>
  <si>
    <t>1920_01_20</t>
  </si>
  <si>
    <t>32044150449056_001, 32044150449056_002, 32044150449056_003, 32044150449056_004, 32044150449056_005, 32044150449056_006, 32044150449056_007, 32044150449056_008, 32044150449056_009, 32044150449056_010, 32044150449056_011, 32044150449056_012, 32044150449056_013</t>
  </si>
  <si>
    <t>60-66</t>
  </si>
  <si>
    <t>1920-1</t>
  </si>
  <si>
    <r>
      <rPr>
        <rFont val="Times New Roman"/>
        <color theme="1"/>
        <sz val="12.0"/>
      </rPr>
      <t xml:space="preserve">Hamilton, Carl W. ; Huntington, Henry; Kahn, Otto Hermann; Platt, Dan Fellows; Huntington, Arabella; Duveen, Joseph; Blumenthal, Florence Meyer; Morgan, J. Pierpont, Jr.; Thurston, Ada; De Ricci, Seymour; Seligmann, Jacques; </t>
    </r>
    <r>
      <rPr>
        <rFont val="Times New Roman"/>
        <color theme="1"/>
        <sz val="12.0"/>
      </rPr>
      <t>Selimann, Bob</t>
    </r>
  </si>
  <si>
    <t>library work; Italian art; scholarship; sculpture; decorative arts; personal collections; BG's social world; art dealing; BG's travel</t>
  </si>
  <si>
    <t>BG's designing two loan exhibitions; BG's description of the de Ricci/Duveen/Seligmann dynamic; BG's describing her plans for her Europe trip</t>
  </si>
  <si>
    <t>2020/07/13</t>
  </si>
  <si>
    <t>00444</t>
  </si>
  <si>
    <t>1920_02_11_13</t>
  </si>
  <si>
    <t>32044150449056_014, 32044150449056_015, 32044150449056_016, 32044150449056_017, 32044150449056_018, 32044150449056_019, 32044150449056_020, 32044150449056_021, 32044150449056_022, 32044150449056_023</t>
  </si>
  <si>
    <t>The Pierpont Morgan Library / 33 East Thirty-sixth Street / New York</t>
  </si>
  <si>
    <t>67-71</t>
  </si>
  <si>
    <t>1920-2; 1920-3</t>
  </si>
  <si>
    <t>I Tatti recorded as two letters; combined in the spreadsheet and in the folders</t>
  </si>
  <si>
    <t>Berenson, Mary; Perkins, Frederick Mason; Hamilton, Carl W. ; Duveen, Joseph; De Ricci, Seymour; d'Hendecourt</t>
  </si>
  <si>
    <t>BG's travel; Medieval and Renaissance manuscripts; art dealing; personal collections; Italian art; paintings</t>
  </si>
  <si>
    <t>BG's mother's and sister's Typhoid cases; BG's changing her Europe itenerary to take care of family</t>
  </si>
  <si>
    <t>00445</t>
  </si>
  <si>
    <t>1920_03_06</t>
  </si>
  <si>
    <t>32044150449056_024, 32044150449056_025, 32044150449056_026, 32044150449056_027, 32044150449056_028</t>
  </si>
  <si>
    <t>HOTEL MEURICE / 228. RUE DE RIVOLI / PARIS</t>
  </si>
  <si>
    <t>72-76</t>
  </si>
  <si>
    <t>1920-4</t>
  </si>
  <si>
    <t>Berenson, Mary; Morgan, J. Pierpont; Read, Charles Hercules; Cockerell, Sydney; De Ricci, Seymour; Duveen, Joe; Schiff, Mortimer Loeb; d'Hendecourt, Bernard; Greene, Genevieve Ida Van Vliet Fleet</t>
  </si>
  <si>
    <t>BG's travel; art dealing; BG's social world</t>
  </si>
  <si>
    <t>Americans being overcharged in Europe; BG's plans in Paris and London; BG's delaying her trip to Europe because of her mother and sister's illness</t>
  </si>
  <si>
    <t>00446</t>
  </si>
  <si>
    <t>1920_03_19</t>
  </si>
  <si>
    <t>32044150449056_029, 32044150449056_030, 32044150449056_031, 32044150449056_032, 32044150449056_033, 32044150449056_034, 32044150449056_035, 32044150449056_036, 32044150449056_037, 32044150449056_038, 32044150449056_039, 32044150449056_040, 32044150449056_041, 32044150449056_042, 32044150449056_043, 32044150449056_044</t>
  </si>
  <si>
    <t>THE BERKELEY HOTEL / PICADILLY, W.1</t>
  </si>
  <si>
    <t>77a,78b, 79c, 80d, 81e, 82f, 83g, 84h</t>
  </si>
  <si>
    <t>1920-17</t>
  </si>
  <si>
    <t>Benson, Robert Henry; Benson, Evelyn Holford; de Forest; Hewitt (?); Gould, Marjorie; Halford, Sir Henry; Manners, Louise (Countess of Dysart); Read, Charles Hercules; Witt (?); Thompson, Henry Yates; Smith, Vivian; Grenfell, Francis; Morgan, Jane Grew; Morgan, Jack; Lindsey, David (Earl of Crawford); Coke, Arthur (Earl of Leicester); Cavendish, Victor (known as Devonshire, may be someone else); The Royal Family; Eumorfopoulos, George; Smith, Cecil; Duveens; Seligmann, Jacques; Gibson-Carmicheal, Thomas (Lord Carmicheal); Cockerell, Sydney; Clarke, Louis (?); Holson (?); Raphael (?); Cust (?); Vise, Thomas B.; Forman, Harry Buxton; Breck, Joseph; Hyvernat, Henri; Hamilton, Carl W.; Robinson, Edward</t>
  </si>
  <si>
    <r>
      <rPr>
        <rFont val="Times New Roman"/>
        <color theme="1"/>
        <sz val="12.0"/>
      </rPr>
      <t xml:space="preserve">art dealing; BG's social world; personal collections; Spanish art; </t>
    </r>
    <r>
      <rPr>
        <rFont val="Times New Roman"/>
        <b/>
        <color theme="1"/>
        <sz val="12.0"/>
      </rPr>
      <t>African art</t>
    </r>
    <r>
      <rPr>
        <rFont val="Times New Roman"/>
        <color theme="1"/>
        <sz val="12.0"/>
      </rPr>
      <t xml:space="preserve">; Chinese art; Medieval and Renaissance manuscripts; cultural institutions; paintings; sculpture; BG's travel; </t>
    </r>
    <r>
      <rPr>
        <rFont val="Times New Roman"/>
        <b/>
        <color theme="1"/>
        <sz val="12.0"/>
      </rPr>
      <t>finance</t>
    </r>
  </si>
  <si>
    <t>Holkham Hall; Spanish-American art; Congolese art; Chinese figures; Lambeth Palace; Society of Antiquaries of London; The Chester Beatty Museum; The British Museum; John Keats; Percy Shelley; The Metropolitan Museum; Coptic manuscript; Pope; St. Cuthbert</t>
  </si>
  <si>
    <t>2020/07/14</t>
  </si>
  <si>
    <t>2020/07/16</t>
  </si>
  <si>
    <t>00447</t>
  </si>
  <si>
    <t>1920_04_01</t>
  </si>
  <si>
    <t>32044150449056_047, 32044150449056_048, 32044150449056_049, 32044150449056_050, 32044150449056_051, 32044150449056_052</t>
  </si>
  <si>
    <t>86a, 87b, 88c</t>
  </si>
  <si>
    <t>1920-6</t>
  </si>
  <si>
    <r>
      <rPr>
        <rFont val="Times New Roman"/>
        <color theme="1"/>
        <sz val="12.0"/>
      </rPr>
      <t xml:space="preserve">Benson, Evelyn Holford; Thompson, Henry Yates; Cockerell, Sydney; Hyvernat, Henri; Witt, Robert; Astor, Ava Willing; Benson, Robert Henry; Colvin, Sidney; Morgan, J. Pierpont, Jr.; Morgan, Jane Grew; </t>
    </r>
    <r>
      <rPr>
        <rFont val="Times New Roman"/>
        <color theme="1"/>
        <sz val="12.0"/>
      </rPr>
      <t>Cunard, Maud; Hornby, St John; Smith, Vivian; Callus; Bunyun</t>
    </r>
  </si>
  <si>
    <t>BG's health; BG's social world; Medieval and Renaissance manuscripts; BG's personal collection; acquisitions; personal collections</t>
  </si>
  <si>
    <t>BG's encouraging BB to write explicitly about his feelings toward the Bensons; BG's affirmation of her love for the Bensons; BG's planning her trip to Europe; Thompson sale</t>
  </si>
  <si>
    <t>00448</t>
  </si>
  <si>
    <t>1920_04_15</t>
  </si>
  <si>
    <t>32044150449056_053, 32044150449056_054, 32044150449056_055</t>
  </si>
  <si>
    <t>Rome / Excelsior</t>
  </si>
  <si>
    <t>89a, 90c, 91b</t>
  </si>
  <si>
    <t>1920-7</t>
  </si>
  <si>
    <t xml:space="preserve">BG's arrival in Rome; BG's making plans to see BB </t>
  </si>
  <si>
    <t>00449</t>
  </si>
  <si>
    <t>1920_04_19</t>
  </si>
  <si>
    <t>32044150449056_056, 32044150449056_057</t>
  </si>
  <si>
    <t>92-93</t>
  </si>
  <si>
    <t>Gasquet; Mercati</t>
  </si>
  <si>
    <t>BG's excitement to see BG; BG's appointment at the Vatican</t>
  </si>
  <si>
    <t>00450</t>
  </si>
  <si>
    <t>1920_04_UNDATED_01</t>
  </si>
  <si>
    <t>32044150449056_058</t>
  </si>
  <si>
    <t>1920-23</t>
  </si>
  <si>
    <t>BG's travel; Italian art</t>
  </si>
  <si>
    <t>BG's updating BB on her plans; BG's sense of humor</t>
  </si>
  <si>
    <t>00451</t>
  </si>
  <si>
    <t>1920_04_UNDATED_02</t>
  </si>
  <si>
    <t>32044150449056_045, 32044150449056_046</t>
  </si>
  <si>
    <t>1920-5</t>
  </si>
  <si>
    <t>Cover of an envelope to be delivered to BB</t>
  </si>
  <si>
    <t>00452</t>
  </si>
  <si>
    <t>1920_05_01_02</t>
  </si>
  <si>
    <t>3204450449064_001, 3204450449064_002, 32044150449064_003, 32044150449064_004</t>
  </si>
  <si>
    <t>95-96</t>
  </si>
  <si>
    <t>1920-8; 1920-9</t>
  </si>
  <si>
    <t>I Tatti recorded as two letters; combined in the spreadsheet and the folders</t>
  </si>
  <si>
    <t>Cerelli</t>
  </si>
  <si>
    <t>BG's travels; scholarship; BG's social world; current events</t>
  </si>
  <si>
    <t>[Much of letter is illegible] BG's time in Florence; BG's trip to Paris delayed because of strikes</t>
  </si>
  <si>
    <t>00453</t>
  </si>
  <si>
    <t>1920_05_12</t>
  </si>
  <si>
    <t>32044150449064_005, 32044150449064_006, 32044150449064_007, 32044150449064_008, 32044150449064_009, 32044150449064_010</t>
  </si>
  <si>
    <t>HOTEL EDOUARD VII / Rue &amp; Place Edouard VII / PARIS</t>
  </si>
  <si>
    <t>97a, 98c, 99b</t>
  </si>
  <si>
    <t>1920-10</t>
  </si>
  <si>
    <r>
      <rPr>
        <rFont val="Times New Roman"/>
        <color theme="1"/>
        <sz val="12.0"/>
      </rPr>
      <t xml:space="preserve">Morgan, J. Pierpont, Jr.; </t>
    </r>
    <r>
      <rPr>
        <rFont val="Times New Roman"/>
        <color theme="1"/>
        <sz val="12.0"/>
      </rPr>
      <t>Fröhner, Wilhelm; Trevelyan, George Macaulay; Mrs. Trevelyan, George Macaulay; Grant, Duncan James Corrowr; Bell, Arthur Clive Heward; Bell, Vanessa; Eddy, Spencer Fayette; Spreckels, Lurline Elizabeth; Belmont, Oliver Hazard Perry; Tiffany, Louis Comfort; Gladys</t>
    </r>
  </si>
  <si>
    <t>BG's travel; current events; BG's health; BG's social world; art dealing; sculpture</t>
  </si>
  <si>
    <t>BG on train from Paris to Cherbourg, writing from a "car de luxe"; BG's suffering from swollen jaw; BG's complaining about taxi strike; BG's disdain for Grants, who spoke critically of BB and Mary; BG's sending cigarettes (BB) and stockings (Nicky) back to I Tatti</t>
  </si>
  <si>
    <t>00454</t>
  </si>
  <si>
    <t>1920_06_10</t>
  </si>
  <si>
    <t>32044150449064_011, 32044150449064_012</t>
  </si>
  <si>
    <t>1920-11</t>
  </si>
  <si>
    <r>
      <rPr>
        <rFont val="Times New Roman"/>
        <color theme="1"/>
        <sz val="12.0"/>
      </rPr>
      <t>McClellans</t>
    </r>
    <r>
      <rPr>
        <rFont val="Times New Roman"/>
        <color theme="1"/>
        <sz val="12.0"/>
      </rPr>
      <t>; Hamilton, Carl W.</t>
    </r>
  </si>
  <si>
    <t>BG's health; BG's travel</t>
  </si>
  <si>
    <t xml:space="preserve">BG's "interviewing" hotels to find out which ones are available for BB in the late fall/winter </t>
  </si>
  <si>
    <t>00455</t>
  </si>
  <si>
    <t>1920_06_12</t>
  </si>
  <si>
    <t>32044150449064_013, 32044150449064_014, 32044150449064_015, 32044150449064_016, 32044150449064_017, 32044150449064_018, 32044150449064_019, 32044150449064_020, 32044150449064_021, 32044150449064_022, 32044150449064_023, 32044150449064_024</t>
  </si>
  <si>
    <t>101-106</t>
  </si>
  <si>
    <t>1920-12</t>
  </si>
  <si>
    <r>
      <rPr>
        <rFont val="Times New Roman"/>
        <color theme="1"/>
        <sz val="12.0"/>
      </rPr>
      <t>Read, Charles Hercules; Baker Jr., George Fisher; Sachs, Paul J. ; Gladys;</t>
    </r>
    <r>
      <rPr>
        <rFont val="Times New Roman"/>
        <color theme="1"/>
        <sz val="12.0"/>
      </rPr>
      <t xml:space="preserve"> Mrs. Baker Jr., George Fisher (Edith Brevoort Kane)</t>
    </r>
    <r>
      <rPr>
        <rFont val="Times New Roman"/>
        <color theme="1"/>
        <sz val="12.0"/>
      </rPr>
      <t>; Trevelyan, George Macaulay; Dr. Vaughan; Morgan, J. Pierpont, Jr.</t>
    </r>
  </si>
  <si>
    <t>BG's health; BG's travel; BG's social world; art dealing; Byzantine art; Medieval and Renaissance manuscripts; acquisitions; scholarship; politics; BG's leisure</t>
  </si>
  <si>
    <t>BG's oral surgery; BG's return to New York; BG's explanation of her relationship with Trevelyan; BG's considering purchase of Byzantine manuscript, asking for BB's advice; challenges with shipping art abroad; BG's disgust with the Republican party's behavior during Chicago convention; BG to see yacht races</t>
  </si>
  <si>
    <t>Done?</t>
  </si>
  <si>
    <t>00456</t>
  </si>
  <si>
    <t>1920_06_29</t>
  </si>
  <si>
    <t>32044150449064_025, 32044150449064_026, 32044150449064_027, 32044150449064_028, 32044150449064_029, 32044150449064_030, 32044150449064_031, 32044150449064_032, 32044150449064_033, 32044150449064_034, 32044150449064_035, 32044150449064_036, 32044150449064_037, 32044150449064_038, 32044150449064_039, 32044150449064_040</t>
  </si>
  <si>
    <t>123 East 38th Street / New York</t>
  </si>
  <si>
    <t>101-114</t>
  </si>
  <si>
    <t>1920-13</t>
  </si>
  <si>
    <r>
      <rPr>
        <rFont val="Times New Roman"/>
        <color theme="1"/>
        <sz val="12.0"/>
      </rPr>
      <t>Robinson, Edward; Marbury, Elisabeth; Sherman, Frederic Fairchild; Breck, Joseph; Hyvernat, Henri; Hamilton, Carl W. ; Duveen, Joseph;</t>
    </r>
    <r>
      <rPr>
        <rFont val="Times New Roman"/>
        <color theme="1"/>
        <sz val="12.0"/>
      </rPr>
      <t xml:space="preserve"> Samuels, Mitchell</t>
    </r>
    <r>
      <rPr>
        <rFont val="Times New Roman"/>
        <color theme="1"/>
        <sz val="12.0"/>
      </rPr>
      <t>; Morgan, J. Pierpont, Jr.; Valentiner, Wilhelm; Knoedler, Roland</t>
    </r>
  </si>
  <si>
    <t>scholarship; BG's leisure; art dealing; politics; decorative arts; BG's travel</t>
  </si>
  <si>
    <t>BB to stay with Hamiltons in Paris; BG's admitting that she has not curated museum show (?) yet; BG's description of her relationship with JPM Jr.; Benedict XIV; Art in America; BG's description of state of art collecting business; JPM Jr.'s desire to meet BB: JPM Jr.'s poor taste in art</t>
  </si>
  <si>
    <t>00457</t>
  </si>
  <si>
    <t>1920_07_20</t>
  </si>
  <si>
    <t>32044150449072_001, 32044150449072_002</t>
  </si>
  <si>
    <t>1920-14</t>
  </si>
  <si>
    <t>Appears to be incomplete – leaves off in the middle of a sentence</t>
  </si>
  <si>
    <t>Morgan, J. Pierpont, Jr.</t>
  </si>
  <si>
    <t>BG's swollen jaw; BG's suprise at BB's "burst of affection;" BG's musings about why their reunion in Rome went "rather wrong"</t>
  </si>
  <si>
    <t>00458</t>
  </si>
  <si>
    <t>1920_09_01</t>
  </si>
  <si>
    <t>32044150449072_003, 32044150449072_004, 32044150449072_005, 32044150449072_006, 32044150449072_007, 32044150449072_008</t>
  </si>
  <si>
    <t>116-118</t>
  </si>
  <si>
    <t>1920-15</t>
  </si>
  <si>
    <r>
      <rPr>
        <rFont val="Times New Roman"/>
        <color theme="1"/>
        <sz val="12.0"/>
      </rPr>
      <t xml:space="preserve">Duveen, Joseph; Raphael; Read, Charles Hercules; Valentiner, Wilhelm; Cockerell, Sydney; Sherman, Frederic Fairchild; </t>
    </r>
    <r>
      <rPr>
        <rFont val="Times New Roman"/>
        <color theme="1"/>
        <sz val="12.0"/>
      </rPr>
      <t>Scaramanga, Julia; Eumorfopoulos, George Aristides</t>
    </r>
  </si>
  <si>
    <t>BG's health; BG's leisure; sculpture; Chinese art; Japanese art; scholarship; British literature; personal collections; art dealing</t>
  </si>
  <si>
    <t>BG's polo accident; BG's discussion of the "Eumo" family; BG's recommendation that BB see Raphael's collection in London; BB's changing publishing firms</t>
  </si>
  <si>
    <t>00459</t>
  </si>
  <si>
    <t>1920_10_19</t>
  </si>
  <si>
    <t>32044150449072_009, 32044150449072_010, 32044150449072_011, 32044150449072_012, 32044150449072_013, 32044150449072_014, 32044150449072_015, 32044150449072_016, 32044150449072_017, 32044150449072_018</t>
  </si>
  <si>
    <t>123 EAST 38TH STREET</t>
  </si>
  <si>
    <t>119-123</t>
  </si>
  <si>
    <t>1920-16</t>
  </si>
  <si>
    <t>d'Hendecourt, Bernard; Frick, Helen; Durlacher, George; Stein, Leo; Breck, Joseph; Valentiner, Wilhelm; Duveen, Joseph; Witt, Robert; Aldrich, Chester Holmes; Smith, Hammond; Breck, Joseph; Widener, Joseph</t>
  </si>
  <si>
    <t>art dealing; race and ethnicity; BG's social world; scholarship; finance; BG's art collection; Italian art; painting</t>
  </si>
  <si>
    <t>BG's anti-Semitism; BG's busy social schedule due to friends' arrivals from Europe</t>
  </si>
  <si>
    <t>2020/07/17</t>
  </si>
  <si>
    <t>00460</t>
  </si>
  <si>
    <t>1920_11_24</t>
  </si>
  <si>
    <t>32044150449080_001, 32044150449080_002, 32044150449080_003, 32044150449080_004, 32044150449080_005, 32044150449080_006, 32044150449080_007</t>
  </si>
  <si>
    <t>124-127</t>
  </si>
  <si>
    <t>1920-18</t>
  </si>
  <si>
    <t>Fifth and sixth pages out of order; unsure which Moore BG is referring to</t>
  </si>
  <si>
    <t>Walters, Henry; Blumenthal, Florence Meyer; Hamilton, Carl W. ; Cockerell, Sydney; Blumenthal, George; Moore, Charles; Moore, Roland</t>
  </si>
  <si>
    <t>BG's making plans to see BB in New York</t>
  </si>
  <si>
    <t>00461</t>
  </si>
  <si>
    <t>1920_12_04</t>
  </si>
  <si>
    <t>32044150449080_008, 32044150449080_009</t>
  </si>
  <si>
    <t>1920-19</t>
  </si>
  <si>
    <t>BG's apologizing for not stopping by to see BB; BG's asking BB to telephone her instead</t>
  </si>
  <si>
    <t>00462</t>
  </si>
  <si>
    <t>1920_12_27</t>
  </si>
  <si>
    <t>32044150449080_010, 32044150449080_011, 32044150449080_012, 32044150449080_013, 32044150449080_014, 32044150449080_015</t>
  </si>
  <si>
    <t>129-131</t>
  </si>
  <si>
    <t>1920-20</t>
  </si>
  <si>
    <t>Greenslet, Ferris; Morgan, J. Pierpont, Jr.; Perkins, Frederick Mason; Gardner, Isabella Stewart; Wetzel, Harvey E.; Blumenthal, George</t>
  </si>
  <si>
    <t>BG's social world; personal collections; BG's travel; finance; current events; cultural institutions</t>
  </si>
  <si>
    <t>BB's publishing; holiday festivities; Isabella Gardner's declining health; Hervey Wetzel's death; BB's upcoming visit to the United States</t>
  </si>
  <si>
    <t>2020/07/20</t>
  </si>
  <si>
    <t>00463</t>
  </si>
  <si>
    <t>1920_12_28</t>
  </si>
  <si>
    <t>32044150449080_016, 32044150449080_017, 32044150449080_018, 32044150449080_019, 32044150449080_020, 32044150449080_021</t>
  </si>
  <si>
    <t>132-134</t>
  </si>
  <si>
    <t>1920-21</t>
  </si>
  <si>
    <t>Tuesday was not the 29th in 1920, but the 28th [?confirm]</t>
  </si>
  <si>
    <t>Blumenthal, George; Blumenthal, Florence Meyer</t>
  </si>
  <si>
    <t>personal collections; Italian art; politics; race and ethnicity</t>
  </si>
  <si>
    <r>
      <rPr>
        <rFont val="Times New Roman"/>
        <color theme="1"/>
        <sz val="12.0"/>
      </rPr>
      <t xml:space="preserve">BG's third attempt at the letter; BG's frustration with visitors; visit of two Radcliffe women to the library; the </t>
    </r>
    <r>
      <rPr>
        <rFont val="Times New Roman"/>
        <i/>
        <color theme="1"/>
        <sz val="12.0"/>
      </rPr>
      <t xml:space="preserve">Protocols </t>
    </r>
    <r>
      <rPr>
        <rFont val="Times New Roman"/>
        <color theme="1"/>
        <sz val="12.0"/>
      </rPr>
      <t>and anti-Semitism</t>
    </r>
  </si>
  <si>
    <t>00464</t>
  </si>
  <si>
    <t>1920_12_31</t>
  </si>
  <si>
    <t>32044150449080_022, 32044150449080_023, 32044150449080_024, 32044150449080_025, 32044150449080_026, 32044150449080_027, 32044150449080_028, 32044150449080_029, 32044150449080_030, 32044150449080_031</t>
  </si>
  <si>
    <t>135-139</t>
  </si>
  <si>
    <t>1920-22</t>
  </si>
  <si>
    <t>d'Hendecourt, Bernard; Blumenthal, Florence Meyer; Morgan, J. Pierpont, Jr.; Sachs, Paul J. ; Perkins, Frederick Mason; Forbes, Edward W.</t>
  </si>
  <si>
    <t>BG's health; BG's social world; art dealing; personal collections; BG's travel; Egyptian art; cultural institutions; scholarship; race and ethnicity; Italian art</t>
  </si>
  <si>
    <r>
      <rPr>
        <rFont val="Times New Roman"/>
        <color theme="1"/>
        <sz val="12.0"/>
      </rPr>
      <t xml:space="preserve">BG's pneumonia; the Blumenthals' Titian; BG's upcoming trip to Boston; BG to work in the Oriental and Egyptian departments of the (Morgan?) Museum; the </t>
    </r>
    <r>
      <rPr>
        <rFont val="Times New Roman"/>
        <i/>
        <color theme="1"/>
        <sz val="12.0"/>
      </rPr>
      <t xml:space="preserve">Protocols </t>
    </r>
    <r>
      <rPr>
        <rFont val="Times New Roman"/>
        <color theme="1"/>
        <sz val="12.0"/>
      </rPr>
      <t>and anti-Semitism; BG's family leaving to her sister's (which one?) home in the countryside</t>
    </r>
  </si>
  <si>
    <t>2020/07/21</t>
  </si>
  <si>
    <t>00465</t>
  </si>
  <si>
    <t>1921_01_01</t>
  </si>
  <si>
    <t>32044150449098_001, 32044150449098_002, 32044150449098_003, 32044150449098_004, 32044150449098_005</t>
  </si>
  <si>
    <t>140-143</t>
  </si>
  <si>
    <t>1921-1</t>
  </si>
  <si>
    <t>Conjectural date: "my first letter in 1921" in BG's hand on first page</t>
  </si>
  <si>
    <t>Leveridge, Robert Mackenzie; Greene, Genevieve Ida Van Vliet Fleet; Harvey, Theodora; Johnson, Evangeline Brewster</t>
  </si>
  <si>
    <t>BG's health; music; BG's social world</t>
  </si>
  <si>
    <t>BG's family leaving to the country; BG's making plans to see BB; BB's "Kindergarten" (?)</t>
  </si>
  <si>
    <t>00466</t>
  </si>
  <si>
    <t>1921_01_04</t>
  </si>
  <si>
    <t>32044150449098_006, 32044150449098_007, 32044150449098_008, 32044150449098_009, 32044150449098_010, 32044150449098_011, 32044150449098_012, 32044150449098_013</t>
  </si>
  <si>
    <t>144-147</t>
  </si>
  <si>
    <t>1921-2</t>
  </si>
  <si>
    <t xml:space="preserve">Berenson, Senda; Wendell, Barrett; Gardner, Isabella Stewart; Valvrojenski, Albert; Mickleshanki, Judith 
</t>
  </si>
  <si>
    <t>BG's musings on her and BB's changing/changed relationship</t>
  </si>
  <si>
    <t>00467</t>
  </si>
  <si>
    <t>1921_01_12</t>
  </si>
  <si>
    <t>32044150449098_014, 32044150449098_015, 32044150449098_016, 32044150449098_017</t>
  </si>
  <si>
    <t>148-9</t>
  </si>
  <si>
    <t>1921-3</t>
  </si>
  <si>
    <t>Morgan, J. Pierpont, Jr.; Berenson, Mary</t>
  </si>
  <si>
    <t>JPM Jr.'s closing the library to visitors post-fight with BG; BG's leaving to Florida; BG's making plans with BB</t>
  </si>
  <si>
    <t>00468</t>
  </si>
  <si>
    <t>1921_02_28</t>
  </si>
  <si>
    <t>32044150449098_018, 32044150449098_019, 32044150449098_020, 32044150449098_021, 32044150449098_022, 32044150449098_023, 32044150449098_024, 32044150449098_025</t>
  </si>
  <si>
    <t>150-153</t>
  </si>
  <si>
    <t>1921-4</t>
  </si>
  <si>
    <t>Valentiner, Wilhelm; Morgan, J. Pierpont, Jr.; Greene, Russell da Costa</t>
  </si>
  <si>
    <t>cultural institutions; race and ethnicity; scholarship</t>
  </si>
  <si>
    <t xml:space="preserve">Valentiner's arrival in New York; BG's desire for anonymity </t>
  </si>
  <si>
    <t>00469</t>
  </si>
  <si>
    <t>1921_03_11</t>
  </si>
  <si>
    <t>32044150449106_006, 32044150449106_007</t>
  </si>
  <si>
    <t>YAMA FARMS / NAPANOCH, ULSTER CO., NEW YORK</t>
  </si>
  <si>
    <t>Napanoch, New York</t>
  </si>
  <si>
    <t>1921-5</t>
  </si>
  <si>
    <t>BG's clarifying an "unsatisfactory" telephone conversation with BB vis-a-vis her letter from 1/04</t>
  </si>
  <si>
    <t>00470</t>
  </si>
  <si>
    <t>1921_03_13</t>
  </si>
  <si>
    <t>32044150449106_008, 32044150449106_009, 32044150449106_010, 32044150449106_011</t>
  </si>
  <si>
    <t>160-163</t>
  </si>
  <si>
    <t>1921-7</t>
  </si>
  <si>
    <r>
      <rPr>
        <rFont val="Times New Roman"/>
        <color theme="1"/>
        <sz val="12.0"/>
      </rPr>
      <t xml:space="preserve">Freer, Charles Lang; Butler, Nicholas Murray; Nichols, Rose Standish; Rockefeller, John D.; Morgan, J. Pierpont, Jr.; Harvey, George; </t>
    </r>
    <r>
      <rPr>
        <rFont val="Times New Roman"/>
        <b/>
        <color theme="1"/>
        <sz val="12.0"/>
      </rPr>
      <t>Root (?): Hewitt, Caroline D. (?);  Miss Rhodes (?); Sinlithgow (?); Gibson, Preston</t>
    </r>
  </si>
  <si>
    <t>race and ethnicity; BG's travel</t>
  </si>
  <si>
    <t>BG's sense of humor; BG's trip to the countryside; BG's encounter with a half-English, half-Japanese guest; Freer's engagement to Rhodes; BG's desire to return to the countryside; BG's making plans to telephone BB; BG's disapproval of Harvey's "London" appointment (?)</t>
  </si>
  <si>
    <t>00471</t>
  </si>
  <si>
    <t>1921_03_18</t>
  </si>
  <si>
    <t>32044150449106_012, 32044150449106_013, 32044150449106_014</t>
  </si>
  <si>
    <t>164a, 165b, 166c</t>
  </si>
  <si>
    <t>1921-8</t>
  </si>
  <si>
    <t>BG's health; politics</t>
  </si>
  <si>
    <t>BG's malaria; BG's sadness at BB's departure; BG's making plans to see BB</t>
  </si>
  <si>
    <t>00472</t>
  </si>
  <si>
    <t>1921_03_22</t>
  </si>
  <si>
    <t>32044150449106_015, 32044150449106_016</t>
  </si>
  <si>
    <t>167-168</t>
  </si>
  <si>
    <t>1921-9</t>
  </si>
  <si>
    <t>BB's departure; BG's longing for and missing BB</t>
  </si>
  <si>
    <t>00473</t>
  </si>
  <si>
    <t>1921_03_23_25</t>
  </si>
  <si>
    <t>32044150449106_017, 32044150449106_018, 32044150449106_019, 32044150449106_020, 32044150449106_021, 32044150449106_022, 32044150449106_023, 32044150449106_024, 32044150449106_025, 32044150449106_026</t>
  </si>
  <si>
    <t>169-173</t>
  </si>
  <si>
    <t>1921-10</t>
  </si>
  <si>
    <r>
      <rPr>
        <rFont val="Times New Roman"/>
        <color theme="1"/>
        <sz val="12.0"/>
      </rPr>
      <t xml:space="preserve">Morgan, J. Pierpont, Jr.; Cram, Elizabeth Carrington Read; Manship, Paul; Platt, Dan Fellows; Platt, Ethel Appleby Bliss; Breck, Joseph; Faulkner, Barry; </t>
    </r>
    <r>
      <rPr>
        <rFont val="Times New Roman"/>
        <b/>
        <color theme="1"/>
        <sz val="12.0"/>
      </rPr>
      <t>Vanderlip, Frank Arthur Sr.; Vanderlip, Narcissa Cox; Plimpton (Plympton?); Janes (?); Hewitt, Caroline D. (?); Mr. Hewitt</t>
    </r>
  </si>
  <si>
    <t>BG's social world; cultural institutions; scholarship; BG's health; French literature; BG's travel</t>
  </si>
  <si>
    <t>BG's dinners and social engagements since BB's departure; BG's recruiting British museum curator to give a talk at the library; BG's lunch with one of BB's lovers</t>
  </si>
  <si>
    <t>2020/07/23</t>
  </si>
  <si>
    <t>00474</t>
  </si>
  <si>
    <t>1921_03_30</t>
  </si>
  <si>
    <t>32044150449106_027, 32044150449106_028, 32044150449106_029, 32044150449106_030, 32044150449106_031, 32044150449106_032, 32044150449106_033, 32044150449106_034, 32044150449106_035, 32044150449106_036, 32044150449106_037, 32044150449106_038, 32044150449106_039, 32044150449106_040, 32044150449106_041, 32044150449106_042</t>
  </si>
  <si>
    <t>174-181</t>
  </si>
  <si>
    <t>1921-11</t>
  </si>
  <si>
    <r>
      <rPr>
        <rFont val="Times New Roman"/>
        <color theme="1"/>
        <sz val="12.0"/>
      </rPr>
      <t>Hamilton, Carl W. ; Gimpel, René; Manship, Paul; Marbury, Elisabeth; Platt, Ethel Appleby Bliss; Faulkner, Barry; Gardner, Isabella Stewart; Sloane, Mary Espy Johnstone; Platt, Dan Fellows;</t>
    </r>
    <r>
      <rPr>
        <rFont val="Times New Roman"/>
        <b/>
        <color theme="1"/>
        <sz val="12.0"/>
      </rPr>
      <t xml:space="preserve"> Burrough, Mortimer Perry; Lee,  Laura Hammon; White, Henry; Schuyler, Louisa Lee; Schuyler, Georgina; Mrs. VJV (?); Hewitt, Caroline D. (?); Mr. Hewitt</t>
    </r>
  </si>
  <si>
    <t>BG's social world; personal collections; Italian art; paintings; art dealing; sculpture; scholarship</t>
  </si>
  <si>
    <t>Good weather in New York; BG's opinions of Platt's personal collection; Platt's opinion of BB; BG's one-on-one dinner with Bessie Marbury</t>
  </si>
  <si>
    <t>00475</t>
  </si>
  <si>
    <t>1921_03_UNDATED_01</t>
  </si>
  <si>
    <t>32044150449106_001, 32044150449106_002, 32044150449106_003, 32044150449106_004, 32044150449106_005</t>
  </si>
  <si>
    <t>154-158</t>
  </si>
  <si>
    <t>Morgan, Jane Grew; Morgan, J. Pierpont, Jr.; Miss Evang. (Evangeline?) J.</t>
  </si>
  <si>
    <t>BG's travel; sculpture; Greco-Roman art; paintings</t>
  </si>
  <si>
    <t>BG's trip to Washington, D.C.; BG's evolving feelings for BB; BG's observing/talking with BB's new love interest</t>
  </si>
  <si>
    <t>00476</t>
  </si>
  <si>
    <t>1921_04_01</t>
  </si>
  <si>
    <t>32044150449114_001, 32044150449114_002, 32044150449114_003, 32044150449114_004, 32044150449114_005, 32044150449114_006</t>
  </si>
  <si>
    <t>182-184</t>
  </si>
  <si>
    <t>1921-12</t>
  </si>
  <si>
    <t>BG's travel; BG's social world; BG's leisure</t>
  </si>
  <si>
    <t>BG's desire for seclusion; BG's trip out West</t>
  </si>
  <si>
    <t>00477</t>
  </si>
  <si>
    <t>1921_04_02</t>
  </si>
  <si>
    <t>32044150449114_007, 32044150449114_008, 32044150449114_009, 32044150449114_010, 32044150449114_011, 32044150449114_012, 32044150449114_013, 32044150449114_014</t>
  </si>
  <si>
    <t>185-188</t>
  </si>
  <si>
    <t>1921-13</t>
  </si>
  <si>
    <r>
      <rPr>
        <rFont val="Times New Roman"/>
        <color theme="1"/>
        <sz val="12.0"/>
      </rPr>
      <t xml:space="preserve">Cook, Herbert Frederick; Reinach, Salomon; Morgan, J. Pierpont, Jr.; </t>
    </r>
    <r>
      <rPr>
        <rFont val="Times New Roman"/>
        <b/>
        <color theme="1"/>
        <sz val="12.0"/>
      </rPr>
      <t xml:space="preserve">Millet, Gabriel; Moll, Oskar; de Wily; Reinach, Salomon; Goulden, Richard Reginald; Pedulli; </t>
    </r>
  </si>
  <si>
    <t>Spanish art; Medieval and Renaissance manuscripts; paintings; scholarship; Italian art; French literature; Russian literature</t>
  </si>
  <si>
    <r>
      <rPr>
        <rFont val="Times New Roman"/>
        <color theme="1"/>
        <sz val="12.0"/>
      </rPr>
      <t xml:space="preserve">BG's skepticism toward Spanish art; Morgan Library's subsidizing Cook publication; Cellini; Badier's </t>
    </r>
    <r>
      <rPr>
        <rFont val="Times New Roman"/>
        <i/>
        <color theme="1"/>
        <sz val="12.0"/>
      </rPr>
      <t>Ségundes Epignes</t>
    </r>
  </si>
  <si>
    <t>00478</t>
  </si>
  <si>
    <t>1921_04_08</t>
  </si>
  <si>
    <t>32044150449114_015, 32044150449114_016, 32044150449114_017, 32044150449114_018, 32044150449114_019, 32044150449114_020, 32044150449114_021, 32044150449114_022, 32044150449114_023, 32044150449114_024, 32044150449114_025, 32044150449114_026, 32044150449114_027, 32044150449114_028, 32044150449114_029, 32044150449114_030, 32044150449114_031, 32044150449114_032, 32044150449114_033, 32044150449114_034</t>
  </si>
  <si>
    <t>189-198</t>
  </si>
  <si>
    <t>1921-14</t>
  </si>
  <si>
    <r>
      <rPr>
        <rFont val="Times New Roman"/>
        <color theme="1"/>
        <sz val="12.0"/>
      </rPr>
      <t xml:space="preserve">Frick, Helen; Morgan, J. Pierpont, Jr.; Morgan, Jane Grew; Hamilton, Carl W.; Ricci, Seymour de; Gimpel, René; </t>
    </r>
    <r>
      <rPr>
        <rFont val="Times New Roman"/>
        <b/>
        <color theme="1"/>
        <sz val="12.0"/>
      </rPr>
      <t>Thomas, George Grosvenor;  Schiff, Mortimer Loeb; Lehman, Robert Owen; Lehman, Phillip; Astor, Helen Schermerhorn; Pratt, Ruth Sears; Beaux, Eliza Cecilia; E. Cutting (?); Lord Richard Verill (?); Sommi; Alice de L. (?); Mr. Porter (?)</t>
    </r>
  </si>
  <si>
    <t>BG's health; statues; Italian art; paintings; decorative arts; BG's social world; cultural institutions; scholarship; English art; Flemish art</t>
  </si>
  <si>
    <t>BG's viewing Italian sculpture with Gimpel; Chartres' reproductions; BB's work on the Widener and Johnson catalogue; BG's viewing of a stained glass collection; JPM Jr.'s growing taste in art; American Academy of Rome; BG's skepticism toward C. Beaux; Siren's Leonardo &amp; Jarves; Porter's Lombard Architecture</t>
  </si>
  <si>
    <t>00479</t>
  </si>
  <si>
    <t>1921_04_10_14_15</t>
  </si>
  <si>
    <t>32044150449114_035, 32044150449114_036, 32044150449114_037, 32044150449114_038, 32044150449114_039, 32044150449114_040, 32044150449114_041, 32044150449114_042, 32044150449114_043, 32044150449114_044, 32044150449114_045, 32044150449114_046, 32044150449114_047, 32044150449114_048, 32044150449114_049, 32044150449114_050, 32044150449114_051, 32044150449114_052, 32044150449114_053</t>
  </si>
  <si>
    <t>199-209</t>
  </si>
  <si>
    <t>1921-15</t>
  </si>
  <si>
    <r>
      <rPr>
        <rFont val="Times New Roman"/>
        <color theme="1"/>
        <sz val="12.0"/>
      </rPr>
      <t xml:space="preserve">Kahn, Otto Hermann; Berenson, Mary; Martin, Frederick; Davidson, Jo; Harding, Warren G.; Hapgood, Norman; Morgan, J. Pierpont, Jr.; Carter, Jesse Benedict; </t>
    </r>
    <r>
      <rPr>
        <rFont val="Times New Roman"/>
        <b/>
        <color theme="1"/>
        <sz val="12.0"/>
      </rPr>
      <t>Lamont, Thomas William, Jr.; Pinchot, Gifford; Cooley, Charles Horton; Stettinius, Edward Reilly; Nevill (?); Dunn, Gano Sillick (?); Woollcott, Alexander Humphreys; Grimson (?); Rhett, Florine (?); Boknet (?); Baron de Larzen</t>
    </r>
  </si>
  <si>
    <t>BG's social world; politics; current events; scholarship; cultural institutions; race and ethnicity; music; Russian literature</t>
  </si>
  <si>
    <r>
      <rPr>
        <rFont val="Times New Roman"/>
        <color theme="1"/>
        <sz val="12.0"/>
      </rPr>
      <t xml:space="preserve">BG's summary of the U.S.'s cancellation of allied funds (?) post-WWI; BG's explanation of JPM Jr.'s role in cancellation; BG's re-reading BB's "Franciscan legend;" Kandakoff's </t>
    </r>
    <r>
      <rPr>
        <rFont val="Times New Roman"/>
        <i/>
        <color theme="1"/>
        <sz val="12.0"/>
      </rPr>
      <t>Histoire de l'Art Byzantin</t>
    </r>
  </si>
  <si>
    <t>2020/8/18</t>
  </si>
  <si>
    <t>00480</t>
  </si>
  <si>
    <t>1921_04_14</t>
  </si>
  <si>
    <t>32044150449114_055, 32044150449114_056</t>
  </si>
  <si>
    <t>Mr. Morgan's Library, / 33, East 36th, / New York</t>
  </si>
  <si>
    <t>1921-16</t>
  </si>
  <si>
    <t>BG's leisure</t>
  </si>
  <si>
    <t>BG's teasing BB; BG's going out to lunch/for a ride with a "You-substitute"</t>
  </si>
  <si>
    <t>00481</t>
  </si>
  <si>
    <t>1921_04_18_19</t>
  </si>
  <si>
    <t>32044150449114_057, 32044150449114_058, 32044150449114_059, 32044150449114_060, 32044150449114_061, 32044150449114_062, 32044150449114_063, 32044150449114_064, 32044150449114_065, 32044150449114_066, 32044150449114_067, 32044150449114_068, 32044150449114_069, 32044150449114_070, 32044150449114_071, 32044150449114_072</t>
  </si>
  <si>
    <t>211-218</t>
  </si>
  <si>
    <t>1921-17</t>
  </si>
  <si>
    <t>Morgan, Junius Spencer; Morgan, J. Pierpont; Meyer, Agnes</t>
  </si>
  <si>
    <t>Italian art; decorative arts; Italian literature; scholarship; Medieval and Renaissance manuscripts; BG's travel; BG's health; sculpture</t>
  </si>
  <si>
    <t>Hartford Cemetery; Chinese Art Exhibition; JPM's death anniversary; BG's seeing Junius Morgan</t>
  </si>
  <si>
    <t>00482</t>
  </si>
  <si>
    <t>1921_04_26</t>
  </si>
  <si>
    <t>32044150449114_073, 32044150449114_074, 32044150449114_075, 32044150449114_076, 32044150449114_077, 32044150449114_078, 32044150449114_079, 32044150449114_080, 32044150449114_081, 32044150449114_082, 32044150449114_083</t>
  </si>
  <si>
    <t>219-223</t>
  </si>
  <si>
    <t>1921-18</t>
  </si>
  <si>
    <t>Platt, Ethel Appleby Bliss; Lythgoe, Albert Morton; Meyer, Agnes; Rockefeller, John D. Jr.; Morgan, Josephine Adams Perry; Lang, Andrew; Morgan, J. Pierpont; Witt, Robert; Pyne, Moses Taylor; Breck, Joseph; Morgan, J. Pierpont, Jr. ; Platt, Dan Fellows; Manship, Paul; Winlock, Herbert Eustis; Rockefeller, John D.; Manship, Isabel McIlwaine; Havemeyer, Louisine Waldron Elder; Bédier, Joseph; Thurston, Ada</t>
  </si>
  <si>
    <t>acquistions; Medieval and Renaissance manuscripts; BG's social world; cultural institutions; Egyptian art; sculpture; modern art; personal collections; scholarship; Russian literature</t>
  </si>
  <si>
    <t>Hyères, France; Bédier's "Tristan"; Mardrus' "Mille nuits"; Lang's translation of "Aucassin &amp; Nicolete"; logs of Marie de France; Legendes Epiques; BB's great like of Paul Manship; lunch at the Round Table with Breck; Winlock's painted tomb discovery in Egypt; secret Museum purchase of an "over-life size" Roman terracotta figure; Vecchietta terracotta figure purchased by Breck; preview of exhibition of Modern Painting; Dan Platt's art lecture at Princeton; St. Francis (Sassetta); beauty of country living; Witt's knighthood</t>
  </si>
  <si>
    <t>2020/07/27</t>
  </si>
  <si>
    <t>00483</t>
  </si>
  <si>
    <t>1921_04_30</t>
  </si>
  <si>
    <t>32044150449114_084, 32044150449114_085</t>
  </si>
  <si>
    <t>1921-19</t>
  </si>
  <si>
    <t>No letter head- return address on envelope: Mr. Morgan's Library 33 East 36th Street, New York</t>
  </si>
  <si>
    <t>Spanish art; paintings</t>
  </si>
  <si>
    <t>BG's thanking BB for his cable; BG's work on cataloguing photographs of Spanish art/painting</t>
  </si>
  <si>
    <t>00484</t>
  </si>
  <si>
    <t>1921_UNDATED_01</t>
  </si>
  <si>
    <t>32044150449114_086, 32044150449114_087</t>
  </si>
  <si>
    <t>Incomplete – middle pages of another letter</t>
  </si>
  <si>
    <t>BG's wanting BB to keep something from "the children;" BG's desire to travel</t>
  </si>
  <si>
    <t>00485</t>
  </si>
  <si>
    <t>1921_05_10</t>
  </si>
  <si>
    <t>32044150449122_001, 32044150449122_002, 32044150449122_003, 32044150449122_004, 32044150449122_005, 32044150449122_006, 32044150449122_007, 32044150449122_008</t>
  </si>
  <si>
    <t>227-230</t>
  </si>
  <si>
    <t>1921-20</t>
  </si>
  <si>
    <t>00486</t>
  </si>
  <si>
    <t>1921_05_14</t>
  </si>
  <si>
    <t>32044150449122_009, 32044150449122_010, 32044150449122_011, 32044150449122_012</t>
  </si>
  <si>
    <t>1921-21</t>
  </si>
  <si>
    <t>00487</t>
  </si>
  <si>
    <t>1921_05_25</t>
  </si>
  <si>
    <t>32044150449122_013, 32044150449122_014, 32044150449122_015, 32044150449122_016, 32044150449122_017, 32044150449122_018, 32044150449122_019, 32044150449122_020, 32044150449122_021, 32044150449122_022, 32044150449122_023, 32044150449122_024, 32044150449122_025, 32044150449122_026, 32044150449122_027, 32044150449122_028, 32044150449122_029, 32044150449122_030, 32044150449122_031, 32044150449122_032, 32044150449122_033, 32044150449122_034, 32044150449122_035, 32044150449122_036, 32044150449122_037, 32044150449122_038, 32044150449122_039, 32044150449122_040, 32044150449122_041, 32044150449122_042, 32044150449122_043</t>
  </si>
  <si>
    <t>BELLE &amp; 123 EAST 38TH STREET</t>
  </si>
  <si>
    <t>233-248</t>
  </si>
  <si>
    <t>1921-22</t>
  </si>
  <si>
    <t>00488</t>
  </si>
  <si>
    <t>1921_06_06</t>
  </si>
  <si>
    <t>32044150449130_001, 32044150449130_002, 32044150449130_003,32044150449130_004</t>
  </si>
  <si>
    <t>249-250</t>
  </si>
  <si>
    <t>1921-23</t>
  </si>
  <si>
    <t>00489</t>
  </si>
  <si>
    <t>1921_06_13</t>
  </si>
  <si>
    <t>32044150449130_007, 32044150449130_008, 32044150449130_009, 32044150449130_0010, 32044150449130_011, 32044150449130_012, 32044150449130_013, 32044150449130_014, 32044150449130_015, 32044150449130_016, 32044150449130_017, 32044150449130_018, 32044150449130_019, 32044150449130_020, 32044150449130_021, 32044150449130_022, 32044150449130_023, 32044150449130_024, 32044150449130_025, 32044150449130_026, 32044150449130_027, 32044150449130_028, 32044150449130_029, 32044150449130_030, 32044150449130_031, 32044150449130_032, 32044150449130_033, 32044150449130_034, 32044150449130_035, 32044150449130_036</t>
  </si>
  <si>
    <t>251a, 252b, 253c, 254d, 255e, 256f, 257g, 258h, 259i, 260l, 261m, 262n, 263o, 264p, 265q</t>
  </si>
  <si>
    <t>1921-24</t>
  </si>
  <si>
    <t>Valtiner, Wilhelm; Goldman, Henry; Robinson, Edward; Sachs, Paul; Duveen, Joseph; Frick, Henry Clay; Berenson, Mary; Morgan, Jack; Frick, Helen; Witt, Robert; Perkins, Frederick; Parker, John Henry; Sitwell, George R.; Faulkner, Barry; Hamilton, Carl W.; Harvey, George; JPM; Johnson?; Harding, Warren G.; Lodge, Henry Cabot; Butler?; Kahn, Otto; Knecht, Marcel; Casenove?; Hearst, William Randolph; Brisbane, Arthur; Chanler, Margaret; Chanler, Winthrop; Warren, Whiting?; Scrinburne?; Duveens; Jastrow, Moris; Clay, Albert T.; Cram, Ralph Adams; Stockton, Kate; Beekman, Frances Lewis Livingston</t>
  </si>
  <si>
    <t>Valentiner's scholarship; Gustave Schlumberger, L'épopée byzantine; Albert Leon Guerard, French Civilization: From Its Origins to the Close of the Middle Ages; Berenson, A Sienese Painter of the Franciscan Legend; BG dislike of inscribed copies of books; incorporation of Morgan Library; Trustees of Frick Collection; sending photographs to Witt Library; Visconti-Sforza Tarot Cards (MS M.630)?; Lives of the Father manuscript in MLM; expense of having photographs made of collection items; New York Historical Society; Lo Scheggia, Triumph of Fame (Met, 1995.7); photographing Lo Scheggia's Triumph of Fame for BB; Lombard architecture; Yale University; Perugino, Virgin and Saints Adoring the Christ Child (MLM, AZ066); Carl Hamilton collecton; Lytton Strachey, Queen Victoria; Harper's Magazine; Century Magazine; French government anti-semitism; Belgium; rebuilding Louvain Library; BG Secretary of Louvain Library Committee; National Gallery; Margaritone d'Arezzo (or Margarito d'Arezzo); Margarito d'Arezzo, The Virgin and Child Enthroned, with Narrative Scenes (NG, NG564); Euphrates; BB honorary member of Burlington; Burlington House Egyptian exhibition catalogue; BG living alone; BG loving life of "bachelor lad" or "married man"; Convent of the Community of Saint John the Baptist, Mendham, New Jersey; Wellesley; Episcopalianism; devotional life of nuns; Princeton; Saint Francis of Assisi; convent hierarchy; desire to retire to Saint John the Baptist convent; Montana; Arizona</t>
  </si>
  <si>
    <t>2021/06/08</t>
  </si>
  <si>
    <t>00490</t>
  </si>
  <si>
    <t>1921_06_17</t>
  </si>
  <si>
    <t>32044150449130_005, 32044150449130_006</t>
  </si>
  <si>
    <t>1921-25</t>
  </si>
  <si>
    <t>00491</t>
  </si>
  <si>
    <t>1921_06_27_28</t>
  </si>
  <si>
    <t>32044150449130_037, 32044150449130_038, 32044150449130_039, 32044150449130_040, 32044150449130_041, 32044150449130_042, 32044150449130_043, 32044150449130_044, 32044150449130_045, 32044150449130_046, 32044150449130_047, 32044150449130_048, 32044150449130_049</t>
  </si>
  <si>
    <t>267-273</t>
  </si>
  <si>
    <t>1921-26</t>
  </si>
  <si>
    <t>Seems to have a missing page in between p. 2 and p. 3 – second page ends off in the middle of a sentence that's not continued on p. 3</t>
  </si>
  <si>
    <t>00492</t>
  </si>
  <si>
    <t>1921_07_07</t>
  </si>
  <si>
    <t>32044150449148_001, 32044150449148_002, 32044150449148_003, 32044150449148_004</t>
  </si>
  <si>
    <t>274-275</t>
  </si>
  <si>
    <t>1921-27</t>
  </si>
  <si>
    <t>00493</t>
  </si>
  <si>
    <t>1921_07_12</t>
  </si>
  <si>
    <t>32044150449148_005, 32044150449148_006, 32044150449148_007, 32044150449148_008</t>
  </si>
  <si>
    <t>276-277</t>
  </si>
  <si>
    <t>1921-28</t>
  </si>
  <si>
    <t>00494</t>
  </si>
  <si>
    <t>1921_07_14</t>
  </si>
  <si>
    <t>32044150449148_009, 32044150449148_010, 32044150449148_011, 32044150449148_012, 32044150449148_013, 32044150449148_014, 32044150449148_015, 32044150449148_016</t>
  </si>
  <si>
    <t>278-281</t>
  </si>
  <si>
    <t>1921-29</t>
  </si>
  <si>
    <t>00495</t>
  </si>
  <si>
    <t>1921_07_15</t>
  </si>
  <si>
    <t>32044150449148_017, 32044150449148_018, 32044150449148_019, 32044150449148_020, 32044150449148_021, 32044150449148_022, 32044150449148_023, 32044150449148_024, 32044150449148_025, 32044150449148_026, 32044150449148_027, 32044150449148_028, 32044150449148_029, 32044150449148_030</t>
  </si>
  <si>
    <t>Belle</t>
  </si>
  <si>
    <t>282-288</t>
  </si>
  <si>
    <t>1921-30</t>
  </si>
  <si>
    <t>Colon, Alysha</t>
  </si>
  <si>
    <t>AC</t>
  </si>
  <si>
    <t>00496</t>
  </si>
  <si>
    <t>1921_08_05</t>
  </si>
  <si>
    <t>32044150449148_031, 32044150449148_032, 32044150449148_033, 32044150449148_034, 32044150449148_035, 32044150449148_036, 32044150449148_037, 32044150449148_038, 32044150449148_039, 32044150449148_040, 32044150449148_041, 32044150449148_042, 32044150449148_043, 32044150449148_044, 32044150449148_045, 32044150449148_046, 32044150449148_047</t>
  </si>
  <si>
    <t>289-297</t>
  </si>
  <si>
    <t>1921-31</t>
  </si>
  <si>
    <t>00497</t>
  </si>
  <si>
    <t>1921_10_21</t>
  </si>
  <si>
    <t>32044150449148_048, 32044150449148_049, 32044150449148_050, 32044150449148_051, 32044150449148_052, 32044150449148_053, 32044150449148_054, 32044150449148_055, 32044150449148_056, 32044150449148_057, 32044150449148_058, 32044150449148_059, 32044150449148_060, 32044150449148_061, 32044150449148_062, 32044150449148_063, 32044150449148_064, 32044150449148_065</t>
  </si>
  <si>
    <t>298-306</t>
  </si>
  <si>
    <t>1921-32</t>
  </si>
  <si>
    <t>00498</t>
  </si>
  <si>
    <t>1921_UNDATED_02</t>
  </si>
  <si>
    <t>32044150449148_066, 32044150449148_067, 32044150449148_068, 32044150449148_069, 32044150449148_070, 32044150449148_071</t>
  </si>
  <si>
    <t xml:space="preserve">33 EAST 36TH STREET </t>
  </si>
  <si>
    <t>307-309</t>
  </si>
  <si>
    <t>1921</t>
  </si>
  <si>
    <t>Incomplete – middle of another letter; images (pp. 2 and 3 and pp. 4 and 5) are out of order and a proper order is unable to be made because of the incomplete nature of the letter</t>
  </si>
  <si>
    <t>00499</t>
  </si>
  <si>
    <t>1922_02_06</t>
  </si>
  <si>
    <t>32044150449155_019, 32044150449155_020</t>
  </si>
  <si>
    <t>The Pierpont Morgan Library 33 East Thirty-sixth Street New York</t>
  </si>
  <si>
    <t>319-320</t>
  </si>
  <si>
    <t>1922-1</t>
  </si>
  <si>
    <t>Typed letter</t>
  </si>
  <si>
    <t>Mather, Frank Jewett; Sachs, Paul J; Morey, Charles Rufus; Porter?</t>
  </si>
  <si>
    <r>
      <rPr>
        <rFont val="Times New Roman"/>
        <color rgb="FF000000"/>
        <sz val="12.0"/>
      </rPr>
      <t xml:space="preserve">Inception of </t>
    </r>
    <r>
      <rPr>
        <rFont val="Times New Roman"/>
        <i/>
        <color rgb="FF000000"/>
        <sz val="12.0"/>
      </rPr>
      <t>Art Studies</t>
    </r>
    <r>
      <rPr>
        <rFont val="Times New Roman"/>
        <color rgb="FF000000"/>
        <sz val="12.0"/>
      </rPr>
      <t xml:space="preserve"> journal</t>
    </r>
  </si>
  <si>
    <t>00500</t>
  </si>
  <si>
    <t>32044150449155_001, 32044150449155_002, 32044150449155_003, 32044150449155_004, 32044150449155_005, 32044150449155_006, 32044150449155_007, 32044150449155_008, 32044150449155_009, 32044150449155_010, 32044150449155_011, 32044150449155_012, 32044150449155_013, 32044150449155_014, 32044150449155_015, 32044150449155_016, 32044150449155_017, 32044150449155_018</t>
  </si>
  <si>
    <t>123 EAST 38th STREET</t>
  </si>
  <si>
    <t>310-318</t>
  </si>
  <si>
    <t>1922-2</t>
  </si>
  <si>
    <t>Hyvernat, Henri; Morgan, J. Pierpont, Jr.; Queen Victoria</t>
  </si>
  <si>
    <t>2021/03/08</t>
  </si>
  <si>
    <t>00501</t>
  </si>
  <si>
    <t>1922_03_03</t>
  </si>
  <si>
    <t>32044150449155_021, 32044150449155_022, 32044150449155_023</t>
  </si>
  <si>
    <t>33 EAST 36TH STREET &amp; 123 East 38th Street New York</t>
  </si>
  <si>
    <t>321-322</t>
  </si>
  <si>
    <t>1922-3</t>
  </si>
  <si>
    <t>00502</t>
  </si>
  <si>
    <t>1923_05_16</t>
  </si>
  <si>
    <t>32044150449163_001, 32044150449163_002, 32044150449163_003, 32044150449163_004, 32044150449163_005</t>
  </si>
  <si>
    <t>Nonkanahwa/ Telephone and Telegraph via Ellenville, N.Y./ Kerhonkson, N.Y.</t>
  </si>
  <si>
    <t>323-326</t>
  </si>
  <si>
    <t>1923-1</t>
  </si>
  <si>
    <t>00503</t>
  </si>
  <si>
    <t>1923_12_26</t>
  </si>
  <si>
    <t>32044150449163_006, 32044150449163_007, 32044150449163_008, 32044150449163_009, 32044150449163_010, 32044150449163_011, 32044150449163_012</t>
  </si>
  <si>
    <t>326-329</t>
  </si>
  <si>
    <t>1923-2</t>
  </si>
  <si>
    <t>Donchez, James</t>
  </si>
  <si>
    <t>JD</t>
  </si>
  <si>
    <t>00504</t>
  </si>
  <si>
    <t>1924_01_31</t>
  </si>
  <si>
    <t>32044150449171_001, 32044150449171_002, 32044150449171_003, 32044150449171_004, 32044150449171_005, 32044150449171_006, 32044150449171_007, 32044150449171_008</t>
  </si>
  <si>
    <t>330-333</t>
  </si>
  <si>
    <t>1924-1</t>
  </si>
  <si>
    <t>Frick, Helen; Offner, Richard; Witt, Robert?; West, Rebecca; Forbes, Rosita</t>
  </si>
  <si>
    <t>The Dutch Treat Club; British Museum; The Vatican</t>
  </si>
  <si>
    <t>2020/06/19</t>
  </si>
  <si>
    <t>2020/06/23</t>
  </si>
  <si>
    <t>00505</t>
  </si>
  <si>
    <t>1924_02_12</t>
  </si>
  <si>
    <t>32044150449171_009, 32044150449171_010, 32044150449171_011, 32044150449171_012</t>
  </si>
  <si>
    <t>The Library 33 East 36th Street New York</t>
  </si>
  <si>
    <t>334a, 335b</t>
  </si>
  <si>
    <t>1924-2</t>
  </si>
  <si>
    <t>Offner, Pacino de Bonaguida; Richard; Duveen, Joseph; Wolcott?; Omont, Henri; Morgan, Jr., John Pierpont</t>
  </si>
  <si>
    <t>The Pierpont Morgan Library; Italian and Greek manuscripts; "speculum" manuscripts</t>
  </si>
  <si>
    <t>Daria Rose Foner</t>
  </si>
  <si>
    <t>00506</t>
  </si>
  <si>
    <t>1924_04_09</t>
  </si>
  <si>
    <t>32044150449171_013, 32044150449171_014</t>
  </si>
  <si>
    <t>1924-3</t>
  </si>
  <si>
    <t>Mussolini, Benito; Offner, Richard; Garrett, Alice Warder; Walters, Henry; Frick, Helen</t>
  </si>
  <si>
    <t>Pacino de Bonaguida manuscripts; Gazette des Beaux-Arts; Delado; The Flower Beneath the Foot; The Prancing Nigger; Jurgen, A Comedy of Justice; Baltimore; Helen Frick collection; works of Konrad Witz</t>
  </si>
  <si>
    <t>2020/06/24</t>
  </si>
  <si>
    <t>00507</t>
  </si>
  <si>
    <t>1924_07_27</t>
  </si>
  <si>
    <t>32044150449171_015, 32044150449171_016, 32044150449171_017, 32044150449171_018, 32044150449171_019</t>
  </si>
  <si>
    <t>337-341</t>
  </si>
  <si>
    <t>1924-4</t>
  </si>
  <si>
    <t>Carter, Jesse Benedict; Moore, Charles; Rockefeller, John D. Jr.; Gardner, Isabella Stewart; Sachs, Paul J.; Forbes, Edward W.</t>
  </si>
  <si>
    <t>Fogg Museum; American Academy in Rome; plans for a National Gallery of Art in Washington, DC; Carnegie Corporation; Stamford, CT; Library of Congress Art Commissions department; BG's race</t>
  </si>
  <si>
    <t>2020/06/25</t>
  </si>
  <si>
    <t>00508</t>
  </si>
  <si>
    <t>1924_08_06</t>
  </si>
  <si>
    <t>32044150449171_020, 32044150449171_021, 32044150449171_022</t>
  </si>
  <si>
    <t>342-344</t>
  </si>
  <si>
    <t>1924-5</t>
  </si>
  <si>
    <t>I Tatti collection; Harvard University; General Grant National Memorial; Freer Gallery of Art; Washington, D.C.; Fogg Museum</t>
  </si>
  <si>
    <t>00509</t>
  </si>
  <si>
    <t>1925_01_02</t>
  </si>
  <si>
    <t>32044150449189_001, 32044150449189_002, 32044150449189_002, 32044150449189_003, 32044150449189_004, 32044150449189_005, 32044150449189_006</t>
  </si>
  <si>
    <t xml:space="preserve">123 East 38th STREET </t>
  </si>
  <si>
    <t>345-347</t>
  </si>
  <si>
    <t>1925-1</t>
  </si>
  <si>
    <t>Ivins, William M., Jr.; Friedländer, Max Jakob; Offner, Richard; Duveen, Joseph; Goldman, Henry</t>
  </si>
  <si>
    <t>European travel: Italy, France and Spain; art of Castagno, Fra Angelico</t>
  </si>
  <si>
    <t>00510</t>
  </si>
  <si>
    <t>1925_02_05</t>
  </si>
  <si>
    <t>32044150449189_007, 32044150449189_008, 32044150449189_009, 32044150449189_010, 32044150449189_011</t>
  </si>
  <si>
    <t>348-350</t>
  </si>
  <si>
    <t>1925-2</t>
  </si>
  <si>
    <t>Nichols, Rose; Loeser, Charles; Ivins, William M., Jr.; Gardner, Isabella Stewart</t>
  </si>
  <si>
    <t xml:space="preserve">European travel  </t>
  </si>
  <si>
    <t>00511</t>
  </si>
  <si>
    <t>1925_02_13</t>
  </si>
  <si>
    <t>32044150449189_012, 32044150449189_013</t>
  </si>
  <si>
    <t>THE LIBRARY/ 33 EAST 36TH STREET/ NEW YORK</t>
  </si>
  <si>
    <t>1925-3</t>
  </si>
  <si>
    <t>McGibbon, Nina Ethel Waddock</t>
  </si>
  <si>
    <t>00512</t>
  </si>
  <si>
    <t>1925_03_06</t>
  </si>
  <si>
    <t>32044150449189_014, 32044150449189_015, 32044150449189_016, 32044150449189_017</t>
  </si>
  <si>
    <t>352-353</t>
  </si>
  <si>
    <t>1925-5</t>
  </si>
  <si>
    <t>Nichols, Rose; Champion, Pierre; McGibbon, Nina Ethel Waddock; Marianino, Nicky</t>
  </si>
  <si>
    <t>00513</t>
  </si>
  <si>
    <t>1925_03_UNDATED_01</t>
  </si>
  <si>
    <t>32044150449189_018, 32044150449189_019, 32044150449189_020, 32044150449189_021, 32044150449189_022, 32044150449189_023</t>
  </si>
  <si>
    <t>354-356</t>
  </si>
  <si>
    <t>1925-4</t>
  </si>
  <si>
    <t>2020/07/07</t>
  </si>
  <si>
    <t>00514</t>
  </si>
  <si>
    <t>1925_04_06</t>
  </si>
  <si>
    <t xml:space="preserve">32044150449205_001, 32044150449205_002, 32044150449205_003, 32044150449205_004 </t>
  </si>
  <si>
    <t>357-360</t>
  </si>
  <si>
    <t>1925-6</t>
  </si>
  <si>
    <t>00515</t>
  </si>
  <si>
    <t>1925_05_03</t>
  </si>
  <si>
    <t>32044150449205_005, 32044150449205_006, 32044150449205_007, 32044150449205_008, 32044150449205_009, 32044150449205_010</t>
  </si>
  <si>
    <t>361-363</t>
  </si>
  <si>
    <t>1925-7</t>
  </si>
  <si>
    <t>2020/07/09</t>
  </si>
  <si>
    <t>00516</t>
  </si>
  <si>
    <t>1925_07_13</t>
  </si>
  <si>
    <t>32044150449205_015, 32044150449205_016</t>
  </si>
  <si>
    <t>1925-8</t>
  </si>
  <si>
    <t>00517</t>
  </si>
  <si>
    <t>32044150449205_011, 32044150449205_012, 32044150449205_013, 32044150449205_014</t>
  </si>
  <si>
    <t>GRAND HOTEL DE RUSSIE ROME</t>
  </si>
  <si>
    <t xml:space="preserve">364a, 365b, </t>
  </si>
  <si>
    <t>1925-9</t>
  </si>
  <si>
    <t>00518</t>
  </si>
  <si>
    <t>1925_07_16</t>
  </si>
  <si>
    <t>32044150449205_017, 32044150449205_018, 32044150449205_019, 32044150449205_020, 32044150449205_021</t>
  </si>
  <si>
    <t>“LATEMAR-HOTEL" CAREZZA KARERSEE</t>
  </si>
  <si>
    <t>South Tyrol</t>
  </si>
  <si>
    <t>367a, 368b, 369c</t>
  </si>
  <si>
    <t>1925-10</t>
  </si>
  <si>
    <t>00519</t>
  </si>
  <si>
    <t>1925_UNDATED_01</t>
  </si>
  <si>
    <t>32044150449205_022</t>
  </si>
  <si>
    <t>00520</t>
  </si>
  <si>
    <t>1925_08_17</t>
  </si>
  <si>
    <t xml:space="preserve">32044150449213_001, 32044150449213_002, 32044150449213_003, 32044150449213_004, 32044150449213_005, 32044150449213_006, 32044150449213_007, 32044150449213_008, 32044150449213_009, 32044150449213_010.       </t>
  </si>
  <si>
    <t>Hotel Ritz / Place Vendome / Paris</t>
  </si>
  <si>
    <t>371a, 372e, 373d, 374c, 375b</t>
  </si>
  <si>
    <t>1925-11</t>
  </si>
  <si>
    <t>"1925" in BB's hand</t>
  </si>
  <si>
    <t xml:space="preserve"> </t>
  </si>
  <si>
    <t>Morgan, Frances Louisa Tracy; Morgan, J. Pierpont, Sr.; Haseloff, Arthur; Omont, Henri; Bibesco, Marthe; Hyde, Martha; Cook?; Rand?; Leroux?; Champion, Pierre; Marie Louise?; Marianino, Nicky</t>
  </si>
  <si>
    <t>Bibliothèque nationale de France; publishing publication on Greek manuscripts held at BNF through the Morgan; French travel</t>
  </si>
  <si>
    <t>00521</t>
  </si>
  <si>
    <t>1925_08_28</t>
  </si>
  <si>
    <t>32044150449213_011, 32044150449213_012, 32044150449213_013, 32044150449213_014, 32044150449213_015, 32044150449213_016, 32044150449213_017, 32044150449213_018</t>
  </si>
  <si>
    <t>On Board S.S. Lapland</t>
  </si>
  <si>
    <t>376a, 377b, 378c, 379d</t>
  </si>
  <si>
    <t>1925-12</t>
  </si>
  <si>
    <t>Morgan, Frances Louisa Tracy; Morgan, J. Pierpont, Sr.; de Wolfe, Elsie; Maxwell, Elsa; Forbes, Edward W.; Sachs, Paul J.; Hendrick, Ellwood; Berenson, Mary; Joffreys?; Howard, Basil?; Mary Louise?; Marianino, Nicky</t>
  </si>
  <si>
    <t>S.S. Lapland</t>
  </si>
  <si>
    <t>00522</t>
  </si>
  <si>
    <t>1925_09_08_09</t>
  </si>
  <si>
    <t>32044150449213_019, 32044150449213_020, 32044150449213_021, 32044150449213_022, 32044150449213_023, 32044150449213_024, 32044150449213_025, 32044150449213_026, 32044150449213_027, 32044150449213_028, 32044150449213_029, 32044150449213_030, 32044150449213_031</t>
  </si>
  <si>
    <t>33 East 36th Street</t>
  </si>
  <si>
    <t>380-386</t>
  </si>
  <si>
    <t>1925-13</t>
  </si>
  <si>
    <t>some images out of order: Order should be pg 5, pg 7, pg 6, pg 8</t>
  </si>
  <si>
    <t>Kennerly, Mitchell; Kennerly, Morley; Ivins, William M.</t>
  </si>
  <si>
    <t>New York City</t>
  </si>
  <si>
    <t>2020/07/06</t>
  </si>
  <si>
    <t>00523</t>
  </si>
  <si>
    <t>1925_10_28</t>
  </si>
  <si>
    <t>32044150449213_032, 32044150449213_033, 
32044150449213_034, 32044150449213_035</t>
  </si>
  <si>
    <t>387a, c, b</t>
  </si>
  <si>
    <t>1925-14</t>
  </si>
  <si>
    <t xml:space="preserve">pages are out of order, as shown by pencil markings </t>
  </si>
  <si>
    <t>00524</t>
  </si>
  <si>
    <t>1925_12_10</t>
  </si>
  <si>
    <t>32044150449213_036, 32044150449213_037, 32044150449213_038, 32044150449213_039, 32044150449213_040, 32044150449213_041, 32044150449213_042, 32044150449213_043, 32044150449213_044</t>
  </si>
  <si>
    <t>123 East 38th street</t>
  </si>
  <si>
    <t>1925-15</t>
  </si>
  <si>
    <t>202/07/08</t>
  </si>
  <si>
    <t>00525</t>
  </si>
  <si>
    <t>1926_01_19</t>
  </si>
  <si>
    <t>32044150449221_001, 32044150449221_002, 32044150449221_003, 32044150449221_004, 32044150449221_005, 32044150449221_006</t>
  </si>
  <si>
    <t>1926-1</t>
  </si>
  <si>
    <t>A page may be missing here? P.4 and p.5 don't seem to flow together</t>
  </si>
  <si>
    <t>CLAIMED</t>
  </si>
  <si>
    <t>00526</t>
  </si>
  <si>
    <t>1926_03_04</t>
  </si>
  <si>
    <t>32044150449221_007, 32044150449221_008, 32044150449221_009, 32044150449221_010</t>
  </si>
  <si>
    <t>397a</t>
  </si>
  <si>
    <t>1926-2</t>
  </si>
  <si>
    <t>00527</t>
  </si>
  <si>
    <t>1926_03_18</t>
  </si>
  <si>
    <t>32044150449221_011, 32044150449221_012, 32044150449221_013, 32044150449221_014, 32044150449221_015, 32044150449221_016, 32044150449221_017, 32044150449221_018, 32044150449221_019, 32044150449221_020, 32044150449221_021</t>
  </si>
  <si>
    <t>33 East 36th St</t>
  </si>
  <si>
    <t>1926-3</t>
  </si>
  <si>
    <t>00528</t>
  </si>
  <si>
    <t>1926_03_30</t>
  </si>
  <si>
    <t>32044150449221_023, 32044150449221_024</t>
  </si>
  <si>
    <t>1926-4</t>
  </si>
  <si>
    <t>00529</t>
  </si>
  <si>
    <t>1926_04_06</t>
  </si>
  <si>
    <t>32044150449239_001, 32044150449239_002, 32044150449239_003, 32044150449239_004</t>
  </si>
  <si>
    <t>406a, 407b</t>
  </si>
  <si>
    <t>1926-5</t>
  </si>
  <si>
    <t>Loeser, Charles; Ivins, William M., Jr</t>
  </si>
  <si>
    <t>00530</t>
  </si>
  <si>
    <t>1926_04_23</t>
  </si>
  <si>
    <t>32044150449239_005, 32044150449239_006, 32044150449239_007, 32044150449239_008, 32044150449239_009, 32044150449239_010, 32044150449239_011</t>
  </si>
  <si>
    <t>408a</t>
  </si>
  <si>
    <t>1926-6</t>
  </si>
  <si>
    <t>00531</t>
  </si>
  <si>
    <t>1926_04_28</t>
  </si>
  <si>
    <t>32044150449239_012, 32044150449239_013</t>
  </si>
  <si>
    <t>The Pierpont Morgan Library 33 East Thirty-Sixth Street New York</t>
  </si>
  <si>
    <t>1926-7</t>
  </si>
  <si>
    <t>First page typed</t>
  </si>
  <si>
    <t>00532</t>
  </si>
  <si>
    <t>1926_04_29</t>
  </si>
  <si>
    <t>32044150449239_014, 32044150449239_015</t>
  </si>
  <si>
    <t>1926-8</t>
  </si>
  <si>
    <t>00533</t>
  </si>
  <si>
    <t>1926_05_26</t>
  </si>
  <si>
    <t>32044150449239_016, 32044150449239_017, 32044150449239_018</t>
  </si>
  <si>
    <t>414a, 415b</t>
  </si>
  <si>
    <t>1926-9</t>
  </si>
  <si>
    <t>00534</t>
  </si>
  <si>
    <t>1926_UNDATED_01</t>
  </si>
  <si>
    <t>32044150449239_019</t>
  </si>
  <si>
    <t>1926-10</t>
  </si>
  <si>
    <t>00535</t>
  </si>
  <si>
    <t>1926_07_08</t>
  </si>
  <si>
    <t>32044150449247_001, 32044150449247_002, 32044150449247_003, 32044150449247_004</t>
  </si>
  <si>
    <t>417-418</t>
  </si>
  <si>
    <t>1926-11</t>
  </si>
  <si>
    <t>00536</t>
  </si>
  <si>
    <t>1926_08_03</t>
  </si>
  <si>
    <t>32044150449247_005, 32044150449247_006, 32044150449247_007</t>
  </si>
  <si>
    <t>Excelsior Napoli</t>
  </si>
  <si>
    <t>Naples</t>
  </si>
  <si>
    <t>419-420</t>
  </si>
  <si>
    <t>1926-12</t>
  </si>
  <si>
    <t>Possibly a missing page in between pp. 3 and 4</t>
  </si>
  <si>
    <t>00537</t>
  </si>
  <si>
    <t>1926_08_18</t>
  </si>
  <si>
    <t>32044150449247_008, 32044150449247_009, 32044150449247_010, 32044150449247_011</t>
  </si>
  <si>
    <t>GRAND HOTEL VENISE</t>
  </si>
  <si>
    <t>Venice</t>
  </si>
  <si>
    <t>421a, 422</t>
  </si>
  <si>
    <t>1926-13</t>
  </si>
  <si>
    <t>00538</t>
  </si>
  <si>
    <t>1926_08_21</t>
  </si>
  <si>
    <t>32044150449247_012, 32044150449247_013, 32044150449247_014, 32044150449247_015, 32044150449247_016, 32044150449247_017</t>
  </si>
  <si>
    <t>423-425</t>
  </si>
  <si>
    <t>1926-14</t>
  </si>
  <si>
    <t>00539</t>
  </si>
  <si>
    <t>1926_08_25</t>
  </si>
  <si>
    <t>32044150449247_018, 32044150449247_019</t>
  </si>
  <si>
    <t>426a</t>
  </si>
  <si>
    <t>1926-15</t>
  </si>
  <si>
    <t>Volpi, Elia; Mellon, Andrew W.; Duveen, Joseph; Berenson; Mary</t>
  </si>
  <si>
    <t>00540</t>
  </si>
  <si>
    <t>1926_08_28</t>
  </si>
  <si>
    <t>32044150449247_020, 32044150449247_021</t>
  </si>
  <si>
    <t>1926-16</t>
  </si>
  <si>
    <t>Tarbell, Ida; Colfax, Sybil; Duveen, Joseph</t>
  </si>
  <si>
    <t>00541</t>
  </si>
  <si>
    <t>1926_08_31</t>
  </si>
  <si>
    <t>32044150449247_022, 32044150449247_023</t>
  </si>
  <si>
    <t>1926-17</t>
  </si>
  <si>
    <t>Written on the back of a postcard with a photograph captioned "Cividale- Interno del Tempietto Longobardo"</t>
  </si>
  <si>
    <t>00542</t>
  </si>
  <si>
    <t>1926_UNDATED_02</t>
  </si>
  <si>
    <t>32044150449247_024</t>
  </si>
  <si>
    <t>Albergo Monaco Venezia A. Ticozzi- Propietario</t>
  </si>
  <si>
    <t>429c</t>
  </si>
  <si>
    <t>Letter to BG from Andre de Hevesy, with annotations by BG; enclosed with 08_31 possibly</t>
  </si>
  <si>
    <t>00543</t>
  </si>
  <si>
    <t>1926_09_02</t>
  </si>
  <si>
    <t>32044150449254_007, 32044150449254_008</t>
  </si>
  <si>
    <t>PIROSCAFO "ROMA"</t>
  </si>
  <si>
    <t>1926-19</t>
  </si>
  <si>
    <t>double-check day</t>
  </si>
  <si>
    <t>00544</t>
  </si>
  <si>
    <t>1926_10_05</t>
  </si>
  <si>
    <t>32044150449254_015, 32044150449254_016, 32044150449254_017, 32044150449254_018</t>
  </si>
  <si>
    <t>437a, 438b</t>
  </si>
  <si>
    <t>1926-23</t>
  </si>
  <si>
    <t>Millet, Gabriel; Quaritch, Bernard; Hyde, Martha; Ivins, William</t>
  </si>
  <si>
    <t>00545</t>
  </si>
  <si>
    <t>1926_11_05</t>
  </si>
  <si>
    <t>32044150449254_019, 32044150449254_020, 32044150449254_021, 32044150449254_022, 32044150449254_023, 32044150449254_024, 32044150449254_025, 32044150449254_026, 32044150449254_027, 32044150449254_028, 32044150449254_029, 32044150449254_030, 32044150449254_031</t>
  </si>
  <si>
    <t>439-444</t>
  </si>
  <si>
    <t>1926-24</t>
  </si>
  <si>
    <t>Cut-out page from a NY newspaper</t>
  </si>
  <si>
    <t>Kühnel, Ernst; Migeon, Gaston; Millet, Gabriel; Kümmel, Otto; Masefield, John; Dunn, Julia; Sachs, Paul J.;  Binyon, Laurence; Diez?; Lowell?</t>
  </si>
  <si>
    <t>00546</t>
  </si>
  <si>
    <t>1926_UNDATED_03</t>
  </si>
  <si>
    <t>32044150449254_001, 32044150449254_002</t>
  </si>
  <si>
    <t>N.G.I. Genova</t>
  </si>
  <si>
    <t>Genoa</t>
  </si>
  <si>
    <t>On the back of a postcard</t>
  </si>
  <si>
    <t>00547</t>
  </si>
  <si>
    <t>1926_UNDATED_04</t>
  </si>
  <si>
    <t>32044150449254_003</t>
  </si>
  <si>
    <t>Ediz. Domenico Trampetti- Napoli</t>
  </si>
  <si>
    <t>1926-21</t>
  </si>
  <si>
    <t>00548</t>
  </si>
  <si>
    <t>1926_UNDATED_05</t>
  </si>
  <si>
    <t>32044150449254_005, 32044150449254_006</t>
  </si>
  <si>
    <t>NAPOLI-Museo Nazionale- La battaglia di Alessandro (mosaico pompeiano).</t>
  </si>
  <si>
    <t>1926-20</t>
  </si>
  <si>
    <t>00549</t>
  </si>
  <si>
    <t>1926_UNDATED_06</t>
  </si>
  <si>
    <t>32044150449254_009, 32044150449254_010</t>
  </si>
  <si>
    <t>EXCELSIOR NAPOLI</t>
  </si>
  <si>
    <t>00550</t>
  </si>
  <si>
    <t>1926_UNDATED_07</t>
  </si>
  <si>
    <t>32044150449254_011, 32044150449254_012, 32044150449254_013, 32044150449254_014</t>
  </si>
  <si>
    <t>NGJ Piroscafo "ROMA"</t>
  </si>
  <si>
    <t>435a, 436</t>
  </si>
  <si>
    <t>1926-22</t>
  </si>
  <si>
    <t>Out of order, pp. 4 and 5</t>
  </si>
  <si>
    <t>00551</t>
  </si>
  <si>
    <t>1927_01_20</t>
  </si>
  <si>
    <t>32044150449262_001, 32044150449262_002, 32044150449262_003, 32044150449262_004, 32044150449262_005, 32044150449262_006, 32044150449262_007, 32044150449262_008, 32044150449262_009, 32044150449262_010, 32044150449262_011, 32044150449262_012, 32044150449262_013, 32044150449262_014</t>
  </si>
  <si>
    <t>445-451</t>
  </si>
  <si>
    <t>1927-1</t>
  </si>
  <si>
    <t>00552</t>
  </si>
  <si>
    <t>1927_01_31</t>
  </si>
  <si>
    <t>32044150449262_015, 32044150449262_016, 32044150449262_017, 32044150449262_018, 32044150449262_019, 32044150449262_020, 32044150449262_021, 32044150449262_022, 32044150449262_023, 32044150449262_024, 32044150449262_025, 32044150449262_026, 32044150449262_027, 32044150449262_028</t>
  </si>
  <si>
    <t>123 East 38th Street</t>
  </si>
  <si>
    <t>452-458</t>
  </si>
  <si>
    <t>1927-2</t>
  </si>
  <si>
    <t>2020/7/10</t>
  </si>
  <si>
    <t>2020/08/06</t>
  </si>
  <si>
    <t>00553</t>
  </si>
  <si>
    <t>1927_02_17</t>
  </si>
  <si>
    <t>32044150449262_029, 32044150449262_030</t>
  </si>
  <si>
    <t>1927-3</t>
  </si>
  <si>
    <t>00554</t>
  </si>
  <si>
    <t>1927_03_28</t>
  </si>
  <si>
    <t>32044150449262_031, 32044150449262_032, 32044150449262_033, 32044150449262_034, 32044150449262_035, 32044150449262_036, 32044150449262_037, 32044150449262_038, 32044150449262_039, 32044150449262_040, 32044150449262_041</t>
  </si>
  <si>
    <t>460-465</t>
  </si>
  <si>
    <t>1927-4</t>
  </si>
  <si>
    <t>00555</t>
  </si>
  <si>
    <t>1927_04_22</t>
  </si>
  <si>
    <t>32044150449262_042, 32044150449262_043, 32044150449262_044, 32044150449262_045, 32044150449262_046, 32044150449262_047, 32044150449262_048</t>
  </si>
  <si>
    <t>466-469</t>
  </si>
  <si>
    <t>1927-5</t>
  </si>
  <si>
    <t>00556</t>
  </si>
  <si>
    <t>1927_12_25</t>
  </si>
  <si>
    <t>32044150449262_049</t>
  </si>
  <si>
    <t>WESTERN UNION CABLEGRAM</t>
  </si>
  <si>
    <t>Ivins, William</t>
  </si>
  <si>
    <t>00557</t>
  </si>
  <si>
    <t>1928_01_22</t>
  </si>
  <si>
    <t>32044150449270_001, 32044150449270_002, 32044150449270_003, 32044150449270_004, 32044150449270_005, 32044150449270_006, 32044150449270_007, 32044150449270_008, 32044150449270_009</t>
  </si>
  <si>
    <t>471-475</t>
  </si>
  <si>
    <t>1928-4</t>
  </si>
  <si>
    <t>00558</t>
  </si>
  <si>
    <t>1928_03_10</t>
  </si>
  <si>
    <t>32044150449270_010</t>
  </si>
  <si>
    <t>1928-3</t>
  </si>
  <si>
    <t>00559</t>
  </si>
  <si>
    <t>1928_04_18</t>
  </si>
  <si>
    <t>32044150449270_011, 32044150449270_012, 32044150449270_013, 32044150449270_014, 32044150449270_015, 32044150449270_016, 32044150449270_017, 32044150449270_018, 32044150449270_019, 32044150449270_020, 32044150449270_021</t>
  </si>
  <si>
    <t>477-486</t>
  </si>
  <si>
    <t>1928-2</t>
  </si>
  <si>
    <t xml:space="preserve">Maya Wilson </t>
  </si>
  <si>
    <t>00560</t>
  </si>
  <si>
    <t>1928_09_23</t>
  </si>
  <si>
    <t>32044150449270_022, 32044150449270_023, 32044150449270_024, 32044150449270_025, 32044150449270_026, 32044150449270_027</t>
  </si>
  <si>
    <t>487-489</t>
  </si>
  <si>
    <t>1928-1</t>
  </si>
  <si>
    <t>00561</t>
  </si>
  <si>
    <t>1929_12_12</t>
  </si>
  <si>
    <t>32044150449288_001, 32044150449288_002, 32044150449288_003, 32044150449288_004, 32044150449288_005</t>
  </si>
  <si>
    <t>The Pierpont Morgan Library 29-33 East Thirty-sixth Street New York City</t>
  </si>
  <si>
    <t>490-492</t>
  </si>
  <si>
    <t>1929-1490-492</t>
  </si>
  <si>
    <t>00562</t>
  </si>
  <si>
    <t>1930_04_11</t>
  </si>
  <si>
    <t>32044150449296_001</t>
  </si>
  <si>
    <t>1930-4</t>
  </si>
  <si>
    <t>00563</t>
  </si>
  <si>
    <t>1930_05_28</t>
  </si>
  <si>
    <t>32044150449296_002, 32044150449296_003, 32044150449296_004, 32044150449296_005</t>
  </si>
  <si>
    <t>494-495</t>
  </si>
  <si>
    <t>1930-3</t>
  </si>
  <si>
    <t>00564</t>
  </si>
  <si>
    <t>1930_07_31</t>
  </si>
  <si>
    <t>32044150449296_006</t>
  </si>
  <si>
    <t>1930-2</t>
  </si>
  <si>
    <t>00565</t>
  </si>
  <si>
    <t>1930_11_04</t>
  </si>
  <si>
    <t>32044150449296_007, 32044150449296_008, 32044150449296_009, 32044150449296_010, 32044150449296_011, 32044150449296_012, 32044150449296_013, 32044150449296_014, 32044150449296_015, 32044150449296_016, 32044150449296_017, 32044150449296_018, 32044150449296_019</t>
  </si>
  <si>
    <t>497-503</t>
  </si>
  <si>
    <t>1930-1</t>
  </si>
  <si>
    <t>Strygowski, Josef; Robinson, Ned; Valentiner, Wilhelm; Kenyon, Frederic G.; Scholfield, A.F.; Hind, Arthur Mayger; Goldschmidt, Adolph; Lake, Kirsopp, Blake, Robert; Ilchester?</t>
  </si>
  <si>
    <t>00566</t>
  </si>
  <si>
    <t>28</t>
  </si>
  <si>
    <t>1931_07_16</t>
  </si>
  <si>
    <t>32044150449304_001</t>
  </si>
  <si>
    <t>1931-1</t>
  </si>
  <si>
    <t>00567</t>
  </si>
  <si>
    <t>1931_07_31</t>
  </si>
  <si>
    <t>32044150449304_002, 32044150449304_003</t>
  </si>
  <si>
    <t>1931-2</t>
  </si>
  <si>
    <t>00568</t>
  </si>
  <si>
    <t>29</t>
  </si>
  <si>
    <t>1932_02_26</t>
  </si>
  <si>
    <t>32044150449312_001, 32044150449312_002</t>
  </si>
  <si>
    <t>1932-1</t>
  </si>
  <si>
    <t>Mostly typewritten</t>
  </si>
  <si>
    <t>00569</t>
  </si>
  <si>
    <t>1932_06_01</t>
  </si>
  <si>
    <t>32044150449312_003</t>
  </si>
  <si>
    <t>1932-2</t>
  </si>
  <si>
    <t>00570</t>
  </si>
  <si>
    <t>1932_07_14</t>
  </si>
  <si>
    <t>32044150449312_006, 32044150449312_007</t>
  </si>
  <si>
    <t>508-509</t>
  </si>
  <si>
    <t>1932-3</t>
  </si>
  <si>
    <t>00571</t>
  </si>
  <si>
    <t>1932_08_15</t>
  </si>
  <si>
    <t>32044150449312_008, 32044150449312_009, 32044150449312_010, 32044150449312_011</t>
  </si>
  <si>
    <t>M/N VULCANIA</t>
  </si>
  <si>
    <t>510-511</t>
  </si>
  <si>
    <t>1932-4</t>
  </si>
  <si>
    <t>00572</t>
  </si>
  <si>
    <t>1932_UNDATED_01</t>
  </si>
  <si>
    <t>32044150449312_012, 32044150449312_013, 32044150449312_014, 32044150449312_15</t>
  </si>
  <si>
    <t>GRAND HOTEL VENEZIA</t>
  </si>
  <si>
    <t>512-513</t>
  </si>
  <si>
    <t>1932-5</t>
  </si>
  <si>
    <t>Funeral of Junius Spencer Morgan</t>
  </si>
  <si>
    <t>00573</t>
  </si>
  <si>
    <t>1933_02_10</t>
  </si>
  <si>
    <t>32044150449312_004, 32044150449312_005</t>
  </si>
  <si>
    <t>00574</t>
  </si>
  <si>
    <t>1934_02_20</t>
  </si>
  <si>
    <t>32044150449320_001</t>
  </si>
  <si>
    <t>The Pierpont Morgan Library 20-33 East Thirty-Sixth Street New York City</t>
  </si>
  <si>
    <t>1934-1</t>
  </si>
  <si>
    <t xml:space="preserve">Almost all typewritten. </t>
  </si>
  <si>
    <t>Goldschmidt, Adolph</t>
  </si>
  <si>
    <t>library work; scholarship; cultural institutions; Medieval and Renaissance manuscripts</t>
  </si>
  <si>
    <t>BB's  Catalogue of the Walters Collection of Paintings; upcoming exhibition at the New York Public Library of 150 of ML's Illuminated Manuscripts; BG asks BB for an opnion for experts in the field of these works at ML</t>
  </si>
  <si>
    <t>2020/07/15 [but no transcription in folder, 4/20/21]</t>
  </si>
  <si>
    <t>Guzman, Clara</t>
  </si>
  <si>
    <t>CMG</t>
  </si>
  <si>
    <t>00575</t>
  </si>
  <si>
    <t>1934_08_21</t>
  </si>
  <si>
    <t>32044150449320_002, 32044150449320_003</t>
  </si>
  <si>
    <t>Hermitage Hotel Esplanade du Casino La Baule</t>
  </si>
  <si>
    <t>LaBaule-Escoublac</t>
  </si>
  <si>
    <t>1934-2</t>
  </si>
  <si>
    <t>BG's plans to go to Britan, Paris, and Florence</t>
  </si>
  <si>
    <t>00576</t>
  </si>
  <si>
    <t>1934_09_03</t>
  </si>
  <si>
    <t>32044150449320_004, 32044150449320_005</t>
  </si>
  <si>
    <t>The Berkeley. Berkeley Street London W1</t>
  </si>
  <si>
    <t>1934-3</t>
  </si>
  <si>
    <t xml:space="preserve">BG's travel struggles in Paris </t>
  </si>
  <si>
    <t>00577</t>
  </si>
  <si>
    <t>1934_09_24</t>
  </si>
  <si>
    <t>32044150449320_006</t>
  </si>
  <si>
    <t>1934-4</t>
  </si>
  <si>
    <t>Panofsky, Erwin; Morey, Charles Rufus</t>
  </si>
  <si>
    <t>Library work; scholarship; cultural institutions; Medieval and Renaissance manuscripts</t>
  </si>
  <si>
    <t xml:space="preserve">ML is plannign on lectures by Moery and Panofsky on Illuminated Manuscripts and hopes to get the Warburg library in on it too </t>
  </si>
  <si>
    <t>2020/07/22 [but no transcription in folder, 4/20/21]</t>
  </si>
  <si>
    <t>00578</t>
  </si>
  <si>
    <t>1934_10_29</t>
  </si>
  <si>
    <t>32044150449320_007, 32044150449320_008, 32044150449320_009</t>
  </si>
  <si>
    <t>518-520</t>
  </si>
  <si>
    <t>1934-5</t>
  </si>
  <si>
    <t>photograph of a panel possibly by Saturnino de'Gatti</t>
  </si>
  <si>
    <t xml:space="preserve">Thompson, Daniel Varney; Harrsen, Meta; Panofsky, Erwin; Garrett, Alice; 
Morey, Charles Rufus; </t>
  </si>
  <si>
    <t>Italian Art; Byzantine Art; cultural institutions; scholarship; library work; BG's social world; Medieval and Renaissance manuscripts</t>
  </si>
  <si>
    <t xml:space="preserve">Deesis Pattern; BG sens BB a photograph of a panel possibly by Saturnino de'Gatti and asks for his opnion; BG wanted to included other MSS in the New York Public Library Show but only the Purple Gospels made it in; Walters Gallery opens next week; BG will stay w Alice Garrett; Dan Thompson is at the Courtauld Institute; Lectures at the ML from Moery on East-Christian and Byzantine and Erwin Panofsky on Medieval; Naples Museum has a El Greco portrait of Guilio Clovio with ML's Farnese manuscript in his hands as reported by Miss Harrsen   </t>
  </si>
  <si>
    <t>00579</t>
  </si>
  <si>
    <t>31</t>
  </si>
  <si>
    <t>1935_06_26</t>
  </si>
  <si>
    <t>32044150449338_001</t>
  </si>
  <si>
    <t>1935-1</t>
  </si>
  <si>
    <t xml:space="preserve">Adelyn Breeskin will be visiting Florence </t>
  </si>
  <si>
    <t>00580</t>
  </si>
  <si>
    <t>1935_08_30</t>
  </si>
  <si>
    <t>32044150449338_002, 32044150449338_003, 32044150449338_004, 32044150449338_005, 32044150449338_006, 32044150449338_007</t>
  </si>
  <si>
    <t>RANDOLPH HOTEL, OXFORD.</t>
  </si>
  <si>
    <t>Oxford</t>
  </si>
  <si>
    <t>522-524</t>
  </si>
  <si>
    <t>1935-2</t>
  </si>
  <si>
    <t>Hyde, Martha; Blumenthal, George; Panofsky, Erwin; Browning, Colleen</t>
  </si>
  <si>
    <t>English Art, English Architecture; Medieval and Renaissance manuscripts; politics; current events; cultural institutions; BG's travels; BG's social world</t>
  </si>
  <si>
    <t xml:space="preserve">BG is in England and plans to go to York and Durham; BG will travel to Paris soon; She will sail on the Majestic in Sept.; BG saw Marthe Hyde; BG talks about Morgan Library’s income taxes; She asks about Mary’s health </t>
  </si>
  <si>
    <t>00581</t>
  </si>
  <si>
    <t>1935_11_08</t>
  </si>
  <si>
    <t>32044150449338_008</t>
  </si>
  <si>
    <t>1935-3</t>
  </si>
  <si>
    <t>Scholarship; Italian Art; cultural institutions, BG's Travels; current events</t>
  </si>
  <si>
    <t xml:space="preserve">BB's publications ; BG's desire to buy BB's books; BG's desire to see him next summer if the Political situation allows </t>
  </si>
  <si>
    <t>00582</t>
  </si>
  <si>
    <t>1935_12_09</t>
  </si>
  <si>
    <t>32044150449338_009</t>
  </si>
  <si>
    <t>1935-4</t>
  </si>
  <si>
    <t>Almost all typewritten.</t>
  </si>
  <si>
    <t xml:space="preserve">Blake, William </t>
  </si>
  <si>
    <t xml:space="preserve">scholarship; BG's social world; </t>
  </si>
  <si>
    <t>William Blake's Illustrations of the Book of Job (1826); BB's The Drawings of the Florentine Painters and I disegni di Raffaello da Montelupo; How BB never sends his friends to go see BG at the ML in NY</t>
  </si>
  <si>
    <t>00583</t>
  </si>
  <si>
    <t>1936_04_17</t>
  </si>
  <si>
    <t>32044150449346_001, 32044150449346_002</t>
  </si>
  <si>
    <t>527</t>
  </si>
  <si>
    <t>Franc, Helen; Offner, Richard</t>
  </si>
  <si>
    <t xml:space="preserve">Cultural institutions; Italian art; Italian architecture; scholarship; BG’s social world 
</t>
  </si>
  <si>
    <t>BG’s friend Alice Freeman Palmer from Wellesley College and NYU who wrote on the Florentine Baptistery mosaics</t>
  </si>
  <si>
    <t>00584</t>
  </si>
  <si>
    <t>1936_05_16</t>
  </si>
  <si>
    <t>32044150449346_005</t>
  </si>
  <si>
    <t>530</t>
  </si>
  <si>
    <t>Franc, Helen</t>
  </si>
  <si>
    <t xml:space="preserve">BG's social world; Italian architecture; </t>
  </si>
  <si>
    <t xml:space="preserve">Helen Franc writes to Greene that she is at the Villa Tatti and has seen the nearby church Ponte a Mensola; There is a Tibetan explorer called Filippo at the Villa </t>
  </si>
  <si>
    <t>00585</t>
  </si>
  <si>
    <t>1936_06_23</t>
  </si>
  <si>
    <t>32044150449346_003</t>
  </si>
  <si>
    <t>528</t>
  </si>
  <si>
    <t>Ross, Marvin Chauncey;</t>
  </si>
  <si>
    <t xml:space="preserve">scholarship; cultural institutions; BG's social world; </t>
  </si>
  <si>
    <t>BG is introducing BB to Marvin Chauncey Ross a young scholar at the Walters Art Gallery that she is spondering</t>
  </si>
  <si>
    <t>00586</t>
  </si>
  <si>
    <t>1936_06_29</t>
  </si>
  <si>
    <t>32044150449346_004</t>
  </si>
  <si>
    <t>529</t>
  </si>
  <si>
    <t xml:space="preserve">Franc, Helen; Mayer, Gustavus; </t>
  </si>
  <si>
    <t xml:space="preserve">cultural institutions; art dealing; BG's travels; European art; acquisitions; American Architecture </t>
  </si>
  <si>
    <t xml:space="preserve">BG wishes she was going to see BB but she is going to Germany and Austria to see Museums and Libraries and Music; She sails on the Bremen; Gus Mayer of Colnaghi showed BG the plans of the Fogg Museum; She will bid on some Oppenheimer drawings; Albertina drawings fell through; </t>
  </si>
  <si>
    <t>00587</t>
  </si>
  <si>
    <t>1936_07_27</t>
  </si>
  <si>
    <t>32044150449346_006, 32044150449346_007, 32044150449346_008</t>
  </si>
  <si>
    <t>HOTEL ESPLANADE</t>
  </si>
  <si>
    <t>531</t>
  </si>
  <si>
    <t>Leveridge, Robert Mackenzie</t>
  </si>
  <si>
    <t>BG's family; BG's travels; current events</t>
  </si>
  <si>
    <t>Bobbie is with BG on her german trip; BG travels to Pargusa, Vulvania and Vienna; the Olympics are happneing; BG plans Dresden, Nuremberg, Rothenburg, Salzburg;</t>
  </si>
  <si>
    <t>00588</t>
  </si>
  <si>
    <t>1936_08_08</t>
  </si>
  <si>
    <t>32044150449346_009, 32044150449346_010</t>
  </si>
  <si>
    <t>533-534</t>
  </si>
  <si>
    <t xml:space="preserve">BG's travels; </t>
  </si>
  <si>
    <t xml:space="preserve">BG is in Berlin </t>
  </si>
  <si>
    <t>00589</t>
  </si>
  <si>
    <t>1936_08_31</t>
  </si>
  <si>
    <t>32044150449346_011, 32044150449346_012, 32044150449346_013, 32044150449346_014, 32044150449346_015, 32044150449346_016, 32044150449346_017, 32044150449346_018, 32044150449346_019, 32044150449346_020</t>
  </si>
  <si>
    <t>GRAND HOTEL CONTINENTAL MUNCHEN</t>
  </si>
  <si>
    <t>Munich</t>
  </si>
  <si>
    <t>Germany</t>
  </si>
  <si>
    <t>535-539</t>
  </si>
  <si>
    <t xml:space="preserve">Leveridge, Robert Mackenzie; Swarzenski, Hanns; </t>
  </si>
  <si>
    <t>BG's travels; German Art; Current events; German architecture; art dealing; BG's health; scholarship; library work</t>
  </si>
  <si>
    <t xml:space="preserve">BG is in Munich; BG's travel in Germany to cities Munich, Bremen, Salzburg, Purgg; Purgg has a tiny church; BG enjoyed the lake by the convent in Salzburg; At St. Peter's in Salzburg the abbess recognized BG who had met her back in ML in NY; untruthfulness of Salzburg art dealers; BG recieved a rosary; In Bremen BG remarks on the Crypt of the Dom and Roland statue; Bobbie is happy now they have run into Harvard kids; a joke about Hilter and Mussolini; she enjoyed the Michael Packer Altar at St. Wolfgang church in Salzburg; breif mention of the Swarzenski publication;  </t>
  </si>
  <si>
    <t>00590</t>
  </si>
  <si>
    <t>1936_UNDATED_01</t>
  </si>
  <si>
    <t>32044150449346_021, 32044150449346_022</t>
  </si>
  <si>
    <t xml:space="preserve">NORMANDIE </t>
  </si>
  <si>
    <t>Atlanic Ocean</t>
  </si>
  <si>
    <t>540</t>
  </si>
  <si>
    <t>00591</t>
  </si>
  <si>
    <t>33</t>
  </si>
  <si>
    <t>1937_11_17</t>
  </si>
  <si>
    <t>32044150449353_001</t>
  </si>
  <si>
    <t>541</t>
  </si>
  <si>
    <t xml:space="preserve">BG tells BB that he is good looking and honourable  </t>
  </si>
  <si>
    <t>00592</t>
  </si>
  <si>
    <t>1938_01_25</t>
  </si>
  <si>
    <t>32044150449353_002, 32044150449353_003</t>
  </si>
  <si>
    <t>542</t>
  </si>
  <si>
    <t>Marshall, Morgan; Walters, Henry; Miss Miner</t>
  </si>
  <si>
    <t>cultural institutions; scholarship; library work; BG's social world</t>
  </si>
  <si>
    <t xml:space="preserve">Morgans Marshall told BG that BB will contribute to the first Annual of Walters Art Gallery; BG writes that BB will receive a letter from Miner the editor of the Annual who BG reccommended for that job; BG cannot write more as there is more work at the library like academic courses with 15 two-hour lectures being offered   </t>
  </si>
  <si>
    <t>00593</t>
  </si>
  <si>
    <t>1939_03_27</t>
  </si>
  <si>
    <t>32044150449353_004</t>
  </si>
  <si>
    <t>543</t>
  </si>
  <si>
    <t>Shapely, John</t>
  </si>
  <si>
    <t xml:space="preserve">cultural institutions; scholarship; Chinese art; Italian art; </t>
  </si>
  <si>
    <t xml:space="preserve">BB gave BG a set of Drawings of Florentine Painters delivered by John Shapley;  BG congratulates on comparing 'our Spinello" drawing to Chiense draughtmanship; BG will send photos our ML's Cellini sketchbook to BB; BG is happy about Royal Cortissoz' review in the Herald Tribune and she framed it. </t>
  </si>
  <si>
    <t>00594</t>
  </si>
  <si>
    <t>34</t>
  </si>
  <si>
    <t>1945_04_28</t>
  </si>
  <si>
    <t>32044150449361_001, 32044150449361_002, 32044150449361_003, 32044150449361_004, 32044150449361_005, 32044150449361_006</t>
  </si>
  <si>
    <t>The Pierpont Morgan Library 33 East Thirty-sixth Street New York 16, N.Y.</t>
  </si>
  <si>
    <t>544-546</t>
  </si>
  <si>
    <t>Greene, Genevieve Ida Van Vliet Fleet; Leveridge, Robert Mackenzie; Morgan, J. Pierpont, Jr.</t>
  </si>
  <si>
    <t>current events; scholarship; BG's family</t>
  </si>
  <si>
    <t xml:space="preserve">BG asks BB how he is during WWII and his return to I Tatti; Bobbie was killed in action and the death of her mother and Jack Morgan; BG talks about the lack of employees at the ML to join the force; BG writes about a meeting at the Medieval Academcy of America; </t>
  </si>
  <si>
    <t>00595</t>
  </si>
  <si>
    <t>1946_07_29</t>
  </si>
  <si>
    <t>32044150449361_007</t>
  </si>
  <si>
    <t>547</t>
  </si>
  <si>
    <t>Swarzenski, Hanns; Schapiro, Meyer; Levy, Louis; Frankfurter, Alfred</t>
  </si>
  <si>
    <t xml:space="preserve">scholarship; library work; BG's health; Medieval and Renaissance manuscripts; </t>
  </si>
  <si>
    <t xml:space="preserve"> Swarzenski book is the only publication of the ML in the war years; Meyer is working on earlier 10th century Beatus MS in the ML collection; BG hopes to publish his work soon; Frankfurter will see BB to write about him the Art News in connection to the Gardiner collection; Louis Levy visited BG at ML; BG's ill health;
</t>
  </si>
  <si>
    <t xml:space="preserve"> Wilson, Maya</t>
  </si>
  <si>
    <t>00596</t>
  </si>
  <si>
    <t>1947_04_17</t>
  </si>
  <si>
    <t>32044150449361_008</t>
  </si>
  <si>
    <t>Ivins, William Jr. [?]</t>
  </si>
  <si>
    <t>548</t>
  </si>
  <si>
    <t xml:space="preserve">Berenson, Bernard; Ivins Jr., William Mills </t>
  </si>
  <si>
    <t>Ivins' previous lecture</t>
  </si>
  <si>
    <t>00597</t>
  </si>
  <si>
    <t>1947_06_02</t>
  </si>
  <si>
    <t>32044150449361_009, 32044150449361_010</t>
  </si>
  <si>
    <t>549-550</t>
  </si>
  <si>
    <t xml:space="preserve">Seligmann, Jacques; Weyhe, Erhard; Tisserant, Eugène Gabriel Gervais Laurent; Thacher, Jack; Grabar, Igor Emmanuilovich; </t>
  </si>
  <si>
    <t xml:space="preserve">cultural institutions; scholariship; BG's social world; </t>
  </si>
  <si>
    <t xml:space="preserve">BB gave BG a Sassetta volume (B. Berenson, Sassetta, Firenze 1946); the Walters Art Gallery is hosting an exhibition on Early Christian and Byzantine art with borrowed pieces from Dumbarton Oaks; Jack Thacher will see BB in Europe in the summer; BG's plan to write a story of the Morgans secretly; BG asks BB of what he has heard of the MET; Princeton is having a conference that will be attended by Cardinal Tisserant and Grabar </t>
  </si>
  <si>
    <t>00598</t>
  </si>
  <si>
    <t>1947_06_18</t>
  </si>
  <si>
    <t>32044150449361_011, 32044150449361_012, 32044150449361_013, 32044150449361_014, 32044150449361_015</t>
  </si>
  <si>
    <t xml:space="preserve">Gideon Putnam Hotel Saratoga Springs New York </t>
  </si>
  <si>
    <t>Saratoga Springs, New York</t>
  </si>
  <si>
    <t>551</t>
  </si>
  <si>
    <t>Henschel, Wilhem; Duveen, Joseph; Ivins, William</t>
  </si>
  <si>
    <t>BG's health; scholarship; art dealing; BG's social world; Medieval and Renaissance manuscripts;  BG's travel</t>
  </si>
  <si>
    <t xml:space="preserve">BG's illness after a fall; BG met Duveen-Levy and Bobby Lehaman; Duveen-Levy loaned a MS. from Joe Duveen to BG; BG guesses that Joe Duveen and Duveen-levy made over a million together; Henschel was with Duveen-Levy and BG; BG asks BB for his honest opnion on Ivins Williams; BG writes she will return to NY August 8 </t>
  </si>
  <si>
    <t>00599</t>
  </si>
  <si>
    <t>1948_01_05</t>
  </si>
  <si>
    <t>32044150449361_016</t>
  </si>
  <si>
    <t>554</t>
  </si>
  <si>
    <t xml:space="preserve">typewriter </t>
  </si>
  <si>
    <t>scholarship; BG's health</t>
  </si>
  <si>
    <t xml:space="preserve">BG's Happy New Year's Letter to BB in response to one he sent her; BB's memiors in the Art News; BG's weakness after a bad fall; Snowstorm in NYC; the lack of new gossip; </t>
  </si>
  <si>
    <t>00600</t>
  </si>
  <si>
    <t>1948_12_21</t>
  </si>
  <si>
    <t>32044150449361_017, 32044150449361_018</t>
  </si>
  <si>
    <t>555</t>
  </si>
  <si>
    <t xml:space="preserve">BG wishing BB well and will write him more soon </t>
  </si>
  <si>
    <t>00601</t>
  </si>
  <si>
    <t>1949_03_31</t>
  </si>
  <si>
    <t>32044150449361_019</t>
  </si>
  <si>
    <t>???</t>
  </si>
  <si>
    <t>THE BYZANTINE INSTITUTE, INC.</t>
  </si>
  <si>
    <t>556</t>
  </si>
  <si>
    <t>possibly not written by BG</t>
  </si>
  <si>
    <t>De Capitani d'Arzago, Alberto; Ermolov, Boris Nicolaevich</t>
  </si>
  <si>
    <r>
      <rPr>
        <rFont val="Times New Roman"/>
        <color theme="1"/>
        <sz val="12.0"/>
      </rPr>
      <t>Frescos of Castelseprio and Santa Maria Antique; Capitani's untimely death and his publication called</t>
    </r>
    <r>
      <rPr>
        <rFont val="Times New Roman"/>
        <i/>
        <color theme="1"/>
        <sz val="12.0"/>
      </rPr>
      <t xml:space="preserve"> Santa Maria di Castelseprio </t>
    </r>
    <r>
      <rPr>
        <rFont val="Times New Roman"/>
        <color theme="1"/>
        <sz val="12.0"/>
      </rPr>
      <t xml:space="preserve">(Milan 1948); Hopes that BB will come to Instanbul </t>
    </r>
  </si>
  <si>
    <t>00602</t>
  </si>
  <si>
    <t>35</t>
  </si>
  <si>
    <t>1924_08_01</t>
  </si>
  <si>
    <t>32044150449379_001</t>
  </si>
  <si>
    <t>Forbes</t>
  </si>
  <si>
    <t>567</t>
  </si>
  <si>
    <t>00603</t>
  </si>
  <si>
    <t>36</t>
  </si>
  <si>
    <t xml:space="preserve">32044150449395_001, 32044150449395_002, 32044150449395_003, 32044150449395_004 </t>
  </si>
  <si>
    <t>557</t>
  </si>
  <si>
    <t>00604</t>
  </si>
  <si>
    <t>32044150449395_005, 32044150449395_006</t>
  </si>
  <si>
    <t>559</t>
  </si>
  <si>
    <t>00605</t>
  </si>
  <si>
    <t>37</t>
  </si>
  <si>
    <t>32044150449403_001, 32044150449403_002</t>
  </si>
  <si>
    <t>Mariano, Nicky</t>
  </si>
  <si>
    <t>POST CARD</t>
  </si>
  <si>
    <t>1926-18</t>
  </si>
  <si>
    <t>560</t>
  </si>
  <si>
    <t>00606</t>
  </si>
  <si>
    <t>name</t>
  </si>
  <si>
    <t>scope</t>
  </si>
  <si>
    <t>literature</t>
  </si>
  <si>
    <t>poetry, fiction, drama, references to writers, quotations from literary texts</t>
  </si>
  <si>
    <t>British literature</t>
  </si>
  <si>
    <t>American literature</t>
  </si>
  <si>
    <t>Canadian literature</t>
  </si>
  <si>
    <t>French literature</t>
  </si>
  <si>
    <t>Italian literature</t>
  </si>
  <si>
    <t>German literature</t>
  </si>
  <si>
    <t>Arabic literature</t>
  </si>
  <si>
    <t>Indian literature</t>
  </si>
  <si>
    <t>Greek literature</t>
  </si>
  <si>
    <t>Belgian literature</t>
  </si>
  <si>
    <t>poetry</t>
  </si>
  <si>
    <t>fiction</t>
  </si>
  <si>
    <t>essays</t>
  </si>
  <si>
    <t>references to museums, libraries, and galleries</t>
  </si>
  <si>
    <t>European art</t>
  </si>
  <si>
    <t>includes arts of Western and Eastern Europe and the British Isles, excluding modern art</t>
  </si>
  <si>
    <t>British art</t>
  </si>
  <si>
    <t>French art</t>
  </si>
  <si>
    <t>German art</t>
  </si>
  <si>
    <t>Flemish art</t>
  </si>
  <si>
    <t>Spanish art</t>
  </si>
  <si>
    <t>South American art</t>
  </si>
  <si>
    <t>sculpture</t>
  </si>
  <si>
    <t>drawings</t>
  </si>
  <si>
    <t>decorative arts</t>
  </si>
  <si>
    <t>American art</t>
  </si>
  <si>
    <t>includes arts of North, Central, and South America, excluding modern art</t>
  </si>
  <si>
    <t>including opera</t>
  </si>
  <si>
    <t>specific references to BG creating inventories and catalogues, providing research assistance, implementing institutional policies, etc. at the Morgan</t>
  </si>
  <si>
    <t>specific references to BG, JPM, and/or JPMII acquiring materials for the Morgan's collection</t>
  </si>
  <si>
    <t>Chinese art</t>
  </si>
  <si>
    <t>Persian art</t>
  </si>
  <si>
    <t>Islamic art</t>
  </si>
  <si>
    <t>South Asian art</t>
  </si>
  <si>
    <t>Byzantine art</t>
  </si>
  <si>
    <t>Medieval and Renaissance manuscripts</t>
  </si>
  <si>
    <t>early printed books</t>
  </si>
  <si>
    <t>including photographs, drawings, paintings, etc.</t>
  </si>
  <si>
    <t>modern art</t>
  </si>
  <si>
    <t>modern art from anywhere on the globe</t>
  </si>
  <si>
    <t>language learning</t>
  </si>
  <si>
    <t>Greco-Roman art</t>
  </si>
  <si>
    <t>ancient art from Greece and Rome</t>
  </si>
  <si>
    <t>politics</t>
  </si>
  <si>
    <t>political opinions and philosophies</t>
  </si>
  <si>
    <t>race and ethnicity</t>
  </si>
  <si>
    <t>art dealers, art business</t>
  </si>
  <si>
    <t>BG's family</t>
  </si>
  <si>
    <t>scholarly activity, research, lectures, symposia, conferences, and publications</t>
  </si>
  <si>
    <t>BG's fashion</t>
  </si>
  <si>
    <t>specifically for travel outside of the NY-metropolitan area</t>
  </si>
  <si>
    <t>Babylonian art</t>
  </si>
  <si>
    <t>Swedish literature</t>
  </si>
  <si>
    <t>Mesopotamian art</t>
  </si>
  <si>
    <t>Japanese art</t>
  </si>
  <si>
    <t>Indian art</t>
  </si>
  <si>
    <t>finance</t>
  </si>
  <si>
    <t>stock market, BG's personal finances</t>
  </si>
  <si>
    <t>BG's leisure activites</t>
  </si>
  <si>
    <t>golf or motoring, e.g.</t>
  </si>
  <si>
    <t>BG's health</t>
  </si>
  <si>
    <t>BG's physical and mental health</t>
  </si>
  <si>
    <t xml:space="preserve">American architecture </t>
  </si>
  <si>
    <t>identifier</t>
  </si>
  <si>
    <t>Name (Last, First)</t>
  </si>
  <si>
    <t>BG's Nickname or Reference</t>
  </si>
  <si>
    <t>Life Dates</t>
  </si>
  <si>
    <t>Biographical Description</t>
  </si>
  <si>
    <t>IIIF_Image</t>
  </si>
  <si>
    <t>IIIF_Manifest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</si>
</sst>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yyyy/m/d"/>
    <numFmt numFmtId="166" formatCode="mm/dd/yy"/>
    <numFmt numFmtId="167" formatCode="m-d"/>
    <numFmt numFmtId="168" formatCode="yyyy-m"/>
  </numFmts>
  <fonts count="18">
    <font>
      <sz val="12.0"/>
      <color theme="1"/>
      <name val="Calibri"/>
      <scheme val="minor"/>
    </font>
    <font>
      <b/>
      <sz val="12.0"/>
      <color rgb="FF000000"/>
      <name val="Times New Roman"/>
    </font>
    <font>
      <b/>
      <sz val="12.0"/>
      <color theme="1"/>
      <name val="Times New Roman"/>
    </font>
    <font>
      <sz val="12.0"/>
      <color rgb="FF000000"/>
      <name val="Times New Roman"/>
    </font>
    <font>
      <sz val="12.0"/>
      <color rgb="FF000000"/>
      <name val="Times"/>
    </font>
    <font>
      <sz val="12.0"/>
      <color theme="1"/>
      <name val="Times New Roman"/>
    </font>
    <font>
      <sz val="12.0"/>
      <color rgb="FF000000"/>
      <name val="&quot;Times New Roman&quot;"/>
    </font>
    <font>
      <sz val="12.0"/>
      <color rgb="FF3C4043"/>
      <name val="Times New Roman"/>
    </font>
    <font>
      <sz val="12.0"/>
      <color theme="1"/>
      <name val="&quot;Times New Roman&quot;"/>
    </font>
    <font>
      <sz val="12.0"/>
      <color theme="1"/>
      <name val="Calibri"/>
    </font>
    <font>
      <sz val="12.0"/>
      <color theme="1"/>
      <name val="Times"/>
    </font>
    <font>
      <color theme="1"/>
      <name val="Times New Roman"/>
    </font>
    <font>
      <color theme="1"/>
      <name val="Calibri"/>
      <scheme val="minor"/>
    </font>
    <font>
      <b/>
      <color theme="1"/>
      <name val="Times New Roman"/>
    </font>
    <font>
      <b/>
      <sz val="12.0"/>
      <color theme="1"/>
      <name val="Calibri"/>
    </font>
    <font>
      <b/>
      <sz val="12.0"/>
      <color rgb="FF000000"/>
      <name val="Calibri"/>
    </font>
    <font>
      <sz val="12.0"/>
      <color rgb="FF000000"/>
      <name val="Calibri"/>
    </font>
    <font>
      <b/>
      <color rgb="FFFFFFFF"/>
      <name val="Calibri"/>
      <scheme val="minor"/>
    </font>
  </fonts>
  <fills count="8">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D9D9D9"/>
        <bgColor rgb="FFD9D9D9"/>
      </patternFill>
    </fill>
    <fill>
      <patternFill patternType="solid">
        <fgColor rgb="FF000000"/>
        <bgColor rgb="FF000000"/>
      </patternFill>
    </fill>
  </fills>
  <borders count="1">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1"/>
    </xf>
    <xf borderId="0" fillId="0" fontId="2" numFmtId="49" xfId="0" applyAlignment="1" applyFont="1" applyNumberFormat="1">
      <alignment horizontal="left" shrinkToFit="0" vertical="bottom" wrapText="1"/>
    </xf>
    <xf borderId="0" fillId="0" fontId="1" numFmtId="49" xfId="0" applyAlignment="1" applyFont="1" applyNumberFormat="1">
      <alignment horizontal="left" shrinkToFit="0" vertical="bottom" wrapText="1"/>
    </xf>
    <xf borderId="0" fillId="0" fontId="2" numFmtId="49" xfId="0" applyAlignment="1" applyFont="1" applyNumberFormat="1">
      <alignment horizontal="left" readingOrder="0" shrinkToFit="0" vertical="bottom" wrapText="1"/>
    </xf>
    <xf borderId="0" fillId="2" fontId="2" numFmtId="49" xfId="0" applyAlignment="1" applyFill="1" applyFont="1" applyNumberFormat="1">
      <alignment horizontal="left" readingOrder="0" shrinkToFit="0" vertical="bottom" wrapText="1"/>
    </xf>
    <xf borderId="0" fillId="0" fontId="2" numFmtId="0" xfId="0" applyAlignment="1" applyFont="1">
      <alignment horizontal="left" readingOrder="0" shrinkToFit="0" vertical="bottom" wrapText="1"/>
    </xf>
    <xf borderId="0" fillId="0" fontId="2" numFmtId="0" xfId="0" applyAlignment="1" applyFont="1">
      <alignment horizontal="left" shrinkToFit="0" vertical="bottom" wrapText="1"/>
    </xf>
    <xf borderId="0" fillId="0" fontId="2" numFmtId="0" xfId="0" applyAlignment="1" applyFont="1">
      <alignment horizontal="center" shrinkToFit="0" vertical="bottom" wrapText="1"/>
    </xf>
    <xf borderId="0" fillId="0" fontId="3" numFmtId="49" xfId="0" applyAlignment="1" applyFont="1" applyNumberFormat="1">
      <alignment horizontal="left" shrinkToFit="0" vertical="bottom" wrapText="1"/>
    </xf>
    <xf borderId="0" fillId="0" fontId="3" numFmtId="49" xfId="0" applyAlignment="1" applyFont="1" applyNumberFormat="1">
      <alignment horizontal="left" readingOrder="0" shrinkToFit="0" vertical="bottom" wrapText="1"/>
    </xf>
    <xf borderId="0" fillId="0" fontId="4" numFmtId="49" xfId="0" applyAlignment="1" applyFont="1" applyNumberFormat="1">
      <alignment horizontal="left" readingOrder="0" shrinkToFit="0" vertical="bottom" wrapText="1"/>
    </xf>
    <xf borderId="0" fillId="0" fontId="5" numFmtId="49" xfId="0" applyAlignment="1" applyFont="1" applyNumberFormat="1">
      <alignment horizontal="left" shrinkToFit="0" vertical="bottom" wrapText="1"/>
    </xf>
    <xf borderId="0" fillId="0" fontId="5" numFmtId="0" xfId="0" applyAlignment="1" applyFont="1">
      <alignment horizontal="left" shrinkToFit="0" vertical="bottom" wrapText="1"/>
    </xf>
    <xf borderId="0" fillId="0" fontId="5" numFmtId="49" xfId="0" applyAlignment="1" applyFont="1" applyNumberFormat="1">
      <alignment horizontal="left" readingOrder="0" shrinkToFit="0" vertical="bottom" wrapText="1"/>
    </xf>
    <xf borderId="0" fillId="0" fontId="4" numFmtId="49" xfId="0" applyAlignment="1" applyFont="1" applyNumberFormat="1">
      <alignment horizontal="left" shrinkToFit="0" vertical="bottom" wrapText="1"/>
    </xf>
    <xf borderId="0" fillId="3" fontId="4" numFmtId="49" xfId="0" applyAlignment="1" applyFill="1" applyFont="1" applyNumberFormat="1">
      <alignment horizontal="left" shrinkToFit="0" vertical="bottom" wrapText="1"/>
    </xf>
    <xf borderId="0" fillId="3" fontId="4" numFmtId="49" xfId="0" applyAlignment="1" applyFont="1" applyNumberFormat="1">
      <alignment horizontal="left" readingOrder="0" shrinkToFit="0" vertical="bottom" wrapText="1"/>
    </xf>
    <xf borderId="0" fillId="0" fontId="5" numFmtId="0" xfId="0" applyAlignment="1" applyFont="1">
      <alignment horizontal="left" readingOrder="0" shrinkToFit="0" vertical="bottom" wrapText="1"/>
    </xf>
    <xf borderId="0" fillId="3" fontId="3" numFmtId="49" xfId="0" applyAlignment="1" applyFont="1" applyNumberFormat="1">
      <alignment horizontal="left" readingOrder="0" shrinkToFit="0" vertical="bottom" wrapText="1"/>
    </xf>
    <xf borderId="0" fillId="3" fontId="3" numFmtId="49" xfId="0" applyAlignment="1" applyFont="1" applyNumberFormat="1">
      <alignment horizontal="left" shrinkToFit="0" vertical="bottom" wrapText="1"/>
    </xf>
    <xf borderId="0" fillId="3" fontId="6" numFmtId="49" xfId="0" applyAlignment="1" applyFont="1" applyNumberFormat="1">
      <alignment horizontal="left" readingOrder="0" shrinkToFit="0" vertical="bottom" wrapText="1"/>
    </xf>
    <xf borderId="0" fillId="0" fontId="6" numFmtId="49" xfId="0" applyAlignment="1" applyFont="1" applyNumberFormat="1">
      <alignment horizontal="left" readingOrder="0" shrinkToFit="0" vertical="bottom" wrapText="1"/>
    </xf>
    <xf borderId="0" fillId="0" fontId="6" numFmtId="49" xfId="0" applyAlignment="1" applyFont="1" applyNumberFormat="1">
      <alignment horizontal="left" readingOrder="0" shrinkToFit="0" vertical="bottom" wrapText="1"/>
    </xf>
    <xf borderId="0" fillId="0" fontId="3" numFmtId="49" xfId="0" applyAlignment="1" applyFont="1" applyNumberFormat="1">
      <alignment horizontal="left" readingOrder="0" shrinkToFit="0" vertical="bottom" wrapText="1"/>
    </xf>
    <xf borderId="0" fillId="3" fontId="7" numFmtId="49" xfId="0" applyAlignment="1" applyFont="1" applyNumberFormat="1">
      <alignment horizontal="left" readingOrder="0" shrinkToFit="0" vertical="bottom" wrapText="1"/>
    </xf>
    <xf borderId="0" fillId="0" fontId="3" numFmtId="49" xfId="0" applyAlignment="1" applyFont="1" applyNumberFormat="1">
      <alignment horizontal="left" readingOrder="0" shrinkToFit="0" vertical="bottom" wrapText="1"/>
    </xf>
    <xf borderId="0" fillId="0" fontId="0" numFmtId="0" xfId="0" applyAlignment="1" applyFont="1">
      <alignment horizontal="left" shrinkToFit="0" vertical="bottom" wrapText="1"/>
    </xf>
    <xf borderId="0" fillId="3" fontId="6" numFmtId="0" xfId="0" applyAlignment="1" applyFont="1">
      <alignment horizontal="left" readingOrder="0" shrinkToFit="0" vertical="bottom" wrapText="1"/>
    </xf>
    <xf borderId="0" fillId="0" fontId="3" numFmtId="0" xfId="0" applyAlignment="1" applyFont="1">
      <alignment horizontal="left" readingOrder="0" shrinkToFit="0" vertical="bottom" wrapText="1"/>
    </xf>
    <xf borderId="0" fillId="0" fontId="5" numFmtId="0" xfId="0" applyAlignment="1" applyFont="1">
      <alignment horizontal="left" shrinkToFit="0" vertical="bottom" wrapText="1"/>
    </xf>
    <xf borderId="0" fillId="0" fontId="5" numFmtId="164" xfId="0" applyAlignment="1" applyFont="1" applyNumberFormat="1">
      <alignment horizontal="left" readingOrder="0" shrinkToFit="0" vertical="bottom" wrapText="1"/>
    </xf>
    <xf borderId="0" fillId="4" fontId="3" numFmtId="49" xfId="0" applyAlignment="1" applyFill="1" applyFont="1" applyNumberFormat="1">
      <alignment horizontal="left" readingOrder="0" shrinkToFit="0" vertical="bottom" wrapText="1"/>
    </xf>
    <xf borderId="0" fillId="4" fontId="5" numFmtId="49" xfId="0" applyAlignment="1" applyFont="1" applyNumberFormat="1">
      <alignment horizontal="left" readingOrder="0" shrinkToFit="0" vertical="bottom" wrapText="1"/>
    </xf>
    <xf borderId="0" fillId="4" fontId="5" numFmtId="49" xfId="0" applyAlignment="1" applyFont="1" applyNumberFormat="1">
      <alignment horizontal="left" shrinkToFit="0" vertical="bottom" wrapText="1"/>
    </xf>
    <xf borderId="0" fillId="4" fontId="5" numFmtId="0" xfId="0" applyAlignment="1" applyFont="1">
      <alignment horizontal="left" shrinkToFit="0" vertical="bottom" wrapText="1"/>
    </xf>
    <xf borderId="0" fillId="4" fontId="3" numFmtId="49" xfId="0" applyAlignment="1" applyFont="1" applyNumberFormat="1">
      <alignment horizontal="left" shrinkToFit="0" vertical="bottom" wrapText="1"/>
    </xf>
    <xf borderId="0" fillId="0" fontId="8" numFmtId="49" xfId="0" applyAlignment="1" applyFont="1" applyNumberFormat="1">
      <alignment horizontal="left" readingOrder="0" shrinkToFit="0" vertical="bottom" wrapText="1"/>
    </xf>
    <xf borderId="0" fillId="0" fontId="6" numFmtId="49" xfId="0" applyAlignment="1" applyFont="1" applyNumberFormat="1">
      <alignment horizontal="left" shrinkToFit="0" vertical="bottom" wrapText="1"/>
    </xf>
    <xf borderId="0" fillId="0" fontId="8" numFmtId="49" xfId="0" applyAlignment="1" applyFont="1" applyNumberFormat="1">
      <alignment horizontal="left" shrinkToFit="0" vertical="bottom" wrapText="1"/>
    </xf>
    <xf borderId="0" fillId="0" fontId="9" numFmtId="49" xfId="0" applyAlignment="1" applyFont="1" applyNumberFormat="1">
      <alignment horizontal="left" shrinkToFit="0" vertical="bottom" wrapText="1"/>
    </xf>
    <xf borderId="0" fillId="5" fontId="3" numFmtId="49" xfId="0" applyAlignment="1" applyFill="1" applyFont="1" applyNumberFormat="1">
      <alignment horizontal="left" shrinkToFit="0" vertical="bottom" wrapText="1"/>
    </xf>
    <xf borderId="0" fillId="5" fontId="5" numFmtId="49" xfId="0" applyAlignment="1" applyFont="1" applyNumberFormat="1">
      <alignment horizontal="left" readingOrder="0" shrinkToFit="0" vertical="bottom" wrapText="1"/>
    </xf>
    <xf borderId="0" fillId="5" fontId="3" numFmtId="49" xfId="0" applyAlignment="1" applyFont="1" applyNumberFormat="1">
      <alignment horizontal="left" readingOrder="0" shrinkToFit="0" vertical="bottom" wrapText="1"/>
    </xf>
    <xf borderId="0" fillId="5" fontId="5" numFmtId="49" xfId="0" applyAlignment="1" applyFont="1" applyNumberFormat="1">
      <alignment horizontal="left" shrinkToFit="0" vertical="bottom" wrapText="1"/>
    </xf>
    <xf borderId="0" fillId="5" fontId="5" numFmtId="0" xfId="0" applyAlignment="1" applyFont="1">
      <alignment horizontal="left" shrinkToFit="0" vertical="bottom" wrapText="1"/>
    </xf>
    <xf borderId="0" fillId="0" fontId="3" numFmtId="0" xfId="0" applyAlignment="1" applyFont="1">
      <alignment horizontal="left" shrinkToFit="0" vertical="bottom" wrapText="1"/>
    </xf>
    <xf borderId="0" fillId="3" fontId="3" numFmtId="0" xfId="0" applyAlignment="1" applyFont="1">
      <alignment horizontal="left" readingOrder="0" shrinkToFit="0" vertical="bottom" wrapText="1"/>
    </xf>
    <xf borderId="0" fillId="0" fontId="10" numFmtId="49" xfId="0" applyAlignment="1" applyFont="1" applyNumberFormat="1">
      <alignment horizontal="left" readingOrder="0" shrinkToFit="0" vertical="bottom" wrapText="1"/>
    </xf>
    <xf borderId="0" fillId="0" fontId="4" numFmtId="0" xfId="0" applyAlignment="1" applyFont="1">
      <alignment horizontal="left" shrinkToFit="0" vertical="bottom" wrapText="1"/>
    </xf>
    <xf borderId="0" fillId="0" fontId="3" numFmtId="164" xfId="0" applyAlignment="1" applyFont="1" applyNumberFormat="1">
      <alignment horizontal="left" shrinkToFit="0" vertical="bottom" wrapText="1"/>
    </xf>
    <xf borderId="0" fillId="0" fontId="5" numFmtId="164" xfId="0" applyAlignment="1" applyFont="1" applyNumberFormat="1">
      <alignment horizontal="left" shrinkToFit="0" vertical="bottom" wrapText="1"/>
    </xf>
    <xf borderId="0" fillId="6" fontId="3" numFmtId="49" xfId="0" applyAlignment="1" applyFill="1" applyFont="1" applyNumberFormat="1">
      <alignment horizontal="left" shrinkToFit="0" vertical="bottom" wrapText="1"/>
    </xf>
    <xf borderId="0" fillId="6" fontId="3" numFmtId="49" xfId="0" applyAlignment="1" applyFont="1" applyNumberFormat="1">
      <alignment horizontal="left" readingOrder="0" shrinkToFit="0" vertical="bottom" wrapText="1"/>
    </xf>
    <xf borderId="0" fillId="6" fontId="3" numFmtId="0" xfId="0" applyAlignment="1" applyFont="1">
      <alignment horizontal="left" shrinkToFit="0" vertical="bottom" wrapText="1"/>
    </xf>
    <xf borderId="0" fillId="6" fontId="5" numFmtId="0" xfId="0" applyAlignment="1" applyFont="1">
      <alignment horizontal="left" shrinkToFit="0" vertical="bottom" wrapText="1"/>
    </xf>
    <xf borderId="0" fillId="6" fontId="5" numFmtId="0" xfId="0" applyAlignment="1" applyFont="1">
      <alignment horizontal="left" readingOrder="0" shrinkToFit="0" vertical="bottom" wrapText="1"/>
    </xf>
    <xf borderId="0" fillId="6" fontId="5" numFmtId="164" xfId="0" applyAlignment="1" applyFont="1" applyNumberFormat="1">
      <alignment horizontal="left" shrinkToFit="0" vertical="bottom" wrapText="1"/>
    </xf>
    <xf borderId="0" fillId="6" fontId="5" numFmtId="165" xfId="0" applyAlignment="1" applyFont="1" applyNumberFormat="1">
      <alignment horizontal="left" shrinkToFit="0" vertical="bottom" wrapText="1"/>
    </xf>
    <xf borderId="0" fillId="6" fontId="5" numFmtId="49" xfId="0" applyAlignment="1" applyFont="1" applyNumberFormat="1">
      <alignment horizontal="left" readingOrder="0" shrinkToFit="0" vertical="bottom" wrapText="1"/>
    </xf>
    <xf borderId="0" fillId="0" fontId="5" numFmtId="165" xfId="0" applyAlignment="1" applyFont="1" applyNumberFormat="1">
      <alignment horizontal="left" shrinkToFit="0" vertical="bottom" wrapText="1"/>
    </xf>
    <xf borderId="0" fillId="3" fontId="3" numFmtId="0" xfId="0" applyAlignment="1" applyFont="1">
      <alignment horizontal="left" shrinkToFit="0" vertical="bottom" wrapText="1"/>
    </xf>
    <xf borderId="0" fillId="0" fontId="5" numFmtId="166" xfId="0" applyAlignment="1" applyFont="1" applyNumberFormat="1">
      <alignment horizontal="left" readingOrder="0" shrinkToFit="0" vertical="bottom" wrapText="1"/>
    </xf>
    <xf borderId="0" fillId="0" fontId="10" numFmtId="49" xfId="0" applyAlignment="1" applyFont="1" applyNumberFormat="1">
      <alignment horizontal="left" shrinkToFit="0" vertical="bottom" wrapText="1"/>
    </xf>
    <xf borderId="0" fillId="3" fontId="6" numFmtId="0" xfId="0" applyAlignment="1" applyFont="1">
      <alignment horizontal="left" readingOrder="0"/>
    </xf>
    <xf borderId="0" fillId="3" fontId="4" numFmtId="0" xfId="0" applyAlignment="1" applyFont="1">
      <alignment horizontal="left" readingOrder="0" shrinkToFit="0" vertical="bottom" wrapText="1"/>
    </xf>
    <xf borderId="0" fillId="3" fontId="4" numFmtId="0" xfId="0" applyAlignment="1" applyFont="1">
      <alignment horizontal="left" shrinkToFit="0" vertical="bottom" wrapText="1"/>
    </xf>
    <xf borderId="0" fillId="0" fontId="3" numFmtId="167" xfId="0" applyAlignment="1" applyFont="1" applyNumberFormat="1">
      <alignment horizontal="left" shrinkToFit="0" vertical="bottom" wrapText="1"/>
    </xf>
    <xf borderId="0" fillId="0" fontId="6" numFmtId="0" xfId="0" applyAlignment="1" applyFont="1">
      <alignment horizontal="left" readingOrder="0" shrinkToFit="0" vertical="bottom" wrapText="1"/>
    </xf>
    <xf borderId="0" fillId="0" fontId="9" numFmtId="0" xfId="0" applyAlignment="1" applyFont="1">
      <alignment horizontal="left" shrinkToFit="0" vertical="bottom" wrapText="1"/>
    </xf>
    <xf borderId="0" fillId="0" fontId="3" numFmtId="168" xfId="0" applyAlignment="1" applyFont="1" applyNumberFormat="1">
      <alignment horizontal="left" shrinkToFit="0" vertical="bottom" wrapText="1"/>
    </xf>
    <xf borderId="0" fillId="0" fontId="5" numFmtId="0" xfId="0" applyAlignment="1" applyFont="1">
      <alignment readingOrder="0" shrinkToFit="0" vertical="bottom" wrapText="1"/>
    </xf>
    <xf borderId="0" fillId="0" fontId="5" numFmtId="0" xfId="0" applyAlignment="1" applyFont="1">
      <alignment readingOrder="0"/>
    </xf>
    <xf borderId="0" fillId="0" fontId="5" numFmtId="0" xfId="0" applyAlignment="1" applyFont="1">
      <alignment readingOrder="0" shrinkToFit="0" wrapText="1"/>
    </xf>
    <xf borderId="0" fillId="5" fontId="3" numFmtId="0" xfId="0" applyAlignment="1" applyFont="1">
      <alignment horizontal="left" shrinkToFit="0" vertical="bottom" wrapText="1"/>
    </xf>
    <xf borderId="0" fillId="0" fontId="6" numFmtId="0" xfId="0" applyAlignment="1" applyFont="1">
      <alignment readingOrder="0"/>
    </xf>
    <xf borderId="0" fillId="0" fontId="0" numFmtId="0" xfId="0" applyAlignment="1" applyFont="1">
      <alignment readingOrder="0"/>
    </xf>
    <xf borderId="0" fillId="0" fontId="11" numFmtId="0" xfId="0" applyAlignment="1" applyFont="1">
      <alignment horizontal="left" shrinkToFit="0" vertical="bottom" wrapText="1"/>
    </xf>
    <xf borderId="0" fillId="0" fontId="11" numFmtId="49" xfId="0" applyAlignment="1" applyFont="1" applyNumberFormat="1">
      <alignment horizontal="left" shrinkToFit="0" vertical="bottom" wrapText="1"/>
    </xf>
    <xf borderId="0" fillId="0" fontId="12" numFmtId="0" xfId="0" applyAlignment="1" applyFont="1">
      <alignment horizontal="left" shrinkToFit="0" vertical="bottom" wrapText="1"/>
    </xf>
    <xf borderId="0" fillId="0" fontId="11" numFmtId="0" xfId="0" applyAlignment="1" applyFont="1">
      <alignment horizontal="left" shrinkToFit="0" vertical="bottom" wrapText="1"/>
    </xf>
    <xf borderId="0" fillId="0" fontId="12" numFmtId="49" xfId="0" applyAlignment="1" applyFont="1" applyNumberFormat="1">
      <alignment horizontal="left" shrinkToFit="0" vertical="bottom" wrapText="1"/>
    </xf>
    <xf borderId="0" fillId="0" fontId="13" numFmtId="0" xfId="0" applyAlignment="1" applyFont="1">
      <alignment readingOrder="0"/>
    </xf>
    <xf borderId="0" fillId="0" fontId="13" numFmtId="0" xfId="0" applyAlignment="1" applyFont="1">
      <alignment readingOrder="0" shrinkToFit="0" wrapText="1"/>
    </xf>
    <xf borderId="0" fillId="0" fontId="13" numFmtId="0" xfId="0" applyFont="1"/>
    <xf borderId="0" fillId="0" fontId="11" numFmtId="0" xfId="0" applyAlignment="1" applyFont="1">
      <alignment readingOrder="0"/>
    </xf>
    <xf borderId="0" fillId="0" fontId="11" numFmtId="0" xfId="0" applyAlignment="1" applyFont="1">
      <alignment readingOrder="0" shrinkToFit="0" wrapText="1"/>
    </xf>
    <xf borderId="0" fillId="0" fontId="11" numFmtId="0" xfId="0" applyFont="1"/>
    <xf borderId="0" fillId="0" fontId="11" numFmtId="0" xfId="0" applyAlignment="1" applyFont="1">
      <alignment shrinkToFit="0" wrapText="1"/>
    </xf>
    <xf borderId="0" fillId="2" fontId="14" numFmtId="0" xfId="0" applyAlignment="1" applyFont="1">
      <alignment readingOrder="0" vertical="bottom"/>
    </xf>
    <xf borderId="0" fillId="2" fontId="14" numFmtId="0" xfId="0" applyAlignment="1" applyFont="1">
      <alignment vertical="bottom"/>
    </xf>
    <xf borderId="0" fillId="2" fontId="15" numFmtId="0" xfId="0" applyAlignment="1" applyFont="1">
      <alignment vertical="bottom"/>
    </xf>
    <xf borderId="0" fillId="2" fontId="15" numFmtId="0" xfId="0" applyAlignment="1" applyFont="1">
      <alignment shrinkToFit="0" vertical="bottom" wrapText="1"/>
    </xf>
    <xf borderId="0" fillId="3" fontId="16" numFmtId="49" xfId="0" applyFont="1" applyNumberFormat="1"/>
    <xf borderId="0" fillId="0" fontId="12" numFmtId="0" xfId="0" applyFont="1"/>
    <xf borderId="0" fillId="0" fontId="12" numFmtId="0" xfId="0" applyAlignment="1" applyFont="1">
      <alignment shrinkToFit="0" wrapText="1"/>
    </xf>
    <xf borderId="0" fillId="0" fontId="12" numFmtId="49" xfId="0" applyFont="1" applyNumberFormat="1"/>
    <xf borderId="0" fillId="7" fontId="17" numFmtId="0" xfId="0" applyAlignment="1" applyFill="1" applyFont="1">
      <alignment horizontal="center" readingOrder="0"/>
    </xf>
    <xf borderId="0" fillId="7" fontId="17" numFmtId="0" xfId="0" applyAlignment="1" applyFont="1">
      <alignment horizontal="center" readingOrder="0" shrinkToFit="0" wrapText="1"/>
    </xf>
    <xf borderId="0" fillId="7" fontId="17" numFmtId="0" xfId="0" applyAlignment="1" applyFont="1">
      <alignment horizont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1.22" defaultRowHeight="15.0"/>
  <cols>
    <col customWidth="1" min="1" max="1" width="7.44"/>
    <col customWidth="1" min="2" max="2" width="7.33"/>
    <col customWidth="1" min="3" max="3" width="22.78"/>
    <col customWidth="1" min="4" max="4" width="51.78"/>
    <col customWidth="1" min="5" max="5" width="20.33"/>
    <col customWidth="1" min="6" max="6" width="21.33"/>
    <col customWidth="1" min="7" max="7" width="32.78"/>
    <col customWidth="1" min="8" max="8" width="29.11"/>
    <col customWidth="1" min="9" max="9" width="20.56"/>
    <col customWidth="1" min="10" max="10" width="12.56"/>
    <col customWidth="1" min="11" max="11" width="11.89"/>
    <col customWidth="1" min="12" max="12" width="10.11"/>
    <col customWidth="1" min="13" max="13" width="10.56"/>
    <col customWidth="1" min="14" max="14" width="55.33"/>
    <col customWidth="1" min="15" max="15" width="44.0"/>
    <col customWidth="1" min="16" max="16" width="45.11"/>
    <col customWidth="1" min="17" max="17" width="33.67"/>
    <col customWidth="1" min="18" max="18" width="53.0"/>
    <col customWidth="1" min="19" max="19" width="37.33"/>
    <col customWidth="1" min="20" max="20" width="20.44"/>
    <col customWidth="1" min="21" max="21" width="29.67"/>
    <col customWidth="1" min="22" max="22" width="32.33"/>
    <col customWidth="1" min="23" max="23" width="43.78"/>
    <col customWidth="1" min="24" max="24" width="22.11"/>
    <col customWidth="1" min="25" max="25" width="30.33"/>
    <col customWidth="1" min="26" max="26" width="31.44"/>
    <col customWidth="1" min="27" max="27" width="31.0"/>
    <col customWidth="1" min="28" max="31" width="10.56"/>
  </cols>
  <sheetData>
    <row r="1">
      <c r="A1" s="1" t="s">
        <v>0</v>
      </c>
      <c r="B1" s="2" t="s">
        <v>1</v>
      </c>
      <c r="C1" s="3" t="s">
        <v>2</v>
      </c>
      <c r="D1" s="3" t="s">
        <v>3</v>
      </c>
      <c r="E1" s="4" t="s">
        <v>4</v>
      </c>
      <c r="F1" s="4" t="s">
        <v>5</v>
      </c>
      <c r="G1" s="2" t="s">
        <v>6</v>
      </c>
      <c r="H1" s="4" t="s">
        <v>7</v>
      </c>
      <c r="I1" s="4" t="s">
        <v>8</v>
      </c>
      <c r="J1" s="2" t="s">
        <v>9</v>
      </c>
      <c r="K1" s="3" t="s">
        <v>10</v>
      </c>
      <c r="L1" s="2" t="s">
        <v>11</v>
      </c>
      <c r="M1" s="2" t="s">
        <v>12</v>
      </c>
      <c r="N1" s="2" t="s">
        <v>13</v>
      </c>
      <c r="O1" s="2" t="s">
        <v>14</v>
      </c>
      <c r="P1" s="2" t="s">
        <v>15</v>
      </c>
      <c r="Q1" s="5" t="s">
        <v>16</v>
      </c>
      <c r="R1" s="4" t="s">
        <v>17</v>
      </c>
      <c r="S1" s="3" t="s">
        <v>18</v>
      </c>
      <c r="T1" s="2" t="s">
        <v>19</v>
      </c>
      <c r="U1" s="2" t="s">
        <v>20</v>
      </c>
      <c r="V1" s="3" t="s">
        <v>21</v>
      </c>
      <c r="W1" s="2" t="s">
        <v>22</v>
      </c>
      <c r="X1" s="2" t="s">
        <v>23</v>
      </c>
      <c r="Y1" s="2" t="s">
        <v>20</v>
      </c>
      <c r="Z1" s="2" t="s">
        <v>21</v>
      </c>
      <c r="AA1" s="2" t="s">
        <v>24</v>
      </c>
      <c r="AB1" s="6" t="s">
        <v>25</v>
      </c>
      <c r="AC1" s="4" t="s">
        <v>26</v>
      </c>
      <c r="AD1" s="7"/>
      <c r="AE1" s="8"/>
    </row>
    <row r="2">
      <c r="A2" s="9" t="s">
        <v>27</v>
      </c>
      <c r="B2" s="9" t="s">
        <v>28</v>
      </c>
      <c r="C2" s="10" t="s">
        <v>29</v>
      </c>
      <c r="D2" s="11" t="s">
        <v>30</v>
      </c>
      <c r="E2" s="10" t="s">
        <v>31</v>
      </c>
      <c r="F2" s="10" t="s">
        <v>32</v>
      </c>
      <c r="G2" s="9" t="s">
        <v>33</v>
      </c>
      <c r="H2" s="10" t="s">
        <v>34</v>
      </c>
      <c r="I2" s="10" t="s">
        <v>35</v>
      </c>
      <c r="J2" s="9" t="s">
        <v>36</v>
      </c>
      <c r="K2" s="12"/>
      <c r="L2" s="9" t="s">
        <v>37</v>
      </c>
      <c r="M2" s="9" t="s">
        <v>38</v>
      </c>
      <c r="N2" s="10" t="s">
        <v>39</v>
      </c>
      <c r="O2" s="12"/>
      <c r="P2" s="10" t="s">
        <v>40</v>
      </c>
      <c r="Q2" s="9"/>
      <c r="R2" s="9"/>
      <c r="S2" s="9" t="s">
        <v>41</v>
      </c>
      <c r="T2" s="9" t="s">
        <v>42</v>
      </c>
      <c r="U2" s="9" t="s">
        <v>43</v>
      </c>
      <c r="V2" s="9" t="s">
        <v>44</v>
      </c>
      <c r="W2" s="9" t="s">
        <v>45</v>
      </c>
      <c r="X2" s="9" t="s">
        <v>46</v>
      </c>
      <c r="Y2" s="9" t="s">
        <v>44</v>
      </c>
      <c r="Z2" s="9" t="s">
        <v>44</v>
      </c>
      <c r="AA2" s="9" t="s">
        <v>44</v>
      </c>
      <c r="AB2" s="13"/>
      <c r="AC2" s="14" t="s">
        <v>47</v>
      </c>
      <c r="AD2" s="13"/>
      <c r="AE2" s="13"/>
    </row>
    <row r="3">
      <c r="A3" s="9" t="s">
        <v>27</v>
      </c>
      <c r="B3" s="9" t="s">
        <v>28</v>
      </c>
      <c r="C3" s="10" t="s">
        <v>48</v>
      </c>
      <c r="D3" s="15" t="s">
        <v>49</v>
      </c>
      <c r="E3" s="10" t="s">
        <v>31</v>
      </c>
      <c r="F3" s="10" t="s">
        <v>32</v>
      </c>
      <c r="G3" s="9" t="s">
        <v>50</v>
      </c>
      <c r="H3" s="10" t="s">
        <v>34</v>
      </c>
      <c r="I3" s="10" t="s">
        <v>35</v>
      </c>
      <c r="J3" s="9" t="s">
        <v>38</v>
      </c>
      <c r="K3" s="12"/>
      <c r="L3" s="9" t="s">
        <v>36</v>
      </c>
      <c r="M3" s="9" t="s">
        <v>36</v>
      </c>
      <c r="N3" s="14" t="s">
        <v>51</v>
      </c>
      <c r="O3" s="9" t="s">
        <v>52</v>
      </c>
      <c r="P3" s="10"/>
      <c r="Q3" s="10" t="s">
        <v>53</v>
      </c>
      <c r="R3" s="10" t="s">
        <v>54</v>
      </c>
      <c r="S3" s="9" t="s">
        <v>41</v>
      </c>
      <c r="T3" s="9" t="s">
        <v>42</v>
      </c>
      <c r="U3" s="9" t="s">
        <v>43</v>
      </c>
      <c r="V3" s="9" t="s">
        <v>55</v>
      </c>
      <c r="W3" s="12" t="s">
        <v>45</v>
      </c>
      <c r="X3" s="12" t="s">
        <v>46</v>
      </c>
      <c r="Y3" s="12" t="s">
        <v>56</v>
      </c>
      <c r="Z3" s="12" t="s">
        <v>56</v>
      </c>
      <c r="AA3" s="14" t="s">
        <v>57</v>
      </c>
      <c r="AB3" s="13"/>
      <c r="AC3" s="14" t="s">
        <v>58</v>
      </c>
      <c r="AD3" s="13"/>
      <c r="AE3" s="13"/>
    </row>
    <row r="4">
      <c r="A4" s="9" t="s">
        <v>27</v>
      </c>
      <c r="B4" s="9" t="s">
        <v>28</v>
      </c>
      <c r="C4" s="10" t="s">
        <v>59</v>
      </c>
      <c r="D4" s="10" t="s">
        <v>60</v>
      </c>
      <c r="E4" s="10" t="s">
        <v>31</v>
      </c>
      <c r="F4" s="10" t="s">
        <v>32</v>
      </c>
      <c r="G4" s="9" t="s">
        <v>50</v>
      </c>
      <c r="H4" s="10" t="s">
        <v>34</v>
      </c>
      <c r="I4" s="10" t="s">
        <v>35</v>
      </c>
      <c r="J4" s="9" t="s">
        <v>61</v>
      </c>
      <c r="K4" s="12"/>
      <c r="L4" s="9" t="s">
        <v>62</v>
      </c>
      <c r="M4" s="9" t="s">
        <v>63</v>
      </c>
      <c r="N4" s="14" t="s">
        <v>64</v>
      </c>
      <c r="O4" s="12"/>
      <c r="P4" s="10" t="s">
        <v>65</v>
      </c>
      <c r="Q4" s="10" t="s">
        <v>66</v>
      </c>
      <c r="R4" s="10" t="s">
        <v>67</v>
      </c>
      <c r="S4" s="9" t="s">
        <v>41</v>
      </c>
      <c r="T4" s="9" t="s">
        <v>42</v>
      </c>
      <c r="U4" s="9" t="s">
        <v>43</v>
      </c>
      <c r="V4" s="9" t="s">
        <v>44</v>
      </c>
      <c r="W4" s="12" t="s">
        <v>45</v>
      </c>
      <c r="X4" s="12" t="s">
        <v>46</v>
      </c>
      <c r="Y4" s="12" t="s">
        <v>56</v>
      </c>
      <c r="Z4" s="12" t="s">
        <v>56</v>
      </c>
      <c r="AA4" s="14" t="s">
        <v>57</v>
      </c>
      <c r="AB4" s="13"/>
      <c r="AC4" s="14" t="s">
        <v>68</v>
      </c>
      <c r="AD4" s="13"/>
      <c r="AE4" s="13"/>
    </row>
    <row r="5">
      <c r="A5" s="9" t="s">
        <v>27</v>
      </c>
      <c r="B5" s="9" t="s">
        <v>28</v>
      </c>
      <c r="C5" s="10" t="s">
        <v>69</v>
      </c>
      <c r="D5" s="10" t="s">
        <v>70</v>
      </c>
      <c r="E5" s="10" t="s">
        <v>31</v>
      </c>
      <c r="F5" s="10" t="s">
        <v>32</v>
      </c>
      <c r="G5" s="9" t="s">
        <v>71</v>
      </c>
      <c r="H5" s="10" t="s">
        <v>72</v>
      </c>
      <c r="I5" s="10" t="s">
        <v>35</v>
      </c>
      <c r="J5" s="9" t="s">
        <v>73</v>
      </c>
      <c r="K5" s="12"/>
      <c r="L5" s="9" t="s">
        <v>74</v>
      </c>
      <c r="M5" s="9" t="s">
        <v>75</v>
      </c>
      <c r="N5" s="10" t="s">
        <v>76</v>
      </c>
      <c r="O5" s="12"/>
      <c r="P5" s="10" t="s">
        <v>77</v>
      </c>
      <c r="Q5" s="10" t="s">
        <v>78</v>
      </c>
      <c r="R5" s="10" t="s">
        <v>79</v>
      </c>
      <c r="S5" s="9" t="s">
        <v>41</v>
      </c>
      <c r="T5" s="9" t="s">
        <v>42</v>
      </c>
      <c r="U5" s="9" t="s">
        <v>80</v>
      </c>
      <c r="V5" s="9" t="s">
        <v>80</v>
      </c>
      <c r="W5" s="12" t="s">
        <v>45</v>
      </c>
      <c r="X5" s="12" t="s">
        <v>46</v>
      </c>
      <c r="Y5" s="12" t="s">
        <v>56</v>
      </c>
      <c r="Z5" s="12" t="s">
        <v>56</v>
      </c>
      <c r="AA5" s="14" t="s">
        <v>57</v>
      </c>
      <c r="AB5" s="13"/>
      <c r="AC5" s="14" t="s">
        <v>81</v>
      </c>
      <c r="AD5" s="13"/>
      <c r="AE5" s="13"/>
    </row>
    <row r="6">
      <c r="A6" s="16" t="s">
        <v>27</v>
      </c>
      <c r="B6" s="9" t="s">
        <v>28</v>
      </c>
      <c r="C6" s="10" t="s">
        <v>82</v>
      </c>
      <c r="D6" s="10" t="s">
        <v>83</v>
      </c>
      <c r="E6" s="10" t="s">
        <v>31</v>
      </c>
      <c r="F6" s="10" t="s">
        <v>32</v>
      </c>
      <c r="G6" s="9" t="s">
        <v>50</v>
      </c>
      <c r="H6" s="10" t="s">
        <v>34</v>
      </c>
      <c r="I6" s="10" t="s">
        <v>35</v>
      </c>
      <c r="J6" s="9" t="s">
        <v>84</v>
      </c>
      <c r="K6" s="12"/>
      <c r="L6" s="9" t="s">
        <v>38</v>
      </c>
      <c r="M6" s="9" t="s">
        <v>38</v>
      </c>
      <c r="N6" s="17" t="s">
        <v>85</v>
      </c>
      <c r="O6" s="12"/>
      <c r="P6" s="9"/>
      <c r="Q6" s="10"/>
      <c r="R6" s="10" t="s">
        <v>86</v>
      </c>
      <c r="S6" s="16" t="s">
        <v>41</v>
      </c>
      <c r="T6" s="9" t="s">
        <v>42</v>
      </c>
      <c r="U6" s="9" t="s">
        <v>80</v>
      </c>
      <c r="V6" s="9" t="s">
        <v>80</v>
      </c>
      <c r="W6" s="12" t="s">
        <v>45</v>
      </c>
      <c r="X6" s="12" t="s">
        <v>46</v>
      </c>
      <c r="Y6" s="12" t="s">
        <v>56</v>
      </c>
      <c r="Z6" s="12" t="s">
        <v>56</v>
      </c>
      <c r="AA6" s="14" t="s">
        <v>57</v>
      </c>
      <c r="AB6" s="13"/>
      <c r="AC6" s="14" t="s">
        <v>87</v>
      </c>
      <c r="AD6" s="13"/>
      <c r="AE6" s="13"/>
    </row>
    <row r="7">
      <c r="A7" s="16" t="s">
        <v>27</v>
      </c>
      <c r="B7" s="9" t="s">
        <v>28</v>
      </c>
      <c r="C7" s="10" t="s">
        <v>88</v>
      </c>
      <c r="D7" s="10" t="s">
        <v>89</v>
      </c>
      <c r="E7" s="10" t="s">
        <v>31</v>
      </c>
      <c r="F7" s="10" t="s">
        <v>32</v>
      </c>
      <c r="G7" s="9" t="s">
        <v>50</v>
      </c>
      <c r="H7" s="10" t="s">
        <v>34</v>
      </c>
      <c r="I7" s="10" t="s">
        <v>35</v>
      </c>
      <c r="J7" s="9" t="s">
        <v>62</v>
      </c>
      <c r="K7" s="12"/>
      <c r="L7" s="9" t="s">
        <v>37</v>
      </c>
      <c r="M7" s="9" t="s">
        <v>38</v>
      </c>
      <c r="N7" s="10" t="s">
        <v>90</v>
      </c>
      <c r="O7" s="12"/>
      <c r="P7" s="9"/>
      <c r="Q7" s="10"/>
      <c r="R7" s="10" t="s">
        <v>91</v>
      </c>
      <c r="S7" s="16" t="s">
        <v>41</v>
      </c>
      <c r="T7" s="9" t="s">
        <v>42</v>
      </c>
      <c r="U7" s="9" t="s">
        <v>80</v>
      </c>
      <c r="V7" s="9" t="s">
        <v>80</v>
      </c>
      <c r="W7" s="12" t="s">
        <v>45</v>
      </c>
      <c r="X7" s="12" t="s">
        <v>46</v>
      </c>
      <c r="Y7" s="12" t="s">
        <v>56</v>
      </c>
      <c r="Z7" s="12" t="s">
        <v>56</v>
      </c>
      <c r="AA7" s="14" t="s">
        <v>57</v>
      </c>
      <c r="AB7" s="13"/>
      <c r="AC7" s="14" t="s">
        <v>92</v>
      </c>
      <c r="AD7" s="13"/>
      <c r="AE7" s="13"/>
    </row>
    <row r="8">
      <c r="A8" s="9" t="s">
        <v>27</v>
      </c>
      <c r="B8" s="9" t="s">
        <v>28</v>
      </c>
      <c r="C8" s="10" t="s">
        <v>93</v>
      </c>
      <c r="D8" s="10" t="s">
        <v>94</v>
      </c>
      <c r="E8" s="10" t="s">
        <v>31</v>
      </c>
      <c r="F8" s="10" t="s">
        <v>32</v>
      </c>
      <c r="G8" s="9" t="s">
        <v>50</v>
      </c>
      <c r="H8" s="10" t="s">
        <v>34</v>
      </c>
      <c r="I8" s="10" t="s">
        <v>35</v>
      </c>
      <c r="J8" s="9" t="s">
        <v>95</v>
      </c>
      <c r="K8" s="12"/>
      <c r="L8" s="9" t="s">
        <v>75</v>
      </c>
      <c r="M8" s="9" t="s">
        <v>37</v>
      </c>
      <c r="N8" s="10" t="s">
        <v>96</v>
      </c>
      <c r="O8" s="12"/>
      <c r="P8" s="10" t="s">
        <v>97</v>
      </c>
      <c r="Q8" s="10"/>
      <c r="R8" s="10" t="s">
        <v>98</v>
      </c>
      <c r="S8" s="16" t="s">
        <v>41</v>
      </c>
      <c r="T8" s="9" t="s">
        <v>42</v>
      </c>
      <c r="U8" s="9" t="s">
        <v>80</v>
      </c>
      <c r="V8" s="9" t="s">
        <v>80</v>
      </c>
      <c r="W8" s="12" t="s">
        <v>45</v>
      </c>
      <c r="X8" s="12" t="s">
        <v>46</v>
      </c>
      <c r="Y8" s="12" t="s">
        <v>99</v>
      </c>
      <c r="Z8" s="12" t="s">
        <v>99</v>
      </c>
      <c r="AA8" s="14" t="s">
        <v>57</v>
      </c>
      <c r="AB8" s="13"/>
      <c r="AC8" s="14" t="s">
        <v>100</v>
      </c>
      <c r="AD8" s="13"/>
      <c r="AE8" s="13"/>
    </row>
    <row r="9">
      <c r="A9" s="9" t="s">
        <v>27</v>
      </c>
      <c r="B9" s="9" t="s">
        <v>28</v>
      </c>
      <c r="C9" s="10" t="s">
        <v>101</v>
      </c>
      <c r="D9" s="10" t="s">
        <v>102</v>
      </c>
      <c r="E9" s="10" t="s">
        <v>31</v>
      </c>
      <c r="F9" s="10" t="s">
        <v>32</v>
      </c>
      <c r="G9" s="9" t="s">
        <v>50</v>
      </c>
      <c r="H9" s="10" t="s">
        <v>34</v>
      </c>
      <c r="I9" s="10" t="s">
        <v>35</v>
      </c>
      <c r="J9" s="9" t="s">
        <v>103</v>
      </c>
      <c r="K9" s="12"/>
      <c r="L9" s="9" t="s">
        <v>63</v>
      </c>
      <c r="M9" s="9" t="s">
        <v>75</v>
      </c>
      <c r="N9" s="10" t="s">
        <v>104</v>
      </c>
      <c r="O9" s="12"/>
      <c r="P9" s="10" t="s">
        <v>105</v>
      </c>
      <c r="Q9" s="10"/>
      <c r="R9" s="10" t="s">
        <v>106</v>
      </c>
      <c r="S9" s="16" t="s">
        <v>41</v>
      </c>
      <c r="T9" s="9" t="s">
        <v>42</v>
      </c>
      <c r="U9" s="9" t="s">
        <v>80</v>
      </c>
      <c r="V9" s="9" t="s">
        <v>80</v>
      </c>
      <c r="W9" s="13" t="s">
        <v>45</v>
      </c>
      <c r="X9" s="12" t="s">
        <v>46</v>
      </c>
      <c r="Y9" s="12" t="s">
        <v>56</v>
      </c>
      <c r="Z9" s="12" t="s">
        <v>56</v>
      </c>
      <c r="AA9" s="14" t="s">
        <v>57</v>
      </c>
      <c r="AB9" s="18" t="s">
        <v>107</v>
      </c>
      <c r="AC9" s="14" t="s">
        <v>108</v>
      </c>
      <c r="AD9" s="13"/>
      <c r="AE9" s="13"/>
    </row>
    <row r="10">
      <c r="A10" s="9" t="s">
        <v>27</v>
      </c>
      <c r="B10" s="9" t="s">
        <v>28</v>
      </c>
      <c r="C10" s="10" t="s">
        <v>109</v>
      </c>
      <c r="D10" s="10" t="s">
        <v>110</v>
      </c>
      <c r="E10" s="10" t="s">
        <v>31</v>
      </c>
      <c r="F10" s="10" t="s">
        <v>32</v>
      </c>
      <c r="G10" s="9" t="s">
        <v>50</v>
      </c>
      <c r="H10" s="10" t="s">
        <v>34</v>
      </c>
      <c r="I10" s="10" t="s">
        <v>35</v>
      </c>
      <c r="J10" s="9" t="s">
        <v>111</v>
      </c>
      <c r="K10" s="12"/>
      <c r="L10" s="9" t="s">
        <v>74</v>
      </c>
      <c r="M10" s="9" t="s">
        <v>75</v>
      </c>
      <c r="N10" s="10" t="s">
        <v>112</v>
      </c>
      <c r="O10" s="12"/>
      <c r="P10" s="9"/>
      <c r="Q10" s="10" t="s">
        <v>113</v>
      </c>
      <c r="R10" s="10" t="s">
        <v>114</v>
      </c>
      <c r="S10" s="16" t="s">
        <v>41</v>
      </c>
      <c r="T10" s="9" t="s">
        <v>42</v>
      </c>
      <c r="U10" s="9" t="s">
        <v>80</v>
      </c>
      <c r="V10" s="9" t="s">
        <v>80</v>
      </c>
      <c r="W10" s="12" t="s">
        <v>45</v>
      </c>
      <c r="X10" s="12" t="s">
        <v>46</v>
      </c>
      <c r="Y10" s="12" t="s">
        <v>99</v>
      </c>
      <c r="Z10" s="12" t="s">
        <v>99</v>
      </c>
      <c r="AA10" s="14" t="s">
        <v>57</v>
      </c>
      <c r="AB10" s="13"/>
      <c r="AC10" s="14" t="s">
        <v>115</v>
      </c>
      <c r="AD10" s="13"/>
      <c r="AE10" s="13"/>
    </row>
    <row r="11">
      <c r="A11" s="9" t="s">
        <v>27</v>
      </c>
      <c r="B11" s="9" t="s">
        <v>116</v>
      </c>
      <c r="C11" s="10" t="s">
        <v>117</v>
      </c>
      <c r="D11" s="11" t="s">
        <v>118</v>
      </c>
      <c r="E11" s="10" t="s">
        <v>31</v>
      </c>
      <c r="F11" s="10" t="s">
        <v>32</v>
      </c>
      <c r="G11" s="18" t="s">
        <v>119</v>
      </c>
      <c r="H11" s="10" t="s">
        <v>34</v>
      </c>
      <c r="I11" s="10" t="s">
        <v>35</v>
      </c>
      <c r="J11" s="9" t="s">
        <v>120</v>
      </c>
      <c r="K11" s="12"/>
      <c r="L11" s="9" t="s">
        <v>62</v>
      </c>
      <c r="M11" s="9" t="s">
        <v>63</v>
      </c>
      <c r="N11" s="14" t="s">
        <v>121</v>
      </c>
      <c r="O11" s="12"/>
      <c r="P11" s="10" t="s">
        <v>122</v>
      </c>
      <c r="Q11" s="14" t="s">
        <v>123</v>
      </c>
      <c r="R11" s="14" t="s">
        <v>124</v>
      </c>
      <c r="S11" s="16" t="s">
        <v>41</v>
      </c>
      <c r="T11" s="9" t="s">
        <v>42</v>
      </c>
      <c r="U11" s="9" t="s">
        <v>80</v>
      </c>
      <c r="V11" s="9" t="s">
        <v>80</v>
      </c>
      <c r="W11" s="12" t="s">
        <v>45</v>
      </c>
      <c r="X11" s="12" t="s">
        <v>46</v>
      </c>
      <c r="Y11" s="12" t="s">
        <v>99</v>
      </c>
      <c r="Z11" s="12" t="s">
        <v>125</v>
      </c>
      <c r="AA11" s="14" t="s">
        <v>57</v>
      </c>
      <c r="AB11" s="13"/>
      <c r="AC11" s="14" t="s">
        <v>126</v>
      </c>
      <c r="AD11" s="13"/>
      <c r="AE11" s="13"/>
    </row>
    <row r="12">
      <c r="A12" s="9" t="s">
        <v>27</v>
      </c>
      <c r="B12" s="9" t="s">
        <v>116</v>
      </c>
      <c r="C12" s="10" t="s">
        <v>127</v>
      </c>
      <c r="D12" s="10" t="s">
        <v>128</v>
      </c>
      <c r="E12" s="10" t="s">
        <v>31</v>
      </c>
      <c r="F12" s="10" t="s">
        <v>32</v>
      </c>
      <c r="G12" s="9" t="s">
        <v>50</v>
      </c>
      <c r="H12" s="10" t="s">
        <v>34</v>
      </c>
      <c r="I12" s="10" t="s">
        <v>35</v>
      </c>
      <c r="J12" s="10" t="s">
        <v>129</v>
      </c>
      <c r="K12" s="12"/>
      <c r="L12" s="10" t="s">
        <v>130</v>
      </c>
      <c r="M12" s="10" t="s">
        <v>131</v>
      </c>
      <c r="N12" s="14" t="s">
        <v>132</v>
      </c>
      <c r="O12" s="12"/>
      <c r="P12" s="10" t="s">
        <v>133</v>
      </c>
      <c r="Q12" s="10" t="s">
        <v>134</v>
      </c>
      <c r="R12" s="10" t="s">
        <v>135</v>
      </c>
      <c r="S12" s="9" t="s">
        <v>41</v>
      </c>
      <c r="T12" s="9" t="s">
        <v>42</v>
      </c>
      <c r="U12" s="9" t="s">
        <v>44</v>
      </c>
      <c r="V12" s="9" t="s">
        <v>44</v>
      </c>
      <c r="W12" s="12" t="s">
        <v>45</v>
      </c>
      <c r="X12" s="12" t="s">
        <v>46</v>
      </c>
      <c r="Y12" s="12" t="s">
        <v>125</v>
      </c>
      <c r="Z12" s="12" t="s">
        <v>125</v>
      </c>
      <c r="AA12" s="14" t="s">
        <v>57</v>
      </c>
      <c r="AB12" s="13"/>
      <c r="AC12" s="14" t="s">
        <v>136</v>
      </c>
      <c r="AD12" s="13"/>
      <c r="AE12" s="13"/>
    </row>
    <row r="13">
      <c r="A13" s="9" t="s">
        <v>27</v>
      </c>
      <c r="B13" s="9" t="s">
        <v>116</v>
      </c>
      <c r="C13" s="10" t="s">
        <v>137</v>
      </c>
      <c r="D13" s="10" t="s">
        <v>138</v>
      </c>
      <c r="E13" s="10" t="s">
        <v>31</v>
      </c>
      <c r="F13" s="10" t="s">
        <v>32</v>
      </c>
      <c r="G13" s="9" t="s">
        <v>50</v>
      </c>
      <c r="H13" s="10" t="s">
        <v>139</v>
      </c>
      <c r="I13" s="10" t="s">
        <v>35</v>
      </c>
      <c r="J13" s="9" t="s">
        <v>140</v>
      </c>
      <c r="K13" s="12"/>
      <c r="L13" s="9" t="s">
        <v>141</v>
      </c>
      <c r="M13" s="9" t="s">
        <v>84</v>
      </c>
      <c r="N13" s="14" t="s">
        <v>142</v>
      </c>
      <c r="O13" s="12"/>
      <c r="P13" s="10" t="s">
        <v>143</v>
      </c>
      <c r="Q13" s="10" t="s">
        <v>144</v>
      </c>
      <c r="R13" s="10" t="s">
        <v>145</v>
      </c>
      <c r="S13" s="16" t="s">
        <v>41</v>
      </c>
      <c r="T13" s="9" t="s">
        <v>42</v>
      </c>
      <c r="U13" s="9" t="s">
        <v>80</v>
      </c>
      <c r="V13" s="9" t="s">
        <v>146</v>
      </c>
      <c r="W13" s="12" t="s">
        <v>45</v>
      </c>
      <c r="X13" s="12" t="s">
        <v>46</v>
      </c>
      <c r="Y13" s="12" t="s">
        <v>147</v>
      </c>
      <c r="Z13" s="12" t="s">
        <v>147</v>
      </c>
      <c r="AA13" s="14" t="s">
        <v>57</v>
      </c>
      <c r="AB13" s="13"/>
      <c r="AC13" s="14" t="s">
        <v>148</v>
      </c>
      <c r="AD13" s="13"/>
      <c r="AE13" s="13"/>
    </row>
    <row r="14">
      <c r="A14" s="9" t="s">
        <v>27</v>
      </c>
      <c r="B14" s="9" t="s">
        <v>116</v>
      </c>
      <c r="C14" s="10" t="s">
        <v>149</v>
      </c>
      <c r="D14" s="10" t="s">
        <v>150</v>
      </c>
      <c r="E14" s="10" t="s">
        <v>31</v>
      </c>
      <c r="F14" s="10" t="s">
        <v>32</v>
      </c>
      <c r="G14" s="10" t="s">
        <v>151</v>
      </c>
      <c r="H14" s="10" t="s">
        <v>152</v>
      </c>
      <c r="I14" s="10" t="s">
        <v>35</v>
      </c>
      <c r="J14" s="9" t="s">
        <v>153</v>
      </c>
      <c r="K14" s="12"/>
      <c r="L14" s="9" t="s">
        <v>63</v>
      </c>
      <c r="M14" s="9" t="s">
        <v>75</v>
      </c>
      <c r="N14" s="14" t="s">
        <v>154</v>
      </c>
      <c r="O14" s="12"/>
      <c r="P14" s="10" t="s">
        <v>155</v>
      </c>
      <c r="Q14" s="10"/>
      <c r="R14" s="10" t="s">
        <v>156</v>
      </c>
      <c r="S14" s="16" t="s">
        <v>41</v>
      </c>
      <c r="T14" s="9" t="s">
        <v>42</v>
      </c>
      <c r="U14" s="9" t="s">
        <v>80</v>
      </c>
      <c r="V14" s="9" t="s">
        <v>146</v>
      </c>
      <c r="W14" s="12" t="s">
        <v>45</v>
      </c>
      <c r="X14" s="12" t="s">
        <v>46</v>
      </c>
      <c r="Y14" s="12" t="s">
        <v>147</v>
      </c>
      <c r="Z14" s="12" t="s">
        <v>147</v>
      </c>
      <c r="AA14" s="14" t="s">
        <v>57</v>
      </c>
      <c r="AB14" s="13"/>
      <c r="AC14" s="14" t="s">
        <v>157</v>
      </c>
      <c r="AD14" s="13"/>
      <c r="AE14" s="13"/>
    </row>
    <row r="15">
      <c r="A15" s="9" t="s">
        <v>27</v>
      </c>
      <c r="B15" s="9" t="s">
        <v>116</v>
      </c>
      <c r="C15" s="10" t="s">
        <v>158</v>
      </c>
      <c r="D15" s="10" t="s">
        <v>159</v>
      </c>
      <c r="E15" s="10" t="s">
        <v>31</v>
      </c>
      <c r="F15" s="10" t="s">
        <v>32</v>
      </c>
      <c r="G15" s="9" t="s">
        <v>50</v>
      </c>
      <c r="H15" s="10" t="s">
        <v>152</v>
      </c>
      <c r="I15" s="10" t="s">
        <v>35</v>
      </c>
      <c r="J15" s="9" t="s">
        <v>160</v>
      </c>
      <c r="K15" s="12"/>
      <c r="L15" s="9" t="s">
        <v>161</v>
      </c>
      <c r="M15" s="9" t="s">
        <v>62</v>
      </c>
      <c r="N15" s="14" t="s">
        <v>121</v>
      </c>
      <c r="O15" s="12"/>
      <c r="P15" s="10" t="s">
        <v>162</v>
      </c>
      <c r="Q15" s="10" t="s">
        <v>163</v>
      </c>
      <c r="R15" s="14" t="s">
        <v>164</v>
      </c>
      <c r="S15" s="16" t="s">
        <v>41</v>
      </c>
      <c r="T15" s="9" t="s">
        <v>42</v>
      </c>
      <c r="U15" s="9" t="s">
        <v>80</v>
      </c>
      <c r="V15" s="9" t="s">
        <v>146</v>
      </c>
      <c r="W15" s="12" t="s">
        <v>45</v>
      </c>
      <c r="X15" s="12" t="s">
        <v>46</v>
      </c>
      <c r="Y15" s="12" t="s">
        <v>165</v>
      </c>
      <c r="Z15" s="12" t="s">
        <v>165</v>
      </c>
      <c r="AA15" s="14" t="s">
        <v>166</v>
      </c>
      <c r="AB15" s="13"/>
      <c r="AC15" s="14" t="s">
        <v>167</v>
      </c>
      <c r="AD15" s="13"/>
      <c r="AE15" s="13"/>
    </row>
    <row r="16">
      <c r="A16" s="9" t="s">
        <v>27</v>
      </c>
      <c r="B16" s="9" t="s">
        <v>116</v>
      </c>
      <c r="C16" s="10" t="s">
        <v>168</v>
      </c>
      <c r="D16" s="10" t="s">
        <v>169</v>
      </c>
      <c r="E16" s="10" t="s">
        <v>31</v>
      </c>
      <c r="F16" s="10" t="s">
        <v>32</v>
      </c>
      <c r="G16" s="9" t="s">
        <v>50</v>
      </c>
      <c r="H16" s="10" t="s">
        <v>34</v>
      </c>
      <c r="I16" s="10" t="s">
        <v>35</v>
      </c>
      <c r="J16" s="9" t="s">
        <v>170</v>
      </c>
      <c r="K16" s="12"/>
      <c r="L16" s="9" t="s">
        <v>130</v>
      </c>
      <c r="M16" s="9" t="s">
        <v>131</v>
      </c>
      <c r="N16" s="14" t="s">
        <v>121</v>
      </c>
      <c r="O16" s="12"/>
      <c r="P16" s="10" t="s">
        <v>171</v>
      </c>
      <c r="Q16" s="10" t="s">
        <v>172</v>
      </c>
      <c r="R16" s="10" t="s">
        <v>173</v>
      </c>
      <c r="S16" s="16" t="s">
        <v>41</v>
      </c>
      <c r="T16" s="9" t="s">
        <v>42</v>
      </c>
      <c r="U16" s="9" t="s">
        <v>80</v>
      </c>
      <c r="V16" s="9" t="s">
        <v>146</v>
      </c>
      <c r="W16" s="12" t="s">
        <v>45</v>
      </c>
      <c r="X16" s="12" t="s">
        <v>46</v>
      </c>
      <c r="Y16" s="12" t="s">
        <v>174</v>
      </c>
      <c r="Z16" s="12" t="s">
        <v>174</v>
      </c>
      <c r="AA16" s="14" t="s">
        <v>166</v>
      </c>
      <c r="AB16" s="13"/>
      <c r="AC16" s="14" t="s">
        <v>175</v>
      </c>
      <c r="AD16" s="13"/>
      <c r="AE16" s="13"/>
    </row>
    <row r="17">
      <c r="A17" s="9" t="s">
        <v>27</v>
      </c>
      <c r="B17" s="9" t="s">
        <v>116</v>
      </c>
      <c r="C17" s="10" t="s">
        <v>176</v>
      </c>
      <c r="D17" s="11" t="s">
        <v>177</v>
      </c>
      <c r="E17" s="10" t="s">
        <v>31</v>
      </c>
      <c r="F17" s="10" t="s">
        <v>32</v>
      </c>
      <c r="G17" s="9" t="s">
        <v>50</v>
      </c>
      <c r="H17" s="10" t="s">
        <v>34</v>
      </c>
      <c r="I17" s="10" t="s">
        <v>35</v>
      </c>
      <c r="J17" s="9" t="s">
        <v>178</v>
      </c>
      <c r="K17" s="12"/>
      <c r="L17" s="9" t="s">
        <v>63</v>
      </c>
      <c r="M17" s="9" t="s">
        <v>37</v>
      </c>
      <c r="N17" s="14" t="s">
        <v>179</v>
      </c>
      <c r="O17" s="12"/>
      <c r="P17" s="10" t="s">
        <v>180</v>
      </c>
      <c r="Q17" s="10" t="s">
        <v>181</v>
      </c>
      <c r="R17" s="10" t="s">
        <v>182</v>
      </c>
      <c r="S17" s="16" t="s">
        <v>41</v>
      </c>
      <c r="T17" s="9" t="s">
        <v>42</v>
      </c>
      <c r="U17" s="9" t="s">
        <v>80</v>
      </c>
      <c r="V17" s="9" t="s">
        <v>146</v>
      </c>
      <c r="W17" s="12" t="s">
        <v>45</v>
      </c>
      <c r="X17" s="12" t="s">
        <v>46</v>
      </c>
      <c r="Y17" s="12" t="s">
        <v>174</v>
      </c>
      <c r="Z17" s="12" t="s">
        <v>174</v>
      </c>
      <c r="AA17" s="14" t="s">
        <v>166</v>
      </c>
      <c r="AB17" s="13"/>
      <c r="AC17" s="14" t="s">
        <v>183</v>
      </c>
      <c r="AD17" s="13"/>
      <c r="AE17" s="13"/>
    </row>
    <row r="18">
      <c r="A18" s="9" t="s">
        <v>27</v>
      </c>
      <c r="B18" s="9" t="s">
        <v>116</v>
      </c>
      <c r="C18" s="10" t="s">
        <v>184</v>
      </c>
      <c r="D18" s="11" t="s">
        <v>185</v>
      </c>
      <c r="E18" s="10" t="s">
        <v>31</v>
      </c>
      <c r="F18" s="10" t="s">
        <v>32</v>
      </c>
      <c r="G18" s="9" t="s">
        <v>50</v>
      </c>
      <c r="H18" s="10" t="s">
        <v>34</v>
      </c>
      <c r="I18" s="10" t="s">
        <v>35</v>
      </c>
      <c r="J18" s="10" t="s">
        <v>186</v>
      </c>
      <c r="K18" s="12"/>
      <c r="L18" s="10" t="s">
        <v>84</v>
      </c>
      <c r="M18" s="10" t="s">
        <v>75</v>
      </c>
      <c r="N18" s="10" t="s">
        <v>187</v>
      </c>
      <c r="O18" s="12"/>
      <c r="P18" s="10" t="s">
        <v>188</v>
      </c>
      <c r="Q18" s="10" t="s">
        <v>189</v>
      </c>
      <c r="R18" s="10" t="s">
        <v>190</v>
      </c>
      <c r="S18" s="16" t="s">
        <v>41</v>
      </c>
      <c r="T18" s="9" t="s">
        <v>42</v>
      </c>
      <c r="U18" s="9" t="s">
        <v>80</v>
      </c>
      <c r="V18" s="9" t="s">
        <v>146</v>
      </c>
      <c r="W18" s="12" t="s">
        <v>45</v>
      </c>
      <c r="X18" s="12" t="s">
        <v>46</v>
      </c>
      <c r="Y18" s="12" t="s">
        <v>174</v>
      </c>
      <c r="Z18" s="12" t="s">
        <v>174</v>
      </c>
      <c r="AA18" s="14" t="s">
        <v>166</v>
      </c>
      <c r="AB18" s="13"/>
      <c r="AC18" s="14" t="s">
        <v>191</v>
      </c>
      <c r="AD18" s="13"/>
      <c r="AE18" s="13"/>
    </row>
    <row r="19">
      <c r="A19" s="9" t="s">
        <v>27</v>
      </c>
      <c r="B19" s="9" t="s">
        <v>192</v>
      </c>
      <c r="C19" s="10" t="s">
        <v>193</v>
      </c>
      <c r="D19" s="17" t="s">
        <v>194</v>
      </c>
      <c r="E19" s="10" t="s">
        <v>31</v>
      </c>
      <c r="F19" s="10" t="s">
        <v>32</v>
      </c>
      <c r="G19" s="9" t="s">
        <v>50</v>
      </c>
      <c r="H19" s="10" t="s">
        <v>34</v>
      </c>
      <c r="I19" s="10" t="s">
        <v>35</v>
      </c>
      <c r="J19" s="9" t="s">
        <v>195</v>
      </c>
      <c r="K19" s="12"/>
      <c r="L19" s="9" t="s">
        <v>38</v>
      </c>
      <c r="M19" s="9" t="s">
        <v>38</v>
      </c>
      <c r="N19" s="14" t="s">
        <v>196</v>
      </c>
      <c r="O19" s="17" t="s">
        <v>197</v>
      </c>
      <c r="P19" s="9"/>
      <c r="Q19" s="10"/>
      <c r="R19" s="10" t="s">
        <v>198</v>
      </c>
      <c r="S19" s="16" t="s">
        <v>41</v>
      </c>
      <c r="T19" s="9" t="s">
        <v>42</v>
      </c>
      <c r="U19" s="9" t="s">
        <v>199</v>
      </c>
      <c r="V19" s="9" t="s">
        <v>200</v>
      </c>
      <c r="W19" s="12" t="s">
        <v>45</v>
      </c>
      <c r="X19" s="12" t="s">
        <v>46</v>
      </c>
      <c r="Y19" s="12" t="s">
        <v>201</v>
      </c>
      <c r="Z19" s="12" t="s">
        <v>201</v>
      </c>
      <c r="AA19" s="14" t="s">
        <v>166</v>
      </c>
      <c r="AB19" s="13"/>
      <c r="AC19" s="14" t="s">
        <v>202</v>
      </c>
      <c r="AD19" s="13"/>
      <c r="AE19" s="13"/>
    </row>
    <row r="20">
      <c r="A20" s="9" t="s">
        <v>27</v>
      </c>
      <c r="B20" s="9" t="s">
        <v>192</v>
      </c>
      <c r="C20" s="10" t="s">
        <v>203</v>
      </c>
      <c r="D20" s="11" t="s">
        <v>204</v>
      </c>
      <c r="E20" s="10" t="s">
        <v>31</v>
      </c>
      <c r="F20" s="10" t="s">
        <v>32</v>
      </c>
      <c r="G20" s="9" t="s">
        <v>205</v>
      </c>
      <c r="H20" s="10" t="s">
        <v>206</v>
      </c>
      <c r="I20" s="10" t="s">
        <v>35</v>
      </c>
      <c r="J20" s="9" t="s">
        <v>207</v>
      </c>
      <c r="K20" s="12"/>
      <c r="L20" s="9" t="s">
        <v>161</v>
      </c>
      <c r="M20" s="9" t="s">
        <v>161</v>
      </c>
      <c r="N20" s="14" t="s">
        <v>85</v>
      </c>
      <c r="O20" s="12"/>
      <c r="P20" s="10" t="s">
        <v>208</v>
      </c>
      <c r="Q20" s="10" t="s">
        <v>209</v>
      </c>
      <c r="R20" s="10" t="s">
        <v>210</v>
      </c>
      <c r="S20" s="16" t="s">
        <v>41</v>
      </c>
      <c r="T20" s="9" t="s">
        <v>42</v>
      </c>
      <c r="U20" s="16" t="s">
        <v>199</v>
      </c>
      <c r="V20" s="9" t="s">
        <v>200</v>
      </c>
      <c r="W20" s="12" t="s">
        <v>45</v>
      </c>
      <c r="X20" s="12" t="s">
        <v>46</v>
      </c>
      <c r="Y20" s="12" t="s">
        <v>211</v>
      </c>
      <c r="Z20" s="12" t="s">
        <v>211</v>
      </c>
      <c r="AA20" s="14" t="s">
        <v>166</v>
      </c>
      <c r="AB20" s="13"/>
      <c r="AC20" s="14" t="s">
        <v>212</v>
      </c>
      <c r="AD20" s="13"/>
      <c r="AE20" s="13"/>
    </row>
    <row r="21">
      <c r="A21" s="9" t="s">
        <v>27</v>
      </c>
      <c r="B21" s="9" t="s">
        <v>192</v>
      </c>
      <c r="C21" s="10" t="s">
        <v>213</v>
      </c>
      <c r="D21" s="9" t="s">
        <v>214</v>
      </c>
      <c r="E21" s="10" t="s">
        <v>31</v>
      </c>
      <c r="F21" s="10" t="s">
        <v>32</v>
      </c>
      <c r="G21" s="10" t="s">
        <v>215</v>
      </c>
      <c r="H21" s="10" t="s">
        <v>216</v>
      </c>
      <c r="I21" s="10" t="s">
        <v>35</v>
      </c>
      <c r="J21" s="9" t="s">
        <v>217</v>
      </c>
      <c r="K21" s="12"/>
      <c r="L21" s="9" t="s">
        <v>38</v>
      </c>
      <c r="M21" s="9" t="s">
        <v>36</v>
      </c>
      <c r="N21" s="14" t="s">
        <v>218</v>
      </c>
      <c r="O21" s="14" t="s">
        <v>219</v>
      </c>
      <c r="P21" s="9"/>
      <c r="Q21" s="9"/>
      <c r="R21" s="9"/>
      <c r="S21" s="16" t="s">
        <v>41</v>
      </c>
      <c r="T21" s="9" t="s">
        <v>42</v>
      </c>
      <c r="U21" s="16" t="s">
        <v>199</v>
      </c>
      <c r="V21" s="9" t="s">
        <v>220</v>
      </c>
      <c r="W21" s="12" t="s">
        <v>45</v>
      </c>
      <c r="X21" s="12" t="s">
        <v>46</v>
      </c>
      <c r="Y21" s="12" t="s">
        <v>221</v>
      </c>
      <c r="Z21" s="12" t="s">
        <v>221</v>
      </c>
      <c r="AA21" s="14" t="s">
        <v>166</v>
      </c>
      <c r="AB21" s="13"/>
      <c r="AC21" s="14" t="s">
        <v>222</v>
      </c>
      <c r="AD21" s="13"/>
      <c r="AE21" s="13"/>
    </row>
    <row r="22">
      <c r="A22" s="9" t="s">
        <v>27</v>
      </c>
      <c r="B22" s="9" t="s">
        <v>192</v>
      </c>
      <c r="C22" s="10" t="s">
        <v>223</v>
      </c>
      <c r="D22" s="10" t="s">
        <v>224</v>
      </c>
      <c r="E22" s="10" t="s">
        <v>31</v>
      </c>
      <c r="F22" s="10" t="s">
        <v>32</v>
      </c>
      <c r="G22" s="9" t="s">
        <v>50</v>
      </c>
      <c r="H22" s="10" t="s">
        <v>34</v>
      </c>
      <c r="I22" s="10" t="s">
        <v>35</v>
      </c>
      <c r="J22" s="9" t="s">
        <v>225</v>
      </c>
      <c r="K22" s="12"/>
      <c r="L22" s="9" t="s">
        <v>226</v>
      </c>
      <c r="M22" s="9" t="s">
        <v>74</v>
      </c>
      <c r="N22" s="14" t="s">
        <v>227</v>
      </c>
      <c r="O22" s="14" t="s">
        <v>228</v>
      </c>
      <c r="P22" s="10" t="s">
        <v>229</v>
      </c>
      <c r="Q22" s="10"/>
      <c r="R22" s="10" t="s">
        <v>230</v>
      </c>
      <c r="S22" s="16" t="s">
        <v>41</v>
      </c>
      <c r="T22" s="9" t="s">
        <v>42</v>
      </c>
      <c r="U22" s="16" t="s">
        <v>199</v>
      </c>
      <c r="V22" s="9" t="s">
        <v>220</v>
      </c>
      <c r="W22" s="12" t="s">
        <v>45</v>
      </c>
      <c r="X22" s="12" t="s">
        <v>46</v>
      </c>
      <c r="Y22" s="12" t="s">
        <v>221</v>
      </c>
      <c r="Z22" s="12" t="s">
        <v>221</v>
      </c>
      <c r="AA22" s="14" t="s">
        <v>231</v>
      </c>
      <c r="AB22" s="13"/>
      <c r="AC22" s="14" t="s">
        <v>232</v>
      </c>
      <c r="AD22" s="13"/>
      <c r="AE22" s="13"/>
    </row>
    <row r="23">
      <c r="A23" s="9" t="s">
        <v>27</v>
      </c>
      <c r="B23" s="9" t="s">
        <v>192</v>
      </c>
      <c r="C23" s="10" t="s">
        <v>233</v>
      </c>
      <c r="D23" s="10" t="s">
        <v>234</v>
      </c>
      <c r="E23" s="10" t="s">
        <v>31</v>
      </c>
      <c r="F23" s="10" t="s">
        <v>32</v>
      </c>
      <c r="G23" s="9" t="s">
        <v>50</v>
      </c>
      <c r="H23" s="10" t="s">
        <v>34</v>
      </c>
      <c r="I23" s="10" t="s">
        <v>35</v>
      </c>
      <c r="J23" s="9" t="s">
        <v>235</v>
      </c>
      <c r="K23" s="12"/>
      <c r="L23" s="9" t="s">
        <v>75</v>
      </c>
      <c r="M23" s="9" t="s">
        <v>38</v>
      </c>
      <c r="N23" s="14" t="s">
        <v>85</v>
      </c>
      <c r="O23" s="12"/>
      <c r="P23" s="10" t="s">
        <v>236</v>
      </c>
      <c r="Q23" s="10" t="s">
        <v>237</v>
      </c>
      <c r="R23" s="10" t="s">
        <v>238</v>
      </c>
      <c r="S23" s="9" t="s">
        <v>45</v>
      </c>
      <c r="T23" s="9" t="s">
        <v>46</v>
      </c>
      <c r="U23" s="9" t="s">
        <v>239</v>
      </c>
      <c r="V23" s="9" t="s">
        <v>239</v>
      </c>
      <c r="W23" s="14" t="s">
        <v>41</v>
      </c>
      <c r="X23" s="14" t="s">
        <v>42</v>
      </c>
      <c r="Y23" s="14" t="s">
        <v>240</v>
      </c>
      <c r="Z23" s="14" t="s">
        <v>240</v>
      </c>
      <c r="AA23" s="14" t="s">
        <v>231</v>
      </c>
      <c r="AB23" s="13"/>
      <c r="AC23" s="14" t="s">
        <v>241</v>
      </c>
      <c r="AD23" s="13"/>
      <c r="AE23" s="13"/>
    </row>
    <row r="24">
      <c r="A24" s="9" t="s">
        <v>27</v>
      </c>
      <c r="B24" s="9" t="s">
        <v>192</v>
      </c>
      <c r="C24" s="10" t="s">
        <v>242</v>
      </c>
      <c r="D24" s="10" t="s">
        <v>243</v>
      </c>
      <c r="E24" s="10" t="s">
        <v>31</v>
      </c>
      <c r="F24" s="10" t="s">
        <v>32</v>
      </c>
      <c r="G24" s="9" t="s">
        <v>50</v>
      </c>
      <c r="H24" s="10" t="s">
        <v>34</v>
      </c>
      <c r="I24" s="10" t="s">
        <v>35</v>
      </c>
      <c r="J24" s="9" t="s">
        <v>244</v>
      </c>
      <c r="K24" s="12"/>
      <c r="L24" s="9" t="s">
        <v>84</v>
      </c>
      <c r="M24" s="9" t="s">
        <v>75</v>
      </c>
      <c r="N24" s="14" t="s">
        <v>121</v>
      </c>
      <c r="O24" s="12"/>
      <c r="P24" s="10" t="s">
        <v>245</v>
      </c>
      <c r="Q24" s="10" t="s">
        <v>246</v>
      </c>
      <c r="R24" s="10" t="s">
        <v>247</v>
      </c>
      <c r="S24" s="9" t="s">
        <v>41</v>
      </c>
      <c r="T24" s="9" t="s">
        <v>42</v>
      </c>
      <c r="U24" s="9" t="s">
        <v>248</v>
      </c>
      <c r="V24" s="9" t="s">
        <v>249</v>
      </c>
      <c r="W24" s="12" t="s">
        <v>45</v>
      </c>
      <c r="X24" s="12" t="s">
        <v>46</v>
      </c>
      <c r="Y24" s="12" t="s">
        <v>239</v>
      </c>
      <c r="Z24" s="12" t="s">
        <v>239</v>
      </c>
      <c r="AA24" s="14" t="s">
        <v>231</v>
      </c>
      <c r="AB24" s="13"/>
      <c r="AC24" s="14" t="s">
        <v>250</v>
      </c>
      <c r="AD24" s="13"/>
      <c r="AE24" s="13"/>
    </row>
    <row r="25">
      <c r="A25" s="9" t="s">
        <v>27</v>
      </c>
      <c r="B25" s="9" t="s">
        <v>192</v>
      </c>
      <c r="C25" s="10" t="s">
        <v>251</v>
      </c>
      <c r="D25" s="19" t="s">
        <v>252</v>
      </c>
      <c r="E25" s="10" t="s">
        <v>31</v>
      </c>
      <c r="F25" s="10" t="s">
        <v>32</v>
      </c>
      <c r="G25" s="12" t="s">
        <v>253</v>
      </c>
      <c r="H25" s="10" t="s">
        <v>254</v>
      </c>
      <c r="I25" s="10" t="s">
        <v>35</v>
      </c>
      <c r="J25" s="9" t="s">
        <v>255</v>
      </c>
      <c r="K25" s="12"/>
      <c r="L25" s="12" t="s">
        <v>74</v>
      </c>
      <c r="M25" s="12" t="s">
        <v>37</v>
      </c>
      <c r="N25" s="14" t="s">
        <v>121</v>
      </c>
      <c r="O25" s="12"/>
      <c r="P25" s="9"/>
      <c r="Q25" s="10" t="s">
        <v>256</v>
      </c>
      <c r="R25" s="10" t="s">
        <v>257</v>
      </c>
      <c r="S25" s="20" t="s">
        <v>41</v>
      </c>
      <c r="T25" s="9" t="s">
        <v>42</v>
      </c>
      <c r="U25" s="20" t="s">
        <v>199</v>
      </c>
      <c r="V25" s="12" t="s">
        <v>220</v>
      </c>
      <c r="W25" s="12" t="s">
        <v>45</v>
      </c>
      <c r="X25" s="12" t="s">
        <v>46</v>
      </c>
      <c r="Y25" s="12" t="s">
        <v>258</v>
      </c>
      <c r="Z25" s="12" t="s">
        <v>258</v>
      </c>
      <c r="AA25" s="14" t="s">
        <v>231</v>
      </c>
      <c r="AB25" s="13"/>
      <c r="AC25" s="14" t="s">
        <v>259</v>
      </c>
      <c r="AD25" s="13"/>
      <c r="AE25" s="13"/>
    </row>
    <row r="26">
      <c r="A26" s="9" t="s">
        <v>27</v>
      </c>
      <c r="B26" s="9" t="s">
        <v>192</v>
      </c>
      <c r="C26" s="10" t="s">
        <v>260</v>
      </c>
      <c r="D26" s="10" t="s">
        <v>261</v>
      </c>
      <c r="E26" s="10" t="s">
        <v>31</v>
      </c>
      <c r="F26" s="10" t="s">
        <v>32</v>
      </c>
      <c r="G26" s="9" t="s">
        <v>50</v>
      </c>
      <c r="H26" s="10" t="s">
        <v>72</v>
      </c>
      <c r="I26" s="10" t="s">
        <v>35</v>
      </c>
      <c r="J26" s="9" t="s">
        <v>262</v>
      </c>
      <c r="K26" s="12"/>
      <c r="L26" s="9" t="s">
        <v>63</v>
      </c>
      <c r="M26" s="9" t="s">
        <v>37</v>
      </c>
      <c r="N26" s="14" t="s">
        <v>121</v>
      </c>
      <c r="O26" s="12"/>
      <c r="P26" s="10" t="s">
        <v>263</v>
      </c>
      <c r="Q26" s="10" t="s">
        <v>264</v>
      </c>
      <c r="R26" s="10" t="s">
        <v>265</v>
      </c>
      <c r="S26" s="16" t="s">
        <v>41</v>
      </c>
      <c r="T26" s="9" t="s">
        <v>42</v>
      </c>
      <c r="U26" s="16" t="s">
        <v>199</v>
      </c>
      <c r="V26" s="9" t="s">
        <v>220</v>
      </c>
      <c r="W26" s="12" t="s">
        <v>45</v>
      </c>
      <c r="X26" s="12" t="s">
        <v>46</v>
      </c>
      <c r="Y26" s="12" t="s">
        <v>266</v>
      </c>
      <c r="Z26" s="12" t="s">
        <v>266</v>
      </c>
      <c r="AA26" s="14" t="s">
        <v>231</v>
      </c>
      <c r="AB26" s="13"/>
      <c r="AC26" s="14" t="s">
        <v>267</v>
      </c>
      <c r="AD26" s="13"/>
      <c r="AE26" s="13"/>
    </row>
    <row r="27">
      <c r="A27" s="9" t="s">
        <v>27</v>
      </c>
      <c r="B27" s="9" t="s">
        <v>192</v>
      </c>
      <c r="C27" s="10" t="s">
        <v>268</v>
      </c>
      <c r="D27" s="11" t="s">
        <v>269</v>
      </c>
      <c r="E27" s="10" t="s">
        <v>31</v>
      </c>
      <c r="F27" s="10" t="s">
        <v>32</v>
      </c>
      <c r="G27" s="9" t="s">
        <v>50</v>
      </c>
      <c r="H27" s="10" t="s">
        <v>34</v>
      </c>
      <c r="I27" s="10" t="s">
        <v>35</v>
      </c>
      <c r="J27" s="9" t="s">
        <v>270</v>
      </c>
      <c r="K27" s="12"/>
      <c r="L27" s="9" t="s">
        <v>161</v>
      </c>
      <c r="M27" s="9" t="s">
        <v>62</v>
      </c>
      <c r="N27" s="14" t="s">
        <v>121</v>
      </c>
      <c r="O27" s="14"/>
      <c r="P27" s="10" t="s">
        <v>271</v>
      </c>
      <c r="Q27" s="10"/>
      <c r="R27" s="10" t="s">
        <v>272</v>
      </c>
      <c r="S27" s="16" t="s">
        <v>41</v>
      </c>
      <c r="T27" s="9" t="s">
        <v>42</v>
      </c>
      <c r="U27" s="16" t="s">
        <v>199</v>
      </c>
      <c r="V27" s="9" t="s">
        <v>273</v>
      </c>
      <c r="W27" s="12" t="s">
        <v>45</v>
      </c>
      <c r="X27" s="12" t="s">
        <v>46</v>
      </c>
      <c r="Y27" s="12" t="s">
        <v>274</v>
      </c>
      <c r="Z27" s="12" t="s">
        <v>274</v>
      </c>
      <c r="AA27" s="14" t="s">
        <v>231</v>
      </c>
      <c r="AB27" s="13"/>
      <c r="AC27" s="14" t="s">
        <v>275</v>
      </c>
      <c r="AD27" s="13"/>
      <c r="AE27" s="13"/>
    </row>
    <row r="28">
      <c r="A28" s="9" t="s">
        <v>27</v>
      </c>
      <c r="B28" s="9" t="s">
        <v>192</v>
      </c>
      <c r="C28" s="10" t="s">
        <v>276</v>
      </c>
      <c r="D28" s="14" t="s">
        <v>277</v>
      </c>
      <c r="E28" s="10" t="s">
        <v>31</v>
      </c>
      <c r="F28" s="10" t="s">
        <v>32</v>
      </c>
      <c r="G28" s="12"/>
      <c r="H28" s="10" t="s">
        <v>34</v>
      </c>
      <c r="I28" s="10" t="s">
        <v>35</v>
      </c>
      <c r="J28" s="9" t="s">
        <v>278</v>
      </c>
      <c r="K28" s="12"/>
      <c r="L28" s="9" t="s">
        <v>36</v>
      </c>
      <c r="M28" s="9" t="s">
        <v>36</v>
      </c>
      <c r="N28" s="14" t="s">
        <v>279</v>
      </c>
      <c r="O28" s="21" t="s">
        <v>280</v>
      </c>
      <c r="P28" s="9"/>
      <c r="Q28" s="10" t="s">
        <v>189</v>
      </c>
      <c r="R28" s="10" t="s">
        <v>281</v>
      </c>
      <c r="S28" s="16" t="s">
        <v>41</v>
      </c>
      <c r="T28" s="9" t="s">
        <v>42</v>
      </c>
      <c r="U28" s="16" t="s">
        <v>199</v>
      </c>
      <c r="V28" s="9" t="s">
        <v>273</v>
      </c>
      <c r="W28" s="12" t="s">
        <v>45</v>
      </c>
      <c r="X28" s="12" t="s">
        <v>46</v>
      </c>
      <c r="Y28" s="12" t="s">
        <v>282</v>
      </c>
      <c r="Z28" s="12" t="s">
        <v>282</v>
      </c>
      <c r="AA28" s="14" t="s">
        <v>231</v>
      </c>
      <c r="AB28" s="13"/>
      <c r="AC28" s="14" t="s">
        <v>283</v>
      </c>
      <c r="AD28" s="13"/>
      <c r="AE28" s="13"/>
    </row>
    <row r="29">
      <c r="A29" s="9" t="s">
        <v>27</v>
      </c>
      <c r="B29" s="9" t="s">
        <v>192</v>
      </c>
      <c r="C29" s="10" t="s">
        <v>284</v>
      </c>
      <c r="D29" s="10" t="s">
        <v>285</v>
      </c>
      <c r="E29" s="10" t="s">
        <v>31</v>
      </c>
      <c r="F29" s="10" t="s">
        <v>32</v>
      </c>
      <c r="G29" s="9" t="s">
        <v>50</v>
      </c>
      <c r="H29" s="10" t="s">
        <v>286</v>
      </c>
      <c r="I29" s="10" t="s">
        <v>35</v>
      </c>
      <c r="J29" s="9" t="s">
        <v>287</v>
      </c>
      <c r="K29" s="12"/>
      <c r="L29" s="9" t="s">
        <v>141</v>
      </c>
      <c r="M29" s="9" t="s">
        <v>84</v>
      </c>
      <c r="N29" s="12"/>
      <c r="O29" s="12"/>
      <c r="P29" s="10" t="s">
        <v>288</v>
      </c>
      <c r="Q29" s="10" t="s">
        <v>289</v>
      </c>
      <c r="R29" s="10" t="s">
        <v>290</v>
      </c>
      <c r="S29" s="16" t="s">
        <v>41</v>
      </c>
      <c r="T29" s="9" t="s">
        <v>42</v>
      </c>
      <c r="U29" s="16" t="s">
        <v>199</v>
      </c>
      <c r="V29" s="9" t="s">
        <v>273</v>
      </c>
      <c r="W29" s="12" t="s">
        <v>45</v>
      </c>
      <c r="X29" s="12" t="s">
        <v>46</v>
      </c>
      <c r="Y29" s="12" t="s">
        <v>282</v>
      </c>
      <c r="Z29" s="12" t="s">
        <v>282</v>
      </c>
      <c r="AA29" s="14" t="s">
        <v>291</v>
      </c>
      <c r="AB29" s="13"/>
      <c r="AC29" s="14" t="s">
        <v>292</v>
      </c>
      <c r="AD29" s="13"/>
      <c r="AE29" s="13"/>
    </row>
    <row r="30">
      <c r="A30" s="9" t="s">
        <v>27</v>
      </c>
      <c r="B30" s="9" t="s">
        <v>192</v>
      </c>
      <c r="C30" s="10" t="s">
        <v>293</v>
      </c>
      <c r="D30" s="10" t="s">
        <v>294</v>
      </c>
      <c r="E30" s="10" t="s">
        <v>31</v>
      </c>
      <c r="F30" s="10" t="s">
        <v>32</v>
      </c>
      <c r="G30" s="9" t="s">
        <v>50</v>
      </c>
      <c r="H30" s="10" t="s">
        <v>295</v>
      </c>
      <c r="I30" s="10" t="s">
        <v>35</v>
      </c>
      <c r="J30" s="10" t="s">
        <v>296</v>
      </c>
      <c r="K30" s="12"/>
      <c r="L30" s="10" t="s">
        <v>297</v>
      </c>
      <c r="M30" s="10" t="s">
        <v>226</v>
      </c>
      <c r="N30" s="14" t="s">
        <v>121</v>
      </c>
      <c r="O30" s="12"/>
      <c r="P30" s="10" t="s">
        <v>298</v>
      </c>
      <c r="Q30" s="14" t="s">
        <v>299</v>
      </c>
      <c r="R30" s="14" t="s">
        <v>300</v>
      </c>
      <c r="S30" s="16" t="s">
        <v>41</v>
      </c>
      <c r="T30" s="9" t="s">
        <v>42</v>
      </c>
      <c r="U30" s="16" t="s">
        <v>199</v>
      </c>
      <c r="V30" s="9" t="s">
        <v>273</v>
      </c>
      <c r="W30" s="14" t="s">
        <v>45</v>
      </c>
      <c r="X30" s="14" t="s">
        <v>46</v>
      </c>
      <c r="Y30" s="14" t="s">
        <v>301</v>
      </c>
      <c r="Z30" s="14" t="s">
        <v>301</v>
      </c>
      <c r="AA30" s="14" t="s">
        <v>291</v>
      </c>
      <c r="AB30" s="13"/>
      <c r="AC30" s="14" t="s">
        <v>302</v>
      </c>
      <c r="AD30" s="13"/>
      <c r="AE30" s="13"/>
    </row>
    <row r="31">
      <c r="A31" s="9" t="s">
        <v>27</v>
      </c>
      <c r="B31" s="9" t="s">
        <v>303</v>
      </c>
      <c r="C31" s="10" t="s">
        <v>304</v>
      </c>
      <c r="D31" s="10" t="s">
        <v>305</v>
      </c>
      <c r="E31" s="10" t="s">
        <v>31</v>
      </c>
      <c r="F31" s="10" t="s">
        <v>32</v>
      </c>
      <c r="G31" s="9" t="s">
        <v>50</v>
      </c>
      <c r="H31" s="10" t="s">
        <v>34</v>
      </c>
      <c r="I31" s="10" t="s">
        <v>35</v>
      </c>
      <c r="J31" s="10" t="s">
        <v>306</v>
      </c>
      <c r="K31" s="12"/>
      <c r="L31" s="10" t="s">
        <v>161</v>
      </c>
      <c r="M31" s="10" t="s">
        <v>62</v>
      </c>
      <c r="N31" s="10" t="s">
        <v>307</v>
      </c>
      <c r="O31" s="12"/>
      <c r="P31" s="10" t="s">
        <v>308</v>
      </c>
      <c r="Q31" s="14" t="s">
        <v>309</v>
      </c>
      <c r="R31" s="14" t="s">
        <v>310</v>
      </c>
      <c r="S31" s="9" t="s">
        <v>41</v>
      </c>
      <c r="T31" s="9" t="s">
        <v>42</v>
      </c>
      <c r="U31" s="9" t="s">
        <v>273</v>
      </c>
      <c r="V31" s="9" t="s">
        <v>311</v>
      </c>
      <c r="W31" s="12" t="s">
        <v>312</v>
      </c>
      <c r="X31" s="12" t="s">
        <v>313</v>
      </c>
      <c r="Y31" s="12" t="s">
        <v>314</v>
      </c>
      <c r="Z31" s="14" t="s">
        <v>315</v>
      </c>
      <c r="AA31" s="10" t="s">
        <v>291</v>
      </c>
      <c r="AB31" s="13"/>
      <c r="AC31" s="14" t="s">
        <v>316</v>
      </c>
      <c r="AD31" s="13"/>
      <c r="AE31" s="13"/>
    </row>
    <row r="32">
      <c r="A32" s="16" t="s">
        <v>27</v>
      </c>
      <c r="B32" s="16" t="s">
        <v>303</v>
      </c>
      <c r="C32" s="10" t="s">
        <v>317</v>
      </c>
      <c r="D32" s="11" t="s">
        <v>318</v>
      </c>
      <c r="E32" s="10" t="s">
        <v>31</v>
      </c>
      <c r="F32" s="10" t="s">
        <v>32</v>
      </c>
      <c r="G32" s="10" t="s">
        <v>319</v>
      </c>
      <c r="H32" s="10" t="s">
        <v>320</v>
      </c>
      <c r="I32" s="10" t="s">
        <v>35</v>
      </c>
      <c r="J32" s="9" t="s">
        <v>321</v>
      </c>
      <c r="K32" s="12"/>
      <c r="L32" s="9" t="s">
        <v>37</v>
      </c>
      <c r="M32" s="9" t="s">
        <v>38</v>
      </c>
      <c r="N32" s="14" t="s">
        <v>322</v>
      </c>
      <c r="O32" s="12"/>
      <c r="P32" s="10" t="s">
        <v>323</v>
      </c>
      <c r="Q32" s="10" t="s">
        <v>189</v>
      </c>
      <c r="R32" s="10" t="s">
        <v>324</v>
      </c>
      <c r="S32" s="9" t="s">
        <v>41</v>
      </c>
      <c r="T32" s="9" t="s">
        <v>42</v>
      </c>
      <c r="U32" s="9" t="s">
        <v>273</v>
      </c>
      <c r="V32" s="9" t="s">
        <v>311</v>
      </c>
      <c r="W32" s="14" t="s">
        <v>45</v>
      </c>
      <c r="X32" s="14" t="s">
        <v>46</v>
      </c>
      <c r="Y32" s="14" t="s">
        <v>325</v>
      </c>
      <c r="Z32" s="14" t="s">
        <v>325</v>
      </c>
      <c r="AA32" s="14" t="s">
        <v>291</v>
      </c>
      <c r="AB32" s="13"/>
      <c r="AC32" s="14" t="s">
        <v>326</v>
      </c>
      <c r="AD32" s="13"/>
      <c r="AE32" s="13"/>
    </row>
    <row r="33">
      <c r="A33" s="16" t="s">
        <v>27</v>
      </c>
      <c r="B33" s="16" t="s">
        <v>303</v>
      </c>
      <c r="C33" s="10" t="s">
        <v>327</v>
      </c>
      <c r="D33" s="11" t="s">
        <v>328</v>
      </c>
      <c r="E33" s="10" t="s">
        <v>31</v>
      </c>
      <c r="F33" s="10" t="s">
        <v>32</v>
      </c>
      <c r="G33" s="9" t="s">
        <v>33</v>
      </c>
      <c r="H33" s="10" t="s">
        <v>34</v>
      </c>
      <c r="I33" s="10" t="s">
        <v>35</v>
      </c>
      <c r="J33" s="9" t="s">
        <v>329</v>
      </c>
      <c r="K33" s="12"/>
      <c r="L33" s="9" t="s">
        <v>37</v>
      </c>
      <c r="M33" s="9" t="s">
        <v>38</v>
      </c>
      <c r="N33" s="10" t="s">
        <v>330</v>
      </c>
      <c r="O33" s="14" t="s">
        <v>331</v>
      </c>
      <c r="P33" s="10" t="s">
        <v>332</v>
      </c>
      <c r="Q33" s="10" t="s">
        <v>333</v>
      </c>
      <c r="R33" s="10" t="s">
        <v>334</v>
      </c>
      <c r="S33" s="9" t="s">
        <v>41</v>
      </c>
      <c r="T33" s="9" t="s">
        <v>42</v>
      </c>
      <c r="U33" s="9" t="s">
        <v>273</v>
      </c>
      <c r="V33" s="9" t="s">
        <v>311</v>
      </c>
      <c r="W33" s="14" t="s">
        <v>45</v>
      </c>
      <c r="X33" s="14" t="s">
        <v>46</v>
      </c>
      <c r="Y33" s="14" t="s">
        <v>325</v>
      </c>
      <c r="Z33" s="14" t="s">
        <v>325</v>
      </c>
      <c r="AA33" s="14" t="s">
        <v>291</v>
      </c>
      <c r="AB33" s="13"/>
      <c r="AC33" s="14" t="s">
        <v>335</v>
      </c>
      <c r="AD33" s="13"/>
      <c r="AE33" s="13"/>
    </row>
    <row r="34">
      <c r="A34" s="16" t="s">
        <v>27</v>
      </c>
      <c r="B34" s="16" t="s">
        <v>303</v>
      </c>
      <c r="C34" s="10" t="s">
        <v>336</v>
      </c>
      <c r="D34" s="10" t="s">
        <v>337</v>
      </c>
      <c r="E34" s="10" t="s">
        <v>31</v>
      </c>
      <c r="F34" s="10" t="s">
        <v>32</v>
      </c>
      <c r="G34" s="9" t="s">
        <v>50</v>
      </c>
      <c r="H34" s="10" t="s">
        <v>34</v>
      </c>
      <c r="I34" s="10" t="s">
        <v>35</v>
      </c>
      <c r="J34" s="9" t="s">
        <v>338</v>
      </c>
      <c r="K34" s="12"/>
      <c r="L34" s="9" t="s">
        <v>130</v>
      </c>
      <c r="M34" s="9" t="s">
        <v>131</v>
      </c>
      <c r="N34" s="14" t="s">
        <v>339</v>
      </c>
      <c r="O34" s="12"/>
      <c r="P34" s="10" t="s">
        <v>340</v>
      </c>
      <c r="Q34" s="10" t="s">
        <v>341</v>
      </c>
      <c r="R34" s="10" t="s">
        <v>342</v>
      </c>
      <c r="S34" s="9" t="s">
        <v>41</v>
      </c>
      <c r="T34" s="9" t="s">
        <v>42</v>
      </c>
      <c r="U34" s="9" t="s">
        <v>343</v>
      </c>
      <c r="V34" s="9" t="s">
        <v>343</v>
      </c>
      <c r="W34" s="14" t="s">
        <v>45</v>
      </c>
      <c r="X34" s="14" t="s">
        <v>46</v>
      </c>
      <c r="Y34" s="14" t="s">
        <v>325</v>
      </c>
      <c r="Z34" s="14" t="s">
        <v>325</v>
      </c>
      <c r="AA34" s="14" t="s">
        <v>344</v>
      </c>
      <c r="AB34" s="13"/>
      <c r="AC34" s="14" t="s">
        <v>345</v>
      </c>
      <c r="AD34" s="13"/>
      <c r="AE34" s="13"/>
    </row>
    <row r="35">
      <c r="A35" s="16" t="s">
        <v>27</v>
      </c>
      <c r="B35" s="16" t="s">
        <v>303</v>
      </c>
      <c r="C35" s="10" t="s">
        <v>346</v>
      </c>
      <c r="D35" s="11" t="s">
        <v>347</v>
      </c>
      <c r="E35" s="10" t="s">
        <v>31</v>
      </c>
      <c r="F35" s="10" t="s">
        <v>32</v>
      </c>
      <c r="G35" s="10" t="s">
        <v>33</v>
      </c>
      <c r="H35" s="10" t="s">
        <v>34</v>
      </c>
      <c r="I35" s="10" t="s">
        <v>35</v>
      </c>
      <c r="J35" s="9" t="s">
        <v>348</v>
      </c>
      <c r="K35" s="12"/>
      <c r="L35" s="9" t="s">
        <v>62</v>
      </c>
      <c r="M35" s="9" t="s">
        <v>63</v>
      </c>
      <c r="N35" s="14" t="s">
        <v>349</v>
      </c>
      <c r="O35" s="12"/>
      <c r="P35" s="10" t="s">
        <v>350</v>
      </c>
      <c r="Q35" s="10" t="s">
        <v>351</v>
      </c>
      <c r="R35" s="10" t="s">
        <v>352</v>
      </c>
      <c r="S35" s="9" t="s">
        <v>41</v>
      </c>
      <c r="T35" s="9" t="s">
        <v>42</v>
      </c>
      <c r="U35" s="9" t="s">
        <v>273</v>
      </c>
      <c r="V35" s="9" t="s">
        <v>343</v>
      </c>
      <c r="W35" s="14" t="s">
        <v>45</v>
      </c>
      <c r="X35" s="14" t="s">
        <v>46</v>
      </c>
      <c r="Y35" s="14" t="s">
        <v>353</v>
      </c>
      <c r="Z35" s="14" t="s">
        <v>353</v>
      </c>
      <c r="AA35" s="14" t="s">
        <v>344</v>
      </c>
      <c r="AB35" s="13"/>
      <c r="AC35" s="14" t="s">
        <v>354</v>
      </c>
      <c r="AD35" s="13"/>
      <c r="AE35" s="13"/>
    </row>
    <row r="36">
      <c r="A36" s="16" t="s">
        <v>27</v>
      </c>
      <c r="B36" s="16" t="s">
        <v>303</v>
      </c>
      <c r="C36" s="10" t="s">
        <v>355</v>
      </c>
      <c r="D36" s="10" t="s">
        <v>356</v>
      </c>
      <c r="E36" s="10" t="s">
        <v>31</v>
      </c>
      <c r="F36" s="10" t="s">
        <v>32</v>
      </c>
      <c r="G36" s="9" t="s">
        <v>50</v>
      </c>
      <c r="H36" s="10" t="s">
        <v>34</v>
      </c>
      <c r="I36" s="10" t="s">
        <v>35</v>
      </c>
      <c r="J36" s="10" t="s">
        <v>357</v>
      </c>
      <c r="K36" s="12"/>
      <c r="L36" s="10" t="s">
        <v>130</v>
      </c>
      <c r="M36" s="10" t="s">
        <v>131</v>
      </c>
      <c r="N36" s="14" t="s">
        <v>121</v>
      </c>
      <c r="O36" s="12"/>
      <c r="P36" s="10" t="s">
        <v>358</v>
      </c>
      <c r="Q36" s="10" t="s">
        <v>359</v>
      </c>
      <c r="R36" s="10" t="s">
        <v>360</v>
      </c>
      <c r="S36" s="9" t="s">
        <v>41</v>
      </c>
      <c r="T36" s="9" t="s">
        <v>42</v>
      </c>
      <c r="U36" s="9" t="s">
        <v>273</v>
      </c>
      <c r="V36" s="9" t="s">
        <v>343</v>
      </c>
      <c r="W36" s="14" t="s">
        <v>45</v>
      </c>
      <c r="X36" s="14" t="s">
        <v>46</v>
      </c>
      <c r="Y36" s="14" t="s">
        <v>361</v>
      </c>
      <c r="Z36" s="14" t="s">
        <v>361</v>
      </c>
      <c r="AA36" s="14" t="s">
        <v>344</v>
      </c>
      <c r="AB36" s="13"/>
      <c r="AC36" s="14" t="s">
        <v>362</v>
      </c>
      <c r="AD36" s="13"/>
      <c r="AE36" s="13"/>
    </row>
    <row r="37">
      <c r="A37" s="12" t="s">
        <v>27</v>
      </c>
      <c r="B37" s="12" t="s">
        <v>303</v>
      </c>
      <c r="C37" s="14" t="s">
        <v>363</v>
      </c>
      <c r="D37" s="14" t="s">
        <v>364</v>
      </c>
      <c r="E37" s="10" t="s">
        <v>31</v>
      </c>
      <c r="F37" s="10" t="s">
        <v>32</v>
      </c>
      <c r="G37" s="12" t="s">
        <v>50</v>
      </c>
      <c r="H37" s="10" t="s">
        <v>34</v>
      </c>
      <c r="I37" s="10" t="s">
        <v>35</v>
      </c>
      <c r="J37" s="9" t="s">
        <v>365</v>
      </c>
      <c r="K37" s="12"/>
      <c r="L37" s="12" t="s">
        <v>366</v>
      </c>
      <c r="M37" s="12" t="s">
        <v>367</v>
      </c>
      <c r="N37" s="14" t="s">
        <v>85</v>
      </c>
      <c r="O37" s="12"/>
      <c r="P37" s="10" t="s">
        <v>368</v>
      </c>
      <c r="Q37" s="14" t="s">
        <v>369</v>
      </c>
      <c r="R37" s="14" t="s">
        <v>370</v>
      </c>
      <c r="S37" s="9" t="s">
        <v>41</v>
      </c>
      <c r="T37" s="9" t="s">
        <v>42</v>
      </c>
      <c r="U37" s="9" t="s">
        <v>371</v>
      </c>
      <c r="V37" s="12" t="s">
        <v>372</v>
      </c>
      <c r="W37" s="14" t="s">
        <v>45</v>
      </c>
      <c r="X37" s="14" t="s">
        <v>46</v>
      </c>
      <c r="Y37" s="14" t="s">
        <v>373</v>
      </c>
      <c r="Z37" s="14" t="s">
        <v>373</v>
      </c>
      <c r="AA37" s="14" t="s">
        <v>374</v>
      </c>
      <c r="AB37" s="13"/>
      <c r="AC37" s="14" t="s">
        <v>375</v>
      </c>
      <c r="AD37" s="13"/>
      <c r="AE37" s="13"/>
    </row>
    <row r="38">
      <c r="A38" s="9" t="s">
        <v>27</v>
      </c>
      <c r="B38" s="9" t="s">
        <v>303</v>
      </c>
      <c r="C38" s="10" t="s">
        <v>376</v>
      </c>
      <c r="D38" s="11" t="s">
        <v>377</v>
      </c>
      <c r="E38" s="10" t="s">
        <v>31</v>
      </c>
      <c r="F38" s="10" t="s">
        <v>32</v>
      </c>
      <c r="G38" s="9" t="s">
        <v>33</v>
      </c>
      <c r="H38" s="10" t="s">
        <v>34</v>
      </c>
      <c r="I38" s="10" t="s">
        <v>35</v>
      </c>
      <c r="J38" s="9" t="s">
        <v>378</v>
      </c>
      <c r="K38" s="9"/>
      <c r="L38" s="9" t="s">
        <v>37</v>
      </c>
      <c r="M38" s="9" t="s">
        <v>38</v>
      </c>
      <c r="N38" s="14" t="s">
        <v>85</v>
      </c>
      <c r="O38" s="12"/>
      <c r="P38" s="10" t="s">
        <v>379</v>
      </c>
      <c r="Q38" s="10" t="s">
        <v>189</v>
      </c>
      <c r="R38" s="10" t="s">
        <v>380</v>
      </c>
      <c r="S38" s="9" t="s">
        <v>41</v>
      </c>
      <c r="T38" s="9" t="s">
        <v>42</v>
      </c>
      <c r="U38" s="9" t="s">
        <v>273</v>
      </c>
      <c r="V38" s="9" t="s">
        <v>343</v>
      </c>
      <c r="W38" s="14" t="s">
        <v>45</v>
      </c>
      <c r="X38" s="14" t="s">
        <v>46</v>
      </c>
      <c r="Y38" s="14" t="s">
        <v>381</v>
      </c>
      <c r="Z38" s="14" t="s">
        <v>381</v>
      </c>
      <c r="AA38" s="14" t="s">
        <v>374</v>
      </c>
      <c r="AB38" s="13"/>
      <c r="AC38" s="14" t="s">
        <v>382</v>
      </c>
      <c r="AD38" s="13"/>
      <c r="AE38" s="13"/>
    </row>
    <row r="39">
      <c r="A39" s="9" t="s">
        <v>27</v>
      </c>
      <c r="B39" s="9" t="s">
        <v>303</v>
      </c>
      <c r="C39" s="10" t="s">
        <v>376</v>
      </c>
      <c r="D39" s="10" t="s">
        <v>383</v>
      </c>
      <c r="E39" s="10" t="s">
        <v>31</v>
      </c>
      <c r="F39" s="10" t="s">
        <v>32</v>
      </c>
      <c r="G39" s="9"/>
      <c r="H39" s="10" t="s">
        <v>34</v>
      </c>
      <c r="I39" s="10" t="s">
        <v>35</v>
      </c>
      <c r="J39" s="9" t="s">
        <v>384</v>
      </c>
      <c r="K39" s="9"/>
      <c r="L39" s="9" t="s">
        <v>36</v>
      </c>
      <c r="M39" s="9" t="s">
        <v>38</v>
      </c>
      <c r="N39" s="10" t="s">
        <v>385</v>
      </c>
      <c r="O39" s="12"/>
      <c r="P39" s="10" t="s">
        <v>386</v>
      </c>
      <c r="Q39" s="10"/>
      <c r="R39" s="10" t="s">
        <v>387</v>
      </c>
      <c r="S39" s="9" t="s">
        <v>41</v>
      </c>
      <c r="T39" s="9" t="s">
        <v>42</v>
      </c>
      <c r="U39" s="9" t="s">
        <v>273</v>
      </c>
      <c r="V39" s="9" t="s">
        <v>343</v>
      </c>
      <c r="W39" s="14" t="s">
        <v>45</v>
      </c>
      <c r="X39" s="14" t="s">
        <v>46</v>
      </c>
      <c r="Y39" s="14" t="s">
        <v>381</v>
      </c>
      <c r="Z39" s="14" t="s">
        <v>381</v>
      </c>
      <c r="AA39" s="14" t="s">
        <v>374</v>
      </c>
      <c r="AB39" s="13"/>
      <c r="AC39" s="14" t="s">
        <v>388</v>
      </c>
      <c r="AD39" s="13"/>
      <c r="AE39" s="13"/>
    </row>
    <row r="40">
      <c r="A40" s="9" t="s">
        <v>27</v>
      </c>
      <c r="B40" s="12" t="s">
        <v>303</v>
      </c>
      <c r="C40" s="14" t="s">
        <v>389</v>
      </c>
      <c r="D40" s="14" t="s">
        <v>390</v>
      </c>
      <c r="E40" s="10" t="s">
        <v>31</v>
      </c>
      <c r="F40" s="10" t="s">
        <v>32</v>
      </c>
      <c r="G40" s="12" t="s">
        <v>391</v>
      </c>
      <c r="H40" s="10" t="s">
        <v>34</v>
      </c>
      <c r="I40" s="10" t="s">
        <v>35</v>
      </c>
      <c r="J40" s="9" t="s">
        <v>392</v>
      </c>
      <c r="K40" s="12"/>
      <c r="L40" s="12" t="s">
        <v>74</v>
      </c>
      <c r="M40" s="12" t="s">
        <v>74</v>
      </c>
      <c r="N40" s="14" t="s">
        <v>393</v>
      </c>
      <c r="O40" s="14" t="s">
        <v>394</v>
      </c>
      <c r="P40" s="10" t="s">
        <v>395</v>
      </c>
      <c r="Q40" s="10" t="s">
        <v>396</v>
      </c>
      <c r="R40" s="10" t="s">
        <v>397</v>
      </c>
      <c r="S40" s="12" t="s">
        <v>41</v>
      </c>
      <c r="T40" s="12" t="s">
        <v>42</v>
      </c>
      <c r="U40" s="12" t="s">
        <v>371</v>
      </c>
      <c r="V40" s="12" t="s">
        <v>372</v>
      </c>
      <c r="W40" s="14" t="s">
        <v>45</v>
      </c>
      <c r="X40" s="14" t="s">
        <v>46</v>
      </c>
      <c r="Y40" s="14" t="s">
        <v>381</v>
      </c>
      <c r="Z40" s="14" t="s">
        <v>381</v>
      </c>
      <c r="AA40" s="14" t="s">
        <v>398</v>
      </c>
      <c r="AB40" s="13"/>
      <c r="AC40" s="14" t="s">
        <v>399</v>
      </c>
      <c r="AD40" s="13"/>
      <c r="AE40" s="13"/>
    </row>
    <row r="41">
      <c r="A41" s="9" t="s">
        <v>27</v>
      </c>
      <c r="B41" s="9" t="s">
        <v>400</v>
      </c>
      <c r="C41" s="10" t="s">
        <v>401</v>
      </c>
      <c r="D41" s="11" t="s">
        <v>402</v>
      </c>
      <c r="E41" s="10" t="s">
        <v>31</v>
      </c>
      <c r="F41" s="10" t="s">
        <v>32</v>
      </c>
      <c r="G41" s="9" t="s">
        <v>50</v>
      </c>
      <c r="H41" s="10" t="s">
        <v>34</v>
      </c>
      <c r="I41" s="10" t="s">
        <v>35</v>
      </c>
      <c r="J41" s="9" t="s">
        <v>403</v>
      </c>
      <c r="K41" s="9"/>
      <c r="L41" s="9" t="s">
        <v>63</v>
      </c>
      <c r="M41" s="9" t="s">
        <v>37</v>
      </c>
      <c r="N41" s="14" t="s">
        <v>85</v>
      </c>
      <c r="O41" s="14" t="s">
        <v>404</v>
      </c>
      <c r="P41" s="10" t="s">
        <v>405</v>
      </c>
      <c r="Q41" s="10" t="s">
        <v>406</v>
      </c>
      <c r="R41" s="10" t="s">
        <v>407</v>
      </c>
      <c r="S41" s="9" t="s">
        <v>41</v>
      </c>
      <c r="T41" s="9" t="s">
        <v>42</v>
      </c>
      <c r="U41" s="9" t="s">
        <v>273</v>
      </c>
      <c r="V41" s="9" t="s">
        <v>408</v>
      </c>
      <c r="W41" s="14" t="s">
        <v>45</v>
      </c>
      <c r="X41" s="14" t="s">
        <v>46</v>
      </c>
      <c r="Y41" s="14" t="s">
        <v>409</v>
      </c>
      <c r="Z41" s="14" t="s">
        <v>409</v>
      </c>
      <c r="AA41" s="14" t="s">
        <v>398</v>
      </c>
      <c r="AB41" s="13"/>
      <c r="AC41" s="14" t="s">
        <v>410</v>
      </c>
      <c r="AD41" s="13"/>
      <c r="AE41" s="13"/>
    </row>
    <row r="42">
      <c r="A42" s="9" t="s">
        <v>27</v>
      </c>
      <c r="B42" s="9" t="s">
        <v>400</v>
      </c>
      <c r="C42" s="10" t="s">
        <v>411</v>
      </c>
      <c r="D42" s="10" t="s">
        <v>412</v>
      </c>
      <c r="E42" s="10" t="s">
        <v>31</v>
      </c>
      <c r="F42" s="10" t="s">
        <v>32</v>
      </c>
      <c r="G42" s="9" t="s">
        <v>413</v>
      </c>
      <c r="H42" s="10" t="s">
        <v>34</v>
      </c>
      <c r="I42" s="10" t="s">
        <v>35</v>
      </c>
      <c r="J42" s="9" t="s">
        <v>414</v>
      </c>
      <c r="K42" s="9"/>
      <c r="L42" s="9" t="s">
        <v>37</v>
      </c>
      <c r="M42" s="9" t="s">
        <v>38</v>
      </c>
      <c r="N42" s="14" t="s">
        <v>85</v>
      </c>
      <c r="O42" s="12"/>
      <c r="P42" s="10" t="s">
        <v>415</v>
      </c>
      <c r="Q42" s="10" t="s">
        <v>416</v>
      </c>
      <c r="R42" s="10" t="s">
        <v>417</v>
      </c>
      <c r="S42" s="9" t="s">
        <v>41</v>
      </c>
      <c r="T42" s="9" t="s">
        <v>42</v>
      </c>
      <c r="U42" s="9" t="s">
        <v>273</v>
      </c>
      <c r="V42" s="9" t="s">
        <v>408</v>
      </c>
      <c r="W42" s="14" t="s">
        <v>45</v>
      </c>
      <c r="X42" s="14" t="s">
        <v>46</v>
      </c>
      <c r="Y42" s="14" t="s">
        <v>409</v>
      </c>
      <c r="Z42" s="14" t="s">
        <v>409</v>
      </c>
      <c r="AA42" s="14" t="s">
        <v>398</v>
      </c>
      <c r="AB42" s="13"/>
      <c r="AC42" s="14" t="s">
        <v>418</v>
      </c>
      <c r="AD42" s="13"/>
      <c r="AE42" s="13"/>
    </row>
    <row r="43">
      <c r="A43" s="9" t="s">
        <v>27</v>
      </c>
      <c r="B43" s="9" t="s">
        <v>400</v>
      </c>
      <c r="C43" s="10" t="s">
        <v>419</v>
      </c>
      <c r="D43" s="11" t="s">
        <v>420</v>
      </c>
      <c r="E43" s="10" t="s">
        <v>31</v>
      </c>
      <c r="F43" s="10" t="s">
        <v>32</v>
      </c>
      <c r="G43" s="9" t="s">
        <v>50</v>
      </c>
      <c r="H43" s="10" t="s">
        <v>34</v>
      </c>
      <c r="I43" s="10" t="s">
        <v>35</v>
      </c>
      <c r="J43" s="9" t="s">
        <v>421</v>
      </c>
      <c r="K43" s="9"/>
      <c r="L43" s="9" t="s">
        <v>63</v>
      </c>
      <c r="M43" s="9" t="s">
        <v>37</v>
      </c>
      <c r="N43" s="9"/>
      <c r="O43" s="12"/>
      <c r="P43" s="10" t="s">
        <v>422</v>
      </c>
      <c r="Q43" s="22" t="s">
        <v>351</v>
      </c>
      <c r="R43" s="10" t="s">
        <v>423</v>
      </c>
      <c r="S43" s="9" t="s">
        <v>41</v>
      </c>
      <c r="T43" s="9" t="s">
        <v>42</v>
      </c>
      <c r="U43" s="9" t="s">
        <v>273</v>
      </c>
      <c r="V43" s="9" t="s">
        <v>424</v>
      </c>
      <c r="W43" s="14" t="s">
        <v>45</v>
      </c>
      <c r="X43" s="14" t="s">
        <v>46</v>
      </c>
      <c r="Y43" s="14" t="s">
        <v>425</v>
      </c>
      <c r="Z43" s="14" t="s">
        <v>425</v>
      </c>
      <c r="AA43" s="14" t="s">
        <v>398</v>
      </c>
      <c r="AB43" s="13"/>
      <c r="AC43" s="14" t="s">
        <v>426</v>
      </c>
      <c r="AD43" s="13"/>
      <c r="AE43" s="13"/>
    </row>
    <row r="44">
      <c r="A44" s="9" t="s">
        <v>27</v>
      </c>
      <c r="B44" s="9" t="s">
        <v>400</v>
      </c>
      <c r="C44" s="10" t="s">
        <v>427</v>
      </c>
      <c r="D44" s="11" t="s">
        <v>428</v>
      </c>
      <c r="E44" s="10" t="s">
        <v>31</v>
      </c>
      <c r="F44" s="10" t="s">
        <v>32</v>
      </c>
      <c r="G44" s="9" t="s">
        <v>50</v>
      </c>
      <c r="H44" s="10" t="s">
        <v>34</v>
      </c>
      <c r="I44" s="10" t="s">
        <v>35</v>
      </c>
      <c r="J44" s="9" t="s">
        <v>429</v>
      </c>
      <c r="K44" s="9"/>
      <c r="L44" s="9" t="s">
        <v>430</v>
      </c>
      <c r="M44" s="9" t="s">
        <v>131</v>
      </c>
      <c r="N44" s="14" t="s">
        <v>85</v>
      </c>
      <c r="O44" s="12"/>
      <c r="P44" s="10" t="s">
        <v>431</v>
      </c>
      <c r="Q44" s="10" t="s">
        <v>432</v>
      </c>
      <c r="R44" s="10" t="s">
        <v>433</v>
      </c>
      <c r="S44" s="9" t="s">
        <v>41</v>
      </c>
      <c r="T44" s="9" t="s">
        <v>42</v>
      </c>
      <c r="U44" s="9" t="s">
        <v>273</v>
      </c>
      <c r="V44" s="9" t="s">
        <v>424</v>
      </c>
      <c r="W44" s="14" t="s">
        <v>45</v>
      </c>
      <c r="X44" s="14" t="s">
        <v>46</v>
      </c>
      <c r="Y44" s="14" t="s">
        <v>425</v>
      </c>
      <c r="Z44" s="14" t="s">
        <v>425</v>
      </c>
      <c r="AA44" s="14" t="s">
        <v>434</v>
      </c>
      <c r="AB44" s="13"/>
      <c r="AC44" s="14" t="s">
        <v>435</v>
      </c>
      <c r="AD44" s="13"/>
      <c r="AE44" s="13"/>
    </row>
    <row r="45">
      <c r="A45" s="9" t="s">
        <v>27</v>
      </c>
      <c r="B45" s="9" t="s">
        <v>400</v>
      </c>
      <c r="C45" s="10" t="s">
        <v>436</v>
      </c>
      <c r="D45" s="10" t="s">
        <v>437</v>
      </c>
      <c r="E45" s="10" t="s">
        <v>31</v>
      </c>
      <c r="F45" s="10" t="s">
        <v>32</v>
      </c>
      <c r="G45" s="9" t="s">
        <v>33</v>
      </c>
      <c r="H45" s="10" t="s">
        <v>34</v>
      </c>
      <c r="I45" s="10" t="s">
        <v>35</v>
      </c>
      <c r="J45" s="10" t="s">
        <v>438</v>
      </c>
      <c r="K45" s="9"/>
      <c r="L45" s="10" t="s">
        <v>62</v>
      </c>
      <c r="M45" s="10" t="s">
        <v>63</v>
      </c>
      <c r="N45" s="10" t="s">
        <v>439</v>
      </c>
      <c r="O45" s="12"/>
      <c r="P45" s="10" t="s">
        <v>440</v>
      </c>
      <c r="Q45" s="10" t="s">
        <v>441</v>
      </c>
      <c r="R45" s="10" t="s">
        <v>442</v>
      </c>
      <c r="S45" s="9" t="s">
        <v>41</v>
      </c>
      <c r="T45" s="9" t="s">
        <v>42</v>
      </c>
      <c r="U45" s="9" t="s">
        <v>273</v>
      </c>
      <c r="V45" s="9" t="s">
        <v>424</v>
      </c>
      <c r="W45" s="14" t="s">
        <v>45</v>
      </c>
      <c r="X45" s="14" t="s">
        <v>46</v>
      </c>
      <c r="Y45" s="14" t="s">
        <v>443</v>
      </c>
      <c r="Z45" s="14" t="s">
        <v>443</v>
      </c>
      <c r="AA45" s="14" t="s">
        <v>434</v>
      </c>
      <c r="AB45" s="13"/>
      <c r="AC45" s="14" t="s">
        <v>444</v>
      </c>
      <c r="AD45" s="13"/>
      <c r="AE45" s="13"/>
    </row>
    <row r="46">
      <c r="A46" s="9" t="s">
        <v>27</v>
      </c>
      <c r="B46" s="9" t="s">
        <v>400</v>
      </c>
      <c r="C46" s="10" t="s">
        <v>445</v>
      </c>
      <c r="D46" s="11" t="s">
        <v>446</v>
      </c>
      <c r="E46" s="10" t="s">
        <v>31</v>
      </c>
      <c r="F46" s="10" t="s">
        <v>32</v>
      </c>
      <c r="G46" s="9" t="s">
        <v>50</v>
      </c>
      <c r="H46" s="10" t="s">
        <v>34</v>
      </c>
      <c r="I46" s="10" t="s">
        <v>35</v>
      </c>
      <c r="J46" s="9" t="s">
        <v>447</v>
      </c>
      <c r="K46" s="9"/>
      <c r="L46" s="9" t="s">
        <v>226</v>
      </c>
      <c r="M46" s="9" t="s">
        <v>74</v>
      </c>
      <c r="N46" s="14" t="s">
        <v>121</v>
      </c>
      <c r="O46" s="12"/>
      <c r="P46" s="10" t="s">
        <v>448</v>
      </c>
      <c r="Q46" s="10" t="s">
        <v>449</v>
      </c>
      <c r="R46" s="10" t="s">
        <v>450</v>
      </c>
      <c r="S46" s="9" t="s">
        <v>41</v>
      </c>
      <c r="T46" s="9" t="s">
        <v>42</v>
      </c>
      <c r="U46" s="9" t="s">
        <v>273</v>
      </c>
      <c r="V46" s="9" t="s">
        <v>451</v>
      </c>
      <c r="W46" s="14" t="s">
        <v>45</v>
      </c>
      <c r="X46" s="14" t="s">
        <v>46</v>
      </c>
      <c r="Y46" s="14" t="s">
        <v>443</v>
      </c>
      <c r="Z46" s="14" t="s">
        <v>443</v>
      </c>
      <c r="AA46" s="14" t="s">
        <v>452</v>
      </c>
      <c r="AB46" s="13"/>
      <c r="AC46" s="14" t="s">
        <v>453</v>
      </c>
      <c r="AD46" s="13"/>
      <c r="AE46" s="13"/>
    </row>
    <row r="47">
      <c r="A47" s="9" t="s">
        <v>27</v>
      </c>
      <c r="B47" s="9" t="s">
        <v>400</v>
      </c>
      <c r="C47" s="10" t="s">
        <v>454</v>
      </c>
      <c r="D47" s="11" t="s">
        <v>455</v>
      </c>
      <c r="E47" s="10" t="s">
        <v>31</v>
      </c>
      <c r="F47" s="10" t="s">
        <v>32</v>
      </c>
      <c r="G47" s="9" t="s">
        <v>50</v>
      </c>
      <c r="H47" s="10" t="s">
        <v>34</v>
      </c>
      <c r="I47" s="10" t="s">
        <v>35</v>
      </c>
      <c r="J47" s="9" t="s">
        <v>456</v>
      </c>
      <c r="K47" s="9"/>
      <c r="L47" s="9" t="s">
        <v>84</v>
      </c>
      <c r="M47" s="9" t="s">
        <v>131</v>
      </c>
      <c r="N47" s="10" t="s">
        <v>457</v>
      </c>
      <c r="O47" s="14" t="s">
        <v>458</v>
      </c>
      <c r="P47" s="10" t="s">
        <v>459</v>
      </c>
      <c r="Q47" s="10" t="s">
        <v>460</v>
      </c>
      <c r="R47" s="10" t="s">
        <v>461</v>
      </c>
      <c r="S47" s="9" t="s">
        <v>41</v>
      </c>
      <c r="T47" s="9" t="s">
        <v>42</v>
      </c>
      <c r="U47" s="9" t="s">
        <v>273</v>
      </c>
      <c r="V47" s="9" t="s">
        <v>451</v>
      </c>
      <c r="W47" s="14" t="s">
        <v>45</v>
      </c>
      <c r="X47" s="14" t="s">
        <v>46</v>
      </c>
      <c r="Y47" s="14" t="s">
        <v>462</v>
      </c>
      <c r="Z47" s="14" t="s">
        <v>462</v>
      </c>
      <c r="AA47" s="14" t="s">
        <v>452</v>
      </c>
      <c r="AB47" s="13"/>
      <c r="AC47" s="14" t="s">
        <v>463</v>
      </c>
      <c r="AD47" s="13"/>
      <c r="AE47" s="13"/>
    </row>
    <row r="48">
      <c r="A48" s="9" t="s">
        <v>27</v>
      </c>
      <c r="B48" s="9" t="s">
        <v>400</v>
      </c>
      <c r="C48" s="10" t="s">
        <v>464</v>
      </c>
      <c r="D48" s="10" t="s">
        <v>465</v>
      </c>
      <c r="E48" s="10" t="s">
        <v>31</v>
      </c>
      <c r="F48" s="10" t="s">
        <v>32</v>
      </c>
      <c r="G48" s="9" t="s">
        <v>50</v>
      </c>
      <c r="H48" s="10" t="s">
        <v>34</v>
      </c>
      <c r="I48" s="10" t="s">
        <v>35</v>
      </c>
      <c r="J48" s="9" t="s">
        <v>466</v>
      </c>
      <c r="K48" s="9"/>
      <c r="L48" s="9" t="s">
        <v>84</v>
      </c>
      <c r="M48" s="9" t="s">
        <v>75</v>
      </c>
      <c r="N48" s="9"/>
      <c r="O48" s="12"/>
      <c r="P48" s="10" t="s">
        <v>467</v>
      </c>
      <c r="Q48" s="10"/>
      <c r="R48" s="10" t="s">
        <v>468</v>
      </c>
      <c r="S48" s="9" t="s">
        <v>41</v>
      </c>
      <c r="T48" s="9" t="s">
        <v>42</v>
      </c>
      <c r="U48" s="9" t="s">
        <v>273</v>
      </c>
      <c r="V48" s="10" t="s">
        <v>462</v>
      </c>
      <c r="W48" s="14" t="s">
        <v>45</v>
      </c>
      <c r="X48" s="14" t="s">
        <v>46</v>
      </c>
      <c r="Y48" s="14" t="s">
        <v>462</v>
      </c>
      <c r="Z48" s="14" t="s">
        <v>462</v>
      </c>
      <c r="AA48" s="14" t="s">
        <v>452</v>
      </c>
      <c r="AB48" s="13"/>
      <c r="AC48" s="14" t="s">
        <v>469</v>
      </c>
      <c r="AD48" s="13"/>
      <c r="AE48" s="13"/>
    </row>
    <row r="49">
      <c r="A49" s="9" t="s">
        <v>27</v>
      </c>
      <c r="B49" s="9" t="s">
        <v>400</v>
      </c>
      <c r="C49" s="10" t="s">
        <v>470</v>
      </c>
      <c r="D49" s="11" t="s">
        <v>471</v>
      </c>
      <c r="E49" s="10" t="s">
        <v>31</v>
      </c>
      <c r="F49" s="10" t="s">
        <v>32</v>
      </c>
      <c r="G49" s="9"/>
      <c r="H49" s="10" t="s">
        <v>34</v>
      </c>
      <c r="I49" s="10" t="s">
        <v>35</v>
      </c>
      <c r="J49" s="9" t="s">
        <v>472</v>
      </c>
      <c r="K49" s="9"/>
      <c r="L49" s="9" t="s">
        <v>473</v>
      </c>
      <c r="M49" s="9" t="s">
        <v>473</v>
      </c>
      <c r="N49" s="10" t="s">
        <v>474</v>
      </c>
      <c r="O49" s="12"/>
      <c r="P49" s="10" t="s">
        <v>475</v>
      </c>
      <c r="Q49" s="14" t="s">
        <v>476</v>
      </c>
      <c r="R49" s="14" t="s">
        <v>477</v>
      </c>
      <c r="S49" s="9" t="s">
        <v>41</v>
      </c>
      <c r="T49" s="9" t="s">
        <v>42</v>
      </c>
      <c r="U49" s="9" t="s">
        <v>273</v>
      </c>
      <c r="V49" s="9" t="s">
        <v>478</v>
      </c>
      <c r="W49" s="14" t="s">
        <v>45</v>
      </c>
      <c r="X49" s="14" t="s">
        <v>46</v>
      </c>
      <c r="Y49" s="14" t="s">
        <v>462</v>
      </c>
      <c r="Z49" s="14" t="s">
        <v>462</v>
      </c>
      <c r="AA49" s="14" t="s">
        <v>479</v>
      </c>
      <c r="AB49" s="13"/>
      <c r="AC49" s="14" t="s">
        <v>480</v>
      </c>
      <c r="AD49" s="13"/>
      <c r="AE49" s="13"/>
    </row>
    <row r="50">
      <c r="A50" s="9" t="s">
        <v>27</v>
      </c>
      <c r="B50" s="9" t="s">
        <v>400</v>
      </c>
      <c r="C50" s="10" t="s">
        <v>481</v>
      </c>
      <c r="D50" s="11" t="s">
        <v>482</v>
      </c>
      <c r="E50" s="10" t="s">
        <v>31</v>
      </c>
      <c r="F50" s="10" t="s">
        <v>32</v>
      </c>
      <c r="G50" s="9"/>
      <c r="H50" s="10" t="s">
        <v>34</v>
      </c>
      <c r="I50" s="10" t="s">
        <v>35</v>
      </c>
      <c r="J50" s="9" t="s">
        <v>483</v>
      </c>
      <c r="K50" s="9"/>
      <c r="L50" s="9" t="s">
        <v>84</v>
      </c>
      <c r="M50" s="9" t="s">
        <v>84</v>
      </c>
      <c r="N50" s="10" t="s">
        <v>484</v>
      </c>
      <c r="O50" s="12"/>
      <c r="P50" s="10" t="s">
        <v>485</v>
      </c>
      <c r="Q50" s="10" t="s">
        <v>486</v>
      </c>
      <c r="R50" s="10" t="s">
        <v>487</v>
      </c>
      <c r="S50" s="9" t="s">
        <v>41</v>
      </c>
      <c r="T50" s="12" t="s">
        <v>42</v>
      </c>
      <c r="U50" s="9" t="s">
        <v>273</v>
      </c>
      <c r="V50" s="9" t="s">
        <v>478</v>
      </c>
      <c r="W50" s="14" t="s">
        <v>45</v>
      </c>
      <c r="X50" s="14" t="s">
        <v>46</v>
      </c>
      <c r="Y50" s="14" t="s">
        <v>488</v>
      </c>
      <c r="Z50" s="14" t="s">
        <v>488</v>
      </c>
      <c r="AA50" s="14" t="s">
        <v>479</v>
      </c>
      <c r="AB50" s="13"/>
      <c r="AC50" s="14" t="s">
        <v>489</v>
      </c>
      <c r="AD50" s="13"/>
      <c r="AE50" s="13"/>
    </row>
    <row r="51">
      <c r="A51" s="9" t="s">
        <v>27</v>
      </c>
      <c r="B51" s="9" t="s">
        <v>490</v>
      </c>
      <c r="C51" s="10" t="s">
        <v>491</v>
      </c>
      <c r="D51" s="10" t="s">
        <v>492</v>
      </c>
      <c r="E51" s="10" t="s">
        <v>31</v>
      </c>
      <c r="F51" s="10" t="s">
        <v>32</v>
      </c>
      <c r="G51" s="9"/>
      <c r="H51" s="9"/>
      <c r="I51" s="9"/>
      <c r="J51" s="9" t="s">
        <v>493</v>
      </c>
      <c r="K51" s="9"/>
      <c r="L51" s="9" t="s">
        <v>37</v>
      </c>
      <c r="M51" s="9" t="s">
        <v>37</v>
      </c>
      <c r="N51" s="10" t="s">
        <v>494</v>
      </c>
      <c r="O51" s="12"/>
      <c r="P51" s="10" t="s">
        <v>495</v>
      </c>
      <c r="Q51" s="10" t="s">
        <v>496</v>
      </c>
      <c r="R51" s="10" t="s">
        <v>497</v>
      </c>
      <c r="S51" s="9" t="s">
        <v>41</v>
      </c>
      <c r="T51" s="9" t="s">
        <v>42</v>
      </c>
      <c r="U51" s="9" t="s">
        <v>498</v>
      </c>
      <c r="V51" s="9" t="s">
        <v>499</v>
      </c>
      <c r="W51" s="14" t="s">
        <v>45</v>
      </c>
      <c r="X51" s="14" t="s">
        <v>46</v>
      </c>
      <c r="Y51" s="14" t="s">
        <v>488</v>
      </c>
      <c r="Z51" s="14" t="s">
        <v>488</v>
      </c>
      <c r="AA51" s="14" t="s">
        <v>500</v>
      </c>
      <c r="AB51" s="13"/>
      <c r="AC51" s="14" t="s">
        <v>501</v>
      </c>
      <c r="AD51" s="13"/>
      <c r="AE51" s="13"/>
    </row>
    <row r="52">
      <c r="A52" s="9" t="s">
        <v>27</v>
      </c>
      <c r="B52" s="9" t="s">
        <v>490</v>
      </c>
      <c r="C52" s="10" t="s">
        <v>502</v>
      </c>
      <c r="D52" s="10" t="s">
        <v>503</v>
      </c>
      <c r="E52" s="10" t="s">
        <v>31</v>
      </c>
      <c r="F52" s="10" t="s">
        <v>32</v>
      </c>
      <c r="G52" s="9"/>
      <c r="H52" s="9"/>
      <c r="I52" s="9"/>
      <c r="J52" s="9" t="s">
        <v>504</v>
      </c>
      <c r="K52" s="9"/>
      <c r="L52" s="9" t="s">
        <v>131</v>
      </c>
      <c r="M52" s="9" t="s">
        <v>131</v>
      </c>
      <c r="N52" s="10" t="s">
        <v>494</v>
      </c>
      <c r="O52" s="12"/>
      <c r="P52" s="10" t="s">
        <v>505</v>
      </c>
      <c r="Q52" s="10" t="s">
        <v>506</v>
      </c>
      <c r="R52" s="10" t="s">
        <v>507</v>
      </c>
      <c r="S52" s="9" t="s">
        <v>41</v>
      </c>
      <c r="T52" s="9" t="s">
        <v>42</v>
      </c>
      <c r="U52" s="9" t="s">
        <v>498</v>
      </c>
      <c r="V52" s="9" t="s">
        <v>499</v>
      </c>
      <c r="W52" s="14" t="s">
        <v>45</v>
      </c>
      <c r="X52" s="14" t="s">
        <v>46</v>
      </c>
      <c r="Y52" s="14" t="s">
        <v>488</v>
      </c>
      <c r="Z52" s="14" t="s">
        <v>488</v>
      </c>
      <c r="AA52" s="14" t="s">
        <v>508</v>
      </c>
      <c r="AB52" s="13"/>
      <c r="AC52" s="14" t="s">
        <v>509</v>
      </c>
      <c r="AD52" s="13"/>
      <c r="AE52" s="13"/>
    </row>
    <row r="53">
      <c r="A53" s="9" t="s">
        <v>27</v>
      </c>
      <c r="B53" s="9" t="s">
        <v>490</v>
      </c>
      <c r="C53" s="10" t="s">
        <v>510</v>
      </c>
      <c r="D53" s="11" t="s">
        <v>511</v>
      </c>
      <c r="E53" s="10" t="s">
        <v>31</v>
      </c>
      <c r="F53" s="10" t="s">
        <v>32</v>
      </c>
      <c r="G53" s="9"/>
      <c r="H53" s="9"/>
      <c r="I53" s="9"/>
      <c r="J53" s="9" t="s">
        <v>512</v>
      </c>
      <c r="K53" s="9"/>
      <c r="L53" s="9" t="s">
        <v>62</v>
      </c>
      <c r="M53" s="9" t="s">
        <v>62</v>
      </c>
      <c r="N53" s="10" t="s">
        <v>513</v>
      </c>
      <c r="O53" s="12"/>
      <c r="P53" s="10" t="s">
        <v>514</v>
      </c>
      <c r="Q53" s="9"/>
      <c r="R53" s="9" t="s">
        <v>515</v>
      </c>
      <c r="S53" s="9" t="s">
        <v>41</v>
      </c>
      <c r="T53" s="9" t="s">
        <v>42</v>
      </c>
      <c r="U53" s="9" t="s">
        <v>498</v>
      </c>
      <c r="V53" s="9" t="s">
        <v>499</v>
      </c>
      <c r="W53" s="14" t="s">
        <v>45</v>
      </c>
      <c r="X53" s="14" t="s">
        <v>46</v>
      </c>
      <c r="Y53" s="14" t="s">
        <v>516</v>
      </c>
      <c r="Z53" s="14" t="s">
        <v>516</v>
      </c>
      <c r="AA53" s="14" t="s">
        <v>517</v>
      </c>
      <c r="AB53" s="13"/>
      <c r="AC53" s="14" t="s">
        <v>518</v>
      </c>
      <c r="AD53" s="13"/>
      <c r="AE53" s="13"/>
    </row>
    <row r="54">
      <c r="A54" s="9" t="s">
        <v>27</v>
      </c>
      <c r="B54" s="9" t="s">
        <v>490</v>
      </c>
      <c r="C54" s="10" t="s">
        <v>519</v>
      </c>
      <c r="D54" s="10" t="s">
        <v>520</v>
      </c>
      <c r="E54" s="10" t="s">
        <v>31</v>
      </c>
      <c r="F54" s="10" t="s">
        <v>32</v>
      </c>
      <c r="G54" s="9" t="s">
        <v>50</v>
      </c>
      <c r="H54" s="9"/>
      <c r="I54" s="9"/>
      <c r="J54" s="9" t="s">
        <v>521</v>
      </c>
      <c r="K54" s="9"/>
      <c r="L54" s="9" t="s">
        <v>63</v>
      </c>
      <c r="M54" s="9" t="s">
        <v>37</v>
      </c>
      <c r="N54" s="10" t="s">
        <v>513</v>
      </c>
      <c r="O54" s="12"/>
      <c r="P54" s="10" t="s">
        <v>522</v>
      </c>
      <c r="Q54" s="10" t="s">
        <v>523</v>
      </c>
      <c r="R54" s="9" t="s">
        <v>524</v>
      </c>
      <c r="S54" s="9" t="s">
        <v>41</v>
      </c>
      <c r="T54" s="9" t="s">
        <v>42</v>
      </c>
      <c r="U54" s="9" t="s">
        <v>498</v>
      </c>
      <c r="V54" s="9" t="s">
        <v>499</v>
      </c>
      <c r="W54" s="14" t="s">
        <v>45</v>
      </c>
      <c r="X54" s="14" t="s">
        <v>46</v>
      </c>
      <c r="Y54" s="14" t="s">
        <v>516</v>
      </c>
      <c r="Z54" s="14" t="s">
        <v>516</v>
      </c>
      <c r="AA54" s="14" t="s">
        <v>517</v>
      </c>
      <c r="AB54" s="13"/>
      <c r="AC54" s="14" t="s">
        <v>525</v>
      </c>
      <c r="AD54" s="13"/>
      <c r="AE54" s="13"/>
    </row>
    <row r="55">
      <c r="A55" s="9" t="s">
        <v>27</v>
      </c>
      <c r="B55" s="9" t="s">
        <v>490</v>
      </c>
      <c r="C55" s="10" t="s">
        <v>526</v>
      </c>
      <c r="D55" s="10" t="s">
        <v>527</v>
      </c>
      <c r="E55" s="10" t="s">
        <v>31</v>
      </c>
      <c r="F55" s="10" t="s">
        <v>32</v>
      </c>
      <c r="G55" s="9" t="s">
        <v>50</v>
      </c>
      <c r="H55" s="9"/>
      <c r="I55" s="9"/>
      <c r="J55" s="9" t="s">
        <v>528</v>
      </c>
      <c r="K55" s="9"/>
      <c r="L55" s="9" t="s">
        <v>63</v>
      </c>
      <c r="M55" s="9" t="s">
        <v>75</v>
      </c>
      <c r="N55" s="10" t="s">
        <v>513</v>
      </c>
      <c r="O55" s="12"/>
      <c r="P55" s="10" t="s">
        <v>271</v>
      </c>
      <c r="Q55" s="10"/>
      <c r="R55" s="10" t="s">
        <v>529</v>
      </c>
      <c r="S55" s="9" t="s">
        <v>41</v>
      </c>
      <c r="T55" s="9" t="s">
        <v>42</v>
      </c>
      <c r="U55" s="9" t="s">
        <v>498</v>
      </c>
      <c r="V55" s="9" t="s">
        <v>499</v>
      </c>
      <c r="W55" s="14" t="s">
        <v>45</v>
      </c>
      <c r="X55" s="14" t="s">
        <v>46</v>
      </c>
      <c r="Y55" s="14" t="s">
        <v>530</v>
      </c>
      <c r="Z55" s="14" t="s">
        <v>530</v>
      </c>
      <c r="AA55" s="14" t="s">
        <v>517</v>
      </c>
      <c r="AB55" s="13"/>
      <c r="AC55" s="14" t="s">
        <v>531</v>
      </c>
      <c r="AD55" s="13"/>
      <c r="AE55" s="13"/>
    </row>
    <row r="56">
      <c r="A56" s="9" t="s">
        <v>27</v>
      </c>
      <c r="B56" s="9" t="s">
        <v>490</v>
      </c>
      <c r="C56" s="10" t="s">
        <v>532</v>
      </c>
      <c r="D56" s="11" t="s">
        <v>533</v>
      </c>
      <c r="E56" s="10" t="s">
        <v>31</v>
      </c>
      <c r="F56" s="10" t="s">
        <v>32</v>
      </c>
      <c r="G56" s="9" t="s">
        <v>534</v>
      </c>
      <c r="H56" s="10" t="s">
        <v>535</v>
      </c>
      <c r="I56" s="10" t="s">
        <v>35</v>
      </c>
      <c r="J56" s="9" t="s">
        <v>536</v>
      </c>
      <c r="K56" s="9"/>
      <c r="L56" s="9" t="s">
        <v>62</v>
      </c>
      <c r="M56" s="9" t="s">
        <v>63</v>
      </c>
      <c r="N56" s="10" t="s">
        <v>537</v>
      </c>
      <c r="O56" s="12"/>
      <c r="P56" s="10" t="s">
        <v>538</v>
      </c>
      <c r="Q56" s="10" t="s">
        <v>539</v>
      </c>
      <c r="R56" s="10" t="s">
        <v>540</v>
      </c>
      <c r="S56" s="9" t="s">
        <v>41</v>
      </c>
      <c r="T56" s="9" t="s">
        <v>42</v>
      </c>
      <c r="U56" s="9" t="s">
        <v>498</v>
      </c>
      <c r="V56" s="9" t="s">
        <v>499</v>
      </c>
      <c r="W56" s="14" t="s">
        <v>45</v>
      </c>
      <c r="X56" s="14" t="s">
        <v>46</v>
      </c>
      <c r="Y56" s="14" t="s">
        <v>530</v>
      </c>
      <c r="Z56" s="14" t="s">
        <v>530</v>
      </c>
      <c r="AA56" s="14" t="s">
        <v>541</v>
      </c>
      <c r="AB56" s="13"/>
      <c r="AC56" s="14" t="s">
        <v>542</v>
      </c>
      <c r="AD56" s="13"/>
      <c r="AE56" s="13"/>
    </row>
    <row r="57">
      <c r="A57" s="9" t="s">
        <v>27</v>
      </c>
      <c r="B57" s="9" t="s">
        <v>490</v>
      </c>
      <c r="C57" s="10" t="s">
        <v>543</v>
      </c>
      <c r="D57" s="11" t="s">
        <v>544</v>
      </c>
      <c r="E57" s="10" t="s">
        <v>31</v>
      </c>
      <c r="F57" s="10" t="s">
        <v>32</v>
      </c>
      <c r="G57" s="9" t="s">
        <v>50</v>
      </c>
      <c r="H57" s="9"/>
      <c r="I57" s="9"/>
      <c r="J57" s="9" t="s">
        <v>545</v>
      </c>
      <c r="K57" s="15"/>
      <c r="L57" s="9" t="s">
        <v>473</v>
      </c>
      <c r="M57" s="9" t="s">
        <v>226</v>
      </c>
      <c r="N57" s="17" t="s">
        <v>546</v>
      </c>
      <c r="O57" s="12"/>
      <c r="P57" s="10" t="s">
        <v>547</v>
      </c>
      <c r="Q57" s="10" t="s">
        <v>548</v>
      </c>
      <c r="R57" s="10" t="s">
        <v>549</v>
      </c>
      <c r="S57" s="9" t="s">
        <v>41</v>
      </c>
      <c r="T57" s="9" t="s">
        <v>42</v>
      </c>
      <c r="U57" s="9" t="s">
        <v>498</v>
      </c>
      <c r="V57" s="10" t="s">
        <v>550</v>
      </c>
      <c r="W57" s="14" t="s">
        <v>551</v>
      </c>
      <c r="X57" s="14" t="s">
        <v>552</v>
      </c>
      <c r="Y57" s="14" t="s">
        <v>553</v>
      </c>
      <c r="Z57" s="14" t="s">
        <v>553</v>
      </c>
      <c r="AA57" s="14" t="s">
        <v>554</v>
      </c>
      <c r="AB57" s="13"/>
      <c r="AC57" s="14" t="s">
        <v>555</v>
      </c>
      <c r="AD57" s="13"/>
      <c r="AE57" s="13"/>
    </row>
    <row r="58">
      <c r="A58" s="9" t="s">
        <v>27</v>
      </c>
      <c r="B58" s="9" t="s">
        <v>490</v>
      </c>
      <c r="C58" s="10" t="s">
        <v>556</v>
      </c>
      <c r="D58" s="23" t="s">
        <v>557</v>
      </c>
      <c r="E58" s="10" t="s">
        <v>31</v>
      </c>
      <c r="F58" s="10" t="s">
        <v>32</v>
      </c>
      <c r="G58" s="10" t="s">
        <v>50</v>
      </c>
      <c r="H58" s="10"/>
      <c r="I58" s="10"/>
      <c r="J58" s="10" t="s">
        <v>558</v>
      </c>
      <c r="K58" s="9"/>
      <c r="L58" s="10" t="s">
        <v>226</v>
      </c>
      <c r="M58" s="10" t="s">
        <v>74</v>
      </c>
      <c r="N58" s="10" t="s">
        <v>559</v>
      </c>
      <c r="O58" s="12"/>
      <c r="P58" s="10" t="s">
        <v>560</v>
      </c>
      <c r="Q58" s="10" t="s">
        <v>561</v>
      </c>
      <c r="R58" s="10" t="s">
        <v>562</v>
      </c>
      <c r="S58" s="9" t="s">
        <v>41</v>
      </c>
      <c r="T58" s="9" t="s">
        <v>42</v>
      </c>
      <c r="U58" s="9" t="s">
        <v>498</v>
      </c>
      <c r="V58" s="10" t="s">
        <v>550</v>
      </c>
      <c r="W58" s="14" t="s">
        <v>551</v>
      </c>
      <c r="X58" s="14" t="s">
        <v>552</v>
      </c>
      <c r="Y58" s="14" t="s">
        <v>563</v>
      </c>
      <c r="Z58" s="14" t="s">
        <v>563</v>
      </c>
      <c r="AA58" s="14" t="s">
        <v>564</v>
      </c>
      <c r="AB58" s="13"/>
      <c r="AC58" s="14" t="s">
        <v>565</v>
      </c>
      <c r="AD58" s="13"/>
      <c r="AE58" s="13"/>
    </row>
    <row r="59">
      <c r="A59" s="9" t="s">
        <v>27</v>
      </c>
      <c r="B59" s="9" t="s">
        <v>490</v>
      </c>
      <c r="C59" s="10" t="s">
        <v>566</v>
      </c>
      <c r="D59" s="23" t="s">
        <v>567</v>
      </c>
      <c r="E59" s="10" t="s">
        <v>31</v>
      </c>
      <c r="F59" s="10" t="s">
        <v>32</v>
      </c>
      <c r="G59" s="10" t="s">
        <v>413</v>
      </c>
      <c r="H59" s="10" t="s">
        <v>34</v>
      </c>
      <c r="I59" s="10" t="s">
        <v>35</v>
      </c>
      <c r="J59" s="10" t="s">
        <v>568</v>
      </c>
      <c r="K59" s="9"/>
      <c r="L59" s="10" t="s">
        <v>74</v>
      </c>
      <c r="M59" s="10" t="s">
        <v>75</v>
      </c>
      <c r="N59" s="22" t="s">
        <v>569</v>
      </c>
      <c r="O59" s="12"/>
      <c r="P59" s="10" t="s">
        <v>570</v>
      </c>
      <c r="Q59" s="10" t="s">
        <v>571</v>
      </c>
      <c r="R59" s="10" t="s">
        <v>572</v>
      </c>
      <c r="S59" s="9" t="s">
        <v>41</v>
      </c>
      <c r="T59" s="9" t="s">
        <v>42</v>
      </c>
      <c r="U59" s="9" t="s">
        <v>498</v>
      </c>
      <c r="V59" s="10" t="s">
        <v>550</v>
      </c>
      <c r="W59" s="14" t="s">
        <v>45</v>
      </c>
      <c r="X59" s="14" t="s">
        <v>46</v>
      </c>
      <c r="Y59" s="14" t="s">
        <v>564</v>
      </c>
      <c r="Z59" s="14" t="s">
        <v>564</v>
      </c>
      <c r="AA59" s="14" t="s">
        <v>564</v>
      </c>
      <c r="AB59" s="13"/>
      <c r="AC59" s="14" t="s">
        <v>573</v>
      </c>
      <c r="AD59" s="13"/>
      <c r="AE59" s="13"/>
    </row>
    <row r="60">
      <c r="A60" s="9" t="s">
        <v>27</v>
      </c>
      <c r="B60" s="9" t="s">
        <v>490</v>
      </c>
      <c r="C60" s="10" t="s">
        <v>574</v>
      </c>
      <c r="D60" s="23" t="s">
        <v>575</v>
      </c>
      <c r="E60" s="10" t="s">
        <v>31</v>
      </c>
      <c r="F60" s="10" t="s">
        <v>32</v>
      </c>
      <c r="G60" s="10" t="s">
        <v>50</v>
      </c>
      <c r="H60" s="10"/>
      <c r="I60" s="10"/>
      <c r="J60" s="10" t="s">
        <v>576</v>
      </c>
      <c r="K60" s="9"/>
      <c r="L60" s="10" t="s">
        <v>577</v>
      </c>
      <c r="M60" s="10" t="s">
        <v>63</v>
      </c>
      <c r="N60" s="10" t="s">
        <v>513</v>
      </c>
      <c r="O60" s="12"/>
      <c r="P60" s="10" t="s">
        <v>578</v>
      </c>
      <c r="Q60" s="10" t="s">
        <v>579</v>
      </c>
      <c r="R60" s="10" t="s">
        <v>580</v>
      </c>
      <c r="S60" s="9" t="s">
        <v>41</v>
      </c>
      <c r="T60" s="9" t="s">
        <v>42</v>
      </c>
      <c r="U60" s="9" t="s">
        <v>498</v>
      </c>
      <c r="V60" s="10" t="s">
        <v>581</v>
      </c>
      <c r="W60" s="14" t="s">
        <v>551</v>
      </c>
      <c r="X60" s="14" t="s">
        <v>552</v>
      </c>
      <c r="Y60" s="14" t="s">
        <v>553</v>
      </c>
      <c r="Z60" s="14" t="s">
        <v>553</v>
      </c>
      <c r="AA60" s="14" t="s">
        <v>582</v>
      </c>
      <c r="AB60" s="13"/>
      <c r="AC60" s="14" t="s">
        <v>583</v>
      </c>
      <c r="AD60" s="13"/>
      <c r="AE60" s="13"/>
    </row>
    <row r="61">
      <c r="A61" s="9" t="s">
        <v>27</v>
      </c>
      <c r="B61" s="9" t="s">
        <v>490</v>
      </c>
      <c r="C61" s="10" t="s">
        <v>584</v>
      </c>
      <c r="D61" s="10" t="s">
        <v>585</v>
      </c>
      <c r="E61" s="10" t="s">
        <v>31</v>
      </c>
      <c r="F61" s="10" t="s">
        <v>32</v>
      </c>
      <c r="G61" s="10" t="s">
        <v>586</v>
      </c>
      <c r="H61" s="10" t="s">
        <v>587</v>
      </c>
      <c r="I61" s="10" t="s">
        <v>35</v>
      </c>
      <c r="J61" s="10" t="s">
        <v>588</v>
      </c>
      <c r="K61" s="9"/>
      <c r="L61" s="10" t="s">
        <v>63</v>
      </c>
      <c r="M61" s="10" t="s">
        <v>75</v>
      </c>
      <c r="N61" s="10" t="s">
        <v>589</v>
      </c>
      <c r="O61" s="12"/>
      <c r="P61" s="10" t="s">
        <v>590</v>
      </c>
      <c r="Q61" s="10"/>
      <c r="R61" s="10" t="s">
        <v>591</v>
      </c>
      <c r="S61" s="9" t="s">
        <v>41</v>
      </c>
      <c r="T61" s="9" t="s">
        <v>42</v>
      </c>
      <c r="U61" s="9" t="s">
        <v>498</v>
      </c>
      <c r="V61" s="10" t="s">
        <v>581</v>
      </c>
      <c r="W61" s="14" t="s">
        <v>551</v>
      </c>
      <c r="X61" s="14" t="s">
        <v>552</v>
      </c>
      <c r="Y61" s="14" t="s">
        <v>553</v>
      </c>
      <c r="Z61" s="14" t="s">
        <v>553</v>
      </c>
      <c r="AA61" s="14" t="s">
        <v>592</v>
      </c>
      <c r="AB61" s="13"/>
      <c r="AC61" s="14" t="s">
        <v>593</v>
      </c>
      <c r="AD61" s="13"/>
      <c r="AE61" s="13"/>
    </row>
    <row r="62">
      <c r="A62" s="9" t="s">
        <v>27</v>
      </c>
      <c r="B62" s="9" t="s">
        <v>490</v>
      </c>
      <c r="C62" s="10" t="s">
        <v>594</v>
      </c>
      <c r="D62" s="23" t="s">
        <v>595</v>
      </c>
      <c r="E62" s="10" t="s">
        <v>31</v>
      </c>
      <c r="F62" s="10" t="s">
        <v>32</v>
      </c>
      <c r="G62" s="10" t="s">
        <v>50</v>
      </c>
      <c r="H62" s="10"/>
      <c r="I62" s="10"/>
      <c r="J62" s="10" t="s">
        <v>596</v>
      </c>
      <c r="K62" s="9"/>
      <c r="L62" s="10" t="s">
        <v>84</v>
      </c>
      <c r="M62" s="10" t="s">
        <v>75</v>
      </c>
      <c r="N62" s="10" t="s">
        <v>597</v>
      </c>
      <c r="O62" s="12"/>
      <c r="P62" s="10" t="s">
        <v>598</v>
      </c>
      <c r="Q62" s="10" t="s">
        <v>333</v>
      </c>
      <c r="R62" s="10" t="s">
        <v>599</v>
      </c>
      <c r="S62" s="9" t="s">
        <v>41</v>
      </c>
      <c r="T62" s="9" t="s">
        <v>42</v>
      </c>
      <c r="U62" s="9" t="s">
        <v>498</v>
      </c>
      <c r="V62" s="10" t="s">
        <v>550</v>
      </c>
      <c r="W62" s="14" t="s">
        <v>551</v>
      </c>
      <c r="X62" s="14" t="s">
        <v>552</v>
      </c>
      <c r="Y62" s="14" t="s">
        <v>553</v>
      </c>
      <c r="Z62" s="14" t="s">
        <v>553</v>
      </c>
      <c r="AA62" s="14" t="s">
        <v>592</v>
      </c>
      <c r="AB62" s="13"/>
      <c r="AC62" s="14" t="s">
        <v>600</v>
      </c>
      <c r="AD62" s="13"/>
      <c r="AE62" s="13"/>
    </row>
    <row r="63">
      <c r="A63" s="9" t="s">
        <v>27</v>
      </c>
      <c r="B63" s="9" t="s">
        <v>490</v>
      </c>
      <c r="C63" s="10" t="s">
        <v>601</v>
      </c>
      <c r="D63" s="23" t="s">
        <v>602</v>
      </c>
      <c r="E63" s="10" t="s">
        <v>31</v>
      </c>
      <c r="F63" s="10" t="s">
        <v>32</v>
      </c>
      <c r="G63" s="10" t="s">
        <v>50</v>
      </c>
      <c r="H63" s="10"/>
      <c r="I63" s="10"/>
      <c r="J63" s="10" t="s">
        <v>603</v>
      </c>
      <c r="K63" s="9"/>
      <c r="L63" s="10" t="s">
        <v>38</v>
      </c>
      <c r="M63" s="10" t="s">
        <v>36</v>
      </c>
      <c r="N63" s="10" t="s">
        <v>569</v>
      </c>
      <c r="O63" s="12"/>
      <c r="P63" s="10" t="s">
        <v>604</v>
      </c>
      <c r="Q63" s="10" t="s">
        <v>605</v>
      </c>
      <c r="R63" s="10" t="s">
        <v>606</v>
      </c>
      <c r="S63" s="9" t="s">
        <v>41</v>
      </c>
      <c r="T63" s="9" t="s">
        <v>42</v>
      </c>
      <c r="U63" s="9" t="s">
        <v>498</v>
      </c>
      <c r="V63" s="10" t="s">
        <v>581</v>
      </c>
      <c r="W63" s="14" t="s">
        <v>45</v>
      </c>
      <c r="X63" s="14" t="s">
        <v>46</v>
      </c>
      <c r="Y63" s="14" t="s">
        <v>592</v>
      </c>
      <c r="Z63" s="14" t="s">
        <v>592</v>
      </c>
      <c r="AA63" s="14" t="s">
        <v>592</v>
      </c>
      <c r="AB63" s="13"/>
      <c r="AC63" s="14" t="s">
        <v>607</v>
      </c>
      <c r="AD63" s="13"/>
      <c r="AE63" s="13"/>
    </row>
    <row r="64">
      <c r="A64" s="9" t="s">
        <v>27</v>
      </c>
      <c r="B64" s="9" t="s">
        <v>490</v>
      </c>
      <c r="C64" s="10" t="s">
        <v>608</v>
      </c>
      <c r="D64" s="23" t="s">
        <v>609</v>
      </c>
      <c r="E64" s="10" t="s">
        <v>31</v>
      </c>
      <c r="F64" s="10" t="s">
        <v>32</v>
      </c>
      <c r="G64" s="10" t="s">
        <v>413</v>
      </c>
      <c r="H64" s="10" t="s">
        <v>34</v>
      </c>
      <c r="I64" s="10" t="s">
        <v>35</v>
      </c>
      <c r="J64" s="10" t="s">
        <v>610</v>
      </c>
      <c r="K64" s="9"/>
      <c r="L64" s="10" t="s">
        <v>37</v>
      </c>
      <c r="M64" s="10" t="s">
        <v>38</v>
      </c>
      <c r="N64" s="10" t="s">
        <v>513</v>
      </c>
      <c r="O64" s="12"/>
      <c r="P64" s="10" t="s">
        <v>611</v>
      </c>
      <c r="Q64" s="10" t="s">
        <v>612</v>
      </c>
      <c r="R64" s="10" t="s">
        <v>613</v>
      </c>
      <c r="S64" s="9" t="s">
        <v>41</v>
      </c>
      <c r="T64" s="9" t="s">
        <v>42</v>
      </c>
      <c r="U64" s="9" t="s">
        <v>498</v>
      </c>
      <c r="V64" s="10" t="s">
        <v>581</v>
      </c>
      <c r="W64" s="14" t="s">
        <v>45</v>
      </c>
      <c r="X64" s="14" t="s">
        <v>46</v>
      </c>
      <c r="Y64" s="14" t="s">
        <v>592</v>
      </c>
      <c r="Z64" s="14" t="s">
        <v>592</v>
      </c>
      <c r="AA64" s="14" t="s">
        <v>592</v>
      </c>
      <c r="AB64" s="13"/>
      <c r="AC64" s="14" t="s">
        <v>614</v>
      </c>
      <c r="AD64" s="13"/>
      <c r="AE64" s="13"/>
    </row>
    <row r="65">
      <c r="A65" s="9" t="s">
        <v>27</v>
      </c>
      <c r="B65" s="9" t="s">
        <v>615</v>
      </c>
      <c r="C65" s="10" t="s">
        <v>616</v>
      </c>
      <c r="D65" s="10" t="s">
        <v>617</v>
      </c>
      <c r="E65" s="10" t="s">
        <v>31</v>
      </c>
      <c r="F65" s="10" t="s">
        <v>32</v>
      </c>
      <c r="G65" s="10" t="s">
        <v>50</v>
      </c>
      <c r="H65" s="10"/>
      <c r="I65" s="10"/>
      <c r="J65" s="10" t="s">
        <v>618</v>
      </c>
      <c r="K65" s="9"/>
      <c r="L65" s="10" t="s">
        <v>130</v>
      </c>
      <c r="M65" s="10" t="s">
        <v>131</v>
      </c>
      <c r="N65" s="9"/>
      <c r="O65" s="12"/>
      <c r="P65" s="10" t="s">
        <v>619</v>
      </c>
      <c r="Q65" s="24" t="s">
        <v>620</v>
      </c>
      <c r="R65" s="24" t="s">
        <v>621</v>
      </c>
      <c r="S65" s="9" t="s">
        <v>41</v>
      </c>
      <c r="T65" s="9" t="s">
        <v>42</v>
      </c>
      <c r="U65" s="9" t="s">
        <v>622</v>
      </c>
      <c r="V65" s="10" t="s">
        <v>581</v>
      </c>
      <c r="W65" s="14" t="s">
        <v>45</v>
      </c>
      <c r="X65" s="14" t="s">
        <v>46</v>
      </c>
      <c r="Y65" s="14" t="s">
        <v>592</v>
      </c>
      <c r="Z65" s="14" t="s">
        <v>623</v>
      </c>
      <c r="AA65" s="14" t="s">
        <v>623</v>
      </c>
      <c r="AB65" s="13"/>
      <c r="AC65" s="14" t="s">
        <v>624</v>
      </c>
      <c r="AD65" s="13"/>
      <c r="AE65" s="13"/>
    </row>
    <row r="66">
      <c r="A66" s="9" t="s">
        <v>27</v>
      </c>
      <c r="B66" s="9" t="s">
        <v>615</v>
      </c>
      <c r="C66" s="10" t="s">
        <v>625</v>
      </c>
      <c r="D66" s="10" t="s">
        <v>626</v>
      </c>
      <c r="E66" s="10" t="s">
        <v>31</v>
      </c>
      <c r="F66" s="10" t="s">
        <v>32</v>
      </c>
      <c r="G66" s="10" t="s">
        <v>50</v>
      </c>
      <c r="H66" s="10"/>
      <c r="I66" s="10"/>
      <c r="J66" s="10" t="s">
        <v>627</v>
      </c>
      <c r="K66" s="9"/>
      <c r="L66" s="10" t="s">
        <v>63</v>
      </c>
      <c r="M66" s="10" t="s">
        <v>37</v>
      </c>
      <c r="N66" s="10" t="s">
        <v>513</v>
      </c>
      <c r="O66" s="12"/>
      <c r="P66" s="10" t="s">
        <v>628</v>
      </c>
      <c r="Q66" s="10" t="s">
        <v>629</v>
      </c>
      <c r="R66" s="10" t="s">
        <v>630</v>
      </c>
      <c r="S66" s="9" t="s">
        <v>41</v>
      </c>
      <c r="T66" s="9" t="s">
        <v>42</v>
      </c>
      <c r="U66" s="9" t="s">
        <v>622</v>
      </c>
      <c r="V66" s="10" t="s">
        <v>631</v>
      </c>
      <c r="W66" s="14" t="s">
        <v>45</v>
      </c>
      <c r="X66" s="14" t="s">
        <v>46</v>
      </c>
      <c r="Y66" s="14" t="s">
        <v>632</v>
      </c>
      <c r="Z66" s="14" t="s">
        <v>632</v>
      </c>
      <c r="AA66" s="14" t="s">
        <v>632</v>
      </c>
      <c r="AB66" s="13"/>
      <c r="AC66" s="14" t="s">
        <v>633</v>
      </c>
      <c r="AD66" s="13"/>
      <c r="AE66" s="13"/>
    </row>
    <row r="67">
      <c r="A67" s="9" t="s">
        <v>27</v>
      </c>
      <c r="B67" s="9" t="s">
        <v>615</v>
      </c>
      <c r="C67" s="10" t="s">
        <v>634</v>
      </c>
      <c r="D67" s="10" t="s">
        <v>635</v>
      </c>
      <c r="E67" s="10" t="s">
        <v>31</v>
      </c>
      <c r="F67" s="10" t="s">
        <v>32</v>
      </c>
      <c r="G67" s="10" t="s">
        <v>50</v>
      </c>
      <c r="H67" s="10"/>
      <c r="I67" s="10"/>
      <c r="J67" s="10" t="s">
        <v>636</v>
      </c>
      <c r="K67" s="9"/>
      <c r="L67" s="10" t="s">
        <v>577</v>
      </c>
      <c r="M67" s="10" t="s">
        <v>63</v>
      </c>
      <c r="N67" s="10" t="s">
        <v>513</v>
      </c>
      <c r="O67" s="12"/>
      <c r="P67" s="10" t="s">
        <v>637</v>
      </c>
      <c r="Q67" s="10" t="s">
        <v>638</v>
      </c>
      <c r="R67" s="10" t="s">
        <v>639</v>
      </c>
      <c r="S67" s="9" t="s">
        <v>41</v>
      </c>
      <c r="T67" s="9" t="s">
        <v>42</v>
      </c>
      <c r="U67" s="9" t="s">
        <v>622</v>
      </c>
      <c r="V67" s="10" t="s">
        <v>631</v>
      </c>
      <c r="W67" s="14" t="s">
        <v>45</v>
      </c>
      <c r="X67" s="14" t="s">
        <v>46</v>
      </c>
      <c r="Y67" s="14" t="s">
        <v>640</v>
      </c>
      <c r="Z67" s="14" t="s">
        <v>640</v>
      </c>
      <c r="AA67" s="14" t="s">
        <v>640</v>
      </c>
      <c r="AB67" s="13"/>
      <c r="AC67" s="14" t="s">
        <v>641</v>
      </c>
      <c r="AD67" s="13"/>
      <c r="AE67" s="13"/>
    </row>
    <row r="68">
      <c r="A68" s="9" t="s">
        <v>27</v>
      </c>
      <c r="B68" s="9" t="s">
        <v>615</v>
      </c>
      <c r="C68" s="10" t="s">
        <v>642</v>
      </c>
      <c r="D68" s="10" t="s">
        <v>643</v>
      </c>
      <c r="E68" s="10" t="s">
        <v>31</v>
      </c>
      <c r="F68" s="10" t="s">
        <v>32</v>
      </c>
      <c r="G68" s="10" t="s">
        <v>50</v>
      </c>
      <c r="H68" s="10"/>
      <c r="I68" s="10"/>
      <c r="J68" s="10" t="s">
        <v>644</v>
      </c>
      <c r="K68" s="9"/>
      <c r="L68" s="10" t="s">
        <v>297</v>
      </c>
      <c r="M68" s="10" t="s">
        <v>226</v>
      </c>
      <c r="N68" s="10" t="s">
        <v>513</v>
      </c>
      <c r="O68" s="14" t="s">
        <v>645</v>
      </c>
      <c r="P68" s="25" t="s">
        <v>646</v>
      </c>
      <c r="Q68" s="10" t="s">
        <v>647</v>
      </c>
      <c r="R68" s="10" t="s">
        <v>648</v>
      </c>
      <c r="S68" s="9" t="s">
        <v>41</v>
      </c>
      <c r="T68" s="9" t="s">
        <v>42</v>
      </c>
      <c r="U68" s="9" t="s">
        <v>622</v>
      </c>
      <c r="V68" s="10" t="s">
        <v>631</v>
      </c>
      <c r="W68" s="14" t="s">
        <v>45</v>
      </c>
      <c r="X68" s="14" t="s">
        <v>46</v>
      </c>
      <c r="Y68" s="14" t="s">
        <v>640</v>
      </c>
      <c r="Z68" s="14" t="s">
        <v>640</v>
      </c>
      <c r="AA68" s="14" t="s">
        <v>640</v>
      </c>
      <c r="AB68" s="13"/>
      <c r="AC68" s="14" t="s">
        <v>649</v>
      </c>
      <c r="AD68" s="13"/>
      <c r="AE68" s="13"/>
    </row>
    <row r="69">
      <c r="A69" s="9" t="s">
        <v>27</v>
      </c>
      <c r="B69" s="9" t="s">
        <v>615</v>
      </c>
      <c r="C69" s="10" t="s">
        <v>650</v>
      </c>
      <c r="D69" s="10" t="s">
        <v>651</v>
      </c>
      <c r="E69" s="10" t="s">
        <v>31</v>
      </c>
      <c r="F69" s="10" t="s">
        <v>32</v>
      </c>
      <c r="G69" s="10" t="s">
        <v>50</v>
      </c>
      <c r="H69" s="10"/>
      <c r="I69" s="10"/>
      <c r="J69" s="10" t="s">
        <v>652</v>
      </c>
      <c r="K69" s="9"/>
      <c r="L69" s="10" t="s">
        <v>38</v>
      </c>
      <c r="M69" s="10" t="s">
        <v>36</v>
      </c>
      <c r="N69" s="10" t="s">
        <v>653</v>
      </c>
      <c r="O69" s="14" t="s">
        <v>654</v>
      </c>
      <c r="P69" s="9"/>
      <c r="Q69" s="10" t="s">
        <v>189</v>
      </c>
      <c r="R69" s="10" t="s">
        <v>655</v>
      </c>
      <c r="S69" s="9" t="s">
        <v>41</v>
      </c>
      <c r="T69" s="9" t="s">
        <v>42</v>
      </c>
      <c r="U69" s="9" t="s">
        <v>622</v>
      </c>
      <c r="V69" s="10" t="s">
        <v>631</v>
      </c>
      <c r="W69" s="14" t="s">
        <v>45</v>
      </c>
      <c r="X69" s="14" t="s">
        <v>46</v>
      </c>
      <c r="Y69" s="14" t="s">
        <v>656</v>
      </c>
      <c r="Z69" s="14" t="s">
        <v>656</v>
      </c>
      <c r="AA69" s="14" t="s">
        <v>656</v>
      </c>
      <c r="AB69" s="13"/>
      <c r="AC69" s="14" t="s">
        <v>657</v>
      </c>
      <c r="AD69" s="13"/>
      <c r="AE69" s="13"/>
    </row>
    <row r="70">
      <c r="A70" s="9" t="s">
        <v>27</v>
      </c>
      <c r="B70" s="9" t="s">
        <v>615</v>
      </c>
      <c r="C70" s="10" t="s">
        <v>658</v>
      </c>
      <c r="D70" s="10" t="s">
        <v>659</v>
      </c>
      <c r="E70" s="10" t="s">
        <v>31</v>
      </c>
      <c r="F70" s="10" t="s">
        <v>32</v>
      </c>
      <c r="G70" s="10" t="s">
        <v>50</v>
      </c>
      <c r="H70" s="10"/>
      <c r="I70" s="10"/>
      <c r="J70" s="10" t="s">
        <v>660</v>
      </c>
      <c r="K70" s="9"/>
      <c r="L70" s="10" t="s">
        <v>226</v>
      </c>
      <c r="M70" s="10" t="s">
        <v>63</v>
      </c>
      <c r="N70" s="10" t="s">
        <v>513</v>
      </c>
      <c r="O70" s="12"/>
      <c r="P70" s="10" t="s">
        <v>661</v>
      </c>
      <c r="Q70" s="10" t="s">
        <v>662</v>
      </c>
      <c r="R70" s="10" t="s">
        <v>663</v>
      </c>
      <c r="S70" s="9" t="s">
        <v>41</v>
      </c>
      <c r="T70" s="9" t="s">
        <v>42</v>
      </c>
      <c r="U70" s="9" t="s">
        <v>622</v>
      </c>
      <c r="V70" s="10" t="s">
        <v>631</v>
      </c>
      <c r="W70" s="14" t="s">
        <v>45</v>
      </c>
      <c r="X70" s="14" t="s">
        <v>46</v>
      </c>
      <c r="Y70" s="14" t="s">
        <v>656</v>
      </c>
      <c r="Z70" s="14" t="s">
        <v>656</v>
      </c>
      <c r="AA70" s="14" t="s">
        <v>656</v>
      </c>
      <c r="AB70" s="13"/>
      <c r="AC70" s="14" t="s">
        <v>664</v>
      </c>
      <c r="AD70" s="13"/>
      <c r="AE70" s="13"/>
    </row>
    <row r="71">
      <c r="A71" s="9" t="s">
        <v>27</v>
      </c>
      <c r="B71" s="9" t="s">
        <v>615</v>
      </c>
      <c r="C71" s="10" t="s">
        <v>665</v>
      </c>
      <c r="D71" s="10" t="s">
        <v>666</v>
      </c>
      <c r="E71" s="10" t="s">
        <v>31</v>
      </c>
      <c r="F71" s="10" t="s">
        <v>32</v>
      </c>
      <c r="G71" s="10" t="s">
        <v>50</v>
      </c>
      <c r="H71" s="10"/>
      <c r="I71" s="10"/>
      <c r="J71" s="10" t="s">
        <v>667</v>
      </c>
      <c r="K71" s="9"/>
      <c r="L71" s="10" t="s">
        <v>161</v>
      </c>
      <c r="M71" s="10" t="s">
        <v>62</v>
      </c>
      <c r="N71" s="10" t="s">
        <v>513</v>
      </c>
      <c r="O71" s="12"/>
      <c r="P71" s="10" t="s">
        <v>668</v>
      </c>
      <c r="Q71" s="10" t="s">
        <v>669</v>
      </c>
      <c r="R71" s="10" t="s">
        <v>670</v>
      </c>
      <c r="S71" s="9" t="s">
        <v>41</v>
      </c>
      <c r="T71" s="9" t="s">
        <v>42</v>
      </c>
      <c r="U71" s="9" t="s">
        <v>622</v>
      </c>
      <c r="V71" s="10" t="s">
        <v>671</v>
      </c>
      <c r="W71" s="14" t="s">
        <v>45</v>
      </c>
      <c r="X71" s="14" t="s">
        <v>46</v>
      </c>
      <c r="Y71" s="14" t="s">
        <v>672</v>
      </c>
      <c r="Z71" s="14" t="s">
        <v>672</v>
      </c>
      <c r="AA71" s="14" t="s">
        <v>672</v>
      </c>
      <c r="AB71" s="13"/>
      <c r="AC71" s="14" t="s">
        <v>673</v>
      </c>
      <c r="AD71" s="13"/>
      <c r="AE71" s="13"/>
    </row>
    <row r="72">
      <c r="A72" s="9" t="s">
        <v>27</v>
      </c>
      <c r="B72" s="9" t="s">
        <v>615</v>
      </c>
      <c r="C72" s="10" t="s">
        <v>674</v>
      </c>
      <c r="D72" s="10" t="s">
        <v>675</v>
      </c>
      <c r="E72" s="10" t="s">
        <v>31</v>
      </c>
      <c r="F72" s="10" t="s">
        <v>32</v>
      </c>
      <c r="G72" s="10" t="s">
        <v>50</v>
      </c>
      <c r="H72" s="10"/>
      <c r="I72" s="10"/>
      <c r="J72" s="10" t="s">
        <v>676</v>
      </c>
      <c r="K72" s="9"/>
      <c r="L72" s="10" t="s">
        <v>226</v>
      </c>
      <c r="M72" s="10" t="s">
        <v>74</v>
      </c>
      <c r="N72" s="10" t="s">
        <v>677</v>
      </c>
      <c r="O72" s="12"/>
      <c r="P72" s="10" t="s">
        <v>271</v>
      </c>
      <c r="Q72" s="10"/>
      <c r="R72" s="10" t="s">
        <v>678</v>
      </c>
      <c r="S72" s="9" t="s">
        <v>41</v>
      </c>
      <c r="T72" s="9" t="s">
        <v>42</v>
      </c>
      <c r="U72" s="9" t="s">
        <v>622</v>
      </c>
      <c r="V72" s="10" t="s">
        <v>631</v>
      </c>
      <c r="W72" s="14" t="s">
        <v>45</v>
      </c>
      <c r="X72" s="14" t="s">
        <v>46</v>
      </c>
      <c r="Y72" s="14" t="s">
        <v>672</v>
      </c>
      <c r="Z72" s="14" t="s">
        <v>672</v>
      </c>
      <c r="AA72" s="14" t="s">
        <v>672</v>
      </c>
      <c r="AB72" s="13"/>
      <c r="AC72" s="14" t="s">
        <v>679</v>
      </c>
      <c r="AD72" s="13"/>
      <c r="AE72" s="13"/>
    </row>
    <row r="73">
      <c r="A73" s="10" t="s">
        <v>27</v>
      </c>
      <c r="B73" s="10" t="s">
        <v>680</v>
      </c>
      <c r="C73" s="10" t="s">
        <v>681</v>
      </c>
      <c r="D73" s="10" t="s">
        <v>682</v>
      </c>
      <c r="E73" s="10" t="s">
        <v>31</v>
      </c>
      <c r="F73" s="10" t="s">
        <v>32</v>
      </c>
      <c r="G73" s="10" t="s">
        <v>50</v>
      </c>
      <c r="H73" s="10"/>
      <c r="I73" s="10"/>
      <c r="J73" s="10" t="s">
        <v>683</v>
      </c>
      <c r="K73" s="9"/>
      <c r="L73" s="10" t="s">
        <v>75</v>
      </c>
      <c r="M73" s="10" t="s">
        <v>38</v>
      </c>
      <c r="N73" s="10" t="s">
        <v>513</v>
      </c>
      <c r="O73" s="12"/>
      <c r="P73" s="10" t="s">
        <v>271</v>
      </c>
      <c r="Q73" s="10"/>
      <c r="R73" s="10" t="s">
        <v>684</v>
      </c>
      <c r="S73" s="9" t="s">
        <v>41</v>
      </c>
      <c r="T73" s="9" t="s">
        <v>42</v>
      </c>
      <c r="U73" s="10" t="s">
        <v>631</v>
      </c>
      <c r="V73" s="10" t="s">
        <v>685</v>
      </c>
      <c r="W73" s="14" t="s">
        <v>45</v>
      </c>
      <c r="X73" s="14" t="s">
        <v>46</v>
      </c>
      <c r="Y73" s="14" t="s">
        <v>686</v>
      </c>
      <c r="Z73" s="14" t="s">
        <v>686</v>
      </c>
      <c r="AA73" s="14" t="s">
        <v>686</v>
      </c>
      <c r="AB73" s="13"/>
      <c r="AC73" s="14" t="s">
        <v>687</v>
      </c>
      <c r="AD73" s="13"/>
      <c r="AE73" s="13"/>
    </row>
    <row r="74">
      <c r="A74" s="10" t="s">
        <v>27</v>
      </c>
      <c r="B74" s="10" t="s">
        <v>680</v>
      </c>
      <c r="C74" s="10" t="s">
        <v>688</v>
      </c>
      <c r="D74" s="10" t="s">
        <v>689</v>
      </c>
      <c r="E74" s="10" t="s">
        <v>31</v>
      </c>
      <c r="F74" s="10" t="s">
        <v>32</v>
      </c>
      <c r="G74" s="10" t="s">
        <v>50</v>
      </c>
      <c r="H74" s="10"/>
      <c r="I74" s="10"/>
      <c r="J74" s="10" t="s">
        <v>690</v>
      </c>
      <c r="K74" s="9"/>
      <c r="L74" s="10" t="s">
        <v>75</v>
      </c>
      <c r="M74" s="10" t="s">
        <v>38</v>
      </c>
      <c r="N74" s="9"/>
      <c r="O74" s="12"/>
      <c r="P74" s="10" t="s">
        <v>691</v>
      </c>
      <c r="Q74" s="10" t="s">
        <v>692</v>
      </c>
      <c r="R74" s="10" t="s">
        <v>693</v>
      </c>
      <c r="S74" s="10" t="s">
        <v>41</v>
      </c>
      <c r="T74" s="10" t="s">
        <v>42</v>
      </c>
      <c r="U74" s="10" t="s">
        <v>671</v>
      </c>
      <c r="V74" s="10" t="s">
        <v>685</v>
      </c>
      <c r="W74" s="14" t="s">
        <v>45</v>
      </c>
      <c r="X74" s="14" t="s">
        <v>46</v>
      </c>
      <c r="Y74" s="14" t="s">
        <v>686</v>
      </c>
      <c r="Z74" s="14" t="s">
        <v>686</v>
      </c>
      <c r="AA74" s="14" t="s">
        <v>686</v>
      </c>
      <c r="AB74" s="13"/>
      <c r="AC74" s="14" t="s">
        <v>694</v>
      </c>
      <c r="AD74" s="13"/>
      <c r="AE74" s="13"/>
    </row>
    <row r="75">
      <c r="A75" s="10" t="s">
        <v>27</v>
      </c>
      <c r="B75" s="10" t="s">
        <v>680</v>
      </c>
      <c r="C75" s="10" t="s">
        <v>695</v>
      </c>
      <c r="D75" s="10" t="s">
        <v>696</v>
      </c>
      <c r="E75" s="10" t="s">
        <v>31</v>
      </c>
      <c r="F75" s="10" t="s">
        <v>32</v>
      </c>
      <c r="G75" s="10" t="s">
        <v>50</v>
      </c>
      <c r="H75" s="10"/>
      <c r="I75" s="10"/>
      <c r="J75" s="10" t="s">
        <v>697</v>
      </c>
      <c r="K75" s="9"/>
      <c r="L75" s="10" t="s">
        <v>226</v>
      </c>
      <c r="M75" s="10" t="s">
        <v>74</v>
      </c>
      <c r="N75" s="10" t="s">
        <v>698</v>
      </c>
      <c r="O75" s="12"/>
      <c r="P75" s="10" t="s">
        <v>699</v>
      </c>
      <c r="Q75" s="10"/>
      <c r="R75" s="10" t="s">
        <v>700</v>
      </c>
      <c r="S75" s="9" t="s">
        <v>41</v>
      </c>
      <c r="T75" s="9" t="s">
        <v>42</v>
      </c>
      <c r="U75" s="10" t="s">
        <v>631</v>
      </c>
      <c r="V75" s="10" t="s">
        <v>685</v>
      </c>
      <c r="W75" s="14" t="s">
        <v>45</v>
      </c>
      <c r="X75" s="14" t="s">
        <v>46</v>
      </c>
      <c r="Y75" s="14" t="s">
        <v>686</v>
      </c>
      <c r="Z75" s="14" t="s">
        <v>686</v>
      </c>
      <c r="AA75" s="14" t="s">
        <v>686</v>
      </c>
      <c r="AB75" s="13"/>
      <c r="AC75" s="14" t="s">
        <v>701</v>
      </c>
      <c r="AD75" s="13"/>
      <c r="AE75" s="13"/>
    </row>
    <row r="76">
      <c r="A76" s="10" t="s">
        <v>27</v>
      </c>
      <c r="B76" s="10" t="s">
        <v>680</v>
      </c>
      <c r="C76" s="10" t="s">
        <v>702</v>
      </c>
      <c r="D76" s="10" t="s">
        <v>703</v>
      </c>
      <c r="E76" s="10" t="s">
        <v>31</v>
      </c>
      <c r="F76" s="10" t="s">
        <v>32</v>
      </c>
      <c r="G76" s="10" t="s">
        <v>50</v>
      </c>
      <c r="H76" s="10"/>
      <c r="I76" s="10"/>
      <c r="J76" s="10" t="s">
        <v>704</v>
      </c>
      <c r="K76" s="9"/>
      <c r="L76" s="10" t="s">
        <v>84</v>
      </c>
      <c r="M76" s="10" t="s">
        <v>75</v>
      </c>
      <c r="N76" s="10" t="s">
        <v>698</v>
      </c>
      <c r="O76" s="12"/>
      <c r="P76" s="10" t="s">
        <v>705</v>
      </c>
      <c r="Q76" s="10"/>
      <c r="R76" s="10" t="s">
        <v>706</v>
      </c>
      <c r="S76" s="9" t="s">
        <v>41</v>
      </c>
      <c r="T76" s="9" t="s">
        <v>42</v>
      </c>
      <c r="U76" s="10" t="s">
        <v>631</v>
      </c>
      <c r="V76" s="10" t="s">
        <v>685</v>
      </c>
      <c r="W76" s="14" t="s">
        <v>45</v>
      </c>
      <c r="X76" s="14" t="s">
        <v>46</v>
      </c>
      <c r="Y76" s="14" t="s">
        <v>686</v>
      </c>
      <c r="Z76" s="14" t="s">
        <v>686</v>
      </c>
      <c r="AA76" s="14" t="s">
        <v>686</v>
      </c>
      <c r="AB76" s="13"/>
      <c r="AC76" s="14" t="s">
        <v>707</v>
      </c>
      <c r="AD76" s="13"/>
      <c r="AE76" s="13"/>
    </row>
    <row r="77">
      <c r="A77" s="10" t="s">
        <v>27</v>
      </c>
      <c r="B77" s="10" t="s">
        <v>680</v>
      </c>
      <c r="C77" s="10" t="s">
        <v>708</v>
      </c>
      <c r="D77" s="10" t="s">
        <v>709</v>
      </c>
      <c r="E77" s="10" t="s">
        <v>31</v>
      </c>
      <c r="F77" s="10" t="s">
        <v>32</v>
      </c>
      <c r="G77" s="10" t="s">
        <v>50</v>
      </c>
      <c r="H77" s="10"/>
      <c r="I77" s="10"/>
      <c r="J77" s="10" t="s">
        <v>710</v>
      </c>
      <c r="K77" s="9"/>
      <c r="L77" s="10" t="s">
        <v>711</v>
      </c>
      <c r="M77" s="10" t="s">
        <v>367</v>
      </c>
      <c r="N77" s="10" t="s">
        <v>712</v>
      </c>
      <c r="O77" s="12"/>
      <c r="P77" s="10" t="s">
        <v>713</v>
      </c>
      <c r="Q77" s="10"/>
      <c r="R77" s="10" t="s">
        <v>714</v>
      </c>
      <c r="S77" s="9" t="s">
        <v>41</v>
      </c>
      <c r="T77" s="9" t="s">
        <v>42</v>
      </c>
      <c r="U77" s="10" t="s">
        <v>631</v>
      </c>
      <c r="V77" s="10" t="s">
        <v>685</v>
      </c>
      <c r="W77" s="14" t="s">
        <v>45</v>
      </c>
      <c r="X77" s="14" t="s">
        <v>46</v>
      </c>
      <c r="Y77" s="14" t="s">
        <v>715</v>
      </c>
      <c r="Z77" s="14" t="s">
        <v>715</v>
      </c>
      <c r="AA77" s="14" t="s">
        <v>715</v>
      </c>
      <c r="AB77" s="13"/>
      <c r="AC77" s="14" t="s">
        <v>716</v>
      </c>
      <c r="AD77" s="13"/>
      <c r="AE77" s="13"/>
    </row>
    <row r="78">
      <c r="A78" s="10" t="s">
        <v>27</v>
      </c>
      <c r="B78" s="10" t="s">
        <v>680</v>
      </c>
      <c r="C78" s="10" t="s">
        <v>717</v>
      </c>
      <c r="D78" s="10" t="s">
        <v>718</v>
      </c>
      <c r="E78" s="10" t="s">
        <v>31</v>
      </c>
      <c r="F78" s="10" t="s">
        <v>32</v>
      </c>
      <c r="G78" s="9"/>
      <c r="H78" s="10"/>
      <c r="I78" s="10"/>
      <c r="J78" s="10" t="s">
        <v>719</v>
      </c>
      <c r="K78" s="9"/>
      <c r="L78" s="10" t="s">
        <v>36</v>
      </c>
      <c r="M78" s="10" t="s">
        <v>36</v>
      </c>
      <c r="N78" s="10" t="s">
        <v>720</v>
      </c>
      <c r="O78" s="12"/>
      <c r="P78" s="9"/>
      <c r="Q78" s="10"/>
      <c r="R78" s="10" t="s">
        <v>721</v>
      </c>
      <c r="S78" s="9" t="s">
        <v>41</v>
      </c>
      <c r="T78" s="9" t="s">
        <v>42</v>
      </c>
      <c r="U78" s="10" t="s">
        <v>631</v>
      </c>
      <c r="V78" s="10" t="s">
        <v>685</v>
      </c>
      <c r="W78" s="14" t="s">
        <v>45</v>
      </c>
      <c r="X78" s="14" t="s">
        <v>46</v>
      </c>
      <c r="Y78" s="14" t="s">
        <v>715</v>
      </c>
      <c r="Z78" s="14" t="s">
        <v>715</v>
      </c>
      <c r="AA78" s="14" t="s">
        <v>715</v>
      </c>
      <c r="AB78" s="13"/>
      <c r="AC78" s="14" t="s">
        <v>722</v>
      </c>
      <c r="AD78" s="13"/>
      <c r="AE78" s="13"/>
    </row>
    <row r="79">
      <c r="A79" s="10" t="s">
        <v>27</v>
      </c>
      <c r="B79" s="10" t="s">
        <v>680</v>
      </c>
      <c r="C79" s="10" t="s">
        <v>723</v>
      </c>
      <c r="D79" s="10" t="s">
        <v>724</v>
      </c>
      <c r="E79" s="10" t="s">
        <v>31</v>
      </c>
      <c r="F79" s="10" t="s">
        <v>386</v>
      </c>
      <c r="G79" s="10" t="s">
        <v>725</v>
      </c>
      <c r="H79" s="10"/>
      <c r="I79" s="10"/>
      <c r="J79" s="10" t="s">
        <v>726</v>
      </c>
      <c r="K79" s="9"/>
      <c r="L79" s="10" t="s">
        <v>63</v>
      </c>
      <c r="M79" s="10" t="s">
        <v>75</v>
      </c>
      <c r="N79" s="19" t="s">
        <v>727</v>
      </c>
      <c r="O79" s="12"/>
      <c r="P79" s="10" t="s">
        <v>728</v>
      </c>
      <c r="Q79" s="10" t="s">
        <v>729</v>
      </c>
      <c r="R79" s="10" t="s">
        <v>730</v>
      </c>
      <c r="S79" s="10" t="s">
        <v>41</v>
      </c>
      <c r="T79" s="10" t="s">
        <v>42</v>
      </c>
      <c r="U79" s="10" t="s">
        <v>631</v>
      </c>
      <c r="V79" s="10" t="s">
        <v>685</v>
      </c>
      <c r="W79" s="14" t="s">
        <v>45</v>
      </c>
      <c r="X79" s="14" t="s">
        <v>46</v>
      </c>
      <c r="Y79" s="14" t="s">
        <v>731</v>
      </c>
      <c r="Z79" s="14" t="s">
        <v>731</v>
      </c>
      <c r="AA79" s="14" t="s">
        <v>731</v>
      </c>
      <c r="AB79" s="13"/>
      <c r="AC79" s="14" t="s">
        <v>732</v>
      </c>
      <c r="AD79" s="13"/>
      <c r="AE79" s="13"/>
    </row>
    <row r="80">
      <c r="A80" s="10" t="s">
        <v>27</v>
      </c>
      <c r="B80" s="10" t="s">
        <v>680</v>
      </c>
      <c r="C80" s="10" t="s">
        <v>733</v>
      </c>
      <c r="D80" s="10" t="s">
        <v>734</v>
      </c>
      <c r="E80" s="10" t="s">
        <v>31</v>
      </c>
      <c r="F80" s="10" t="s">
        <v>32</v>
      </c>
      <c r="G80" s="10" t="s">
        <v>735</v>
      </c>
      <c r="H80" s="10" t="s">
        <v>736</v>
      </c>
      <c r="I80" s="10" t="s">
        <v>737</v>
      </c>
      <c r="J80" s="10" t="s">
        <v>738</v>
      </c>
      <c r="K80" s="9"/>
      <c r="L80" s="10" t="s">
        <v>739</v>
      </c>
      <c r="M80" s="10" t="s">
        <v>577</v>
      </c>
      <c r="N80" s="10" t="s">
        <v>740</v>
      </c>
      <c r="O80" s="12"/>
      <c r="P80" s="10" t="s">
        <v>741</v>
      </c>
      <c r="Q80" s="10" t="s">
        <v>742</v>
      </c>
      <c r="R80" s="10" t="s">
        <v>743</v>
      </c>
      <c r="S80" s="9" t="s">
        <v>41</v>
      </c>
      <c r="T80" s="9" t="s">
        <v>42</v>
      </c>
      <c r="U80" s="10" t="s">
        <v>631</v>
      </c>
      <c r="V80" s="10" t="s">
        <v>685</v>
      </c>
      <c r="W80" s="14" t="s">
        <v>45</v>
      </c>
      <c r="X80" s="14" t="s">
        <v>46</v>
      </c>
      <c r="Y80" s="14" t="s">
        <v>744</v>
      </c>
      <c r="Z80" s="14" t="s">
        <v>745</v>
      </c>
      <c r="AA80" s="14" t="s">
        <v>745</v>
      </c>
      <c r="AB80" s="13"/>
      <c r="AC80" s="14" t="s">
        <v>746</v>
      </c>
      <c r="AD80" s="13"/>
      <c r="AE80" s="13"/>
    </row>
    <row r="81">
      <c r="A81" s="10" t="s">
        <v>27</v>
      </c>
      <c r="B81" s="10" t="s">
        <v>680</v>
      </c>
      <c r="C81" s="10" t="s">
        <v>747</v>
      </c>
      <c r="D81" s="10" t="s">
        <v>748</v>
      </c>
      <c r="E81" s="10" t="s">
        <v>31</v>
      </c>
      <c r="F81" s="10" t="s">
        <v>32</v>
      </c>
      <c r="G81" s="10" t="s">
        <v>749</v>
      </c>
      <c r="H81" s="10" t="s">
        <v>750</v>
      </c>
      <c r="I81" s="10" t="s">
        <v>737</v>
      </c>
      <c r="J81" s="10" t="s">
        <v>751</v>
      </c>
      <c r="K81" s="9"/>
      <c r="L81" s="10" t="s">
        <v>577</v>
      </c>
      <c r="M81" s="10" t="s">
        <v>63</v>
      </c>
      <c r="N81" s="10" t="s">
        <v>752</v>
      </c>
      <c r="O81" s="12"/>
      <c r="P81" s="10" t="s">
        <v>753</v>
      </c>
      <c r="Q81" s="10" t="s">
        <v>638</v>
      </c>
      <c r="R81" s="10" t="s">
        <v>754</v>
      </c>
      <c r="S81" s="9" t="s">
        <v>41</v>
      </c>
      <c r="T81" s="9" t="s">
        <v>42</v>
      </c>
      <c r="U81" s="10" t="s">
        <v>631</v>
      </c>
      <c r="V81" s="10" t="s">
        <v>685</v>
      </c>
      <c r="W81" s="14" t="s">
        <v>45</v>
      </c>
      <c r="X81" s="14" t="s">
        <v>46</v>
      </c>
      <c r="Y81" s="14" t="s">
        <v>755</v>
      </c>
      <c r="Z81" s="14" t="s">
        <v>755</v>
      </c>
      <c r="AA81" s="14" t="s">
        <v>755</v>
      </c>
      <c r="AB81" s="13"/>
      <c r="AC81" s="14" t="s">
        <v>756</v>
      </c>
      <c r="AD81" s="13"/>
      <c r="AE81" s="13"/>
    </row>
    <row r="82">
      <c r="A82" s="10" t="s">
        <v>27</v>
      </c>
      <c r="B82" s="10" t="s">
        <v>680</v>
      </c>
      <c r="C82" s="10" t="s">
        <v>757</v>
      </c>
      <c r="D82" s="23" t="s">
        <v>758</v>
      </c>
      <c r="E82" s="10" t="s">
        <v>31</v>
      </c>
      <c r="F82" s="10" t="s">
        <v>386</v>
      </c>
      <c r="G82" s="10" t="s">
        <v>725</v>
      </c>
      <c r="H82" s="10"/>
      <c r="I82" s="10"/>
      <c r="J82" s="10" t="s">
        <v>759</v>
      </c>
      <c r="K82" s="9"/>
      <c r="L82" s="10" t="s">
        <v>75</v>
      </c>
      <c r="M82" s="10" t="s">
        <v>37</v>
      </c>
      <c r="N82" s="10" t="s">
        <v>760</v>
      </c>
      <c r="O82" s="12"/>
      <c r="P82" s="10" t="s">
        <v>761</v>
      </c>
      <c r="Q82" s="10"/>
      <c r="R82" s="10" t="s">
        <v>762</v>
      </c>
      <c r="S82" s="9" t="s">
        <v>41</v>
      </c>
      <c r="T82" s="9" t="s">
        <v>42</v>
      </c>
      <c r="U82" s="10" t="s">
        <v>631</v>
      </c>
      <c r="V82" s="10" t="s">
        <v>685</v>
      </c>
      <c r="W82" s="14" t="s">
        <v>551</v>
      </c>
      <c r="X82" s="14" t="s">
        <v>552</v>
      </c>
      <c r="Y82" s="14" t="s">
        <v>763</v>
      </c>
      <c r="Z82" s="14" t="s">
        <v>763</v>
      </c>
      <c r="AA82" s="14" t="s">
        <v>755</v>
      </c>
      <c r="AB82" s="13"/>
      <c r="AC82" s="14" t="s">
        <v>764</v>
      </c>
      <c r="AD82" s="13"/>
      <c r="AE82" s="13"/>
    </row>
    <row r="83">
      <c r="A83" s="10" t="s">
        <v>27</v>
      </c>
      <c r="B83" s="10" t="s">
        <v>765</v>
      </c>
      <c r="C83" s="10" t="s">
        <v>766</v>
      </c>
      <c r="D83" s="10" t="s">
        <v>767</v>
      </c>
      <c r="E83" s="10" t="s">
        <v>31</v>
      </c>
      <c r="F83" s="10" t="s">
        <v>32</v>
      </c>
      <c r="G83" s="10" t="s">
        <v>768</v>
      </c>
      <c r="H83" s="10" t="s">
        <v>769</v>
      </c>
      <c r="I83" s="10" t="s">
        <v>770</v>
      </c>
      <c r="J83" s="10" t="s">
        <v>771</v>
      </c>
      <c r="K83" s="9"/>
      <c r="L83" s="10" t="s">
        <v>130</v>
      </c>
      <c r="M83" s="10" t="s">
        <v>62</v>
      </c>
      <c r="N83" s="10" t="s">
        <v>772</v>
      </c>
      <c r="O83" s="12"/>
      <c r="P83" s="10" t="s">
        <v>773</v>
      </c>
      <c r="Q83" s="10" t="s">
        <v>774</v>
      </c>
      <c r="R83" s="10" t="s">
        <v>775</v>
      </c>
      <c r="S83" s="10" t="s">
        <v>41</v>
      </c>
      <c r="T83" s="10" t="s">
        <v>42</v>
      </c>
      <c r="U83" s="10" t="s">
        <v>685</v>
      </c>
      <c r="V83" s="10" t="s">
        <v>685</v>
      </c>
      <c r="W83" s="14" t="s">
        <v>45</v>
      </c>
      <c r="X83" s="14" t="s">
        <v>46</v>
      </c>
      <c r="Y83" s="14" t="s">
        <v>776</v>
      </c>
      <c r="Z83" s="14" t="s">
        <v>776</v>
      </c>
      <c r="AA83" s="14" t="s">
        <v>776</v>
      </c>
      <c r="AB83" s="13"/>
      <c r="AC83" s="14" t="s">
        <v>777</v>
      </c>
      <c r="AD83" s="13"/>
      <c r="AE83" s="13"/>
    </row>
    <row r="84">
      <c r="A84" s="10" t="s">
        <v>27</v>
      </c>
      <c r="B84" s="21" t="s">
        <v>765</v>
      </c>
      <c r="C84" s="10" t="s">
        <v>778</v>
      </c>
      <c r="D84" s="10" t="s">
        <v>779</v>
      </c>
      <c r="E84" s="10" t="s">
        <v>31</v>
      </c>
      <c r="F84" s="10" t="s">
        <v>32</v>
      </c>
      <c r="G84" s="10" t="s">
        <v>768</v>
      </c>
      <c r="H84" s="10" t="s">
        <v>769</v>
      </c>
      <c r="I84" s="10" t="s">
        <v>770</v>
      </c>
      <c r="J84" s="10" t="s">
        <v>780</v>
      </c>
      <c r="K84" s="9"/>
      <c r="L84" s="10" t="s">
        <v>63</v>
      </c>
      <c r="M84" s="10" t="s">
        <v>75</v>
      </c>
      <c r="N84" s="10" t="s">
        <v>781</v>
      </c>
      <c r="O84" s="12"/>
      <c r="P84" s="10" t="s">
        <v>782</v>
      </c>
      <c r="Q84" s="10" t="s">
        <v>783</v>
      </c>
      <c r="R84" s="10" t="s">
        <v>784</v>
      </c>
      <c r="S84" s="10" t="s">
        <v>41</v>
      </c>
      <c r="T84" s="10" t="s">
        <v>42</v>
      </c>
      <c r="U84" s="10" t="s">
        <v>685</v>
      </c>
      <c r="V84" s="10" t="s">
        <v>685</v>
      </c>
      <c r="W84" s="14" t="s">
        <v>45</v>
      </c>
      <c r="X84" s="14" t="s">
        <v>46</v>
      </c>
      <c r="Y84" s="14" t="s">
        <v>785</v>
      </c>
      <c r="Z84" s="14" t="s">
        <v>785</v>
      </c>
      <c r="AA84" s="14" t="s">
        <v>785</v>
      </c>
      <c r="AB84" s="13"/>
      <c r="AC84" s="14" t="s">
        <v>786</v>
      </c>
      <c r="AD84" s="13"/>
      <c r="AE84" s="13"/>
    </row>
    <row r="85">
      <c r="A85" s="10" t="s">
        <v>27</v>
      </c>
      <c r="B85" s="21" t="s">
        <v>765</v>
      </c>
      <c r="C85" s="10" t="s">
        <v>787</v>
      </c>
      <c r="D85" s="10" t="s">
        <v>788</v>
      </c>
      <c r="E85" s="10" t="s">
        <v>31</v>
      </c>
      <c r="F85" s="10" t="s">
        <v>32</v>
      </c>
      <c r="G85" s="10" t="s">
        <v>768</v>
      </c>
      <c r="H85" s="10" t="s">
        <v>769</v>
      </c>
      <c r="I85" s="10" t="s">
        <v>770</v>
      </c>
      <c r="J85" s="10" t="s">
        <v>789</v>
      </c>
      <c r="K85" s="9"/>
      <c r="L85" s="10" t="s">
        <v>577</v>
      </c>
      <c r="M85" s="10" t="s">
        <v>63</v>
      </c>
      <c r="N85" s="10" t="s">
        <v>790</v>
      </c>
      <c r="O85" s="12"/>
      <c r="P85" s="10" t="s">
        <v>791</v>
      </c>
      <c r="Q85" s="10" t="s">
        <v>792</v>
      </c>
      <c r="R85" s="10" t="s">
        <v>793</v>
      </c>
      <c r="S85" s="10" t="s">
        <v>41</v>
      </c>
      <c r="T85" s="10" t="s">
        <v>42</v>
      </c>
      <c r="U85" s="10" t="s">
        <v>685</v>
      </c>
      <c r="V85" s="10" t="s">
        <v>685</v>
      </c>
      <c r="W85" s="14" t="s">
        <v>45</v>
      </c>
      <c r="X85" s="14" t="s">
        <v>46</v>
      </c>
      <c r="Y85" s="14" t="s">
        <v>785</v>
      </c>
      <c r="Z85" s="14" t="s">
        <v>785</v>
      </c>
      <c r="AA85" s="14" t="s">
        <v>785</v>
      </c>
      <c r="AB85" s="13"/>
      <c r="AC85" s="14" t="s">
        <v>794</v>
      </c>
      <c r="AD85" s="13"/>
      <c r="AE85" s="13"/>
    </row>
    <row r="86">
      <c r="A86" s="10" t="s">
        <v>27</v>
      </c>
      <c r="B86" s="21" t="s">
        <v>765</v>
      </c>
      <c r="C86" s="10" t="s">
        <v>795</v>
      </c>
      <c r="D86" s="10" t="s">
        <v>796</v>
      </c>
      <c r="E86" s="10" t="s">
        <v>31</v>
      </c>
      <c r="F86" s="10" t="s">
        <v>32</v>
      </c>
      <c r="G86" s="10" t="s">
        <v>768</v>
      </c>
      <c r="H86" s="10" t="s">
        <v>769</v>
      </c>
      <c r="I86" s="10" t="s">
        <v>770</v>
      </c>
      <c r="J86" s="10" t="s">
        <v>797</v>
      </c>
      <c r="K86" s="9"/>
      <c r="L86" s="10" t="s">
        <v>577</v>
      </c>
      <c r="M86" s="10" t="s">
        <v>84</v>
      </c>
      <c r="N86" s="10" t="s">
        <v>798</v>
      </c>
      <c r="O86" s="12"/>
      <c r="P86" s="10" t="s">
        <v>799</v>
      </c>
      <c r="Q86" s="10" t="s">
        <v>800</v>
      </c>
      <c r="R86" s="10" t="s">
        <v>801</v>
      </c>
      <c r="S86" s="10" t="s">
        <v>41</v>
      </c>
      <c r="T86" s="10" t="s">
        <v>42</v>
      </c>
      <c r="U86" s="10" t="s">
        <v>685</v>
      </c>
      <c r="V86" s="10" t="s">
        <v>685</v>
      </c>
      <c r="W86" s="14" t="s">
        <v>551</v>
      </c>
      <c r="X86" s="14" t="s">
        <v>552</v>
      </c>
      <c r="Y86" s="14" t="s">
        <v>802</v>
      </c>
      <c r="Z86" s="14" t="s">
        <v>802</v>
      </c>
      <c r="AA86" s="14" t="s">
        <v>803</v>
      </c>
      <c r="AB86" s="13"/>
      <c r="AC86" s="14" t="s">
        <v>804</v>
      </c>
      <c r="AD86" s="13"/>
      <c r="AE86" s="13"/>
    </row>
    <row r="87">
      <c r="A87" s="10" t="s">
        <v>27</v>
      </c>
      <c r="B87" s="21" t="s">
        <v>765</v>
      </c>
      <c r="C87" s="10" t="s">
        <v>805</v>
      </c>
      <c r="D87" s="10" t="s">
        <v>806</v>
      </c>
      <c r="E87" s="10" t="s">
        <v>31</v>
      </c>
      <c r="F87" s="10" t="s">
        <v>32</v>
      </c>
      <c r="G87" s="10" t="s">
        <v>768</v>
      </c>
      <c r="H87" s="10" t="s">
        <v>769</v>
      </c>
      <c r="I87" s="10" t="s">
        <v>770</v>
      </c>
      <c r="J87" s="10" t="s">
        <v>807</v>
      </c>
      <c r="K87" s="9"/>
      <c r="L87" s="10" t="s">
        <v>131</v>
      </c>
      <c r="M87" s="10" t="s">
        <v>74</v>
      </c>
      <c r="N87" s="10" t="s">
        <v>808</v>
      </c>
      <c r="O87" s="12"/>
      <c r="P87" s="10" t="s">
        <v>809</v>
      </c>
      <c r="Q87" s="22" t="s">
        <v>638</v>
      </c>
      <c r="R87" s="22" t="s">
        <v>810</v>
      </c>
      <c r="S87" s="10" t="s">
        <v>41</v>
      </c>
      <c r="T87" s="10" t="s">
        <v>42</v>
      </c>
      <c r="U87" s="10" t="s">
        <v>685</v>
      </c>
      <c r="V87" s="10" t="s">
        <v>685</v>
      </c>
      <c r="W87" s="14" t="s">
        <v>551</v>
      </c>
      <c r="X87" s="14" t="s">
        <v>552</v>
      </c>
      <c r="Y87" s="14" t="s">
        <v>802</v>
      </c>
      <c r="Z87" s="14" t="s">
        <v>802</v>
      </c>
      <c r="AA87" s="14" t="s">
        <v>811</v>
      </c>
      <c r="AB87" s="13"/>
      <c r="AC87" s="14" t="s">
        <v>812</v>
      </c>
      <c r="AD87" s="13"/>
      <c r="AE87" s="13"/>
    </row>
    <row r="88">
      <c r="A88" s="10" t="s">
        <v>27</v>
      </c>
      <c r="B88" s="21" t="s">
        <v>765</v>
      </c>
      <c r="C88" s="10" t="s">
        <v>813</v>
      </c>
      <c r="D88" s="10" t="s">
        <v>814</v>
      </c>
      <c r="E88" s="10" t="s">
        <v>31</v>
      </c>
      <c r="F88" s="10" t="s">
        <v>32</v>
      </c>
      <c r="G88" s="10" t="s">
        <v>768</v>
      </c>
      <c r="H88" s="10" t="s">
        <v>769</v>
      </c>
      <c r="I88" s="10" t="s">
        <v>770</v>
      </c>
      <c r="J88" s="10" t="s">
        <v>815</v>
      </c>
      <c r="K88" s="9"/>
      <c r="L88" s="10" t="s">
        <v>63</v>
      </c>
      <c r="M88" s="10" t="s">
        <v>75</v>
      </c>
      <c r="N88" s="10" t="s">
        <v>816</v>
      </c>
      <c r="O88" s="12"/>
      <c r="P88" s="10" t="s">
        <v>817</v>
      </c>
      <c r="Q88" s="10"/>
      <c r="R88" s="10" t="s">
        <v>818</v>
      </c>
      <c r="S88" s="10" t="s">
        <v>41</v>
      </c>
      <c r="T88" s="10" t="s">
        <v>42</v>
      </c>
      <c r="U88" s="10" t="s">
        <v>685</v>
      </c>
      <c r="V88" s="10" t="s">
        <v>685</v>
      </c>
      <c r="W88" s="14" t="s">
        <v>551</v>
      </c>
      <c r="X88" s="14" t="s">
        <v>552</v>
      </c>
      <c r="Y88" s="14" t="s">
        <v>802</v>
      </c>
      <c r="Z88" s="14" t="s">
        <v>802</v>
      </c>
      <c r="AA88" s="14" t="s">
        <v>811</v>
      </c>
      <c r="AB88" s="13"/>
      <c r="AC88" s="14" t="s">
        <v>819</v>
      </c>
      <c r="AD88" s="13"/>
      <c r="AE88" s="13"/>
    </row>
    <row r="89">
      <c r="A89" s="10" t="s">
        <v>27</v>
      </c>
      <c r="B89" s="21" t="s">
        <v>765</v>
      </c>
      <c r="C89" s="10" t="s">
        <v>820</v>
      </c>
      <c r="D89" s="19" t="s">
        <v>821</v>
      </c>
      <c r="E89" s="10" t="s">
        <v>31</v>
      </c>
      <c r="F89" s="10" t="s">
        <v>32</v>
      </c>
      <c r="G89" s="10" t="s">
        <v>768</v>
      </c>
      <c r="H89" s="10" t="s">
        <v>769</v>
      </c>
      <c r="I89" s="10" t="s">
        <v>770</v>
      </c>
      <c r="J89" s="10" t="s">
        <v>822</v>
      </c>
      <c r="K89" s="9"/>
      <c r="L89" s="10" t="s">
        <v>63</v>
      </c>
      <c r="M89" s="10" t="s">
        <v>75</v>
      </c>
      <c r="N89" s="10" t="s">
        <v>823</v>
      </c>
      <c r="O89" s="12"/>
      <c r="P89" s="10" t="s">
        <v>824</v>
      </c>
      <c r="Q89" s="10"/>
      <c r="R89" s="10" t="s">
        <v>825</v>
      </c>
      <c r="S89" s="10" t="s">
        <v>41</v>
      </c>
      <c r="T89" s="10" t="s">
        <v>42</v>
      </c>
      <c r="U89" s="10" t="s">
        <v>685</v>
      </c>
      <c r="V89" s="10" t="s">
        <v>685</v>
      </c>
      <c r="W89" s="14" t="s">
        <v>551</v>
      </c>
      <c r="X89" s="14" t="s">
        <v>552</v>
      </c>
      <c r="Y89" s="14" t="s">
        <v>802</v>
      </c>
      <c r="Z89" s="14" t="s">
        <v>802</v>
      </c>
      <c r="AA89" s="14" t="s">
        <v>811</v>
      </c>
      <c r="AB89" s="13"/>
      <c r="AC89" s="14" t="s">
        <v>826</v>
      </c>
      <c r="AD89" s="13"/>
      <c r="AE89" s="13"/>
    </row>
    <row r="90">
      <c r="A90" s="10" t="s">
        <v>27</v>
      </c>
      <c r="B90" s="10" t="s">
        <v>226</v>
      </c>
      <c r="C90" s="10" t="s">
        <v>827</v>
      </c>
      <c r="D90" s="10" t="s">
        <v>828</v>
      </c>
      <c r="E90" s="10" t="s">
        <v>31</v>
      </c>
      <c r="F90" s="10" t="s">
        <v>32</v>
      </c>
      <c r="G90" s="10" t="s">
        <v>768</v>
      </c>
      <c r="H90" s="10" t="s">
        <v>769</v>
      </c>
      <c r="I90" s="10" t="s">
        <v>770</v>
      </c>
      <c r="J90" s="10" t="s">
        <v>829</v>
      </c>
      <c r="K90" s="9"/>
      <c r="L90" s="10" t="s">
        <v>577</v>
      </c>
      <c r="M90" s="10" t="s">
        <v>84</v>
      </c>
      <c r="N90" s="10" t="s">
        <v>830</v>
      </c>
      <c r="O90" s="12"/>
      <c r="P90" s="10" t="s">
        <v>831</v>
      </c>
      <c r="Q90" s="10"/>
      <c r="R90" s="10" t="s">
        <v>832</v>
      </c>
      <c r="S90" s="10" t="s">
        <v>41</v>
      </c>
      <c r="T90" s="10" t="s">
        <v>42</v>
      </c>
      <c r="U90" s="10" t="s">
        <v>833</v>
      </c>
      <c r="V90" s="10" t="s">
        <v>833</v>
      </c>
      <c r="W90" s="14" t="s">
        <v>45</v>
      </c>
      <c r="X90" s="14" t="s">
        <v>46</v>
      </c>
      <c r="Y90" s="14" t="s">
        <v>834</v>
      </c>
      <c r="Z90" s="14" t="s">
        <v>834</v>
      </c>
      <c r="AA90" s="14" t="s">
        <v>834</v>
      </c>
      <c r="AB90" s="13"/>
      <c r="AC90" s="14" t="s">
        <v>835</v>
      </c>
      <c r="AD90" s="13"/>
      <c r="AE90" s="13"/>
    </row>
    <row r="91">
      <c r="A91" s="10" t="s">
        <v>27</v>
      </c>
      <c r="B91" s="21" t="s">
        <v>226</v>
      </c>
      <c r="C91" s="10" t="s">
        <v>836</v>
      </c>
      <c r="D91" s="19" t="s">
        <v>837</v>
      </c>
      <c r="E91" s="10" t="s">
        <v>31</v>
      </c>
      <c r="F91" s="10" t="s">
        <v>32</v>
      </c>
      <c r="G91" s="10" t="s">
        <v>838</v>
      </c>
      <c r="H91" s="10" t="s">
        <v>769</v>
      </c>
      <c r="I91" s="10" t="s">
        <v>770</v>
      </c>
      <c r="J91" s="10" t="s">
        <v>839</v>
      </c>
      <c r="K91" s="9"/>
      <c r="L91" s="10" t="s">
        <v>577</v>
      </c>
      <c r="M91" s="10" t="s">
        <v>84</v>
      </c>
      <c r="N91" s="10" t="s">
        <v>840</v>
      </c>
      <c r="O91" s="12"/>
      <c r="P91" s="10" t="s">
        <v>841</v>
      </c>
      <c r="Q91" s="10" t="s">
        <v>842</v>
      </c>
      <c r="R91" s="10" t="s">
        <v>843</v>
      </c>
      <c r="S91" s="10" t="s">
        <v>551</v>
      </c>
      <c r="T91" s="10" t="s">
        <v>552</v>
      </c>
      <c r="U91" s="10" t="s">
        <v>844</v>
      </c>
      <c r="V91" s="10" t="s">
        <v>845</v>
      </c>
      <c r="W91" s="14" t="s">
        <v>45</v>
      </c>
      <c r="X91" s="14" t="s">
        <v>46</v>
      </c>
      <c r="Y91" s="14" t="s">
        <v>834</v>
      </c>
      <c r="Z91" s="14" t="s">
        <v>834</v>
      </c>
      <c r="AA91" s="14" t="s">
        <v>834</v>
      </c>
      <c r="AB91" s="13"/>
      <c r="AC91" s="14" t="s">
        <v>846</v>
      </c>
      <c r="AD91" s="13"/>
      <c r="AE91" s="13"/>
    </row>
    <row r="92">
      <c r="A92" s="10" t="s">
        <v>27</v>
      </c>
      <c r="B92" s="21" t="s">
        <v>226</v>
      </c>
      <c r="C92" s="10" t="s">
        <v>847</v>
      </c>
      <c r="D92" s="19" t="s">
        <v>848</v>
      </c>
      <c r="E92" s="10" t="s">
        <v>31</v>
      </c>
      <c r="F92" s="10" t="s">
        <v>32</v>
      </c>
      <c r="G92" s="10" t="s">
        <v>838</v>
      </c>
      <c r="H92" s="10" t="s">
        <v>769</v>
      </c>
      <c r="I92" s="10" t="s">
        <v>770</v>
      </c>
      <c r="J92" s="10" t="s">
        <v>849</v>
      </c>
      <c r="K92" s="9"/>
      <c r="L92" s="10" t="s">
        <v>84</v>
      </c>
      <c r="M92" s="10" t="s">
        <v>84</v>
      </c>
      <c r="N92" s="10" t="s">
        <v>850</v>
      </c>
      <c r="O92" s="12"/>
      <c r="P92" s="10" t="s">
        <v>851</v>
      </c>
      <c r="Q92" s="10" t="s">
        <v>692</v>
      </c>
      <c r="R92" s="10" t="s">
        <v>852</v>
      </c>
      <c r="S92" s="10" t="s">
        <v>551</v>
      </c>
      <c r="T92" s="10" t="s">
        <v>552</v>
      </c>
      <c r="U92" s="10" t="s">
        <v>853</v>
      </c>
      <c r="V92" s="10" t="s">
        <v>853</v>
      </c>
      <c r="W92" s="14" t="s">
        <v>45</v>
      </c>
      <c r="X92" s="14" t="s">
        <v>46</v>
      </c>
      <c r="Y92" s="14" t="s">
        <v>834</v>
      </c>
      <c r="Z92" s="14" t="s">
        <v>834</v>
      </c>
      <c r="AA92" s="14" t="s">
        <v>834</v>
      </c>
      <c r="AB92" s="13"/>
      <c r="AC92" s="14" t="s">
        <v>854</v>
      </c>
      <c r="AD92" s="13"/>
      <c r="AE92" s="13"/>
    </row>
    <row r="93">
      <c r="A93" s="10" t="s">
        <v>27</v>
      </c>
      <c r="B93" s="21" t="s">
        <v>226</v>
      </c>
      <c r="C93" s="10" t="s">
        <v>855</v>
      </c>
      <c r="D93" s="19" t="s">
        <v>856</v>
      </c>
      <c r="E93" s="10" t="s">
        <v>31</v>
      </c>
      <c r="F93" s="10" t="s">
        <v>32</v>
      </c>
      <c r="G93" s="21" t="s">
        <v>857</v>
      </c>
      <c r="H93" s="10"/>
      <c r="I93" s="10"/>
      <c r="J93" s="10" t="s">
        <v>858</v>
      </c>
      <c r="K93" s="9"/>
      <c r="L93" s="10" t="s">
        <v>63</v>
      </c>
      <c r="M93" s="10" t="s">
        <v>75</v>
      </c>
      <c r="N93" s="21" t="s">
        <v>859</v>
      </c>
      <c r="O93" s="12"/>
      <c r="P93" s="10" t="s">
        <v>860</v>
      </c>
      <c r="Q93" s="10"/>
      <c r="R93" s="10" t="s">
        <v>861</v>
      </c>
      <c r="S93" s="10" t="s">
        <v>551</v>
      </c>
      <c r="T93" s="10" t="s">
        <v>552</v>
      </c>
      <c r="U93" s="10" t="s">
        <v>862</v>
      </c>
      <c r="V93" s="10" t="s">
        <v>862</v>
      </c>
      <c r="W93" s="14" t="s">
        <v>45</v>
      </c>
      <c r="X93" s="14" t="s">
        <v>46</v>
      </c>
      <c r="Y93" s="14" t="s">
        <v>834</v>
      </c>
      <c r="Z93" s="14" t="s">
        <v>834</v>
      </c>
      <c r="AA93" s="14" t="s">
        <v>834</v>
      </c>
      <c r="AB93" s="13"/>
      <c r="AC93" s="14" t="s">
        <v>863</v>
      </c>
      <c r="AD93" s="13"/>
      <c r="AE93" s="13"/>
    </row>
    <row r="94">
      <c r="A94" s="10" t="s">
        <v>27</v>
      </c>
      <c r="B94" s="21" t="s">
        <v>226</v>
      </c>
      <c r="C94" s="10" t="s">
        <v>864</v>
      </c>
      <c r="D94" s="19" t="s">
        <v>865</v>
      </c>
      <c r="E94" s="10" t="s">
        <v>31</v>
      </c>
      <c r="F94" s="10" t="s">
        <v>32</v>
      </c>
      <c r="G94" s="21" t="s">
        <v>857</v>
      </c>
      <c r="H94" s="10"/>
      <c r="I94" s="10"/>
      <c r="J94" s="10" t="s">
        <v>866</v>
      </c>
      <c r="K94" s="9"/>
      <c r="L94" s="10" t="s">
        <v>161</v>
      </c>
      <c r="M94" s="10" t="s">
        <v>577</v>
      </c>
      <c r="N94" s="10" t="s">
        <v>867</v>
      </c>
      <c r="O94" s="12"/>
      <c r="P94" s="10" t="s">
        <v>868</v>
      </c>
      <c r="Q94" s="10" t="s">
        <v>869</v>
      </c>
      <c r="R94" s="10" t="s">
        <v>870</v>
      </c>
      <c r="S94" s="10" t="s">
        <v>551</v>
      </c>
      <c r="T94" s="10" t="s">
        <v>552</v>
      </c>
      <c r="U94" s="10" t="s">
        <v>853</v>
      </c>
      <c r="V94" s="10" t="s">
        <v>862</v>
      </c>
      <c r="W94" s="14" t="s">
        <v>45</v>
      </c>
      <c r="X94" s="14" t="s">
        <v>46</v>
      </c>
      <c r="Y94" s="14" t="s">
        <v>834</v>
      </c>
      <c r="Z94" s="14" t="s">
        <v>834</v>
      </c>
      <c r="AA94" s="14" t="s">
        <v>834</v>
      </c>
      <c r="AB94" s="13"/>
      <c r="AC94" s="14" t="s">
        <v>871</v>
      </c>
      <c r="AD94" s="13"/>
      <c r="AE94" s="13"/>
    </row>
    <row r="95">
      <c r="A95" s="10" t="s">
        <v>27</v>
      </c>
      <c r="B95" s="21" t="s">
        <v>226</v>
      </c>
      <c r="C95" s="10" t="s">
        <v>872</v>
      </c>
      <c r="D95" s="19" t="s">
        <v>873</v>
      </c>
      <c r="E95" s="10" t="s">
        <v>31</v>
      </c>
      <c r="F95" s="10" t="s">
        <v>32</v>
      </c>
      <c r="G95" s="10"/>
      <c r="H95" s="10"/>
      <c r="I95" s="10"/>
      <c r="J95" s="10"/>
      <c r="K95" s="9"/>
      <c r="L95" s="10" t="s">
        <v>37</v>
      </c>
      <c r="M95" s="10" t="s">
        <v>37</v>
      </c>
      <c r="N95" s="10" t="s">
        <v>874</v>
      </c>
      <c r="O95" s="12"/>
      <c r="P95" s="9"/>
      <c r="Q95" s="9"/>
      <c r="R95" s="9"/>
      <c r="S95" s="10" t="s">
        <v>45</v>
      </c>
      <c r="T95" s="10" t="s">
        <v>46</v>
      </c>
      <c r="U95" s="10" t="s">
        <v>875</v>
      </c>
      <c r="V95" s="10" t="s">
        <v>875</v>
      </c>
      <c r="W95" s="10" t="s">
        <v>45</v>
      </c>
      <c r="X95" s="10" t="s">
        <v>46</v>
      </c>
      <c r="Y95" s="10" t="s">
        <v>875</v>
      </c>
      <c r="Z95" s="10" t="s">
        <v>875</v>
      </c>
      <c r="AA95" s="10" t="s">
        <v>875</v>
      </c>
      <c r="AB95" s="13"/>
      <c r="AC95" s="14" t="s">
        <v>876</v>
      </c>
      <c r="AD95" s="13"/>
      <c r="AE95" s="13"/>
    </row>
    <row r="96">
      <c r="A96" s="10" t="s">
        <v>27</v>
      </c>
      <c r="B96" s="22" t="s">
        <v>226</v>
      </c>
      <c r="C96" s="10" t="s">
        <v>877</v>
      </c>
      <c r="D96" s="10" t="s">
        <v>878</v>
      </c>
      <c r="E96" s="10" t="s">
        <v>31</v>
      </c>
      <c r="F96" s="10" t="s">
        <v>386</v>
      </c>
      <c r="G96" s="22" t="s">
        <v>857</v>
      </c>
      <c r="H96" s="10"/>
      <c r="I96" s="10"/>
      <c r="J96" s="10" t="s">
        <v>879</v>
      </c>
      <c r="K96" s="9"/>
      <c r="L96" s="10" t="s">
        <v>74</v>
      </c>
      <c r="M96" s="10" t="s">
        <v>37</v>
      </c>
      <c r="N96" s="22" t="s">
        <v>880</v>
      </c>
      <c r="O96" s="12"/>
      <c r="P96" s="10" t="s">
        <v>881</v>
      </c>
      <c r="Q96" s="10" t="s">
        <v>523</v>
      </c>
      <c r="R96" s="10" t="s">
        <v>882</v>
      </c>
      <c r="S96" s="10" t="s">
        <v>551</v>
      </c>
      <c r="T96" s="10" t="s">
        <v>552</v>
      </c>
      <c r="U96" s="10" t="s">
        <v>883</v>
      </c>
      <c r="V96" s="10" t="s">
        <v>883</v>
      </c>
      <c r="W96" s="14" t="s">
        <v>45</v>
      </c>
      <c r="X96" s="14" t="s">
        <v>46</v>
      </c>
      <c r="Y96" s="14" t="s">
        <v>884</v>
      </c>
      <c r="Z96" s="14" t="s">
        <v>884</v>
      </c>
      <c r="AA96" s="14" t="s">
        <v>884</v>
      </c>
      <c r="AB96" s="13"/>
      <c r="AC96" s="14" t="s">
        <v>885</v>
      </c>
      <c r="AD96" s="13"/>
      <c r="AE96" s="13"/>
    </row>
    <row r="97">
      <c r="A97" s="10" t="s">
        <v>27</v>
      </c>
      <c r="B97" s="21" t="s">
        <v>226</v>
      </c>
      <c r="C97" s="10" t="s">
        <v>886</v>
      </c>
      <c r="D97" s="19" t="s">
        <v>887</v>
      </c>
      <c r="E97" s="10" t="s">
        <v>31</v>
      </c>
      <c r="F97" s="10" t="s">
        <v>32</v>
      </c>
      <c r="G97" s="10" t="s">
        <v>50</v>
      </c>
      <c r="H97" s="10"/>
      <c r="I97" s="10"/>
      <c r="J97" s="10" t="s">
        <v>888</v>
      </c>
      <c r="K97" s="9"/>
      <c r="L97" s="10" t="s">
        <v>84</v>
      </c>
      <c r="M97" s="10" t="s">
        <v>75</v>
      </c>
      <c r="N97" s="10" t="s">
        <v>513</v>
      </c>
      <c r="O97" s="12"/>
      <c r="P97" s="10" t="s">
        <v>889</v>
      </c>
      <c r="Q97" s="10" t="s">
        <v>333</v>
      </c>
      <c r="R97" s="10" t="s">
        <v>890</v>
      </c>
      <c r="S97" s="10" t="s">
        <v>551</v>
      </c>
      <c r="T97" s="10" t="s">
        <v>552</v>
      </c>
      <c r="U97" s="10" t="s">
        <v>883</v>
      </c>
      <c r="V97" s="10" t="s">
        <v>883</v>
      </c>
      <c r="W97" s="14" t="s">
        <v>45</v>
      </c>
      <c r="X97" s="14" t="s">
        <v>46</v>
      </c>
      <c r="Y97" s="14" t="s">
        <v>891</v>
      </c>
      <c r="Z97" s="14" t="s">
        <v>891</v>
      </c>
      <c r="AA97" s="14" t="s">
        <v>891</v>
      </c>
      <c r="AB97" s="13"/>
      <c r="AC97" s="14" t="s">
        <v>892</v>
      </c>
      <c r="AD97" s="13"/>
      <c r="AE97" s="13"/>
    </row>
    <row r="98">
      <c r="A98" s="10" t="s">
        <v>27</v>
      </c>
      <c r="B98" s="21" t="s">
        <v>226</v>
      </c>
      <c r="C98" s="10" t="s">
        <v>893</v>
      </c>
      <c r="D98" s="19" t="s">
        <v>894</v>
      </c>
      <c r="E98" s="10" t="s">
        <v>31</v>
      </c>
      <c r="F98" s="10" t="s">
        <v>32</v>
      </c>
      <c r="G98" s="10" t="s">
        <v>50</v>
      </c>
      <c r="H98" s="10"/>
      <c r="I98" s="10"/>
      <c r="J98" s="10" t="s">
        <v>895</v>
      </c>
      <c r="K98" s="9"/>
      <c r="L98" s="10" t="s">
        <v>896</v>
      </c>
      <c r="M98" s="10" t="s">
        <v>130</v>
      </c>
      <c r="N98" s="10" t="s">
        <v>513</v>
      </c>
      <c r="O98" s="14" t="s">
        <v>897</v>
      </c>
      <c r="P98" s="10" t="s">
        <v>898</v>
      </c>
      <c r="Q98" s="10" t="s">
        <v>899</v>
      </c>
      <c r="R98" s="10" t="s">
        <v>900</v>
      </c>
      <c r="S98" s="10" t="s">
        <v>551</v>
      </c>
      <c r="T98" s="10" t="s">
        <v>552</v>
      </c>
      <c r="U98" s="10" t="s">
        <v>883</v>
      </c>
      <c r="V98" s="10" t="s">
        <v>901</v>
      </c>
      <c r="W98" s="14" t="s">
        <v>45</v>
      </c>
      <c r="X98" s="14" t="s">
        <v>46</v>
      </c>
      <c r="Y98" s="14" t="s">
        <v>891</v>
      </c>
      <c r="Z98" s="14" t="s">
        <v>891</v>
      </c>
      <c r="AA98" s="14" t="s">
        <v>891</v>
      </c>
      <c r="AB98" s="13"/>
      <c r="AC98" s="14" t="s">
        <v>902</v>
      </c>
      <c r="AD98" s="13"/>
      <c r="AE98" s="13"/>
    </row>
    <row r="99">
      <c r="A99" s="10" t="s">
        <v>27</v>
      </c>
      <c r="B99" s="21" t="s">
        <v>367</v>
      </c>
      <c r="C99" s="10" t="s">
        <v>903</v>
      </c>
      <c r="D99" s="19" t="s">
        <v>904</v>
      </c>
      <c r="E99" s="10" t="s">
        <v>31</v>
      </c>
      <c r="F99" s="10" t="s">
        <v>32</v>
      </c>
      <c r="G99" s="10" t="s">
        <v>905</v>
      </c>
      <c r="H99" s="10" t="s">
        <v>906</v>
      </c>
      <c r="I99" s="10" t="s">
        <v>35</v>
      </c>
      <c r="J99" s="10" t="s">
        <v>907</v>
      </c>
      <c r="K99" s="9"/>
      <c r="L99" s="10" t="s">
        <v>74</v>
      </c>
      <c r="M99" s="10" t="s">
        <v>37</v>
      </c>
      <c r="N99" s="10" t="s">
        <v>513</v>
      </c>
      <c r="O99" s="14" t="s">
        <v>908</v>
      </c>
      <c r="P99" s="10" t="s">
        <v>909</v>
      </c>
      <c r="Q99" s="10" t="s">
        <v>910</v>
      </c>
      <c r="R99" s="10" t="s">
        <v>911</v>
      </c>
      <c r="S99" s="10" t="s">
        <v>551</v>
      </c>
      <c r="T99" s="10" t="s">
        <v>552</v>
      </c>
      <c r="U99" s="10" t="s">
        <v>901</v>
      </c>
      <c r="V99" s="10" t="s">
        <v>901</v>
      </c>
      <c r="W99" s="14" t="s">
        <v>45</v>
      </c>
      <c r="X99" s="14" t="s">
        <v>46</v>
      </c>
      <c r="Y99" s="14" t="s">
        <v>912</v>
      </c>
      <c r="Z99" s="14" t="s">
        <v>912</v>
      </c>
      <c r="AA99" s="14" t="s">
        <v>912</v>
      </c>
      <c r="AB99" s="13"/>
      <c r="AC99" s="14" t="s">
        <v>913</v>
      </c>
      <c r="AD99" s="13"/>
      <c r="AE99" s="13"/>
    </row>
    <row r="100">
      <c r="A100" s="10" t="s">
        <v>27</v>
      </c>
      <c r="B100" s="21" t="s">
        <v>367</v>
      </c>
      <c r="C100" s="10" t="s">
        <v>914</v>
      </c>
      <c r="D100" s="19" t="s">
        <v>915</v>
      </c>
      <c r="E100" s="10" t="s">
        <v>31</v>
      </c>
      <c r="F100" s="10" t="s">
        <v>32</v>
      </c>
      <c r="G100" s="10" t="s">
        <v>50</v>
      </c>
      <c r="H100" s="10"/>
      <c r="I100" s="10"/>
      <c r="J100" s="10" t="s">
        <v>916</v>
      </c>
      <c r="K100" s="9"/>
      <c r="L100" s="10" t="s">
        <v>141</v>
      </c>
      <c r="M100" s="10" t="s">
        <v>84</v>
      </c>
      <c r="N100" s="10" t="s">
        <v>513</v>
      </c>
      <c r="O100" s="12"/>
      <c r="P100" s="10" t="s">
        <v>917</v>
      </c>
      <c r="Q100" s="10"/>
      <c r="R100" s="10" t="s">
        <v>918</v>
      </c>
      <c r="S100" s="10" t="s">
        <v>551</v>
      </c>
      <c r="T100" s="10" t="s">
        <v>552</v>
      </c>
      <c r="U100" s="10" t="s">
        <v>901</v>
      </c>
      <c r="V100" s="10" t="s">
        <v>919</v>
      </c>
      <c r="W100" s="14" t="s">
        <v>45</v>
      </c>
      <c r="X100" s="14" t="s">
        <v>46</v>
      </c>
      <c r="Y100" s="14" t="s">
        <v>912</v>
      </c>
      <c r="Z100" s="14" t="s">
        <v>912</v>
      </c>
      <c r="AA100" s="14" t="s">
        <v>912</v>
      </c>
      <c r="AB100" s="13"/>
      <c r="AC100" s="14" t="s">
        <v>920</v>
      </c>
      <c r="AD100" s="13"/>
      <c r="AE100" s="13"/>
    </row>
    <row r="101">
      <c r="A101" s="10" t="s">
        <v>27</v>
      </c>
      <c r="B101" s="21" t="s">
        <v>367</v>
      </c>
      <c r="C101" s="10" t="s">
        <v>921</v>
      </c>
      <c r="D101" s="19" t="s">
        <v>922</v>
      </c>
      <c r="E101" s="10" t="s">
        <v>31</v>
      </c>
      <c r="F101" s="10" t="s">
        <v>32</v>
      </c>
      <c r="G101" s="10" t="s">
        <v>50</v>
      </c>
      <c r="H101" s="10"/>
      <c r="I101" s="10"/>
      <c r="J101" s="10" t="s">
        <v>923</v>
      </c>
      <c r="K101" s="9"/>
      <c r="L101" s="10" t="s">
        <v>430</v>
      </c>
      <c r="M101" s="10" t="s">
        <v>131</v>
      </c>
      <c r="N101" s="10" t="s">
        <v>513</v>
      </c>
      <c r="O101" s="12"/>
      <c r="P101" s="10" t="s">
        <v>924</v>
      </c>
      <c r="Q101" s="10" t="s">
        <v>925</v>
      </c>
      <c r="R101" s="10" t="s">
        <v>926</v>
      </c>
      <c r="S101" s="10" t="s">
        <v>551</v>
      </c>
      <c r="T101" s="10" t="s">
        <v>552</v>
      </c>
      <c r="U101" s="10" t="s">
        <v>927</v>
      </c>
      <c r="V101" s="10" t="s">
        <v>927</v>
      </c>
      <c r="W101" s="14" t="s">
        <v>45</v>
      </c>
      <c r="X101" s="14" t="s">
        <v>46</v>
      </c>
      <c r="Y101" s="14" t="s">
        <v>928</v>
      </c>
      <c r="Z101" s="14" t="s">
        <v>928</v>
      </c>
      <c r="AA101" s="14" t="s">
        <v>928</v>
      </c>
      <c r="AB101" s="13"/>
      <c r="AC101" s="14" t="s">
        <v>929</v>
      </c>
      <c r="AD101" s="13"/>
      <c r="AE101" s="13"/>
    </row>
    <row r="102">
      <c r="A102" s="10" t="s">
        <v>27</v>
      </c>
      <c r="B102" s="21" t="s">
        <v>367</v>
      </c>
      <c r="C102" s="10" t="s">
        <v>930</v>
      </c>
      <c r="D102" s="19" t="s">
        <v>931</v>
      </c>
      <c r="E102" s="10" t="s">
        <v>31</v>
      </c>
      <c r="F102" s="10" t="s">
        <v>32</v>
      </c>
      <c r="G102" s="26" t="s">
        <v>50</v>
      </c>
      <c r="H102" s="10"/>
      <c r="I102" s="10"/>
      <c r="J102" s="10" t="s">
        <v>932</v>
      </c>
      <c r="K102" s="9"/>
      <c r="L102" s="10" t="s">
        <v>896</v>
      </c>
      <c r="M102" s="10" t="s">
        <v>130</v>
      </c>
      <c r="N102" s="10" t="s">
        <v>933</v>
      </c>
      <c r="O102" s="27"/>
      <c r="P102" s="10" t="s">
        <v>934</v>
      </c>
      <c r="Q102" s="14" t="s">
        <v>935</v>
      </c>
      <c r="R102" s="14" t="s">
        <v>936</v>
      </c>
      <c r="S102" s="10" t="s">
        <v>551</v>
      </c>
      <c r="T102" s="10" t="s">
        <v>552</v>
      </c>
      <c r="U102" s="10" t="s">
        <v>937</v>
      </c>
      <c r="V102" s="10" t="s">
        <v>937</v>
      </c>
      <c r="W102" s="12"/>
      <c r="X102" s="12"/>
      <c r="Y102" s="12"/>
      <c r="Z102" s="12"/>
      <c r="AA102" s="12"/>
      <c r="AB102" s="13"/>
      <c r="AC102" s="14" t="s">
        <v>938</v>
      </c>
      <c r="AD102" s="13"/>
      <c r="AE102" s="13"/>
    </row>
    <row r="103">
      <c r="A103" s="10" t="s">
        <v>27</v>
      </c>
      <c r="B103" s="21" t="s">
        <v>367</v>
      </c>
      <c r="C103" s="10" t="s">
        <v>939</v>
      </c>
      <c r="D103" s="19" t="s">
        <v>940</v>
      </c>
      <c r="E103" s="10" t="s">
        <v>31</v>
      </c>
      <c r="F103" s="10" t="s">
        <v>32</v>
      </c>
      <c r="G103" s="10" t="s">
        <v>50</v>
      </c>
      <c r="H103" s="10"/>
      <c r="I103" s="10"/>
      <c r="J103" s="10" t="s">
        <v>941</v>
      </c>
      <c r="K103" s="9"/>
      <c r="L103" s="10" t="s">
        <v>711</v>
      </c>
      <c r="M103" s="10" t="s">
        <v>367</v>
      </c>
      <c r="N103" s="10" t="s">
        <v>513</v>
      </c>
      <c r="O103" s="12"/>
      <c r="P103" s="10" t="s">
        <v>942</v>
      </c>
      <c r="Q103" s="10" t="s">
        <v>943</v>
      </c>
      <c r="R103" s="10" t="s">
        <v>944</v>
      </c>
      <c r="S103" s="10" t="s">
        <v>551</v>
      </c>
      <c r="T103" s="10" t="s">
        <v>552</v>
      </c>
      <c r="U103" s="10" t="s">
        <v>945</v>
      </c>
      <c r="V103" s="10" t="s">
        <v>945</v>
      </c>
      <c r="W103" s="12"/>
      <c r="X103" s="12"/>
      <c r="Y103" s="12"/>
      <c r="Z103" s="12"/>
      <c r="AA103" s="12"/>
      <c r="AB103" s="13"/>
      <c r="AC103" s="14" t="s">
        <v>946</v>
      </c>
      <c r="AD103" s="13"/>
      <c r="AE103" s="13"/>
    </row>
    <row r="104">
      <c r="A104" s="10" t="s">
        <v>27</v>
      </c>
      <c r="B104" s="21" t="s">
        <v>367</v>
      </c>
      <c r="C104" s="10" t="s">
        <v>947</v>
      </c>
      <c r="D104" s="19" t="s">
        <v>948</v>
      </c>
      <c r="E104" s="10" t="s">
        <v>31</v>
      </c>
      <c r="F104" s="10" t="s">
        <v>32</v>
      </c>
      <c r="G104" s="10" t="s">
        <v>50</v>
      </c>
      <c r="H104" s="10"/>
      <c r="I104" s="10"/>
      <c r="J104" s="10" t="s">
        <v>949</v>
      </c>
      <c r="K104" s="9"/>
      <c r="L104" s="10" t="s">
        <v>950</v>
      </c>
      <c r="M104" s="10" t="s">
        <v>951</v>
      </c>
      <c r="N104" s="10" t="s">
        <v>952</v>
      </c>
      <c r="O104" s="12"/>
      <c r="P104" s="10" t="s">
        <v>953</v>
      </c>
      <c r="Q104" s="10" t="s">
        <v>954</v>
      </c>
      <c r="R104" s="10" t="s">
        <v>955</v>
      </c>
      <c r="S104" s="10" t="s">
        <v>551</v>
      </c>
      <c r="T104" s="10" t="s">
        <v>552</v>
      </c>
      <c r="U104" s="10" t="s">
        <v>945</v>
      </c>
      <c r="V104" s="10" t="s">
        <v>956</v>
      </c>
      <c r="W104" s="12"/>
      <c r="X104" s="12"/>
      <c r="Y104" s="12"/>
      <c r="Z104" s="12"/>
      <c r="AA104" s="12"/>
      <c r="AB104" s="13"/>
      <c r="AC104" s="14" t="s">
        <v>957</v>
      </c>
      <c r="AD104" s="13"/>
      <c r="AE104" s="13"/>
    </row>
    <row r="105">
      <c r="A105" s="10" t="s">
        <v>27</v>
      </c>
      <c r="B105" s="21" t="s">
        <v>577</v>
      </c>
      <c r="C105" s="10" t="s">
        <v>958</v>
      </c>
      <c r="D105" s="19" t="s">
        <v>959</v>
      </c>
      <c r="E105" s="10" t="s">
        <v>31</v>
      </c>
      <c r="F105" s="10" t="s">
        <v>32</v>
      </c>
      <c r="G105" s="10" t="s">
        <v>50</v>
      </c>
      <c r="H105" s="10"/>
      <c r="I105" s="10"/>
      <c r="J105" s="10" t="s">
        <v>960</v>
      </c>
      <c r="K105" s="9"/>
      <c r="L105" s="10" t="s">
        <v>130</v>
      </c>
      <c r="M105" s="10" t="s">
        <v>131</v>
      </c>
      <c r="N105" s="10" t="s">
        <v>513</v>
      </c>
      <c r="O105" s="12"/>
      <c r="P105" s="10" t="s">
        <v>961</v>
      </c>
      <c r="Q105" s="10" t="s">
        <v>962</v>
      </c>
      <c r="R105" s="10" t="s">
        <v>963</v>
      </c>
      <c r="S105" s="10" t="s">
        <v>551</v>
      </c>
      <c r="T105" s="10" t="s">
        <v>552</v>
      </c>
      <c r="U105" s="10" t="s">
        <v>956</v>
      </c>
      <c r="V105" s="10" t="s">
        <v>964</v>
      </c>
      <c r="W105" s="12"/>
      <c r="X105" s="12"/>
      <c r="Y105" s="12"/>
      <c r="Z105" s="12"/>
      <c r="AA105" s="12"/>
      <c r="AB105" s="13"/>
      <c r="AC105" s="14" t="s">
        <v>965</v>
      </c>
      <c r="AD105" s="13"/>
      <c r="AE105" s="13"/>
    </row>
    <row r="106">
      <c r="A106" s="10" t="s">
        <v>27</v>
      </c>
      <c r="B106" s="21" t="s">
        <v>577</v>
      </c>
      <c r="C106" s="10" t="s">
        <v>966</v>
      </c>
      <c r="D106" s="19" t="s">
        <v>967</v>
      </c>
      <c r="E106" s="10" t="s">
        <v>31</v>
      </c>
      <c r="F106" s="10" t="s">
        <v>32</v>
      </c>
      <c r="G106" s="10" t="s">
        <v>50</v>
      </c>
      <c r="H106" s="10"/>
      <c r="I106" s="10"/>
      <c r="J106" s="10" t="s">
        <v>968</v>
      </c>
      <c r="K106" s="9"/>
      <c r="L106" s="10" t="s">
        <v>711</v>
      </c>
      <c r="M106" s="10" t="s">
        <v>367</v>
      </c>
      <c r="N106" s="10" t="s">
        <v>513</v>
      </c>
      <c r="O106" s="12"/>
      <c r="P106" s="10" t="s">
        <v>969</v>
      </c>
      <c r="Q106" s="10" t="s">
        <v>970</v>
      </c>
      <c r="R106" s="10" t="s">
        <v>971</v>
      </c>
      <c r="S106" s="10" t="s">
        <v>551</v>
      </c>
      <c r="T106" s="10" t="s">
        <v>552</v>
      </c>
      <c r="U106" s="10" t="s">
        <v>964</v>
      </c>
      <c r="V106" s="10" t="s">
        <v>964</v>
      </c>
      <c r="W106" s="12"/>
      <c r="X106" s="12"/>
      <c r="Y106" s="12"/>
      <c r="Z106" s="12"/>
      <c r="AA106" s="12"/>
      <c r="AB106" s="13"/>
      <c r="AC106" s="14" t="s">
        <v>972</v>
      </c>
      <c r="AD106" s="13"/>
      <c r="AE106" s="13"/>
    </row>
    <row r="107">
      <c r="A107" s="10" t="s">
        <v>27</v>
      </c>
      <c r="B107" s="21" t="s">
        <v>577</v>
      </c>
      <c r="C107" s="10" t="s">
        <v>973</v>
      </c>
      <c r="D107" s="19" t="s">
        <v>974</v>
      </c>
      <c r="E107" s="10" t="s">
        <v>31</v>
      </c>
      <c r="F107" s="10" t="s">
        <v>32</v>
      </c>
      <c r="G107" s="10" t="s">
        <v>50</v>
      </c>
      <c r="H107" s="10"/>
      <c r="I107" s="10"/>
      <c r="J107" s="10" t="s">
        <v>975</v>
      </c>
      <c r="K107" s="9"/>
      <c r="L107" s="10" t="s">
        <v>951</v>
      </c>
      <c r="M107" s="10" t="s">
        <v>226</v>
      </c>
      <c r="N107" s="10" t="s">
        <v>513</v>
      </c>
      <c r="O107" s="12"/>
      <c r="P107" s="10" t="s">
        <v>976</v>
      </c>
      <c r="Q107" s="10" t="s">
        <v>977</v>
      </c>
      <c r="R107" s="10" t="s">
        <v>978</v>
      </c>
      <c r="S107" s="10" t="s">
        <v>551</v>
      </c>
      <c r="T107" s="10" t="s">
        <v>552</v>
      </c>
      <c r="U107" s="10" t="s">
        <v>964</v>
      </c>
      <c r="V107" s="10" t="s">
        <v>553</v>
      </c>
      <c r="W107" s="12"/>
      <c r="X107" s="12"/>
      <c r="Y107" s="12"/>
      <c r="Z107" s="12"/>
      <c r="AA107" s="12"/>
      <c r="AB107" s="13"/>
      <c r="AC107" s="14" t="s">
        <v>979</v>
      </c>
      <c r="AD107" s="13"/>
      <c r="AE107" s="13"/>
    </row>
    <row r="108">
      <c r="A108" s="10" t="s">
        <v>27</v>
      </c>
      <c r="B108" s="21" t="s">
        <v>577</v>
      </c>
      <c r="C108" s="10" t="s">
        <v>980</v>
      </c>
      <c r="D108" s="19" t="s">
        <v>981</v>
      </c>
      <c r="E108" s="10" t="s">
        <v>31</v>
      </c>
      <c r="F108" s="10" t="s">
        <v>32</v>
      </c>
      <c r="G108" s="10" t="s">
        <v>50</v>
      </c>
      <c r="H108" s="10"/>
      <c r="I108" s="10"/>
      <c r="J108" s="10" t="s">
        <v>982</v>
      </c>
      <c r="K108" s="9"/>
      <c r="L108" s="10" t="s">
        <v>63</v>
      </c>
      <c r="M108" s="10" t="s">
        <v>37</v>
      </c>
      <c r="N108" s="10" t="s">
        <v>513</v>
      </c>
      <c r="O108" s="12"/>
      <c r="P108" s="10" t="s">
        <v>983</v>
      </c>
      <c r="Q108" s="10" t="s">
        <v>984</v>
      </c>
      <c r="R108" s="10" t="s">
        <v>985</v>
      </c>
      <c r="S108" s="10" t="s">
        <v>551</v>
      </c>
      <c r="T108" s="10" t="s">
        <v>552</v>
      </c>
      <c r="U108" s="10" t="s">
        <v>986</v>
      </c>
      <c r="V108" s="10" t="s">
        <v>986</v>
      </c>
      <c r="W108" s="12"/>
      <c r="X108" s="12"/>
      <c r="Y108" s="12"/>
      <c r="Z108" s="12"/>
      <c r="AA108" s="12"/>
      <c r="AB108" s="13"/>
      <c r="AC108" s="14" t="s">
        <v>987</v>
      </c>
      <c r="AD108" s="13"/>
      <c r="AE108" s="13"/>
    </row>
    <row r="109">
      <c r="A109" s="10" t="s">
        <v>27</v>
      </c>
      <c r="B109" s="21" t="s">
        <v>577</v>
      </c>
      <c r="C109" s="10" t="s">
        <v>988</v>
      </c>
      <c r="D109" s="19" t="s">
        <v>989</v>
      </c>
      <c r="E109" s="10" t="s">
        <v>31</v>
      </c>
      <c r="F109" s="10" t="s">
        <v>32</v>
      </c>
      <c r="G109" s="10" t="s">
        <v>50</v>
      </c>
      <c r="H109" s="10"/>
      <c r="I109" s="10"/>
      <c r="J109" s="10" t="s">
        <v>990</v>
      </c>
      <c r="K109" s="9"/>
      <c r="L109" s="10" t="s">
        <v>63</v>
      </c>
      <c r="M109" s="10" t="s">
        <v>75</v>
      </c>
      <c r="N109" s="10" t="s">
        <v>513</v>
      </c>
      <c r="O109" s="12"/>
      <c r="P109" s="10" t="s">
        <v>991</v>
      </c>
      <c r="Q109" s="10" t="s">
        <v>638</v>
      </c>
      <c r="R109" s="10" t="s">
        <v>992</v>
      </c>
      <c r="S109" s="10" t="s">
        <v>551</v>
      </c>
      <c r="T109" s="10" t="s">
        <v>552</v>
      </c>
      <c r="U109" s="10" t="s">
        <v>993</v>
      </c>
      <c r="V109" s="10" t="s">
        <v>993</v>
      </c>
      <c r="W109" s="12"/>
      <c r="X109" s="12"/>
      <c r="Y109" s="12"/>
      <c r="Z109" s="12"/>
      <c r="AA109" s="12"/>
      <c r="AB109" s="13"/>
      <c r="AC109" s="14" t="s">
        <v>994</v>
      </c>
      <c r="AD109" s="13"/>
      <c r="AE109" s="13"/>
    </row>
    <row r="110">
      <c r="A110" s="10" t="s">
        <v>27</v>
      </c>
      <c r="B110" s="21" t="s">
        <v>577</v>
      </c>
      <c r="C110" s="10" t="s">
        <v>995</v>
      </c>
      <c r="D110" s="19" t="s">
        <v>996</v>
      </c>
      <c r="E110" s="10" t="s">
        <v>31</v>
      </c>
      <c r="F110" s="10" t="s">
        <v>32</v>
      </c>
      <c r="G110" s="10" t="s">
        <v>50</v>
      </c>
      <c r="H110" s="10"/>
      <c r="I110" s="10"/>
      <c r="J110" s="10" t="s">
        <v>997</v>
      </c>
      <c r="K110" s="9"/>
      <c r="L110" s="10" t="s">
        <v>711</v>
      </c>
      <c r="M110" s="10" t="s">
        <v>367</v>
      </c>
      <c r="N110" s="10"/>
      <c r="O110" s="12"/>
      <c r="P110" s="10" t="s">
        <v>998</v>
      </c>
      <c r="Q110" s="10" t="s">
        <v>999</v>
      </c>
      <c r="R110" s="10" t="s">
        <v>1000</v>
      </c>
      <c r="S110" s="10" t="s">
        <v>551</v>
      </c>
      <c r="T110" s="10" t="s">
        <v>552</v>
      </c>
      <c r="U110" s="10" t="s">
        <v>993</v>
      </c>
      <c r="V110" s="10" t="s">
        <v>993</v>
      </c>
      <c r="W110" s="12"/>
      <c r="X110" s="12"/>
      <c r="Y110" s="12"/>
      <c r="Z110" s="12"/>
      <c r="AA110" s="12"/>
      <c r="AB110" s="13"/>
      <c r="AC110" s="14" t="s">
        <v>1001</v>
      </c>
      <c r="AD110" s="13"/>
      <c r="AE110" s="13"/>
    </row>
    <row r="111">
      <c r="A111" s="10" t="s">
        <v>27</v>
      </c>
      <c r="B111" s="22" t="s">
        <v>577</v>
      </c>
      <c r="C111" s="10" t="s">
        <v>1002</v>
      </c>
      <c r="D111" s="10" t="s">
        <v>1003</v>
      </c>
      <c r="E111" s="10" t="s">
        <v>31</v>
      </c>
      <c r="F111" s="10" t="s">
        <v>32</v>
      </c>
      <c r="G111" s="10"/>
      <c r="H111" s="10" t="s">
        <v>906</v>
      </c>
      <c r="I111" s="10" t="s">
        <v>35</v>
      </c>
      <c r="J111" s="10" t="s">
        <v>1004</v>
      </c>
      <c r="K111" s="9"/>
      <c r="L111" s="10" t="s">
        <v>37</v>
      </c>
      <c r="M111" s="10" t="s">
        <v>38</v>
      </c>
      <c r="N111" s="10" t="s">
        <v>513</v>
      </c>
      <c r="O111" s="12"/>
      <c r="P111" s="10" t="s">
        <v>1005</v>
      </c>
      <c r="Q111" s="10" t="s">
        <v>1005</v>
      </c>
      <c r="R111" s="10" t="s">
        <v>1006</v>
      </c>
      <c r="S111" s="10" t="s">
        <v>551</v>
      </c>
      <c r="T111" s="10" t="s">
        <v>552</v>
      </c>
      <c r="U111" s="10" t="s">
        <v>1007</v>
      </c>
      <c r="V111" s="10" t="s">
        <v>1007</v>
      </c>
      <c r="W111" s="12"/>
      <c r="X111" s="12"/>
      <c r="Y111" s="12"/>
      <c r="Z111" s="12"/>
      <c r="AA111" s="12"/>
      <c r="AB111" s="13"/>
      <c r="AC111" s="14" t="s">
        <v>1008</v>
      </c>
      <c r="AD111" s="13"/>
      <c r="AE111" s="13"/>
    </row>
    <row r="112">
      <c r="A112" s="10" t="s">
        <v>27</v>
      </c>
      <c r="B112" s="21" t="s">
        <v>577</v>
      </c>
      <c r="C112" s="10" t="s">
        <v>1009</v>
      </c>
      <c r="D112" s="19" t="s">
        <v>1010</v>
      </c>
      <c r="E112" s="10" t="s">
        <v>31</v>
      </c>
      <c r="F112" s="10" t="s">
        <v>32</v>
      </c>
      <c r="G112" s="10" t="s">
        <v>1011</v>
      </c>
      <c r="H112" s="10" t="s">
        <v>906</v>
      </c>
      <c r="I112" s="10" t="s">
        <v>35</v>
      </c>
      <c r="J112" s="10" t="s">
        <v>1012</v>
      </c>
      <c r="K112" s="9"/>
      <c r="L112" s="10" t="s">
        <v>36</v>
      </c>
      <c r="M112" s="10" t="s">
        <v>36</v>
      </c>
      <c r="N112" s="10" t="s">
        <v>513</v>
      </c>
      <c r="O112" s="14" t="s">
        <v>1013</v>
      </c>
      <c r="P112" s="10" t="s">
        <v>1014</v>
      </c>
      <c r="Q112" s="10" t="s">
        <v>1005</v>
      </c>
      <c r="R112" s="10" t="s">
        <v>1015</v>
      </c>
      <c r="S112" s="10" t="s">
        <v>551</v>
      </c>
      <c r="T112" s="10" t="s">
        <v>552</v>
      </c>
      <c r="U112" s="10" t="s">
        <v>1007</v>
      </c>
      <c r="V112" s="10" t="s">
        <v>1007</v>
      </c>
      <c r="W112" s="12"/>
      <c r="X112" s="12"/>
      <c r="Y112" s="12"/>
      <c r="Z112" s="12"/>
      <c r="AA112" s="12"/>
      <c r="AB112" s="13"/>
      <c r="AC112" s="14" t="s">
        <v>1016</v>
      </c>
      <c r="AD112" s="13"/>
      <c r="AE112" s="13"/>
    </row>
    <row r="113">
      <c r="A113" s="10" t="s">
        <v>27</v>
      </c>
      <c r="B113" s="21" t="s">
        <v>577</v>
      </c>
      <c r="C113" s="10" t="s">
        <v>1017</v>
      </c>
      <c r="D113" s="19" t="s">
        <v>1018</v>
      </c>
      <c r="E113" s="10" t="s">
        <v>31</v>
      </c>
      <c r="F113" s="10" t="s">
        <v>32</v>
      </c>
      <c r="G113" s="10" t="s">
        <v>50</v>
      </c>
      <c r="H113" s="10"/>
      <c r="I113" s="10"/>
      <c r="J113" s="10" t="s">
        <v>1019</v>
      </c>
      <c r="K113" s="9"/>
      <c r="L113" s="10" t="s">
        <v>951</v>
      </c>
      <c r="M113" s="10" t="s">
        <v>226</v>
      </c>
      <c r="N113" s="10"/>
      <c r="O113" s="12"/>
      <c r="P113" s="10" t="s">
        <v>1020</v>
      </c>
      <c r="Q113" s="10" t="s">
        <v>1021</v>
      </c>
      <c r="R113" s="10" t="s">
        <v>1022</v>
      </c>
      <c r="S113" s="10" t="s">
        <v>551</v>
      </c>
      <c r="T113" s="10" t="s">
        <v>552</v>
      </c>
      <c r="U113" s="10" t="s">
        <v>1007</v>
      </c>
      <c r="V113" s="10" t="s">
        <v>1007</v>
      </c>
      <c r="W113" s="12"/>
      <c r="X113" s="12"/>
      <c r="Y113" s="12"/>
      <c r="Z113" s="12"/>
      <c r="AA113" s="12"/>
      <c r="AB113" s="13"/>
      <c r="AC113" s="14" t="s">
        <v>1023</v>
      </c>
      <c r="AD113" s="13"/>
      <c r="AE113" s="13"/>
    </row>
    <row r="114">
      <c r="A114" s="10" t="s">
        <v>27</v>
      </c>
      <c r="B114" s="21" t="s">
        <v>577</v>
      </c>
      <c r="C114" s="10" t="s">
        <v>1024</v>
      </c>
      <c r="D114" s="19" t="s">
        <v>1025</v>
      </c>
      <c r="E114" s="10" t="s">
        <v>31</v>
      </c>
      <c r="F114" s="10" t="s">
        <v>32</v>
      </c>
      <c r="G114" s="10" t="s">
        <v>1026</v>
      </c>
      <c r="H114" s="10" t="s">
        <v>906</v>
      </c>
      <c r="I114" s="10" t="s">
        <v>35</v>
      </c>
      <c r="J114" s="10" t="s">
        <v>1027</v>
      </c>
      <c r="K114" s="9"/>
      <c r="L114" s="10" t="s">
        <v>36</v>
      </c>
      <c r="M114" s="10" t="s">
        <v>38</v>
      </c>
      <c r="N114" s="10" t="s">
        <v>1028</v>
      </c>
      <c r="O114" s="12"/>
      <c r="P114" s="10" t="s">
        <v>1005</v>
      </c>
      <c r="Q114" s="10" t="s">
        <v>1005</v>
      </c>
      <c r="R114" s="10" t="s">
        <v>1029</v>
      </c>
      <c r="S114" s="10" t="s">
        <v>551</v>
      </c>
      <c r="T114" s="10" t="s">
        <v>552</v>
      </c>
      <c r="U114" s="10" t="s">
        <v>1007</v>
      </c>
      <c r="V114" s="10" t="s">
        <v>1007</v>
      </c>
      <c r="W114" s="12"/>
      <c r="X114" s="12"/>
      <c r="Y114" s="12"/>
      <c r="Z114" s="12"/>
      <c r="AA114" s="12"/>
      <c r="AB114" s="13"/>
      <c r="AC114" s="14" t="s">
        <v>1030</v>
      </c>
      <c r="AD114" s="13"/>
      <c r="AE114" s="13"/>
    </row>
    <row r="115">
      <c r="A115" s="10" t="s">
        <v>27</v>
      </c>
      <c r="B115" s="21" t="s">
        <v>430</v>
      </c>
      <c r="C115" s="10" t="s">
        <v>1031</v>
      </c>
      <c r="D115" s="19" t="s">
        <v>1032</v>
      </c>
      <c r="E115" s="10" t="s">
        <v>31</v>
      </c>
      <c r="F115" s="10" t="s">
        <v>386</v>
      </c>
      <c r="G115" s="10" t="s">
        <v>50</v>
      </c>
      <c r="H115" s="10"/>
      <c r="I115" s="10"/>
      <c r="J115" s="10" t="s">
        <v>1026</v>
      </c>
      <c r="K115" s="9"/>
      <c r="L115" s="10" t="s">
        <v>141</v>
      </c>
      <c r="M115" s="10" t="s">
        <v>84</v>
      </c>
      <c r="N115" s="10"/>
      <c r="O115" s="12"/>
      <c r="P115" s="10" t="s">
        <v>1033</v>
      </c>
      <c r="Q115" s="10" t="s">
        <v>1034</v>
      </c>
      <c r="R115" s="10" t="s">
        <v>1035</v>
      </c>
      <c r="S115" s="10" t="s">
        <v>551</v>
      </c>
      <c r="T115" s="10" t="s">
        <v>552</v>
      </c>
      <c r="U115" s="10" t="s">
        <v>1007</v>
      </c>
      <c r="V115" s="10" t="s">
        <v>1007</v>
      </c>
      <c r="W115" s="12"/>
      <c r="X115" s="12"/>
      <c r="Y115" s="12"/>
      <c r="Z115" s="12"/>
      <c r="AA115" s="12"/>
      <c r="AB115" s="13"/>
      <c r="AC115" s="14" t="s">
        <v>1036</v>
      </c>
      <c r="AD115" s="13"/>
      <c r="AE115" s="13"/>
    </row>
    <row r="116">
      <c r="A116" s="10" t="s">
        <v>27</v>
      </c>
      <c r="B116" s="21" t="s">
        <v>130</v>
      </c>
      <c r="C116" s="10" t="s">
        <v>1037</v>
      </c>
      <c r="D116" s="19" t="s">
        <v>1038</v>
      </c>
      <c r="E116" s="10" t="s">
        <v>31</v>
      </c>
      <c r="F116" s="10" t="s">
        <v>32</v>
      </c>
      <c r="G116" s="10" t="s">
        <v>50</v>
      </c>
      <c r="H116" s="10" t="s">
        <v>906</v>
      </c>
      <c r="I116" s="10" t="s">
        <v>35</v>
      </c>
      <c r="J116" s="10" t="s">
        <v>1039</v>
      </c>
      <c r="K116" s="9"/>
      <c r="L116" s="10" t="s">
        <v>711</v>
      </c>
      <c r="M116" s="10" t="s">
        <v>577</v>
      </c>
      <c r="N116" s="10" t="s">
        <v>1040</v>
      </c>
      <c r="O116" s="12"/>
      <c r="P116" s="10" t="s">
        <v>1041</v>
      </c>
      <c r="Q116" s="10" t="s">
        <v>1042</v>
      </c>
      <c r="R116" s="10" t="s">
        <v>1043</v>
      </c>
      <c r="S116" s="10" t="s">
        <v>551</v>
      </c>
      <c r="T116" s="10" t="s">
        <v>552</v>
      </c>
      <c r="U116" s="10" t="s">
        <v>1044</v>
      </c>
      <c r="V116" s="10" t="s">
        <v>1044</v>
      </c>
      <c r="W116" s="12"/>
      <c r="X116" s="12"/>
      <c r="Y116" s="12"/>
      <c r="Z116" s="12"/>
      <c r="AA116" s="12"/>
      <c r="AB116" s="13"/>
      <c r="AC116" s="14" t="s">
        <v>1045</v>
      </c>
      <c r="AD116" s="13"/>
      <c r="AE116" s="13"/>
    </row>
    <row r="117">
      <c r="A117" s="10" t="s">
        <v>27</v>
      </c>
      <c r="B117" s="21" t="s">
        <v>130</v>
      </c>
      <c r="C117" s="10" t="s">
        <v>1046</v>
      </c>
      <c r="D117" s="19" t="s">
        <v>1047</v>
      </c>
      <c r="E117" s="10" t="s">
        <v>31</v>
      </c>
      <c r="F117" s="10" t="s">
        <v>32</v>
      </c>
      <c r="G117" s="10" t="s">
        <v>50</v>
      </c>
      <c r="H117" s="10" t="s">
        <v>906</v>
      </c>
      <c r="I117" s="10" t="s">
        <v>35</v>
      </c>
      <c r="J117" s="10" t="s">
        <v>1048</v>
      </c>
      <c r="K117" s="9"/>
      <c r="L117" s="10" t="s">
        <v>141</v>
      </c>
      <c r="M117" s="10" t="s">
        <v>84</v>
      </c>
      <c r="N117" s="10"/>
      <c r="O117" s="12"/>
      <c r="P117" s="10" t="s">
        <v>1049</v>
      </c>
      <c r="Q117" s="10" t="s">
        <v>1050</v>
      </c>
      <c r="R117" s="10" t="s">
        <v>1051</v>
      </c>
      <c r="S117" s="10" t="s">
        <v>551</v>
      </c>
      <c r="T117" s="10" t="s">
        <v>552</v>
      </c>
      <c r="U117" s="10" t="s">
        <v>1044</v>
      </c>
      <c r="V117" s="10" t="s">
        <v>1044</v>
      </c>
      <c r="W117" s="12"/>
      <c r="X117" s="12"/>
      <c r="Y117" s="12"/>
      <c r="Z117" s="12"/>
      <c r="AA117" s="12"/>
      <c r="AB117" s="13"/>
      <c r="AC117" s="14" t="s">
        <v>1052</v>
      </c>
      <c r="AD117" s="13"/>
      <c r="AE117" s="13"/>
    </row>
    <row r="118">
      <c r="A118" s="10" t="s">
        <v>27</v>
      </c>
      <c r="B118" s="21" t="s">
        <v>130</v>
      </c>
      <c r="C118" s="10" t="s">
        <v>1053</v>
      </c>
      <c r="D118" s="19" t="s">
        <v>1054</v>
      </c>
      <c r="E118" s="10" t="s">
        <v>31</v>
      </c>
      <c r="F118" s="10" t="s">
        <v>32</v>
      </c>
      <c r="G118" s="10" t="s">
        <v>1055</v>
      </c>
      <c r="H118" s="10" t="s">
        <v>906</v>
      </c>
      <c r="I118" s="10" t="s">
        <v>35</v>
      </c>
      <c r="J118" s="10" t="s">
        <v>1056</v>
      </c>
      <c r="K118" s="9"/>
      <c r="L118" s="10" t="s">
        <v>37</v>
      </c>
      <c r="M118" s="10" t="s">
        <v>38</v>
      </c>
      <c r="N118" s="10"/>
      <c r="O118" s="12"/>
      <c r="P118" s="10" t="s">
        <v>1005</v>
      </c>
      <c r="Q118" s="10" t="s">
        <v>1057</v>
      </c>
      <c r="R118" s="10" t="s">
        <v>1058</v>
      </c>
      <c r="S118" s="10" t="s">
        <v>551</v>
      </c>
      <c r="T118" s="10" t="s">
        <v>552</v>
      </c>
      <c r="U118" s="10" t="s">
        <v>1059</v>
      </c>
      <c r="V118" s="10" t="s">
        <v>1059</v>
      </c>
      <c r="W118" s="12"/>
      <c r="X118" s="12"/>
      <c r="Y118" s="12"/>
      <c r="Z118" s="12"/>
      <c r="AA118" s="12"/>
      <c r="AB118" s="13"/>
      <c r="AC118" s="14" t="s">
        <v>1060</v>
      </c>
      <c r="AD118" s="13"/>
      <c r="AE118" s="13"/>
    </row>
    <row r="119">
      <c r="A119" s="10" t="s">
        <v>27</v>
      </c>
      <c r="B119" s="21" t="s">
        <v>130</v>
      </c>
      <c r="C119" s="10" t="s">
        <v>1061</v>
      </c>
      <c r="D119" s="28" t="s">
        <v>1062</v>
      </c>
      <c r="E119" s="10" t="s">
        <v>31</v>
      </c>
      <c r="F119" s="10" t="s">
        <v>32</v>
      </c>
      <c r="G119" s="10" t="s">
        <v>1026</v>
      </c>
      <c r="H119" s="10"/>
      <c r="I119" s="10"/>
      <c r="J119" s="10" t="s">
        <v>1063</v>
      </c>
      <c r="K119" s="9"/>
      <c r="L119" s="10" t="s">
        <v>74</v>
      </c>
      <c r="M119" s="10" t="s">
        <v>37</v>
      </c>
      <c r="N119" s="10" t="s">
        <v>1064</v>
      </c>
      <c r="O119" s="12"/>
      <c r="P119" s="10" t="s">
        <v>1065</v>
      </c>
      <c r="Q119" s="10" t="s">
        <v>638</v>
      </c>
      <c r="R119" s="10" t="s">
        <v>1066</v>
      </c>
      <c r="S119" s="10" t="s">
        <v>551</v>
      </c>
      <c r="T119" s="10" t="s">
        <v>552</v>
      </c>
      <c r="U119" s="10" t="s">
        <v>1059</v>
      </c>
      <c r="V119" s="10" t="s">
        <v>1059</v>
      </c>
      <c r="W119" s="12"/>
      <c r="X119" s="12"/>
      <c r="Y119" s="12"/>
      <c r="Z119" s="12"/>
      <c r="AA119" s="12"/>
      <c r="AB119" s="13"/>
      <c r="AC119" s="14" t="s">
        <v>1067</v>
      </c>
      <c r="AD119" s="13"/>
      <c r="AE119" s="13"/>
    </row>
    <row r="120">
      <c r="A120" s="10" t="s">
        <v>27</v>
      </c>
      <c r="B120" s="21" t="s">
        <v>130</v>
      </c>
      <c r="C120" s="10" t="s">
        <v>1068</v>
      </c>
      <c r="D120" s="19" t="s">
        <v>1069</v>
      </c>
      <c r="E120" s="10" t="s">
        <v>31</v>
      </c>
      <c r="F120" s="10" t="s">
        <v>32</v>
      </c>
      <c r="G120" s="10" t="s">
        <v>50</v>
      </c>
      <c r="H120" s="10" t="s">
        <v>906</v>
      </c>
      <c r="I120" s="10" t="s">
        <v>35</v>
      </c>
      <c r="J120" s="10" t="s">
        <v>1070</v>
      </c>
      <c r="K120" s="9"/>
      <c r="L120" s="10" t="s">
        <v>131</v>
      </c>
      <c r="M120" s="10" t="s">
        <v>74</v>
      </c>
      <c r="N120" s="10" t="s">
        <v>1071</v>
      </c>
      <c r="O120" s="12"/>
      <c r="P120" s="10" t="s">
        <v>1072</v>
      </c>
      <c r="Q120" s="10" t="s">
        <v>1073</v>
      </c>
      <c r="R120" s="10" t="s">
        <v>1074</v>
      </c>
      <c r="S120" s="10" t="s">
        <v>551</v>
      </c>
      <c r="T120" s="10" t="s">
        <v>552</v>
      </c>
      <c r="U120" s="10" t="s">
        <v>1059</v>
      </c>
      <c r="V120" s="10" t="s">
        <v>1059</v>
      </c>
      <c r="W120" s="12"/>
      <c r="X120" s="12"/>
      <c r="Y120" s="12"/>
      <c r="Z120" s="12"/>
      <c r="AA120" s="12"/>
      <c r="AB120" s="13"/>
      <c r="AC120" s="14" t="s">
        <v>1075</v>
      </c>
      <c r="AD120" s="13"/>
      <c r="AE120" s="13"/>
    </row>
    <row r="121">
      <c r="A121" s="10" t="s">
        <v>27</v>
      </c>
      <c r="B121" s="21" t="s">
        <v>130</v>
      </c>
      <c r="C121" s="10" t="s">
        <v>1076</v>
      </c>
      <c r="D121" s="19" t="s">
        <v>1077</v>
      </c>
      <c r="E121" s="10" t="s">
        <v>31</v>
      </c>
      <c r="F121" s="10" t="s">
        <v>32</v>
      </c>
      <c r="G121" s="10"/>
      <c r="H121" s="10"/>
      <c r="I121" s="10"/>
      <c r="J121" s="10"/>
      <c r="K121" s="9"/>
      <c r="L121" s="10"/>
      <c r="M121" s="10"/>
      <c r="N121" s="10"/>
      <c r="O121" s="12"/>
      <c r="P121" s="10" t="s">
        <v>1078</v>
      </c>
      <c r="Q121" s="10" t="s">
        <v>1079</v>
      </c>
      <c r="R121" s="10" t="s">
        <v>1080</v>
      </c>
      <c r="S121" s="10" t="s">
        <v>551</v>
      </c>
      <c r="T121" s="10" t="s">
        <v>552</v>
      </c>
      <c r="U121" s="10" t="s">
        <v>1059</v>
      </c>
      <c r="V121" s="10" t="s">
        <v>1081</v>
      </c>
      <c r="W121" s="12"/>
      <c r="X121" s="12"/>
      <c r="Y121" s="12"/>
      <c r="Z121" s="12"/>
      <c r="AA121" s="12"/>
      <c r="AB121" s="13"/>
      <c r="AC121" s="14" t="s">
        <v>1082</v>
      </c>
      <c r="AD121" s="13"/>
      <c r="AE121" s="13"/>
    </row>
    <row r="122">
      <c r="A122" s="10" t="s">
        <v>27</v>
      </c>
      <c r="B122" s="21" t="s">
        <v>130</v>
      </c>
      <c r="C122" s="10" t="s">
        <v>1083</v>
      </c>
      <c r="D122" s="19" t="s">
        <v>1084</v>
      </c>
      <c r="E122" s="10" t="s">
        <v>31</v>
      </c>
      <c r="F122" s="10" t="s">
        <v>32</v>
      </c>
      <c r="G122" s="10" t="s">
        <v>50</v>
      </c>
      <c r="H122" s="10" t="s">
        <v>906</v>
      </c>
      <c r="I122" s="10" t="s">
        <v>35</v>
      </c>
      <c r="J122" s="10" t="s">
        <v>1085</v>
      </c>
      <c r="K122" s="9"/>
      <c r="L122" s="10" t="s">
        <v>141</v>
      </c>
      <c r="M122" s="10" t="s">
        <v>84</v>
      </c>
      <c r="N122" s="10"/>
      <c r="O122" s="12"/>
      <c r="P122" s="10" t="s">
        <v>1086</v>
      </c>
      <c r="Q122" s="10" t="s">
        <v>1087</v>
      </c>
      <c r="R122" s="10" t="s">
        <v>1088</v>
      </c>
      <c r="S122" s="10" t="s">
        <v>551</v>
      </c>
      <c r="T122" s="10" t="s">
        <v>552</v>
      </c>
      <c r="U122" s="10" t="s">
        <v>1081</v>
      </c>
      <c r="V122" s="10" t="s">
        <v>1081</v>
      </c>
      <c r="W122" s="12"/>
      <c r="X122" s="12"/>
      <c r="Y122" s="12"/>
      <c r="Z122" s="12"/>
      <c r="AA122" s="12"/>
      <c r="AB122" s="13"/>
      <c r="AC122" s="14" t="s">
        <v>1089</v>
      </c>
      <c r="AD122" s="13"/>
      <c r="AE122" s="13"/>
    </row>
    <row r="123">
      <c r="A123" s="10" t="s">
        <v>27</v>
      </c>
      <c r="B123" s="21" t="s">
        <v>130</v>
      </c>
      <c r="C123" s="10" t="s">
        <v>1090</v>
      </c>
      <c r="D123" s="19" t="s">
        <v>1091</v>
      </c>
      <c r="E123" s="10" t="s">
        <v>31</v>
      </c>
      <c r="F123" s="10" t="s">
        <v>32</v>
      </c>
      <c r="G123" s="10" t="s">
        <v>50</v>
      </c>
      <c r="H123" s="10" t="s">
        <v>906</v>
      </c>
      <c r="I123" s="10" t="s">
        <v>35</v>
      </c>
      <c r="J123" s="10" t="s">
        <v>1092</v>
      </c>
      <c r="K123" s="9"/>
      <c r="L123" s="10" t="s">
        <v>1093</v>
      </c>
      <c r="M123" s="10" t="s">
        <v>430</v>
      </c>
      <c r="N123" s="10"/>
      <c r="O123" s="12"/>
      <c r="P123" s="10" t="s">
        <v>1094</v>
      </c>
      <c r="Q123" s="10" t="s">
        <v>1095</v>
      </c>
      <c r="R123" s="10" t="s">
        <v>1096</v>
      </c>
      <c r="S123" s="10" t="s">
        <v>551</v>
      </c>
      <c r="T123" s="10" t="s">
        <v>552</v>
      </c>
      <c r="U123" s="10" t="s">
        <v>1081</v>
      </c>
      <c r="V123" s="10" t="s">
        <v>1081</v>
      </c>
      <c r="W123" s="12"/>
      <c r="X123" s="12"/>
      <c r="Y123" s="12"/>
      <c r="Z123" s="12"/>
      <c r="AA123" s="12"/>
      <c r="AB123" s="13"/>
      <c r="AC123" s="14" t="s">
        <v>1097</v>
      </c>
      <c r="AD123" s="13"/>
      <c r="AE123" s="13"/>
    </row>
    <row r="124">
      <c r="A124" s="10" t="s">
        <v>27</v>
      </c>
      <c r="B124" s="21" t="s">
        <v>130</v>
      </c>
      <c r="C124" s="10" t="s">
        <v>1098</v>
      </c>
      <c r="D124" s="19" t="s">
        <v>1099</v>
      </c>
      <c r="E124" s="10" t="s">
        <v>31</v>
      </c>
      <c r="F124" s="10" t="s">
        <v>32</v>
      </c>
      <c r="G124" s="10" t="s">
        <v>50</v>
      </c>
      <c r="H124" s="10" t="s">
        <v>906</v>
      </c>
      <c r="I124" s="10" t="s">
        <v>35</v>
      </c>
      <c r="J124" s="10" t="s">
        <v>1100</v>
      </c>
      <c r="K124" s="9"/>
      <c r="L124" s="10" t="s">
        <v>38</v>
      </c>
      <c r="M124" s="10" t="s">
        <v>36</v>
      </c>
      <c r="N124" s="10"/>
      <c r="O124" s="12"/>
      <c r="P124" s="10" t="s">
        <v>271</v>
      </c>
      <c r="Q124" s="10" t="s">
        <v>1005</v>
      </c>
      <c r="R124" s="10" t="s">
        <v>1101</v>
      </c>
      <c r="S124" s="10" t="s">
        <v>551</v>
      </c>
      <c r="T124" s="10" t="s">
        <v>552</v>
      </c>
      <c r="U124" s="10" t="s">
        <v>1081</v>
      </c>
      <c r="V124" s="10" t="s">
        <v>1081</v>
      </c>
      <c r="W124" s="12"/>
      <c r="X124" s="12"/>
      <c r="Y124" s="12"/>
      <c r="Z124" s="12"/>
      <c r="AA124" s="12"/>
      <c r="AB124" s="13"/>
      <c r="AC124" s="14" t="s">
        <v>1102</v>
      </c>
      <c r="AD124" s="13"/>
      <c r="AE124" s="13"/>
    </row>
    <row r="125">
      <c r="A125" s="10" t="s">
        <v>27</v>
      </c>
      <c r="B125" s="21" t="s">
        <v>130</v>
      </c>
      <c r="C125" s="10" t="s">
        <v>1103</v>
      </c>
      <c r="D125" s="19" t="s">
        <v>1104</v>
      </c>
      <c r="E125" s="10" t="s">
        <v>31</v>
      </c>
      <c r="F125" s="10" t="s">
        <v>32</v>
      </c>
      <c r="G125" s="10" t="s">
        <v>1105</v>
      </c>
      <c r="H125" s="10" t="s">
        <v>34</v>
      </c>
      <c r="I125" s="10" t="s">
        <v>35</v>
      </c>
      <c r="J125" s="10" t="s">
        <v>1106</v>
      </c>
      <c r="K125" s="9"/>
      <c r="L125" s="10" t="s">
        <v>1107</v>
      </c>
      <c r="M125" s="10" t="s">
        <v>1108</v>
      </c>
      <c r="N125" s="10" t="s">
        <v>1109</v>
      </c>
      <c r="O125" s="12"/>
      <c r="P125" s="10" t="s">
        <v>1110</v>
      </c>
      <c r="Q125" s="10" t="s">
        <v>1111</v>
      </c>
      <c r="R125" s="10" t="s">
        <v>1112</v>
      </c>
      <c r="S125" s="10" t="s">
        <v>551</v>
      </c>
      <c r="T125" s="10" t="s">
        <v>552</v>
      </c>
      <c r="U125" s="10" t="s">
        <v>763</v>
      </c>
      <c r="V125" s="10" t="s">
        <v>1113</v>
      </c>
      <c r="W125" s="12"/>
      <c r="X125" s="12"/>
      <c r="Y125" s="12"/>
      <c r="Z125" s="12"/>
      <c r="AA125" s="12"/>
      <c r="AB125" s="13"/>
      <c r="AC125" s="14" t="s">
        <v>1114</v>
      </c>
      <c r="AD125" s="13"/>
      <c r="AE125" s="13"/>
    </row>
    <row r="126">
      <c r="A126" s="10" t="s">
        <v>27</v>
      </c>
      <c r="B126" s="21" t="s">
        <v>130</v>
      </c>
      <c r="C126" s="10" t="s">
        <v>1115</v>
      </c>
      <c r="D126" s="19" t="s">
        <v>1116</v>
      </c>
      <c r="E126" s="10" t="s">
        <v>31</v>
      </c>
      <c r="F126" s="10" t="s">
        <v>32</v>
      </c>
      <c r="G126" s="10" t="s">
        <v>50</v>
      </c>
      <c r="H126" s="10" t="s">
        <v>906</v>
      </c>
      <c r="I126" s="10" t="s">
        <v>35</v>
      </c>
      <c r="J126" s="10" t="s">
        <v>1117</v>
      </c>
      <c r="K126" s="9"/>
      <c r="L126" s="10" t="s">
        <v>75</v>
      </c>
      <c r="M126" s="10" t="s">
        <v>38</v>
      </c>
      <c r="N126" s="10"/>
      <c r="O126" s="12"/>
      <c r="P126" s="10" t="s">
        <v>1118</v>
      </c>
      <c r="Q126" s="10" t="s">
        <v>1005</v>
      </c>
      <c r="R126" s="10" t="s">
        <v>1119</v>
      </c>
      <c r="S126" s="10" t="s">
        <v>551</v>
      </c>
      <c r="T126" s="10" t="s">
        <v>552</v>
      </c>
      <c r="U126" s="10" t="s">
        <v>1120</v>
      </c>
      <c r="V126" s="10" t="s">
        <v>1120</v>
      </c>
      <c r="W126" s="12"/>
      <c r="X126" s="12"/>
      <c r="Y126" s="12"/>
      <c r="Z126" s="12"/>
      <c r="AA126" s="12"/>
      <c r="AB126" s="13"/>
      <c r="AC126" s="14" t="s">
        <v>1121</v>
      </c>
      <c r="AD126" s="13"/>
      <c r="AE126" s="13"/>
    </row>
    <row r="127">
      <c r="A127" s="29">
        <v>60.0</v>
      </c>
      <c r="B127" s="29">
        <v>15.0</v>
      </c>
      <c r="C127" s="29" t="s">
        <v>1122</v>
      </c>
      <c r="D127" s="18" t="s">
        <v>1123</v>
      </c>
      <c r="E127" s="10" t="s">
        <v>31</v>
      </c>
      <c r="F127" s="10" t="s">
        <v>32</v>
      </c>
      <c r="G127" s="18" t="s">
        <v>50</v>
      </c>
      <c r="H127" s="18" t="s">
        <v>906</v>
      </c>
      <c r="I127" s="18" t="s">
        <v>35</v>
      </c>
      <c r="J127" s="18" t="s">
        <v>1124</v>
      </c>
      <c r="K127" s="30"/>
      <c r="L127" s="18">
        <v>18.0</v>
      </c>
      <c r="M127" s="18">
        <v>9.0</v>
      </c>
      <c r="N127" s="18" t="s">
        <v>1125</v>
      </c>
      <c r="O127" s="30"/>
      <c r="P127" s="18" t="s">
        <v>1126</v>
      </c>
      <c r="Q127" s="18" t="s">
        <v>1127</v>
      </c>
      <c r="R127" s="18" t="s">
        <v>1128</v>
      </c>
      <c r="S127" s="18" t="s">
        <v>551</v>
      </c>
      <c r="T127" s="18" t="s">
        <v>552</v>
      </c>
      <c r="U127" s="31">
        <v>44776.0</v>
      </c>
      <c r="V127" s="31">
        <v>44776.0</v>
      </c>
      <c r="W127" s="30"/>
      <c r="X127" s="30"/>
      <c r="Y127" s="30"/>
      <c r="Z127" s="30"/>
      <c r="AA127" s="30"/>
      <c r="AB127" s="30"/>
      <c r="AC127" s="14" t="s">
        <v>1129</v>
      </c>
      <c r="AD127" s="30"/>
      <c r="AE127" s="30"/>
    </row>
    <row r="128">
      <c r="A128" s="29">
        <v>60.0</v>
      </c>
      <c r="B128" s="29">
        <v>15.0</v>
      </c>
      <c r="C128" s="29" t="s">
        <v>1130</v>
      </c>
      <c r="D128" s="18" t="s">
        <v>1131</v>
      </c>
      <c r="E128" s="10" t="s">
        <v>31</v>
      </c>
      <c r="F128" s="10" t="s">
        <v>32</v>
      </c>
      <c r="G128" s="18" t="s">
        <v>50</v>
      </c>
      <c r="H128" s="18" t="s">
        <v>906</v>
      </c>
      <c r="I128" s="18" t="s">
        <v>35</v>
      </c>
      <c r="J128" s="18" t="s">
        <v>1132</v>
      </c>
      <c r="K128" s="30"/>
      <c r="L128" s="18">
        <v>6.0</v>
      </c>
      <c r="M128" s="18">
        <v>4.0</v>
      </c>
      <c r="N128" s="30"/>
      <c r="O128" s="30"/>
      <c r="P128" s="18" t="s">
        <v>271</v>
      </c>
      <c r="Q128" s="18" t="s">
        <v>1133</v>
      </c>
      <c r="R128" s="18" t="s">
        <v>1134</v>
      </c>
      <c r="S128" s="18" t="s">
        <v>551</v>
      </c>
      <c r="T128" s="18" t="s">
        <v>552</v>
      </c>
      <c r="U128" s="31">
        <v>44776.0</v>
      </c>
      <c r="V128" s="31">
        <v>44776.0</v>
      </c>
      <c r="W128" s="30"/>
      <c r="X128" s="30"/>
      <c r="Y128" s="30"/>
      <c r="Z128" s="30"/>
      <c r="AA128" s="30"/>
      <c r="AB128" s="30"/>
      <c r="AC128" s="14" t="s">
        <v>1135</v>
      </c>
      <c r="AD128" s="30"/>
      <c r="AE128" s="30"/>
    </row>
    <row r="129">
      <c r="A129" s="29">
        <v>60.0</v>
      </c>
      <c r="B129" s="29">
        <v>15.0</v>
      </c>
      <c r="C129" s="29" t="s">
        <v>1136</v>
      </c>
      <c r="D129" s="18" t="s">
        <v>1137</v>
      </c>
      <c r="E129" s="10" t="s">
        <v>31</v>
      </c>
      <c r="F129" s="10" t="s">
        <v>32</v>
      </c>
      <c r="G129" s="18" t="s">
        <v>50</v>
      </c>
      <c r="H129" s="18" t="s">
        <v>906</v>
      </c>
      <c r="I129" s="18" t="s">
        <v>35</v>
      </c>
      <c r="J129" s="18" t="s">
        <v>1138</v>
      </c>
      <c r="K129" s="30"/>
      <c r="L129" s="18">
        <v>16.0</v>
      </c>
      <c r="M129" s="18">
        <v>8.0</v>
      </c>
      <c r="N129" s="30"/>
      <c r="O129" s="30"/>
      <c r="P129" s="18" t="s">
        <v>1139</v>
      </c>
      <c r="Q129" s="18" t="s">
        <v>1140</v>
      </c>
      <c r="R129" s="18" t="s">
        <v>1141</v>
      </c>
      <c r="S129" s="18" t="s">
        <v>551</v>
      </c>
      <c r="T129" s="18" t="s">
        <v>552</v>
      </c>
      <c r="U129" s="31">
        <v>44776.0</v>
      </c>
      <c r="V129" s="31">
        <v>44776.0</v>
      </c>
      <c r="W129" s="30"/>
      <c r="X129" s="30"/>
      <c r="Y129" s="30"/>
      <c r="Z129" s="30"/>
      <c r="AA129" s="30"/>
      <c r="AB129" s="30"/>
      <c r="AC129" s="14" t="s">
        <v>1142</v>
      </c>
      <c r="AD129" s="30"/>
      <c r="AE129" s="30"/>
    </row>
    <row r="130">
      <c r="A130" s="29">
        <v>60.0</v>
      </c>
      <c r="B130" s="29">
        <v>15.0</v>
      </c>
      <c r="C130" s="29" t="s">
        <v>1143</v>
      </c>
      <c r="D130" s="18" t="s">
        <v>1144</v>
      </c>
      <c r="E130" s="10" t="s">
        <v>31</v>
      </c>
      <c r="F130" s="10" t="s">
        <v>32</v>
      </c>
      <c r="G130" s="18" t="s">
        <v>50</v>
      </c>
      <c r="H130" s="18" t="s">
        <v>906</v>
      </c>
      <c r="I130" s="18" t="s">
        <v>35</v>
      </c>
      <c r="J130" s="18" t="s">
        <v>1145</v>
      </c>
      <c r="K130" s="30"/>
      <c r="L130" s="18">
        <v>8.0</v>
      </c>
      <c r="M130" s="18">
        <v>4.0</v>
      </c>
      <c r="N130" s="30"/>
      <c r="O130" s="30"/>
      <c r="P130" s="18" t="s">
        <v>1146</v>
      </c>
      <c r="Q130" s="18" t="s">
        <v>1147</v>
      </c>
      <c r="R130" s="18" t="s">
        <v>1148</v>
      </c>
      <c r="S130" s="18" t="s">
        <v>551</v>
      </c>
      <c r="T130" s="18" t="s">
        <v>552</v>
      </c>
      <c r="U130" s="31">
        <v>44776.0</v>
      </c>
      <c r="V130" s="31">
        <v>44776.0</v>
      </c>
      <c r="W130" s="30"/>
      <c r="X130" s="30"/>
      <c r="Y130" s="30"/>
      <c r="Z130" s="30"/>
      <c r="AA130" s="30"/>
      <c r="AB130" s="30"/>
      <c r="AC130" s="14" t="s">
        <v>1149</v>
      </c>
      <c r="AD130" s="30"/>
      <c r="AE130" s="30"/>
    </row>
    <row r="131">
      <c r="A131" s="9" t="s">
        <v>27</v>
      </c>
      <c r="B131" s="9" t="s">
        <v>951</v>
      </c>
      <c r="C131" s="10" t="s">
        <v>1150</v>
      </c>
      <c r="D131" s="10" t="s">
        <v>1151</v>
      </c>
      <c r="E131" s="10" t="s">
        <v>31</v>
      </c>
      <c r="F131" s="10" t="s">
        <v>32</v>
      </c>
      <c r="G131" s="9" t="s">
        <v>1152</v>
      </c>
      <c r="H131" s="10" t="s">
        <v>34</v>
      </c>
      <c r="I131" s="10" t="s">
        <v>35</v>
      </c>
      <c r="J131" s="9" t="s">
        <v>1153</v>
      </c>
      <c r="K131" s="9"/>
      <c r="L131" s="9" t="s">
        <v>63</v>
      </c>
      <c r="M131" s="9" t="s">
        <v>75</v>
      </c>
      <c r="N131" s="9"/>
      <c r="O131" s="12"/>
      <c r="P131" s="9" t="s">
        <v>1154</v>
      </c>
      <c r="Q131" s="10" t="s">
        <v>1155</v>
      </c>
      <c r="R131" s="10" t="s">
        <v>1156</v>
      </c>
      <c r="S131" s="9" t="s">
        <v>41</v>
      </c>
      <c r="T131" s="9" t="s">
        <v>42</v>
      </c>
      <c r="U131" s="9" t="s">
        <v>622</v>
      </c>
      <c r="V131" s="9" t="s">
        <v>622</v>
      </c>
      <c r="W131" s="12"/>
      <c r="X131" s="12"/>
      <c r="Y131" s="12"/>
      <c r="Z131" s="12"/>
      <c r="AA131" s="12"/>
      <c r="AB131" s="13"/>
      <c r="AC131" s="14" t="s">
        <v>1157</v>
      </c>
      <c r="AD131" s="13"/>
      <c r="AE131" s="13"/>
    </row>
    <row r="132">
      <c r="A132" s="10" t="s">
        <v>27</v>
      </c>
      <c r="B132" s="10" t="s">
        <v>951</v>
      </c>
      <c r="C132" s="10" t="s">
        <v>1158</v>
      </c>
      <c r="D132" s="10" t="s">
        <v>1159</v>
      </c>
      <c r="E132" s="10" t="s">
        <v>31</v>
      </c>
      <c r="F132" s="10" t="s">
        <v>32</v>
      </c>
      <c r="G132" s="10" t="s">
        <v>50</v>
      </c>
      <c r="H132" s="10" t="s">
        <v>906</v>
      </c>
      <c r="I132" s="10" t="s">
        <v>35</v>
      </c>
      <c r="J132" s="10" t="s">
        <v>1160</v>
      </c>
      <c r="K132" s="9"/>
      <c r="L132" s="10" t="s">
        <v>141</v>
      </c>
      <c r="M132" s="10" t="s">
        <v>84</v>
      </c>
      <c r="N132" s="9"/>
      <c r="O132" s="12"/>
      <c r="P132" s="10" t="s">
        <v>1161</v>
      </c>
      <c r="Q132" s="10" t="s">
        <v>1162</v>
      </c>
      <c r="R132" s="10" t="s">
        <v>1163</v>
      </c>
      <c r="S132" s="10" t="s">
        <v>551</v>
      </c>
      <c r="T132" s="10" t="s">
        <v>552</v>
      </c>
      <c r="U132" s="10" t="s">
        <v>1120</v>
      </c>
      <c r="V132" s="10" t="s">
        <v>1120</v>
      </c>
      <c r="W132" s="12"/>
      <c r="X132" s="12"/>
      <c r="Y132" s="12"/>
      <c r="Z132" s="12"/>
      <c r="AA132" s="12"/>
      <c r="AB132" s="13"/>
      <c r="AC132" s="14" t="s">
        <v>1164</v>
      </c>
      <c r="AD132" s="13"/>
      <c r="AE132" s="13"/>
    </row>
    <row r="133">
      <c r="A133" s="10" t="s">
        <v>27</v>
      </c>
      <c r="B133" s="10" t="s">
        <v>951</v>
      </c>
      <c r="C133" s="10" t="s">
        <v>1165</v>
      </c>
      <c r="D133" s="10" t="s">
        <v>1166</v>
      </c>
      <c r="E133" s="10" t="s">
        <v>31</v>
      </c>
      <c r="F133" s="10" t="s">
        <v>32</v>
      </c>
      <c r="G133" s="10" t="s">
        <v>50</v>
      </c>
      <c r="H133" s="10" t="s">
        <v>906</v>
      </c>
      <c r="I133" s="10" t="s">
        <v>35</v>
      </c>
      <c r="J133" s="10" t="s">
        <v>1167</v>
      </c>
      <c r="K133" s="9"/>
      <c r="L133" s="10" t="s">
        <v>711</v>
      </c>
      <c r="M133" s="10" t="s">
        <v>367</v>
      </c>
      <c r="N133" s="9"/>
      <c r="O133" s="12"/>
      <c r="P133" s="10" t="s">
        <v>1168</v>
      </c>
      <c r="Q133" s="10" t="s">
        <v>1169</v>
      </c>
      <c r="R133" s="10" t="s">
        <v>1170</v>
      </c>
      <c r="S133" s="10" t="s">
        <v>551</v>
      </c>
      <c r="T133" s="10" t="s">
        <v>552</v>
      </c>
      <c r="U133" s="10" t="s">
        <v>1120</v>
      </c>
      <c r="V133" s="10" t="s">
        <v>1171</v>
      </c>
      <c r="W133" s="12"/>
      <c r="X133" s="12"/>
      <c r="Y133" s="12"/>
      <c r="Z133" s="12"/>
      <c r="AA133" s="12"/>
      <c r="AB133" s="13"/>
      <c r="AC133" s="14" t="s">
        <v>1172</v>
      </c>
      <c r="AD133" s="13"/>
      <c r="AE133" s="13"/>
    </row>
    <row r="134">
      <c r="A134" s="10" t="s">
        <v>27</v>
      </c>
      <c r="B134" s="10" t="s">
        <v>951</v>
      </c>
      <c r="C134" s="10" t="s">
        <v>1173</v>
      </c>
      <c r="D134" s="10" t="s">
        <v>1174</v>
      </c>
      <c r="E134" s="10" t="s">
        <v>31</v>
      </c>
      <c r="F134" s="10" t="s">
        <v>32</v>
      </c>
      <c r="G134" s="10" t="s">
        <v>50</v>
      </c>
      <c r="H134" s="10" t="s">
        <v>906</v>
      </c>
      <c r="I134" s="10" t="s">
        <v>35</v>
      </c>
      <c r="J134" s="10" t="s">
        <v>1175</v>
      </c>
      <c r="K134" s="9"/>
      <c r="L134" s="10" t="s">
        <v>141</v>
      </c>
      <c r="M134" s="10" t="s">
        <v>84</v>
      </c>
      <c r="N134" s="9"/>
      <c r="O134" s="12"/>
      <c r="P134" s="10" t="s">
        <v>1176</v>
      </c>
      <c r="Q134" s="10" t="s">
        <v>1177</v>
      </c>
      <c r="R134" s="10" t="s">
        <v>1178</v>
      </c>
      <c r="S134" s="10" t="s">
        <v>551</v>
      </c>
      <c r="T134" s="10" t="s">
        <v>552</v>
      </c>
      <c r="U134" s="10" t="s">
        <v>1171</v>
      </c>
      <c r="V134" s="10" t="s">
        <v>1171</v>
      </c>
      <c r="W134" s="12"/>
      <c r="X134" s="12"/>
      <c r="Y134" s="12"/>
      <c r="Z134" s="12"/>
      <c r="AA134" s="12"/>
      <c r="AB134" s="13"/>
      <c r="AC134" s="14" t="s">
        <v>1179</v>
      </c>
      <c r="AD134" s="13"/>
      <c r="AE134" s="13"/>
    </row>
    <row r="135">
      <c r="A135" s="9" t="s">
        <v>27</v>
      </c>
      <c r="B135" s="9" t="s">
        <v>951</v>
      </c>
      <c r="C135" s="10" t="s">
        <v>1180</v>
      </c>
      <c r="D135" s="18" t="s">
        <v>1181</v>
      </c>
      <c r="E135" s="10" t="s">
        <v>31</v>
      </c>
      <c r="F135" s="10" t="s">
        <v>32</v>
      </c>
      <c r="G135" s="10" t="s">
        <v>50</v>
      </c>
      <c r="H135" s="10" t="s">
        <v>906</v>
      </c>
      <c r="I135" s="10" t="s">
        <v>35</v>
      </c>
      <c r="J135" s="18" t="s">
        <v>1182</v>
      </c>
      <c r="K135" s="30"/>
      <c r="L135" s="18">
        <v>14.0</v>
      </c>
      <c r="M135" s="18">
        <v>13.0</v>
      </c>
      <c r="N135" s="10" t="s">
        <v>1183</v>
      </c>
      <c r="O135" s="18" t="s">
        <v>1184</v>
      </c>
      <c r="P135" s="18" t="s">
        <v>1118</v>
      </c>
      <c r="Q135" s="18" t="s">
        <v>1005</v>
      </c>
      <c r="R135" s="18" t="s">
        <v>1185</v>
      </c>
      <c r="S135" s="9" t="s">
        <v>41</v>
      </c>
      <c r="T135" s="9" t="s">
        <v>42</v>
      </c>
      <c r="U135" s="9" t="s">
        <v>622</v>
      </c>
      <c r="V135" s="9" t="s">
        <v>622</v>
      </c>
      <c r="W135" s="18" t="s">
        <v>551</v>
      </c>
      <c r="X135" s="18" t="s">
        <v>552</v>
      </c>
      <c r="Y135" s="31">
        <v>44777.0</v>
      </c>
      <c r="Z135" s="31">
        <v>44777.0</v>
      </c>
      <c r="AA135" s="12"/>
      <c r="AB135" s="13"/>
      <c r="AC135" s="14" t="s">
        <v>1186</v>
      </c>
      <c r="AD135" s="13"/>
      <c r="AE135" s="13"/>
    </row>
    <row r="136">
      <c r="A136" s="10" t="s">
        <v>27</v>
      </c>
      <c r="B136" s="10" t="s">
        <v>141</v>
      </c>
      <c r="C136" s="10" t="s">
        <v>1187</v>
      </c>
      <c r="D136" s="10" t="s">
        <v>1188</v>
      </c>
      <c r="E136" s="10" t="s">
        <v>31</v>
      </c>
      <c r="F136" s="10" t="s">
        <v>32</v>
      </c>
      <c r="G136" s="9"/>
      <c r="H136" s="9"/>
      <c r="I136" s="9"/>
      <c r="J136" s="9"/>
      <c r="K136" s="9"/>
      <c r="L136" s="9"/>
      <c r="M136" s="9"/>
      <c r="N136" s="10" t="s">
        <v>874</v>
      </c>
      <c r="O136" s="12"/>
      <c r="P136" s="10" t="s">
        <v>1189</v>
      </c>
      <c r="Q136" s="10" t="s">
        <v>1190</v>
      </c>
      <c r="R136" s="10" t="s">
        <v>1191</v>
      </c>
      <c r="S136" s="10" t="s">
        <v>1192</v>
      </c>
      <c r="T136" s="10" t="s">
        <v>1193</v>
      </c>
      <c r="U136" s="9"/>
      <c r="V136" s="10" t="s">
        <v>1194</v>
      </c>
      <c r="W136" s="12"/>
      <c r="X136" s="12"/>
      <c r="Y136" s="12"/>
      <c r="Z136" s="12"/>
      <c r="AA136" s="12"/>
      <c r="AB136" s="13"/>
      <c r="AC136" s="14" t="s">
        <v>1195</v>
      </c>
      <c r="AD136" s="13"/>
      <c r="AE136" s="13"/>
    </row>
    <row r="137">
      <c r="A137" s="10" t="s">
        <v>27</v>
      </c>
      <c r="B137" s="10" t="s">
        <v>141</v>
      </c>
      <c r="C137" s="10" t="s">
        <v>1196</v>
      </c>
      <c r="D137" s="10" t="s">
        <v>1197</v>
      </c>
      <c r="E137" s="10" t="s">
        <v>31</v>
      </c>
      <c r="F137" s="10" t="s">
        <v>32</v>
      </c>
      <c r="G137" s="10" t="s">
        <v>50</v>
      </c>
      <c r="H137" s="10" t="s">
        <v>906</v>
      </c>
      <c r="I137" s="10" t="s">
        <v>35</v>
      </c>
      <c r="J137" s="10" t="s">
        <v>1198</v>
      </c>
      <c r="K137" s="9"/>
      <c r="L137" s="10" t="s">
        <v>141</v>
      </c>
      <c r="M137" s="10" t="s">
        <v>84</v>
      </c>
      <c r="N137" s="27"/>
      <c r="O137" s="10" t="s">
        <v>1199</v>
      </c>
      <c r="P137" s="10" t="s">
        <v>1200</v>
      </c>
      <c r="Q137" s="10" t="s">
        <v>1201</v>
      </c>
      <c r="R137" s="10" t="s">
        <v>1202</v>
      </c>
      <c r="S137" s="10" t="s">
        <v>551</v>
      </c>
      <c r="T137" s="10" t="s">
        <v>552</v>
      </c>
      <c r="U137" s="10" t="s">
        <v>1171</v>
      </c>
      <c r="V137" s="10" t="s">
        <v>1171</v>
      </c>
      <c r="W137" s="12"/>
      <c r="X137" s="12"/>
      <c r="Y137" s="12"/>
      <c r="Z137" s="12"/>
      <c r="AA137" s="12"/>
      <c r="AB137" s="13"/>
      <c r="AC137" s="14" t="s">
        <v>1203</v>
      </c>
      <c r="AD137" s="13"/>
      <c r="AE137" s="13"/>
    </row>
    <row r="138">
      <c r="A138" s="10" t="s">
        <v>27</v>
      </c>
      <c r="B138" s="10" t="s">
        <v>141</v>
      </c>
      <c r="C138" s="10" t="s">
        <v>1204</v>
      </c>
      <c r="D138" s="10" t="s">
        <v>1205</v>
      </c>
      <c r="E138" s="10" t="s">
        <v>31</v>
      </c>
      <c r="F138" s="10" t="s">
        <v>32</v>
      </c>
      <c r="G138" s="10" t="s">
        <v>50</v>
      </c>
      <c r="H138" s="10" t="s">
        <v>906</v>
      </c>
      <c r="I138" s="10" t="s">
        <v>35</v>
      </c>
      <c r="J138" s="10" t="s">
        <v>1206</v>
      </c>
      <c r="K138" s="9"/>
      <c r="L138" s="10" t="s">
        <v>577</v>
      </c>
      <c r="M138" s="10" t="s">
        <v>63</v>
      </c>
      <c r="N138" s="9"/>
      <c r="O138" s="12"/>
      <c r="P138" s="10" t="s">
        <v>1207</v>
      </c>
      <c r="Q138" s="10" t="s">
        <v>1005</v>
      </c>
      <c r="R138" s="10" t="s">
        <v>1208</v>
      </c>
      <c r="S138" s="10" t="s">
        <v>551</v>
      </c>
      <c r="T138" s="10" t="s">
        <v>552</v>
      </c>
      <c r="U138" s="10" t="s">
        <v>1171</v>
      </c>
      <c r="V138" s="10" t="s">
        <v>1171</v>
      </c>
      <c r="W138" s="12"/>
      <c r="X138" s="12"/>
      <c r="Y138" s="12"/>
      <c r="Z138" s="12"/>
      <c r="AA138" s="12"/>
      <c r="AB138" s="13"/>
      <c r="AC138" s="14" t="s">
        <v>1209</v>
      </c>
      <c r="AD138" s="13"/>
      <c r="AE138" s="13"/>
    </row>
    <row r="139">
      <c r="A139" s="10" t="s">
        <v>27</v>
      </c>
      <c r="B139" s="10" t="s">
        <v>141</v>
      </c>
      <c r="C139" s="10" t="s">
        <v>1210</v>
      </c>
      <c r="D139" s="10" t="s">
        <v>1211</v>
      </c>
      <c r="E139" s="10" t="s">
        <v>31</v>
      </c>
      <c r="F139" s="10" t="s">
        <v>32</v>
      </c>
      <c r="G139" s="10" t="s">
        <v>50</v>
      </c>
      <c r="H139" s="10" t="s">
        <v>906</v>
      </c>
      <c r="I139" s="10" t="s">
        <v>35</v>
      </c>
      <c r="J139" s="10" t="s">
        <v>1212</v>
      </c>
      <c r="K139" s="9"/>
      <c r="L139" s="10" t="s">
        <v>297</v>
      </c>
      <c r="M139" s="10" t="s">
        <v>226</v>
      </c>
      <c r="N139" s="9"/>
      <c r="O139" s="12"/>
      <c r="P139" s="10" t="s">
        <v>1213</v>
      </c>
      <c r="Q139" s="10" t="s">
        <v>1005</v>
      </c>
      <c r="R139" s="10" t="s">
        <v>1214</v>
      </c>
      <c r="S139" s="10" t="s">
        <v>551</v>
      </c>
      <c r="T139" s="10" t="s">
        <v>552</v>
      </c>
      <c r="U139" s="10" t="s">
        <v>1171</v>
      </c>
      <c r="V139" s="10" t="s">
        <v>1171</v>
      </c>
      <c r="W139" s="12"/>
      <c r="X139" s="12"/>
      <c r="Y139" s="12"/>
      <c r="Z139" s="12"/>
      <c r="AA139" s="12"/>
      <c r="AB139" s="13"/>
      <c r="AC139" s="14" t="s">
        <v>1215</v>
      </c>
      <c r="AD139" s="13"/>
      <c r="AE139" s="13"/>
    </row>
    <row r="140">
      <c r="A140" s="10" t="s">
        <v>27</v>
      </c>
      <c r="B140" s="10" t="s">
        <v>141</v>
      </c>
      <c r="C140" s="10" t="s">
        <v>1216</v>
      </c>
      <c r="D140" s="10" t="s">
        <v>1217</v>
      </c>
      <c r="E140" s="10" t="s">
        <v>31</v>
      </c>
      <c r="F140" s="10" t="s">
        <v>32</v>
      </c>
      <c r="G140" s="10" t="s">
        <v>50</v>
      </c>
      <c r="H140" s="10" t="s">
        <v>906</v>
      </c>
      <c r="I140" s="10" t="s">
        <v>35</v>
      </c>
      <c r="J140" s="10" t="s">
        <v>1218</v>
      </c>
      <c r="K140" s="9"/>
      <c r="L140" s="10" t="s">
        <v>297</v>
      </c>
      <c r="M140" s="10" t="s">
        <v>226</v>
      </c>
      <c r="N140" s="9"/>
      <c r="O140" s="12"/>
      <c r="P140" s="10" t="s">
        <v>1219</v>
      </c>
      <c r="Q140" s="10" t="s">
        <v>1220</v>
      </c>
      <c r="R140" s="10" t="s">
        <v>1221</v>
      </c>
      <c r="S140" s="10" t="s">
        <v>551</v>
      </c>
      <c r="T140" s="10" t="s">
        <v>552</v>
      </c>
      <c r="U140" s="10" t="s">
        <v>1171</v>
      </c>
      <c r="V140" s="10" t="s">
        <v>1171</v>
      </c>
      <c r="W140" s="12"/>
      <c r="X140" s="12"/>
      <c r="Y140" s="12"/>
      <c r="Z140" s="12"/>
      <c r="AA140" s="12"/>
      <c r="AB140" s="13"/>
      <c r="AC140" s="14" t="s">
        <v>1222</v>
      </c>
      <c r="AD140" s="13"/>
      <c r="AE140" s="13"/>
    </row>
    <row r="141">
      <c r="A141" s="10" t="s">
        <v>27</v>
      </c>
      <c r="B141" s="10" t="s">
        <v>141</v>
      </c>
      <c r="C141" s="10" t="s">
        <v>1223</v>
      </c>
      <c r="D141" s="10" t="s">
        <v>1224</v>
      </c>
      <c r="E141" s="10" t="s">
        <v>31</v>
      </c>
      <c r="F141" s="10" t="s">
        <v>32</v>
      </c>
      <c r="G141" s="10" t="s">
        <v>50</v>
      </c>
      <c r="H141" s="10" t="s">
        <v>906</v>
      </c>
      <c r="I141" s="10" t="s">
        <v>35</v>
      </c>
      <c r="J141" s="10" t="s">
        <v>1225</v>
      </c>
      <c r="K141" s="9"/>
      <c r="L141" s="10" t="s">
        <v>63</v>
      </c>
      <c r="M141" s="10" t="s">
        <v>37</v>
      </c>
      <c r="N141" s="9"/>
      <c r="O141" s="12"/>
      <c r="P141" s="10" t="s">
        <v>1226</v>
      </c>
      <c r="Q141" s="10" t="s">
        <v>1227</v>
      </c>
      <c r="R141" s="10" t="s">
        <v>1228</v>
      </c>
      <c r="S141" s="10" t="s">
        <v>551</v>
      </c>
      <c r="T141" s="10" t="s">
        <v>552</v>
      </c>
      <c r="U141" s="10" t="s">
        <v>1171</v>
      </c>
      <c r="V141" s="10" t="s">
        <v>1171</v>
      </c>
      <c r="W141" s="12"/>
      <c r="X141" s="12"/>
      <c r="Y141" s="12"/>
      <c r="Z141" s="12"/>
      <c r="AA141" s="12"/>
      <c r="AB141" s="13"/>
      <c r="AC141" s="14" t="s">
        <v>1229</v>
      </c>
      <c r="AD141" s="13"/>
      <c r="AE141" s="13"/>
    </row>
    <row r="142">
      <c r="A142" s="10" t="s">
        <v>27</v>
      </c>
      <c r="B142" s="10" t="s">
        <v>739</v>
      </c>
      <c r="C142" s="10" t="s">
        <v>1230</v>
      </c>
      <c r="D142" s="10" t="s">
        <v>1231</v>
      </c>
      <c r="E142" s="10" t="s">
        <v>31</v>
      </c>
      <c r="F142" s="10" t="s">
        <v>32</v>
      </c>
      <c r="G142" s="10" t="s">
        <v>50</v>
      </c>
      <c r="H142" s="10" t="s">
        <v>906</v>
      </c>
      <c r="I142" s="10" t="s">
        <v>35</v>
      </c>
      <c r="J142" s="10" t="s">
        <v>1232</v>
      </c>
      <c r="K142" s="9"/>
      <c r="L142" s="10" t="s">
        <v>577</v>
      </c>
      <c r="M142" s="10" t="s">
        <v>63</v>
      </c>
      <c r="N142" s="9"/>
      <c r="O142" s="12"/>
      <c r="P142" s="10" t="s">
        <v>1233</v>
      </c>
      <c r="Q142" s="10" t="s">
        <v>1234</v>
      </c>
      <c r="R142" s="10" t="s">
        <v>1235</v>
      </c>
      <c r="S142" s="10" t="s">
        <v>551</v>
      </c>
      <c r="T142" s="10" t="s">
        <v>552</v>
      </c>
      <c r="U142" s="10" t="s">
        <v>1236</v>
      </c>
      <c r="V142" s="10" t="s">
        <v>1236</v>
      </c>
      <c r="W142" s="12"/>
      <c r="X142" s="12"/>
      <c r="Y142" s="12"/>
      <c r="Z142" s="12"/>
      <c r="AA142" s="12"/>
      <c r="AB142" s="13"/>
      <c r="AC142" s="14" t="s">
        <v>1237</v>
      </c>
      <c r="AD142" s="13"/>
      <c r="AE142" s="13"/>
    </row>
    <row r="143">
      <c r="A143" s="10" t="s">
        <v>27</v>
      </c>
      <c r="B143" s="10" t="s">
        <v>739</v>
      </c>
      <c r="C143" s="10" t="s">
        <v>1238</v>
      </c>
      <c r="D143" s="10" t="s">
        <v>1239</v>
      </c>
      <c r="E143" s="10" t="s">
        <v>31</v>
      </c>
      <c r="F143" s="10" t="s">
        <v>32</v>
      </c>
      <c r="G143" s="10" t="s">
        <v>50</v>
      </c>
      <c r="H143" s="10" t="s">
        <v>906</v>
      </c>
      <c r="I143" s="10" t="s">
        <v>35</v>
      </c>
      <c r="J143" s="10" t="s">
        <v>1240</v>
      </c>
      <c r="K143" s="9"/>
      <c r="L143" s="10" t="s">
        <v>75</v>
      </c>
      <c r="M143" s="10" t="s">
        <v>38</v>
      </c>
      <c r="N143" s="9"/>
      <c r="O143" s="12"/>
      <c r="P143" s="10" t="s">
        <v>271</v>
      </c>
      <c r="Q143" s="10" t="s">
        <v>1005</v>
      </c>
      <c r="R143" s="10" t="s">
        <v>1241</v>
      </c>
      <c r="S143" s="10" t="s">
        <v>551</v>
      </c>
      <c r="T143" s="10" t="s">
        <v>552</v>
      </c>
      <c r="U143" s="10" t="s">
        <v>1236</v>
      </c>
      <c r="V143" s="10" t="s">
        <v>1236</v>
      </c>
      <c r="W143" s="12"/>
      <c r="X143" s="12"/>
      <c r="Y143" s="12"/>
      <c r="Z143" s="12"/>
      <c r="AA143" s="12"/>
      <c r="AB143" s="13"/>
      <c r="AC143" s="14" t="s">
        <v>1242</v>
      </c>
      <c r="AD143" s="13"/>
      <c r="AE143" s="13"/>
    </row>
    <row r="144">
      <c r="A144" s="10" t="s">
        <v>27</v>
      </c>
      <c r="B144" s="10" t="s">
        <v>739</v>
      </c>
      <c r="C144" s="10" t="s">
        <v>1243</v>
      </c>
      <c r="D144" s="10" t="s">
        <v>1244</v>
      </c>
      <c r="E144" s="10" t="s">
        <v>31</v>
      </c>
      <c r="F144" s="10" t="s">
        <v>32</v>
      </c>
      <c r="G144" s="10" t="s">
        <v>50</v>
      </c>
      <c r="H144" s="10" t="s">
        <v>906</v>
      </c>
      <c r="I144" s="10" t="s">
        <v>35</v>
      </c>
      <c r="J144" s="10" t="s">
        <v>1245</v>
      </c>
      <c r="K144" s="9"/>
      <c r="L144" s="10" t="s">
        <v>37</v>
      </c>
      <c r="M144" s="10" t="s">
        <v>38</v>
      </c>
      <c r="N144" s="10" t="s">
        <v>1246</v>
      </c>
      <c r="O144" s="14" t="s">
        <v>1247</v>
      </c>
      <c r="P144" s="10" t="s">
        <v>1248</v>
      </c>
      <c r="Q144" s="10" t="s">
        <v>1005</v>
      </c>
      <c r="R144" s="10" t="s">
        <v>1249</v>
      </c>
      <c r="S144" s="10" t="s">
        <v>551</v>
      </c>
      <c r="T144" s="10" t="s">
        <v>552</v>
      </c>
      <c r="U144" s="10" t="s">
        <v>1236</v>
      </c>
      <c r="V144" s="10" t="s">
        <v>1236</v>
      </c>
      <c r="W144" s="12"/>
      <c r="X144" s="12"/>
      <c r="Y144" s="12"/>
      <c r="Z144" s="12"/>
      <c r="AA144" s="12"/>
      <c r="AB144" s="13"/>
      <c r="AC144" s="14" t="s">
        <v>1250</v>
      </c>
      <c r="AD144" s="13"/>
      <c r="AE144" s="13"/>
    </row>
    <row r="145">
      <c r="A145" s="10" t="s">
        <v>27</v>
      </c>
      <c r="B145" s="10" t="s">
        <v>739</v>
      </c>
      <c r="C145" s="10" t="s">
        <v>1251</v>
      </c>
      <c r="D145" s="10" t="s">
        <v>1252</v>
      </c>
      <c r="E145" s="10" t="s">
        <v>31</v>
      </c>
      <c r="F145" s="10" t="s">
        <v>32</v>
      </c>
      <c r="G145" s="9"/>
      <c r="H145" s="9"/>
      <c r="I145" s="9"/>
      <c r="J145" s="9"/>
      <c r="K145" s="9"/>
      <c r="L145" s="9"/>
      <c r="M145" s="9"/>
      <c r="N145" s="10" t="s">
        <v>1253</v>
      </c>
      <c r="O145" s="12"/>
      <c r="P145" s="9"/>
      <c r="Q145" s="9"/>
      <c r="R145" s="9"/>
      <c r="S145" s="9"/>
      <c r="T145" s="9"/>
      <c r="U145" s="9"/>
      <c r="V145" s="9"/>
      <c r="W145" s="12"/>
      <c r="X145" s="12"/>
      <c r="Y145" s="12"/>
      <c r="Z145" s="12"/>
      <c r="AA145" s="12"/>
      <c r="AB145" s="13"/>
      <c r="AC145" s="14" t="s">
        <v>1254</v>
      </c>
      <c r="AD145" s="13"/>
      <c r="AE145" s="13"/>
    </row>
    <row r="146">
      <c r="A146" s="10" t="s">
        <v>27</v>
      </c>
      <c r="B146" s="10" t="s">
        <v>739</v>
      </c>
      <c r="C146" s="10" t="s">
        <v>1255</v>
      </c>
      <c r="D146" s="10" t="s">
        <v>1256</v>
      </c>
      <c r="E146" s="10" t="s">
        <v>31</v>
      </c>
      <c r="F146" s="10" t="s">
        <v>32</v>
      </c>
      <c r="G146" s="10" t="s">
        <v>50</v>
      </c>
      <c r="H146" s="10" t="s">
        <v>906</v>
      </c>
      <c r="I146" s="10" t="s">
        <v>35</v>
      </c>
      <c r="J146" s="10" t="s">
        <v>1257</v>
      </c>
      <c r="K146" s="9"/>
      <c r="L146" s="10" t="s">
        <v>226</v>
      </c>
      <c r="M146" s="10" t="s">
        <v>74</v>
      </c>
      <c r="N146" s="10"/>
      <c r="O146" s="12"/>
      <c r="P146" s="10" t="s">
        <v>1258</v>
      </c>
      <c r="Q146" s="10" t="s">
        <v>1259</v>
      </c>
      <c r="R146" s="10" t="s">
        <v>1260</v>
      </c>
      <c r="S146" s="10" t="s">
        <v>551</v>
      </c>
      <c r="T146" s="10" t="s">
        <v>552</v>
      </c>
      <c r="U146" s="10" t="s">
        <v>1261</v>
      </c>
      <c r="V146" s="10" t="s">
        <v>1261</v>
      </c>
      <c r="W146" s="12"/>
      <c r="X146" s="12"/>
      <c r="Y146" s="12"/>
      <c r="Z146" s="12"/>
      <c r="AA146" s="12"/>
      <c r="AB146" s="13"/>
      <c r="AC146" s="14" t="s">
        <v>1262</v>
      </c>
      <c r="AD146" s="13"/>
      <c r="AE146" s="13"/>
    </row>
    <row r="147">
      <c r="A147" s="10" t="s">
        <v>27</v>
      </c>
      <c r="B147" s="10" t="s">
        <v>739</v>
      </c>
      <c r="C147" s="10" t="s">
        <v>1263</v>
      </c>
      <c r="D147" s="10" t="s">
        <v>1264</v>
      </c>
      <c r="E147" s="10" t="s">
        <v>31</v>
      </c>
      <c r="F147" s="10" t="s">
        <v>32</v>
      </c>
      <c r="G147" s="10" t="s">
        <v>50</v>
      </c>
      <c r="H147" s="10" t="s">
        <v>906</v>
      </c>
      <c r="I147" s="10" t="s">
        <v>35</v>
      </c>
      <c r="J147" s="10" t="s">
        <v>1265</v>
      </c>
      <c r="K147" s="9"/>
      <c r="L147" s="10" t="s">
        <v>577</v>
      </c>
      <c r="M147" s="10" t="s">
        <v>63</v>
      </c>
      <c r="N147" s="9"/>
      <c r="O147" s="14" t="s">
        <v>1266</v>
      </c>
      <c r="P147" s="10" t="s">
        <v>1267</v>
      </c>
      <c r="Q147" s="10" t="s">
        <v>1268</v>
      </c>
      <c r="R147" s="10" t="s">
        <v>1269</v>
      </c>
      <c r="S147" s="10" t="s">
        <v>551</v>
      </c>
      <c r="T147" s="10" t="s">
        <v>552</v>
      </c>
      <c r="U147" s="10" t="s">
        <v>1261</v>
      </c>
      <c r="V147" s="10" t="s">
        <v>1261</v>
      </c>
      <c r="W147" s="12"/>
      <c r="X147" s="12"/>
      <c r="Y147" s="12"/>
      <c r="Z147" s="12"/>
      <c r="AA147" s="12"/>
      <c r="AB147" s="13"/>
      <c r="AC147" s="14" t="s">
        <v>1270</v>
      </c>
      <c r="AD147" s="13"/>
      <c r="AE147" s="13"/>
    </row>
    <row r="148">
      <c r="A148" s="10" t="s">
        <v>27</v>
      </c>
      <c r="B148" s="10" t="s">
        <v>739</v>
      </c>
      <c r="C148" s="10" t="s">
        <v>1271</v>
      </c>
      <c r="D148" s="10" t="s">
        <v>1272</v>
      </c>
      <c r="E148" s="10" t="s">
        <v>31</v>
      </c>
      <c r="F148" s="10" t="s">
        <v>32</v>
      </c>
      <c r="G148" s="9"/>
      <c r="H148" s="9"/>
      <c r="I148" s="9"/>
      <c r="J148" s="9"/>
      <c r="K148" s="9"/>
      <c r="L148" s="9"/>
      <c r="M148" s="9"/>
      <c r="N148" s="10" t="s">
        <v>874</v>
      </c>
      <c r="O148" s="12"/>
      <c r="P148" s="10" t="s">
        <v>1005</v>
      </c>
      <c r="Q148" s="10" t="s">
        <v>1273</v>
      </c>
      <c r="R148" s="9"/>
      <c r="S148" s="9"/>
      <c r="T148" s="9"/>
      <c r="U148" s="9"/>
      <c r="V148" s="9"/>
      <c r="W148" s="12"/>
      <c r="X148" s="12"/>
      <c r="Y148" s="12"/>
      <c r="Z148" s="12"/>
      <c r="AA148" s="12"/>
      <c r="AB148" s="13"/>
      <c r="AC148" s="14" t="s">
        <v>1274</v>
      </c>
      <c r="AD148" s="13"/>
      <c r="AE148" s="13"/>
    </row>
    <row r="149">
      <c r="A149" s="9" t="s">
        <v>27</v>
      </c>
      <c r="B149" s="9" t="s">
        <v>161</v>
      </c>
      <c r="C149" s="10" t="s">
        <v>1275</v>
      </c>
      <c r="D149" s="10" t="s">
        <v>1276</v>
      </c>
      <c r="E149" s="10" t="s">
        <v>31</v>
      </c>
      <c r="F149" s="10" t="s">
        <v>32</v>
      </c>
      <c r="G149" s="9" t="s">
        <v>1152</v>
      </c>
      <c r="H149" s="10" t="s">
        <v>34</v>
      </c>
      <c r="I149" s="10" t="s">
        <v>35</v>
      </c>
      <c r="J149" s="9" t="s">
        <v>1277</v>
      </c>
      <c r="K149" s="9"/>
      <c r="L149" s="9" t="s">
        <v>63</v>
      </c>
      <c r="M149" s="9" t="s">
        <v>75</v>
      </c>
      <c r="N149" s="9" t="s">
        <v>1278</v>
      </c>
      <c r="O149" s="12"/>
      <c r="P149" s="10" t="s">
        <v>1279</v>
      </c>
      <c r="Q149" s="10" t="s">
        <v>1280</v>
      </c>
      <c r="R149" s="9" t="s">
        <v>1281</v>
      </c>
      <c r="S149" s="9" t="s">
        <v>41</v>
      </c>
      <c r="T149" s="9" t="s">
        <v>42</v>
      </c>
      <c r="U149" s="9" t="s">
        <v>1282</v>
      </c>
      <c r="V149" s="9" t="s">
        <v>1282</v>
      </c>
      <c r="W149" s="12"/>
      <c r="X149" s="12"/>
      <c r="Y149" s="12"/>
      <c r="Z149" s="12"/>
      <c r="AA149" s="12"/>
      <c r="AB149" s="13"/>
      <c r="AC149" s="14" t="s">
        <v>1283</v>
      </c>
      <c r="AD149" s="13"/>
      <c r="AE149" s="13"/>
    </row>
    <row r="150">
      <c r="A150" s="9" t="s">
        <v>27</v>
      </c>
      <c r="B150" s="9" t="s">
        <v>161</v>
      </c>
      <c r="C150" s="10" t="s">
        <v>1284</v>
      </c>
      <c r="D150" s="19" t="s">
        <v>1285</v>
      </c>
      <c r="E150" s="10" t="s">
        <v>31</v>
      </c>
      <c r="F150" s="10" t="s">
        <v>32</v>
      </c>
      <c r="G150" s="9" t="s">
        <v>50</v>
      </c>
      <c r="H150" s="9"/>
      <c r="I150" s="9"/>
      <c r="J150" s="9" t="s">
        <v>1286</v>
      </c>
      <c r="K150" s="9"/>
      <c r="L150" s="9" t="s">
        <v>1287</v>
      </c>
      <c r="M150" s="9" t="s">
        <v>430</v>
      </c>
      <c r="N150" s="12"/>
      <c r="O150" s="12"/>
      <c r="P150" s="19" t="s">
        <v>1288</v>
      </c>
      <c r="Q150" s="10" t="s">
        <v>1289</v>
      </c>
      <c r="R150" s="9" t="s">
        <v>1290</v>
      </c>
      <c r="S150" s="9" t="s">
        <v>41</v>
      </c>
      <c r="T150" s="9" t="s">
        <v>42</v>
      </c>
      <c r="U150" s="9" t="s">
        <v>44</v>
      </c>
      <c r="V150" s="9" t="s">
        <v>1291</v>
      </c>
      <c r="W150" s="12"/>
      <c r="X150" s="12"/>
      <c r="Y150" s="12"/>
      <c r="Z150" s="12"/>
      <c r="AA150" s="12"/>
      <c r="AB150" s="13"/>
      <c r="AC150" s="14" t="s">
        <v>1292</v>
      </c>
      <c r="AD150" s="13"/>
      <c r="AE150" s="13"/>
    </row>
    <row r="151">
      <c r="A151" s="9" t="s">
        <v>27</v>
      </c>
      <c r="B151" s="9" t="s">
        <v>161</v>
      </c>
      <c r="C151" s="10" t="s">
        <v>1293</v>
      </c>
      <c r="D151" s="10" t="s">
        <v>1294</v>
      </c>
      <c r="E151" s="10" t="s">
        <v>31</v>
      </c>
      <c r="F151" s="10" t="s">
        <v>32</v>
      </c>
      <c r="G151" s="9" t="s">
        <v>50</v>
      </c>
      <c r="H151" s="9"/>
      <c r="I151" s="9"/>
      <c r="J151" s="9" t="s">
        <v>1295</v>
      </c>
      <c r="K151" s="9"/>
      <c r="L151" s="9" t="s">
        <v>226</v>
      </c>
      <c r="M151" s="9" t="s">
        <v>74</v>
      </c>
      <c r="N151" s="12"/>
      <c r="O151" s="12"/>
      <c r="P151" s="10" t="s">
        <v>1296</v>
      </c>
      <c r="Q151" s="10" t="s">
        <v>1297</v>
      </c>
      <c r="R151" s="9" t="s">
        <v>1298</v>
      </c>
      <c r="S151" s="9" t="s">
        <v>41</v>
      </c>
      <c r="T151" s="9" t="s">
        <v>42</v>
      </c>
      <c r="U151" s="9" t="s">
        <v>1282</v>
      </c>
      <c r="V151" s="9" t="s">
        <v>1291</v>
      </c>
      <c r="W151" s="12"/>
      <c r="X151" s="12"/>
      <c r="Y151" s="12"/>
      <c r="Z151" s="12"/>
      <c r="AA151" s="12"/>
      <c r="AB151" s="13"/>
      <c r="AC151" s="14" t="s">
        <v>1299</v>
      </c>
      <c r="AD151" s="13"/>
      <c r="AE151" s="13"/>
    </row>
    <row r="152">
      <c r="A152" s="9" t="s">
        <v>27</v>
      </c>
      <c r="B152" s="9" t="s">
        <v>161</v>
      </c>
      <c r="C152" s="10" t="s">
        <v>1300</v>
      </c>
      <c r="D152" s="10" t="s">
        <v>1301</v>
      </c>
      <c r="E152" s="10" t="s">
        <v>31</v>
      </c>
      <c r="F152" s="10" t="s">
        <v>32</v>
      </c>
      <c r="G152" s="9" t="s">
        <v>50</v>
      </c>
      <c r="H152" s="9"/>
      <c r="I152" s="9"/>
      <c r="J152" s="9" t="s">
        <v>1302</v>
      </c>
      <c r="K152" s="9"/>
      <c r="L152" s="9" t="s">
        <v>297</v>
      </c>
      <c r="M152" s="9" t="s">
        <v>226</v>
      </c>
      <c r="N152" s="12"/>
      <c r="O152" s="12"/>
      <c r="P152" s="10" t="s">
        <v>1303</v>
      </c>
      <c r="Q152" s="10" t="s">
        <v>1304</v>
      </c>
      <c r="R152" s="9" t="s">
        <v>1305</v>
      </c>
      <c r="S152" s="9" t="s">
        <v>41</v>
      </c>
      <c r="T152" s="9" t="s">
        <v>42</v>
      </c>
      <c r="U152" s="9" t="s">
        <v>1282</v>
      </c>
      <c r="V152" s="9" t="s">
        <v>1291</v>
      </c>
      <c r="W152" s="12"/>
      <c r="X152" s="12"/>
      <c r="Y152" s="12"/>
      <c r="Z152" s="12"/>
      <c r="AA152" s="12"/>
      <c r="AB152" s="13"/>
      <c r="AC152" s="14" t="s">
        <v>1306</v>
      </c>
      <c r="AD152" s="13"/>
      <c r="AE152" s="13"/>
    </row>
    <row r="153">
      <c r="A153" s="9" t="s">
        <v>27</v>
      </c>
      <c r="B153" s="9" t="s">
        <v>161</v>
      </c>
      <c r="C153" s="10" t="s">
        <v>1307</v>
      </c>
      <c r="D153" s="19" t="s">
        <v>1308</v>
      </c>
      <c r="E153" s="10" t="s">
        <v>31</v>
      </c>
      <c r="F153" s="10" t="s">
        <v>32</v>
      </c>
      <c r="G153" s="9" t="s">
        <v>50</v>
      </c>
      <c r="H153" s="9"/>
      <c r="I153" s="9"/>
      <c r="J153" s="9" t="s">
        <v>1309</v>
      </c>
      <c r="K153" s="9"/>
      <c r="L153" s="9" t="s">
        <v>63</v>
      </c>
      <c r="M153" s="9" t="s">
        <v>37</v>
      </c>
      <c r="N153" s="12"/>
      <c r="O153" s="12"/>
      <c r="P153" s="9" t="s">
        <v>1310</v>
      </c>
      <c r="Q153" s="10" t="s">
        <v>1005</v>
      </c>
      <c r="R153" s="9" t="s">
        <v>1311</v>
      </c>
      <c r="S153" s="9" t="s">
        <v>41</v>
      </c>
      <c r="T153" s="9" t="s">
        <v>42</v>
      </c>
      <c r="U153" s="9" t="s">
        <v>1282</v>
      </c>
      <c r="V153" s="9" t="s">
        <v>1291</v>
      </c>
      <c r="W153" s="12"/>
      <c r="X153" s="12"/>
      <c r="Y153" s="12"/>
      <c r="Z153" s="12"/>
      <c r="AA153" s="12"/>
      <c r="AB153" s="13"/>
      <c r="AC153" s="14" t="s">
        <v>1312</v>
      </c>
      <c r="AD153" s="13"/>
      <c r="AE153" s="13"/>
    </row>
    <row r="154">
      <c r="A154" s="9" t="s">
        <v>27</v>
      </c>
      <c r="B154" s="9" t="s">
        <v>161</v>
      </c>
      <c r="C154" s="10" t="s">
        <v>1313</v>
      </c>
      <c r="D154" s="10" t="s">
        <v>1314</v>
      </c>
      <c r="E154" s="10" t="s">
        <v>31</v>
      </c>
      <c r="F154" s="10" t="s">
        <v>32</v>
      </c>
      <c r="G154" s="9" t="s">
        <v>50</v>
      </c>
      <c r="H154" s="9"/>
      <c r="I154" s="9"/>
      <c r="J154" s="9" t="s">
        <v>1315</v>
      </c>
      <c r="K154" s="9"/>
      <c r="L154" s="9" t="s">
        <v>130</v>
      </c>
      <c r="M154" s="9" t="s">
        <v>131</v>
      </c>
      <c r="N154" s="12"/>
      <c r="O154" s="12"/>
      <c r="P154" s="9" t="s">
        <v>1316</v>
      </c>
      <c r="Q154" s="10" t="s">
        <v>1317</v>
      </c>
      <c r="R154" s="9" t="s">
        <v>1318</v>
      </c>
      <c r="S154" s="9" t="s">
        <v>41</v>
      </c>
      <c r="T154" s="9" t="s">
        <v>42</v>
      </c>
      <c r="U154" s="9" t="s">
        <v>1282</v>
      </c>
      <c r="V154" s="9" t="s">
        <v>1291</v>
      </c>
      <c r="W154" s="12"/>
      <c r="X154" s="12"/>
      <c r="Y154" s="12"/>
      <c r="Z154" s="12"/>
      <c r="AA154" s="12"/>
      <c r="AB154" s="13"/>
      <c r="AC154" s="14" t="s">
        <v>1319</v>
      </c>
      <c r="AD154" s="13"/>
      <c r="AE154" s="13"/>
    </row>
    <row r="155">
      <c r="A155" s="9" t="s">
        <v>27</v>
      </c>
      <c r="B155" s="9" t="s">
        <v>161</v>
      </c>
      <c r="C155" s="10" t="s">
        <v>1320</v>
      </c>
      <c r="D155" s="10" t="s">
        <v>1321</v>
      </c>
      <c r="E155" s="10" t="s">
        <v>31</v>
      </c>
      <c r="F155" s="10" t="s">
        <v>32</v>
      </c>
      <c r="G155" s="9" t="s">
        <v>1322</v>
      </c>
      <c r="H155" s="10" t="s">
        <v>1323</v>
      </c>
      <c r="I155" s="10" t="s">
        <v>35</v>
      </c>
      <c r="J155" s="9" t="s">
        <v>1324</v>
      </c>
      <c r="K155" s="9"/>
      <c r="L155" s="9" t="s">
        <v>37</v>
      </c>
      <c r="M155" s="9" t="s">
        <v>38</v>
      </c>
      <c r="N155" s="12"/>
      <c r="O155" s="12"/>
      <c r="P155" s="10" t="s">
        <v>1325</v>
      </c>
      <c r="Q155" s="18" t="s">
        <v>1127</v>
      </c>
      <c r="R155" s="13" t="s">
        <v>1326</v>
      </c>
      <c r="S155" s="9" t="s">
        <v>41</v>
      </c>
      <c r="T155" s="9" t="s">
        <v>42</v>
      </c>
      <c r="U155" s="9" t="s">
        <v>1282</v>
      </c>
      <c r="V155" s="9" t="s">
        <v>1291</v>
      </c>
      <c r="W155" s="12"/>
      <c r="X155" s="12"/>
      <c r="Y155" s="12"/>
      <c r="Z155" s="12"/>
      <c r="AA155" s="12"/>
      <c r="AB155" s="13"/>
      <c r="AC155" s="14" t="s">
        <v>1327</v>
      </c>
      <c r="AD155" s="13"/>
      <c r="AE155" s="13"/>
    </row>
    <row r="156">
      <c r="A156" s="9" t="s">
        <v>27</v>
      </c>
      <c r="B156" s="9" t="s">
        <v>161</v>
      </c>
      <c r="C156" s="10" t="s">
        <v>1328</v>
      </c>
      <c r="D156" s="19" t="s">
        <v>1329</v>
      </c>
      <c r="E156" s="10" t="s">
        <v>31</v>
      </c>
      <c r="F156" s="10" t="s">
        <v>32</v>
      </c>
      <c r="G156" s="9" t="s">
        <v>1330</v>
      </c>
      <c r="H156" s="10" t="s">
        <v>34</v>
      </c>
      <c r="I156" s="10" t="s">
        <v>35</v>
      </c>
      <c r="J156" s="9" t="s">
        <v>1331</v>
      </c>
      <c r="K156" s="9"/>
      <c r="L156" s="9" t="s">
        <v>739</v>
      </c>
      <c r="M156" s="9" t="s">
        <v>62</v>
      </c>
      <c r="N156" s="9" t="s">
        <v>1332</v>
      </c>
      <c r="O156" s="12"/>
      <c r="P156" s="9" t="s">
        <v>1333</v>
      </c>
      <c r="Q156" s="10" t="s">
        <v>1334</v>
      </c>
      <c r="R156" s="9" t="s">
        <v>1335</v>
      </c>
      <c r="S156" s="9" t="s">
        <v>41</v>
      </c>
      <c r="T156" s="9" t="s">
        <v>42</v>
      </c>
      <c r="U156" s="9" t="s">
        <v>1282</v>
      </c>
      <c r="V156" s="9" t="s">
        <v>1291</v>
      </c>
      <c r="W156" s="12"/>
      <c r="X156" s="12"/>
      <c r="Y156" s="12"/>
      <c r="Z156" s="12"/>
      <c r="AA156" s="12"/>
      <c r="AB156" s="13"/>
      <c r="AC156" s="14" t="s">
        <v>1336</v>
      </c>
      <c r="AD156" s="13"/>
      <c r="AE156" s="13"/>
    </row>
    <row r="157">
      <c r="A157" s="9" t="s">
        <v>27</v>
      </c>
      <c r="B157" s="9" t="s">
        <v>161</v>
      </c>
      <c r="C157" s="10" t="s">
        <v>1337</v>
      </c>
      <c r="D157" s="10" t="s">
        <v>1338</v>
      </c>
      <c r="E157" s="10" t="s">
        <v>31</v>
      </c>
      <c r="F157" s="10" t="s">
        <v>32</v>
      </c>
      <c r="G157" s="9" t="s">
        <v>1152</v>
      </c>
      <c r="H157" s="10" t="s">
        <v>34</v>
      </c>
      <c r="I157" s="10" t="s">
        <v>35</v>
      </c>
      <c r="J157" s="9" t="s">
        <v>1339</v>
      </c>
      <c r="K157" s="9"/>
      <c r="L157" s="9" t="s">
        <v>63</v>
      </c>
      <c r="M157" s="9" t="s">
        <v>37</v>
      </c>
      <c r="N157" s="12"/>
      <c r="O157" s="9"/>
      <c r="P157" s="10" t="s">
        <v>1340</v>
      </c>
      <c r="Q157" s="10" t="s">
        <v>1005</v>
      </c>
      <c r="R157" s="9" t="s">
        <v>1341</v>
      </c>
      <c r="S157" s="9" t="s">
        <v>41</v>
      </c>
      <c r="T157" s="9" t="s">
        <v>42</v>
      </c>
      <c r="U157" s="9" t="s">
        <v>1282</v>
      </c>
      <c r="V157" s="9" t="s">
        <v>1291</v>
      </c>
      <c r="W157" s="12"/>
      <c r="X157" s="12"/>
      <c r="Y157" s="12"/>
      <c r="Z157" s="12"/>
      <c r="AA157" s="12"/>
      <c r="AB157" s="13"/>
      <c r="AC157" s="14" t="s">
        <v>1342</v>
      </c>
      <c r="AD157" s="13"/>
      <c r="AE157" s="13"/>
    </row>
    <row r="158">
      <c r="A158" s="9" t="s">
        <v>27</v>
      </c>
      <c r="B158" s="9" t="s">
        <v>161</v>
      </c>
      <c r="C158" s="10" t="s">
        <v>1343</v>
      </c>
      <c r="D158" s="10" t="s">
        <v>1344</v>
      </c>
      <c r="E158" s="10" t="s">
        <v>31</v>
      </c>
      <c r="F158" s="10" t="s">
        <v>32</v>
      </c>
      <c r="G158" s="9" t="s">
        <v>50</v>
      </c>
      <c r="H158" s="9"/>
      <c r="I158" s="9"/>
      <c r="J158" s="9" t="s">
        <v>1345</v>
      </c>
      <c r="K158" s="9"/>
      <c r="L158" s="9" t="s">
        <v>297</v>
      </c>
      <c r="M158" s="9" t="s">
        <v>226</v>
      </c>
      <c r="N158" s="12"/>
      <c r="O158" s="12"/>
      <c r="P158" s="10" t="s">
        <v>1346</v>
      </c>
      <c r="Q158" s="10" t="s">
        <v>1347</v>
      </c>
      <c r="R158" s="9" t="s">
        <v>1348</v>
      </c>
      <c r="S158" s="9" t="s">
        <v>41</v>
      </c>
      <c r="T158" s="9" t="s">
        <v>42</v>
      </c>
      <c r="U158" s="9" t="s">
        <v>1282</v>
      </c>
      <c r="V158" s="9" t="s">
        <v>1291</v>
      </c>
      <c r="W158" s="12"/>
      <c r="X158" s="12"/>
      <c r="Y158" s="12"/>
      <c r="Z158" s="12"/>
      <c r="AA158" s="12"/>
      <c r="AB158" s="13"/>
      <c r="AC158" s="14" t="s">
        <v>1349</v>
      </c>
      <c r="AD158" s="13"/>
      <c r="AE158" s="13"/>
    </row>
    <row r="159">
      <c r="A159" s="9" t="s">
        <v>27</v>
      </c>
      <c r="B159" s="9" t="s">
        <v>473</v>
      </c>
      <c r="C159" s="10" t="s">
        <v>1350</v>
      </c>
      <c r="D159" s="11" t="s">
        <v>1351</v>
      </c>
      <c r="E159" s="10" t="s">
        <v>31</v>
      </c>
      <c r="F159" s="10" t="s">
        <v>32</v>
      </c>
      <c r="G159" s="9" t="s">
        <v>1152</v>
      </c>
      <c r="H159" s="10" t="s">
        <v>34</v>
      </c>
      <c r="I159" s="10" t="s">
        <v>35</v>
      </c>
      <c r="J159" s="9" t="s">
        <v>1352</v>
      </c>
      <c r="K159" s="9"/>
      <c r="L159" s="9" t="s">
        <v>37</v>
      </c>
      <c r="M159" s="9" t="s">
        <v>38</v>
      </c>
      <c r="N159" s="12"/>
      <c r="O159" s="12"/>
      <c r="P159" s="9" t="s">
        <v>1353</v>
      </c>
      <c r="Q159" s="10" t="s">
        <v>1354</v>
      </c>
      <c r="R159" s="9" t="s">
        <v>1355</v>
      </c>
      <c r="S159" s="9" t="s">
        <v>41</v>
      </c>
      <c r="T159" s="9" t="s">
        <v>42</v>
      </c>
      <c r="U159" s="9" t="s">
        <v>1282</v>
      </c>
      <c r="V159" s="9" t="s">
        <v>1356</v>
      </c>
      <c r="W159" s="12"/>
      <c r="X159" s="12"/>
      <c r="Y159" s="12"/>
      <c r="Z159" s="12"/>
      <c r="AA159" s="12"/>
      <c r="AB159" s="13"/>
      <c r="AC159" s="14" t="s">
        <v>1357</v>
      </c>
      <c r="AD159" s="13"/>
      <c r="AE159" s="13"/>
    </row>
    <row r="160">
      <c r="A160" s="9" t="s">
        <v>27</v>
      </c>
      <c r="B160" s="9" t="s">
        <v>473</v>
      </c>
      <c r="C160" s="10" t="s">
        <v>1358</v>
      </c>
      <c r="D160" s="14" t="s">
        <v>1359</v>
      </c>
      <c r="E160" s="10" t="s">
        <v>31</v>
      </c>
      <c r="F160" s="10" t="s">
        <v>32</v>
      </c>
      <c r="G160" s="12"/>
      <c r="H160" s="12"/>
      <c r="I160" s="12"/>
      <c r="J160" s="12"/>
      <c r="K160" s="9"/>
      <c r="L160" s="12"/>
      <c r="M160" s="12"/>
      <c r="N160" s="12"/>
      <c r="O160" s="12"/>
      <c r="P160" s="10" t="s">
        <v>1360</v>
      </c>
      <c r="Q160" s="14" t="s">
        <v>1361</v>
      </c>
      <c r="R160" s="14" t="s">
        <v>1362</v>
      </c>
      <c r="S160" s="10" t="s">
        <v>551</v>
      </c>
      <c r="T160" s="10" t="s">
        <v>552</v>
      </c>
      <c r="U160" s="10" t="s">
        <v>1261</v>
      </c>
      <c r="V160" s="14" t="s">
        <v>1261</v>
      </c>
      <c r="W160" s="12"/>
      <c r="X160" s="12"/>
      <c r="Y160" s="12"/>
      <c r="Z160" s="12"/>
      <c r="AA160" s="12"/>
      <c r="AB160" s="13"/>
      <c r="AC160" s="14" t="s">
        <v>1363</v>
      </c>
      <c r="AD160" s="13"/>
      <c r="AE160" s="13"/>
    </row>
    <row r="161">
      <c r="A161" s="9" t="s">
        <v>27</v>
      </c>
      <c r="B161" s="9" t="s">
        <v>473</v>
      </c>
      <c r="C161" s="10" t="s">
        <v>1364</v>
      </c>
      <c r="D161" s="14" t="s">
        <v>1365</v>
      </c>
      <c r="E161" s="10" t="s">
        <v>31</v>
      </c>
      <c r="F161" s="10" t="s">
        <v>32</v>
      </c>
      <c r="G161" s="12"/>
      <c r="H161" s="12"/>
      <c r="I161" s="12"/>
      <c r="J161" s="12"/>
      <c r="K161" s="9"/>
      <c r="L161" s="12"/>
      <c r="M161" s="12"/>
      <c r="N161" s="12"/>
      <c r="O161" s="12"/>
      <c r="P161" s="10" t="s">
        <v>1005</v>
      </c>
      <c r="Q161" s="14" t="s">
        <v>1005</v>
      </c>
      <c r="R161" s="14" t="s">
        <v>1366</v>
      </c>
      <c r="S161" s="10" t="s">
        <v>551</v>
      </c>
      <c r="T161" s="10" t="s">
        <v>552</v>
      </c>
      <c r="U161" s="10" t="s">
        <v>1261</v>
      </c>
      <c r="V161" s="14" t="s">
        <v>1261</v>
      </c>
      <c r="W161" s="12"/>
      <c r="X161" s="12"/>
      <c r="Y161" s="12"/>
      <c r="Z161" s="12"/>
      <c r="AA161" s="12"/>
      <c r="AB161" s="13"/>
      <c r="AC161" s="14" t="s">
        <v>1367</v>
      </c>
      <c r="AD161" s="13"/>
      <c r="AE161" s="13"/>
    </row>
    <row r="162">
      <c r="A162" s="9" t="s">
        <v>27</v>
      </c>
      <c r="B162" s="9" t="s">
        <v>473</v>
      </c>
      <c r="C162" s="10" t="s">
        <v>1368</v>
      </c>
      <c r="D162" s="14" t="s">
        <v>1369</v>
      </c>
      <c r="E162" s="10" t="s">
        <v>31</v>
      </c>
      <c r="F162" s="10" t="s">
        <v>32</v>
      </c>
      <c r="G162" s="12"/>
      <c r="H162" s="12"/>
      <c r="I162" s="12"/>
      <c r="J162" s="12"/>
      <c r="K162" s="9"/>
      <c r="L162" s="12"/>
      <c r="M162" s="12"/>
      <c r="N162" s="12"/>
      <c r="O162" s="12"/>
      <c r="P162" s="10" t="s">
        <v>1370</v>
      </c>
      <c r="Q162" s="14" t="s">
        <v>189</v>
      </c>
      <c r="R162" s="14" t="s">
        <v>1371</v>
      </c>
      <c r="S162" s="10" t="s">
        <v>551</v>
      </c>
      <c r="T162" s="10" t="s">
        <v>552</v>
      </c>
      <c r="U162" s="10" t="s">
        <v>1261</v>
      </c>
      <c r="V162" s="14" t="s">
        <v>1261</v>
      </c>
      <c r="W162" s="12"/>
      <c r="X162" s="12"/>
      <c r="Y162" s="12"/>
      <c r="Z162" s="12"/>
      <c r="AA162" s="12"/>
      <c r="AB162" s="13"/>
      <c r="AC162" s="14" t="s">
        <v>1372</v>
      </c>
      <c r="AD162" s="13"/>
      <c r="AE162" s="13"/>
    </row>
    <row r="163">
      <c r="A163" s="9" t="s">
        <v>27</v>
      </c>
      <c r="B163" s="9" t="s">
        <v>473</v>
      </c>
      <c r="C163" s="10" t="s">
        <v>1373</v>
      </c>
      <c r="D163" s="14" t="s">
        <v>1374</v>
      </c>
      <c r="E163" s="10" t="s">
        <v>31</v>
      </c>
      <c r="F163" s="10" t="s">
        <v>32</v>
      </c>
      <c r="G163" s="12"/>
      <c r="H163" s="12"/>
      <c r="I163" s="12"/>
      <c r="J163" s="12"/>
      <c r="K163" s="9"/>
      <c r="L163" s="12"/>
      <c r="M163" s="12"/>
      <c r="N163" s="12"/>
      <c r="O163" s="12"/>
      <c r="P163" s="10" t="s">
        <v>1375</v>
      </c>
      <c r="Q163" s="14" t="s">
        <v>1005</v>
      </c>
      <c r="R163" s="14" t="s">
        <v>1376</v>
      </c>
      <c r="S163" s="10" t="s">
        <v>551</v>
      </c>
      <c r="T163" s="10" t="s">
        <v>552</v>
      </c>
      <c r="U163" s="10" t="s">
        <v>1261</v>
      </c>
      <c r="V163" s="14" t="s">
        <v>1261</v>
      </c>
      <c r="W163" s="12"/>
      <c r="X163" s="12"/>
      <c r="Y163" s="12"/>
      <c r="Z163" s="12"/>
      <c r="AA163" s="12"/>
      <c r="AB163" s="13"/>
      <c r="AC163" s="14" t="s">
        <v>1377</v>
      </c>
      <c r="AD163" s="13"/>
      <c r="AE163" s="13"/>
    </row>
    <row r="164">
      <c r="A164" s="9" t="s">
        <v>27</v>
      </c>
      <c r="B164" s="9" t="s">
        <v>473</v>
      </c>
      <c r="C164" s="10" t="s">
        <v>1378</v>
      </c>
      <c r="D164" s="14" t="s">
        <v>1379</v>
      </c>
      <c r="E164" s="10" t="s">
        <v>31</v>
      </c>
      <c r="F164" s="10" t="s">
        <v>32</v>
      </c>
      <c r="G164" s="12"/>
      <c r="H164" s="12"/>
      <c r="I164" s="12"/>
      <c r="J164" s="12"/>
      <c r="K164" s="9"/>
      <c r="L164" s="12"/>
      <c r="M164" s="12"/>
      <c r="N164" s="12"/>
      <c r="O164" s="12"/>
      <c r="P164" s="10" t="s">
        <v>1380</v>
      </c>
      <c r="Q164" s="14" t="s">
        <v>1381</v>
      </c>
      <c r="R164" s="14" t="s">
        <v>1382</v>
      </c>
      <c r="S164" s="10" t="s">
        <v>551</v>
      </c>
      <c r="T164" s="10" t="s">
        <v>552</v>
      </c>
      <c r="U164" s="10" t="s">
        <v>1261</v>
      </c>
      <c r="V164" s="14" t="s">
        <v>1261</v>
      </c>
      <c r="W164" s="12"/>
      <c r="X164" s="12"/>
      <c r="Y164" s="12"/>
      <c r="Z164" s="12"/>
      <c r="AA164" s="12"/>
      <c r="AB164" s="13"/>
      <c r="AC164" s="14" t="s">
        <v>1383</v>
      </c>
      <c r="AD164" s="13"/>
      <c r="AE164" s="13"/>
    </row>
    <row r="165">
      <c r="A165" s="9" t="s">
        <v>27</v>
      </c>
      <c r="B165" s="9" t="s">
        <v>473</v>
      </c>
      <c r="C165" s="10" t="s">
        <v>1384</v>
      </c>
      <c r="D165" s="14" t="s">
        <v>1385</v>
      </c>
      <c r="E165" s="10" t="s">
        <v>31</v>
      </c>
      <c r="F165" s="10" t="s">
        <v>32</v>
      </c>
      <c r="G165" s="12"/>
      <c r="H165" s="12"/>
      <c r="I165" s="12"/>
      <c r="J165" s="12"/>
      <c r="K165" s="9"/>
      <c r="L165" s="12"/>
      <c r="M165" s="12"/>
      <c r="N165" s="12"/>
      <c r="O165" s="12"/>
      <c r="P165" s="10" t="s">
        <v>1386</v>
      </c>
      <c r="Q165" s="14" t="s">
        <v>1387</v>
      </c>
      <c r="R165" s="14" t="s">
        <v>1388</v>
      </c>
      <c r="S165" s="10" t="s">
        <v>551</v>
      </c>
      <c r="T165" s="10" t="s">
        <v>552</v>
      </c>
      <c r="U165" s="10" t="s">
        <v>1261</v>
      </c>
      <c r="V165" s="14" t="s">
        <v>1261</v>
      </c>
      <c r="W165" s="12"/>
      <c r="X165" s="12"/>
      <c r="Y165" s="12"/>
      <c r="Z165" s="12"/>
      <c r="AA165" s="12"/>
      <c r="AB165" s="13"/>
      <c r="AC165" s="14" t="s">
        <v>1389</v>
      </c>
      <c r="AD165" s="13"/>
      <c r="AE165" s="13"/>
    </row>
    <row r="166">
      <c r="A166" s="9" t="s">
        <v>27</v>
      </c>
      <c r="B166" s="9" t="s">
        <v>473</v>
      </c>
      <c r="C166" s="10" t="s">
        <v>1390</v>
      </c>
      <c r="D166" s="14" t="s">
        <v>1391</v>
      </c>
      <c r="E166" s="10" t="s">
        <v>31</v>
      </c>
      <c r="F166" s="10" t="s">
        <v>32</v>
      </c>
      <c r="G166" s="12"/>
      <c r="H166" s="12"/>
      <c r="I166" s="12"/>
      <c r="J166" s="12"/>
      <c r="K166" s="9"/>
      <c r="L166" s="12"/>
      <c r="M166" s="12"/>
      <c r="N166" s="12"/>
      <c r="O166" s="12"/>
      <c r="P166" s="10" t="s">
        <v>1392</v>
      </c>
      <c r="Q166" s="14" t="s">
        <v>1393</v>
      </c>
      <c r="R166" s="14" t="s">
        <v>1394</v>
      </c>
      <c r="S166" s="10" t="s">
        <v>551</v>
      </c>
      <c r="T166" s="10" t="s">
        <v>552</v>
      </c>
      <c r="U166" s="10" t="s">
        <v>1261</v>
      </c>
      <c r="V166" s="14" t="s">
        <v>1261</v>
      </c>
      <c r="W166" s="12"/>
      <c r="X166" s="12"/>
      <c r="Y166" s="12"/>
      <c r="Z166" s="12"/>
      <c r="AA166" s="12"/>
      <c r="AB166" s="13"/>
      <c r="AC166" s="14" t="s">
        <v>1395</v>
      </c>
      <c r="AD166" s="13"/>
      <c r="AE166" s="13"/>
    </row>
    <row r="167">
      <c r="A167" s="9" t="s">
        <v>27</v>
      </c>
      <c r="B167" s="9" t="s">
        <v>473</v>
      </c>
      <c r="C167" s="10" t="s">
        <v>1396</v>
      </c>
      <c r="D167" s="14" t="s">
        <v>1397</v>
      </c>
      <c r="E167" s="10" t="s">
        <v>31</v>
      </c>
      <c r="F167" s="10" t="s">
        <v>32</v>
      </c>
      <c r="G167" s="12"/>
      <c r="H167" s="12"/>
      <c r="I167" s="12"/>
      <c r="J167" s="12"/>
      <c r="K167" s="9"/>
      <c r="L167" s="12"/>
      <c r="M167" s="12"/>
      <c r="N167" s="9" t="s">
        <v>1398</v>
      </c>
      <c r="O167" s="12"/>
      <c r="P167" s="9"/>
      <c r="Q167" s="14" t="s">
        <v>1273</v>
      </c>
      <c r="R167" s="12"/>
      <c r="S167" s="10" t="s">
        <v>551</v>
      </c>
      <c r="T167" s="10" t="s">
        <v>552</v>
      </c>
      <c r="U167" s="10" t="s">
        <v>1261</v>
      </c>
      <c r="V167" s="14" t="s">
        <v>1261</v>
      </c>
      <c r="W167" s="12"/>
      <c r="X167" s="12"/>
      <c r="Y167" s="12"/>
      <c r="Z167" s="12"/>
      <c r="AA167" s="12"/>
      <c r="AB167" s="13"/>
      <c r="AC167" s="14" t="s">
        <v>1399</v>
      </c>
      <c r="AD167" s="13"/>
      <c r="AE167" s="13"/>
    </row>
    <row r="168">
      <c r="A168" s="10" t="s">
        <v>27</v>
      </c>
      <c r="B168" s="10" t="s">
        <v>297</v>
      </c>
      <c r="C168" s="10" t="s">
        <v>1400</v>
      </c>
      <c r="D168" s="14" t="s">
        <v>1401</v>
      </c>
      <c r="E168" s="10" t="s">
        <v>31</v>
      </c>
      <c r="F168" s="10" t="s">
        <v>32</v>
      </c>
      <c r="G168" s="12"/>
      <c r="H168" s="12"/>
      <c r="I168" s="12"/>
      <c r="J168" s="12"/>
      <c r="K168" s="9"/>
      <c r="L168" s="12"/>
      <c r="M168" s="12"/>
      <c r="N168" s="12"/>
      <c r="O168" s="12"/>
      <c r="P168" s="10" t="s">
        <v>1402</v>
      </c>
      <c r="Q168" s="14" t="s">
        <v>1403</v>
      </c>
      <c r="R168" s="14" t="s">
        <v>1404</v>
      </c>
      <c r="S168" s="10" t="s">
        <v>551</v>
      </c>
      <c r="T168" s="10" t="s">
        <v>552</v>
      </c>
      <c r="U168" s="10" t="s">
        <v>1405</v>
      </c>
      <c r="V168" s="14" t="s">
        <v>1405</v>
      </c>
      <c r="W168" s="12"/>
      <c r="X168" s="12"/>
      <c r="Y168" s="12"/>
      <c r="Z168" s="12"/>
      <c r="AA168" s="12"/>
      <c r="AB168" s="13"/>
      <c r="AC168" s="14" t="s">
        <v>1406</v>
      </c>
      <c r="AD168" s="13"/>
      <c r="AE168" s="13"/>
    </row>
    <row r="169">
      <c r="A169" s="10" t="s">
        <v>27</v>
      </c>
      <c r="B169" s="10" t="s">
        <v>297</v>
      </c>
      <c r="C169" s="10" t="s">
        <v>1407</v>
      </c>
      <c r="D169" s="14" t="s">
        <v>1408</v>
      </c>
      <c r="E169" s="10" t="s">
        <v>31</v>
      </c>
      <c r="F169" s="10" t="s">
        <v>32</v>
      </c>
      <c r="G169" s="12"/>
      <c r="H169" s="12"/>
      <c r="I169" s="12"/>
      <c r="J169" s="12"/>
      <c r="K169" s="9"/>
      <c r="L169" s="12"/>
      <c r="M169" s="12"/>
      <c r="N169" s="12"/>
      <c r="O169" s="12"/>
      <c r="P169" s="10" t="s">
        <v>1409</v>
      </c>
      <c r="Q169" s="14" t="s">
        <v>1410</v>
      </c>
      <c r="R169" s="14" t="s">
        <v>1411</v>
      </c>
      <c r="S169" s="10" t="s">
        <v>551</v>
      </c>
      <c r="T169" s="10" t="s">
        <v>552</v>
      </c>
      <c r="U169" s="10" t="s">
        <v>1405</v>
      </c>
      <c r="V169" s="14" t="s">
        <v>1405</v>
      </c>
      <c r="W169" s="12"/>
      <c r="X169" s="12"/>
      <c r="Y169" s="12"/>
      <c r="Z169" s="12"/>
      <c r="AA169" s="12"/>
      <c r="AB169" s="13"/>
      <c r="AC169" s="14" t="s">
        <v>1412</v>
      </c>
      <c r="AD169" s="13"/>
      <c r="AE169" s="13"/>
    </row>
    <row r="170">
      <c r="A170" s="10" t="s">
        <v>27</v>
      </c>
      <c r="B170" s="10" t="s">
        <v>297</v>
      </c>
      <c r="C170" s="10" t="s">
        <v>1413</v>
      </c>
      <c r="D170" s="14" t="s">
        <v>1414</v>
      </c>
      <c r="E170" s="10" t="s">
        <v>31</v>
      </c>
      <c r="F170" s="10" t="s">
        <v>32</v>
      </c>
      <c r="G170" s="12"/>
      <c r="H170" s="12"/>
      <c r="I170" s="12"/>
      <c r="J170" s="12"/>
      <c r="K170" s="9"/>
      <c r="L170" s="12"/>
      <c r="M170" s="12"/>
      <c r="N170" s="14" t="s">
        <v>1415</v>
      </c>
      <c r="O170" s="12"/>
      <c r="P170" s="10" t="s">
        <v>1416</v>
      </c>
      <c r="Q170" s="14" t="s">
        <v>1417</v>
      </c>
      <c r="R170" s="14" t="s">
        <v>1418</v>
      </c>
      <c r="S170" s="10" t="s">
        <v>551</v>
      </c>
      <c r="T170" s="10" t="s">
        <v>552</v>
      </c>
      <c r="U170" s="10" t="s">
        <v>1405</v>
      </c>
      <c r="V170" s="14" t="s">
        <v>1405</v>
      </c>
      <c r="W170" s="12"/>
      <c r="X170" s="12"/>
      <c r="Y170" s="12"/>
      <c r="Z170" s="12"/>
      <c r="AA170" s="12"/>
      <c r="AB170" s="13"/>
      <c r="AC170" s="14" t="s">
        <v>1419</v>
      </c>
      <c r="AD170" s="13"/>
      <c r="AE170" s="13"/>
    </row>
    <row r="171">
      <c r="A171" s="10" t="s">
        <v>27</v>
      </c>
      <c r="B171" s="10" t="s">
        <v>297</v>
      </c>
      <c r="C171" s="10" t="s">
        <v>1420</v>
      </c>
      <c r="D171" s="14" t="s">
        <v>1421</v>
      </c>
      <c r="E171" s="10" t="s">
        <v>31</v>
      </c>
      <c r="F171" s="10" t="s">
        <v>32</v>
      </c>
      <c r="G171" s="12"/>
      <c r="H171" s="12"/>
      <c r="I171" s="12"/>
      <c r="J171" s="12"/>
      <c r="K171" s="9"/>
      <c r="L171" s="12"/>
      <c r="M171" s="12"/>
      <c r="N171" s="12"/>
      <c r="O171" s="12"/>
      <c r="P171" s="10" t="s">
        <v>1422</v>
      </c>
      <c r="Q171" s="14" t="s">
        <v>1423</v>
      </c>
      <c r="R171" s="14" t="s">
        <v>1424</v>
      </c>
      <c r="S171" s="10" t="s">
        <v>551</v>
      </c>
      <c r="T171" s="10" t="s">
        <v>552</v>
      </c>
      <c r="U171" s="10" t="s">
        <v>1405</v>
      </c>
      <c r="V171" s="14" t="s">
        <v>1405</v>
      </c>
      <c r="W171" s="12"/>
      <c r="X171" s="12"/>
      <c r="Y171" s="12"/>
      <c r="Z171" s="12"/>
      <c r="AA171" s="12"/>
      <c r="AB171" s="13"/>
      <c r="AC171" s="14" t="s">
        <v>1425</v>
      </c>
      <c r="AD171" s="13"/>
      <c r="AE171" s="13"/>
    </row>
    <row r="172">
      <c r="A172" s="10" t="s">
        <v>27</v>
      </c>
      <c r="B172" s="10" t="s">
        <v>297</v>
      </c>
      <c r="C172" s="10" t="s">
        <v>1426</v>
      </c>
      <c r="D172" s="14" t="s">
        <v>1427</v>
      </c>
      <c r="E172" s="10" t="s">
        <v>31</v>
      </c>
      <c r="F172" s="10" t="s">
        <v>32</v>
      </c>
      <c r="G172" s="12"/>
      <c r="H172" s="12"/>
      <c r="I172" s="12"/>
      <c r="J172" s="12"/>
      <c r="K172" s="9"/>
      <c r="L172" s="12"/>
      <c r="M172" s="12"/>
      <c r="N172" s="14" t="s">
        <v>1428</v>
      </c>
      <c r="O172" s="12"/>
      <c r="P172" s="10" t="s">
        <v>386</v>
      </c>
      <c r="Q172" s="14" t="s">
        <v>1429</v>
      </c>
      <c r="R172" s="14" t="s">
        <v>1430</v>
      </c>
      <c r="S172" s="10" t="s">
        <v>1192</v>
      </c>
      <c r="T172" s="10" t="s">
        <v>1431</v>
      </c>
      <c r="U172" s="9"/>
      <c r="V172" s="14" t="s">
        <v>1432</v>
      </c>
      <c r="W172" s="12"/>
      <c r="X172" s="12"/>
      <c r="Y172" s="12"/>
      <c r="Z172" s="12"/>
      <c r="AA172" s="12"/>
      <c r="AB172" s="13"/>
      <c r="AC172" s="14" t="s">
        <v>1433</v>
      </c>
      <c r="AD172" s="13"/>
      <c r="AE172" s="13"/>
    </row>
    <row r="173">
      <c r="A173" s="10" t="s">
        <v>27</v>
      </c>
      <c r="B173" s="10" t="s">
        <v>366</v>
      </c>
      <c r="C173" s="10" t="s">
        <v>1434</v>
      </c>
      <c r="D173" s="14" t="s">
        <v>1435</v>
      </c>
      <c r="E173" s="10" t="s">
        <v>31</v>
      </c>
      <c r="F173" s="10" t="s">
        <v>32</v>
      </c>
      <c r="G173" s="12"/>
      <c r="H173" s="12"/>
      <c r="I173" s="12"/>
      <c r="J173" s="12"/>
      <c r="K173" s="9"/>
      <c r="L173" s="12"/>
      <c r="M173" s="12"/>
      <c r="N173" s="14" t="s">
        <v>1428</v>
      </c>
      <c r="O173" s="12"/>
      <c r="P173" s="10" t="s">
        <v>1005</v>
      </c>
      <c r="Q173" s="14" t="s">
        <v>1005</v>
      </c>
      <c r="R173" s="14" t="s">
        <v>1436</v>
      </c>
      <c r="S173" s="9"/>
      <c r="T173" s="9"/>
      <c r="U173" s="9"/>
      <c r="V173" s="12"/>
      <c r="W173" s="12"/>
      <c r="X173" s="12"/>
      <c r="Y173" s="12"/>
      <c r="Z173" s="12"/>
      <c r="AA173" s="12"/>
      <c r="AB173" s="13"/>
      <c r="AC173" s="14" t="s">
        <v>1437</v>
      </c>
      <c r="AD173" s="13"/>
      <c r="AE173" s="13"/>
    </row>
    <row r="174">
      <c r="A174" s="10" t="s">
        <v>27</v>
      </c>
      <c r="B174" s="10" t="s">
        <v>366</v>
      </c>
      <c r="C174" s="10" t="s">
        <v>1438</v>
      </c>
      <c r="D174" s="14" t="s">
        <v>1439</v>
      </c>
      <c r="E174" s="10" t="s">
        <v>31</v>
      </c>
      <c r="F174" s="10" t="s">
        <v>32</v>
      </c>
      <c r="G174" s="12"/>
      <c r="H174" s="12"/>
      <c r="I174" s="12"/>
      <c r="J174" s="12"/>
      <c r="K174" s="9"/>
      <c r="L174" s="12"/>
      <c r="M174" s="12"/>
      <c r="N174" s="14" t="s">
        <v>1440</v>
      </c>
      <c r="O174" s="12"/>
      <c r="P174" s="10" t="s">
        <v>1441</v>
      </c>
      <c r="Q174" s="14" t="s">
        <v>1005</v>
      </c>
      <c r="R174" s="14" t="s">
        <v>1442</v>
      </c>
      <c r="S174" s="10" t="s">
        <v>1192</v>
      </c>
      <c r="T174" s="10" t="s">
        <v>1431</v>
      </c>
      <c r="U174" s="9"/>
      <c r="V174" s="14" t="s">
        <v>1432</v>
      </c>
      <c r="W174" s="12"/>
      <c r="X174" s="12"/>
      <c r="Y174" s="12"/>
      <c r="Z174" s="12"/>
      <c r="AA174" s="12"/>
      <c r="AB174" s="13"/>
      <c r="AC174" s="14" t="s">
        <v>1443</v>
      </c>
      <c r="AD174" s="13"/>
      <c r="AE174" s="13"/>
    </row>
    <row r="175">
      <c r="A175" s="10" t="s">
        <v>27</v>
      </c>
      <c r="B175" s="10" t="s">
        <v>366</v>
      </c>
      <c r="C175" s="10" t="s">
        <v>1444</v>
      </c>
      <c r="D175" s="14" t="s">
        <v>1445</v>
      </c>
      <c r="E175" s="10" t="s">
        <v>31</v>
      </c>
      <c r="F175" s="10" t="s">
        <v>32</v>
      </c>
      <c r="G175" s="12"/>
      <c r="H175" s="12"/>
      <c r="I175" s="12"/>
      <c r="J175" s="12"/>
      <c r="K175" s="9"/>
      <c r="L175" s="12"/>
      <c r="M175" s="12"/>
      <c r="N175" s="12"/>
      <c r="O175" s="12"/>
      <c r="P175" s="10" t="s">
        <v>1446</v>
      </c>
      <c r="Q175" s="14" t="s">
        <v>1005</v>
      </c>
      <c r="R175" s="14" t="s">
        <v>1447</v>
      </c>
      <c r="S175" s="10" t="s">
        <v>551</v>
      </c>
      <c r="T175" s="10" t="s">
        <v>552</v>
      </c>
      <c r="U175" s="10" t="s">
        <v>1448</v>
      </c>
      <c r="V175" s="14" t="s">
        <v>1448</v>
      </c>
      <c r="W175" s="12"/>
      <c r="X175" s="12"/>
      <c r="Y175" s="12"/>
      <c r="Z175" s="12"/>
      <c r="AA175" s="12"/>
      <c r="AB175" s="13"/>
      <c r="AC175" s="14" t="s">
        <v>1449</v>
      </c>
      <c r="AD175" s="13"/>
      <c r="AE175" s="13"/>
    </row>
    <row r="176">
      <c r="A176" s="10" t="s">
        <v>27</v>
      </c>
      <c r="B176" s="10" t="s">
        <v>366</v>
      </c>
      <c r="C176" s="10" t="s">
        <v>1450</v>
      </c>
      <c r="D176" s="14" t="s">
        <v>1451</v>
      </c>
      <c r="E176" s="10" t="s">
        <v>31</v>
      </c>
      <c r="F176" s="10" t="s">
        <v>32</v>
      </c>
      <c r="G176" s="12"/>
      <c r="H176" s="12"/>
      <c r="I176" s="12"/>
      <c r="J176" s="12"/>
      <c r="K176" s="9"/>
      <c r="L176" s="12"/>
      <c r="M176" s="12"/>
      <c r="N176" s="12"/>
      <c r="O176" s="12"/>
      <c r="P176" s="10" t="s">
        <v>1452</v>
      </c>
      <c r="Q176" s="14" t="s">
        <v>1453</v>
      </c>
      <c r="R176" s="14" t="s">
        <v>1454</v>
      </c>
      <c r="S176" s="10" t="s">
        <v>551</v>
      </c>
      <c r="T176" s="10" t="s">
        <v>552</v>
      </c>
      <c r="U176" s="10" t="s">
        <v>1448</v>
      </c>
      <c r="V176" s="14" t="s">
        <v>1448</v>
      </c>
      <c r="W176" s="12"/>
      <c r="X176" s="12"/>
      <c r="Y176" s="12"/>
      <c r="Z176" s="12"/>
      <c r="AA176" s="12"/>
      <c r="AB176" s="13"/>
      <c r="AC176" s="14" t="s">
        <v>1455</v>
      </c>
      <c r="AD176" s="13"/>
      <c r="AE176" s="13"/>
    </row>
    <row r="177">
      <c r="A177" s="9" t="s">
        <v>27</v>
      </c>
      <c r="B177" s="10" t="s">
        <v>366</v>
      </c>
      <c r="C177" s="10" t="s">
        <v>1456</v>
      </c>
      <c r="D177" s="23" t="s">
        <v>1457</v>
      </c>
      <c r="E177" s="10" t="s">
        <v>31</v>
      </c>
      <c r="F177" s="10" t="s">
        <v>32</v>
      </c>
      <c r="G177" s="10" t="s">
        <v>413</v>
      </c>
      <c r="H177" s="10" t="s">
        <v>34</v>
      </c>
      <c r="I177" s="10" t="s">
        <v>35</v>
      </c>
      <c r="J177" s="14" t="s">
        <v>1458</v>
      </c>
      <c r="K177" s="9"/>
      <c r="L177" s="14" t="s">
        <v>37</v>
      </c>
      <c r="M177" s="14" t="s">
        <v>38</v>
      </c>
      <c r="N177" s="12"/>
      <c r="O177" s="14" t="s">
        <v>1459</v>
      </c>
      <c r="P177" s="10" t="s">
        <v>1005</v>
      </c>
      <c r="Q177" s="10" t="s">
        <v>189</v>
      </c>
      <c r="R177" s="10" t="s">
        <v>1460</v>
      </c>
      <c r="S177" s="14" t="s">
        <v>41</v>
      </c>
      <c r="T177" s="14" t="s">
        <v>42</v>
      </c>
      <c r="U177" s="14" t="s">
        <v>240</v>
      </c>
      <c r="V177" s="14" t="s">
        <v>240</v>
      </c>
      <c r="W177" s="14" t="s">
        <v>551</v>
      </c>
      <c r="X177" s="14" t="s">
        <v>552</v>
      </c>
      <c r="Y177" s="14" t="s">
        <v>1448</v>
      </c>
      <c r="Z177" s="14" t="s">
        <v>1448</v>
      </c>
      <c r="AA177" s="12"/>
      <c r="AB177" s="13"/>
      <c r="AC177" s="14" t="s">
        <v>1461</v>
      </c>
      <c r="AD177" s="13"/>
      <c r="AE177" s="13"/>
    </row>
    <row r="178">
      <c r="A178" s="10" t="s">
        <v>27</v>
      </c>
      <c r="B178" s="10" t="s">
        <v>366</v>
      </c>
      <c r="C178" s="10" t="s">
        <v>1462</v>
      </c>
      <c r="D178" s="10" t="s">
        <v>1463</v>
      </c>
      <c r="E178" s="10" t="s">
        <v>31</v>
      </c>
      <c r="F178" s="10" t="s">
        <v>32</v>
      </c>
      <c r="G178" s="10"/>
      <c r="H178" s="10"/>
      <c r="I178" s="10"/>
      <c r="J178" s="14"/>
      <c r="K178" s="9"/>
      <c r="L178" s="14"/>
      <c r="M178" s="14"/>
      <c r="N178" s="14" t="s">
        <v>1428</v>
      </c>
      <c r="O178" s="14"/>
      <c r="P178" s="10" t="s">
        <v>1005</v>
      </c>
      <c r="Q178" s="10" t="s">
        <v>1005</v>
      </c>
      <c r="R178" s="10" t="s">
        <v>1464</v>
      </c>
      <c r="S178" s="18" t="s">
        <v>1192</v>
      </c>
      <c r="T178" s="18" t="s">
        <v>1431</v>
      </c>
      <c r="U178" s="30"/>
      <c r="V178" s="31">
        <v>45104.0</v>
      </c>
      <c r="W178" s="14"/>
      <c r="X178" s="14"/>
      <c r="Y178" s="14"/>
      <c r="Z178" s="14"/>
      <c r="AA178" s="12"/>
      <c r="AB178" s="13"/>
      <c r="AC178" s="14" t="s">
        <v>1465</v>
      </c>
      <c r="AD178" s="13"/>
      <c r="AE178" s="13"/>
    </row>
    <row r="179">
      <c r="A179" s="10" t="s">
        <v>27</v>
      </c>
      <c r="B179" s="10" t="s">
        <v>366</v>
      </c>
      <c r="C179" s="10" t="s">
        <v>1466</v>
      </c>
      <c r="D179" s="23" t="s">
        <v>1467</v>
      </c>
      <c r="E179" s="10" t="s">
        <v>31</v>
      </c>
      <c r="F179" s="10" t="s">
        <v>32</v>
      </c>
      <c r="G179" s="10"/>
      <c r="H179" s="10"/>
      <c r="I179" s="10"/>
      <c r="J179" s="14"/>
      <c r="K179" s="9"/>
      <c r="L179" s="14"/>
      <c r="M179" s="14"/>
      <c r="N179" s="12"/>
      <c r="O179" s="14"/>
      <c r="P179" s="10" t="s">
        <v>1468</v>
      </c>
      <c r="Q179" s="10" t="s">
        <v>1005</v>
      </c>
      <c r="R179" s="10" t="s">
        <v>1469</v>
      </c>
      <c r="S179" s="14" t="s">
        <v>551</v>
      </c>
      <c r="T179" s="14" t="s">
        <v>552</v>
      </c>
      <c r="U179" s="14" t="s">
        <v>1448</v>
      </c>
      <c r="V179" s="14" t="s">
        <v>1448</v>
      </c>
      <c r="W179" s="14"/>
      <c r="X179" s="14"/>
      <c r="Y179" s="14"/>
      <c r="Z179" s="14"/>
      <c r="AA179" s="12"/>
      <c r="AB179" s="13"/>
      <c r="AC179" s="14" t="s">
        <v>1470</v>
      </c>
      <c r="AD179" s="13"/>
      <c r="AE179" s="13"/>
    </row>
    <row r="180">
      <c r="A180" s="10" t="s">
        <v>27</v>
      </c>
      <c r="B180" s="10" t="s">
        <v>711</v>
      </c>
      <c r="C180" s="10" t="s">
        <v>1471</v>
      </c>
      <c r="D180" s="14" t="s">
        <v>1472</v>
      </c>
      <c r="E180" s="10" t="s">
        <v>31</v>
      </c>
      <c r="F180" s="10" t="s">
        <v>32</v>
      </c>
      <c r="G180" s="10"/>
      <c r="H180" s="14"/>
      <c r="I180" s="14"/>
      <c r="J180" s="14"/>
      <c r="K180" s="10"/>
      <c r="L180" s="14"/>
      <c r="M180" s="14"/>
      <c r="N180" s="14" t="s">
        <v>1428</v>
      </c>
      <c r="O180" s="12"/>
      <c r="P180" s="10" t="s">
        <v>1005</v>
      </c>
      <c r="Q180" s="10" t="s">
        <v>1005</v>
      </c>
      <c r="R180" s="10" t="s">
        <v>1473</v>
      </c>
      <c r="S180" s="14" t="s">
        <v>1192</v>
      </c>
      <c r="T180" s="14" t="s">
        <v>1431</v>
      </c>
      <c r="U180" s="14"/>
      <c r="V180" s="14" t="s">
        <v>1474</v>
      </c>
      <c r="W180" s="14"/>
      <c r="X180" s="14"/>
      <c r="Y180" s="14"/>
      <c r="Z180" s="14"/>
      <c r="AA180" s="12"/>
      <c r="AB180" s="13"/>
      <c r="AC180" s="14" t="s">
        <v>1475</v>
      </c>
      <c r="AD180" s="13"/>
      <c r="AE180" s="13"/>
    </row>
    <row r="181">
      <c r="A181" s="10" t="s">
        <v>27</v>
      </c>
      <c r="B181" s="10" t="s">
        <v>711</v>
      </c>
      <c r="C181" s="10" t="s">
        <v>1476</v>
      </c>
      <c r="D181" s="14" t="s">
        <v>1477</v>
      </c>
      <c r="E181" s="10" t="s">
        <v>31</v>
      </c>
      <c r="F181" s="10" t="s">
        <v>32</v>
      </c>
      <c r="G181" s="10" t="s">
        <v>50</v>
      </c>
      <c r="H181" s="14"/>
      <c r="I181" s="14"/>
      <c r="J181" s="14" t="s">
        <v>1478</v>
      </c>
      <c r="K181" s="10" t="s">
        <v>1479</v>
      </c>
      <c r="L181" s="14" t="s">
        <v>1480</v>
      </c>
      <c r="M181" s="14" t="s">
        <v>1481</v>
      </c>
      <c r="N181" s="14" t="s">
        <v>1482</v>
      </c>
      <c r="O181" s="12"/>
      <c r="P181" s="10" t="s">
        <v>1483</v>
      </c>
      <c r="Q181" s="10" t="s">
        <v>1484</v>
      </c>
      <c r="R181" s="10" t="s">
        <v>1485</v>
      </c>
      <c r="S181" s="14" t="s">
        <v>41</v>
      </c>
      <c r="T181" s="14" t="s">
        <v>42</v>
      </c>
      <c r="U181" s="14" t="s">
        <v>240</v>
      </c>
      <c r="V181" s="14"/>
      <c r="W181" s="14"/>
      <c r="X181" s="14"/>
      <c r="Y181" s="14"/>
      <c r="Z181" s="14"/>
      <c r="AA181" s="12"/>
      <c r="AB181" s="13"/>
      <c r="AC181" s="14" t="s">
        <v>1486</v>
      </c>
      <c r="AD181" s="13"/>
      <c r="AE181" s="13"/>
    </row>
    <row r="182">
      <c r="A182" s="32" t="s">
        <v>27</v>
      </c>
      <c r="B182" s="32" t="s">
        <v>711</v>
      </c>
      <c r="C182" s="32" t="s">
        <v>1487</v>
      </c>
      <c r="D182" s="33" t="s">
        <v>1488</v>
      </c>
      <c r="E182" s="32" t="s">
        <v>31</v>
      </c>
      <c r="F182" s="32" t="s">
        <v>32</v>
      </c>
      <c r="G182" s="32"/>
      <c r="H182" s="33"/>
      <c r="I182" s="33"/>
      <c r="J182" s="33"/>
      <c r="K182" s="32"/>
      <c r="L182" s="33"/>
      <c r="M182" s="33"/>
      <c r="N182" s="33" t="s">
        <v>1489</v>
      </c>
      <c r="O182" s="34"/>
      <c r="P182" s="32"/>
      <c r="Q182" s="32"/>
      <c r="R182" s="32"/>
      <c r="S182" s="33"/>
      <c r="T182" s="33"/>
      <c r="U182" s="33"/>
      <c r="V182" s="33"/>
      <c r="W182" s="33"/>
      <c r="X182" s="33"/>
      <c r="Y182" s="33"/>
      <c r="Z182" s="33"/>
      <c r="AA182" s="34"/>
      <c r="AB182" s="35"/>
      <c r="AC182" s="33" t="s">
        <v>1490</v>
      </c>
      <c r="AD182" s="35"/>
      <c r="AE182" s="35"/>
    </row>
    <row r="183">
      <c r="A183" s="32" t="s">
        <v>27</v>
      </c>
      <c r="B183" s="32" t="s">
        <v>711</v>
      </c>
      <c r="C183" s="32" t="s">
        <v>1491</v>
      </c>
      <c r="D183" s="33" t="s">
        <v>1492</v>
      </c>
      <c r="E183" s="32" t="s">
        <v>31</v>
      </c>
      <c r="F183" s="32" t="s">
        <v>32</v>
      </c>
      <c r="G183" s="32"/>
      <c r="H183" s="33"/>
      <c r="I183" s="33"/>
      <c r="J183" s="33"/>
      <c r="K183" s="32"/>
      <c r="L183" s="33"/>
      <c r="M183" s="33"/>
      <c r="N183" s="33" t="s">
        <v>1489</v>
      </c>
      <c r="O183" s="34"/>
      <c r="P183" s="32"/>
      <c r="Q183" s="32"/>
      <c r="R183" s="32"/>
      <c r="S183" s="33" t="s">
        <v>41</v>
      </c>
      <c r="T183" s="33" t="s">
        <v>42</v>
      </c>
      <c r="U183" s="33" t="s">
        <v>240</v>
      </c>
      <c r="V183" s="33"/>
      <c r="W183" s="33"/>
      <c r="X183" s="33"/>
      <c r="Y183" s="33"/>
      <c r="Z183" s="33"/>
      <c r="AA183" s="34"/>
      <c r="AB183" s="35"/>
      <c r="AC183" s="33" t="s">
        <v>1493</v>
      </c>
      <c r="AD183" s="35"/>
      <c r="AE183" s="35"/>
    </row>
    <row r="184">
      <c r="A184" s="32" t="s">
        <v>27</v>
      </c>
      <c r="B184" s="32" t="s">
        <v>711</v>
      </c>
      <c r="C184" s="32" t="s">
        <v>1494</v>
      </c>
      <c r="D184" s="33" t="s">
        <v>1495</v>
      </c>
      <c r="E184" s="32" t="s">
        <v>31</v>
      </c>
      <c r="F184" s="32" t="s">
        <v>32</v>
      </c>
      <c r="G184" s="32"/>
      <c r="H184" s="33"/>
      <c r="I184" s="33"/>
      <c r="J184" s="33"/>
      <c r="K184" s="32"/>
      <c r="L184" s="33"/>
      <c r="M184" s="33"/>
      <c r="N184" s="33" t="s">
        <v>1489</v>
      </c>
      <c r="O184" s="34"/>
      <c r="P184" s="32"/>
      <c r="Q184" s="32"/>
      <c r="R184" s="32"/>
      <c r="S184" s="33" t="s">
        <v>41</v>
      </c>
      <c r="T184" s="33" t="s">
        <v>42</v>
      </c>
      <c r="U184" s="33" t="s">
        <v>240</v>
      </c>
      <c r="V184" s="33"/>
      <c r="W184" s="33"/>
      <c r="X184" s="33"/>
      <c r="Y184" s="33"/>
      <c r="Z184" s="33"/>
      <c r="AA184" s="34"/>
      <c r="AB184" s="35"/>
      <c r="AC184" s="33" t="s">
        <v>1496</v>
      </c>
      <c r="AD184" s="35"/>
      <c r="AE184" s="35"/>
    </row>
    <row r="185">
      <c r="A185" s="10" t="s">
        <v>27</v>
      </c>
      <c r="B185" s="10" t="s">
        <v>711</v>
      </c>
      <c r="C185" s="10" t="s">
        <v>1497</v>
      </c>
      <c r="D185" s="14" t="s">
        <v>1498</v>
      </c>
      <c r="E185" s="10" t="s">
        <v>31</v>
      </c>
      <c r="F185" s="10" t="s">
        <v>32</v>
      </c>
      <c r="G185" s="10" t="s">
        <v>413</v>
      </c>
      <c r="H185" s="10" t="s">
        <v>34</v>
      </c>
      <c r="I185" s="10" t="s">
        <v>35</v>
      </c>
      <c r="J185" s="14" t="s">
        <v>1499</v>
      </c>
      <c r="K185" s="10" t="s">
        <v>1500</v>
      </c>
      <c r="L185" s="14" t="s">
        <v>37</v>
      </c>
      <c r="M185" s="14" t="s">
        <v>38</v>
      </c>
      <c r="N185" s="14" t="s">
        <v>1501</v>
      </c>
      <c r="O185" s="12"/>
      <c r="P185" s="10" t="s">
        <v>1502</v>
      </c>
      <c r="Q185" s="10" t="s">
        <v>1087</v>
      </c>
      <c r="R185" s="10" t="s">
        <v>1503</v>
      </c>
      <c r="S185" s="14" t="s">
        <v>41</v>
      </c>
      <c r="T185" s="14" t="s">
        <v>42</v>
      </c>
      <c r="U185" s="14" t="s">
        <v>240</v>
      </c>
      <c r="V185" s="14" t="s">
        <v>240</v>
      </c>
      <c r="W185" s="14"/>
      <c r="X185" s="14"/>
      <c r="Y185" s="14"/>
      <c r="Z185" s="14"/>
      <c r="AA185" s="12"/>
      <c r="AB185" s="13"/>
      <c r="AC185" s="14" t="s">
        <v>1504</v>
      </c>
      <c r="AD185" s="13"/>
      <c r="AE185" s="13"/>
    </row>
    <row r="186">
      <c r="A186" s="10" t="s">
        <v>27</v>
      </c>
      <c r="B186" s="10" t="s">
        <v>711</v>
      </c>
      <c r="C186" s="10" t="s">
        <v>1505</v>
      </c>
      <c r="D186" s="14" t="s">
        <v>1506</v>
      </c>
      <c r="E186" s="10" t="s">
        <v>31</v>
      </c>
      <c r="F186" s="10" t="s">
        <v>32</v>
      </c>
      <c r="G186" s="10"/>
      <c r="H186" s="10"/>
      <c r="I186" s="10"/>
      <c r="J186" s="14"/>
      <c r="K186" s="10"/>
      <c r="L186" s="14"/>
      <c r="M186" s="14"/>
      <c r="N186" s="14"/>
      <c r="O186" s="12"/>
      <c r="P186" s="10" t="s">
        <v>1507</v>
      </c>
      <c r="Q186" s="10" t="s">
        <v>1508</v>
      </c>
      <c r="R186" s="10" t="s">
        <v>1509</v>
      </c>
      <c r="S186" s="14" t="s">
        <v>551</v>
      </c>
      <c r="T186" s="14" t="s">
        <v>552</v>
      </c>
      <c r="U186" s="14" t="s">
        <v>845</v>
      </c>
      <c r="V186" s="14" t="s">
        <v>1510</v>
      </c>
      <c r="W186" s="14"/>
      <c r="X186" s="14"/>
      <c r="Y186" s="14"/>
      <c r="Z186" s="14"/>
      <c r="AA186" s="12"/>
      <c r="AB186" s="13"/>
      <c r="AC186" s="14" t="s">
        <v>1511</v>
      </c>
      <c r="AD186" s="13"/>
      <c r="AE186" s="13"/>
    </row>
    <row r="187">
      <c r="A187" s="10" t="s">
        <v>27</v>
      </c>
      <c r="B187" s="10" t="s">
        <v>1481</v>
      </c>
      <c r="C187" s="10" t="s">
        <v>1512</v>
      </c>
      <c r="D187" s="14" t="s">
        <v>1513</v>
      </c>
      <c r="E187" s="10" t="s">
        <v>31</v>
      </c>
      <c r="F187" s="10" t="s">
        <v>32</v>
      </c>
      <c r="G187" s="10"/>
      <c r="H187" s="10"/>
      <c r="I187" s="10"/>
      <c r="J187" s="14"/>
      <c r="K187" s="10"/>
      <c r="L187" s="14"/>
      <c r="M187" s="14"/>
      <c r="N187" s="14"/>
      <c r="O187" s="12"/>
      <c r="P187" s="10" t="s">
        <v>1514</v>
      </c>
      <c r="Q187" s="10" t="s">
        <v>1515</v>
      </c>
      <c r="R187" s="10" t="s">
        <v>1516</v>
      </c>
      <c r="S187" s="14" t="s">
        <v>551</v>
      </c>
      <c r="T187" s="14" t="s">
        <v>552</v>
      </c>
      <c r="U187" s="14" t="s">
        <v>1510</v>
      </c>
      <c r="V187" s="14" t="s">
        <v>1510</v>
      </c>
      <c r="W187" s="14"/>
      <c r="X187" s="14"/>
      <c r="Y187" s="14"/>
      <c r="Z187" s="14"/>
      <c r="AA187" s="12"/>
      <c r="AB187" s="13"/>
      <c r="AC187" s="14" t="s">
        <v>1517</v>
      </c>
      <c r="AD187" s="13"/>
      <c r="AE187" s="13"/>
    </row>
    <row r="188">
      <c r="A188" s="10" t="s">
        <v>27</v>
      </c>
      <c r="B188" s="10" t="s">
        <v>1481</v>
      </c>
      <c r="C188" s="10" t="s">
        <v>1518</v>
      </c>
      <c r="D188" s="14" t="s">
        <v>1519</v>
      </c>
      <c r="E188" s="10" t="s">
        <v>31</v>
      </c>
      <c r="F188" s="10" t="s">
        <v>32</v>
      </c>
      <c r="G188" s="10"/>
      <c r="H188" s="10"/>
      <c r="I188" s="10"/>
      <c r="J188" s="14"/>
      <c r="K188" s="10"/>
      <c r="L188" s="14"/>
      <c r="M188" s="14"/>
      <c r="N188" s="14"/>
      <c r="O188" s="12"/>
      <c r="P188" s="10" t="s">
        <v>1520</v>
      </c>
      <c r="Q188" s="10" t="s">
        <v>1521</v>
      </c>
      <c r="R188" s="10" t="s">
        <v>1522</v>
      </c>
      <c r="S188" s="14" t="s">
        <v>551</v>
      </c>
      <c r="T188" s="14" t="s">
        <v>552</v>
      </c>
      <c r="U188" s="14" t="s">
        <v>1510</v>
      </c>
      <c r="V188" s="14" t="s">
        <v>1510</v>
      </c>
      <c r="W188" s="14"/>
      <c r="X188" s="14"/>
      <c r="Y188" s="14"/>
      <c r="Z188" s="14"/>
      <c r="AA188" s="12"/>
      <c r="AB188" s="13"/>
      <c r="AC188" s="14" t="s">
        <v>1523</v>
      </c>
      <c r="AD188" s="13"/>
      <c r="AE188" s="13"/>
    </row>
    <row r="189">
      <c r="A189" s="10" t="s">
        <v>27</v>
      </c>
      <c r="B189" s="10" t="s">
        <v>1481</v>
      </c>
      <c r="C189" s="10" t="s">
        <v>1524</v>
      </c>
      <c r="D189" s="14" t="s">
        <v>1525</v>
      </c>
      <c r="E189" s="10" t="s">
        <v>31</v>
      </c>
      <c r="F189" s="10" t="s">
        <v>32</v>
      </c>
      <c r="G189" s="10"/>
      <c r="H189" s="10"/>
      <c r="I189" s="10"/>
      <c r="J189" s="14"/>
      <c r="K189" s="10"/>
      <c r="L189" s="14"/>
      <c r="M189" s="14"/>
      <c r="N189" s="14"/>
      <c r="O189" s="12"/>
      <c r="P189" s="10" t="s">
        <v>1526</v>
      </c>
      <c r="Q189" s="10" t="s">
        <v>1527</v>
      </c>
      <c r="R189" s="10" t="s">
        <v>1528</v>
      </c>
      <c r="S189" s="14" t="s">
        <v>551</v>
      </c>
      <c r="T189" s="14" t="s">
        <v>552</v>
      </c>
      <c r="U189" s="14" t="s">
        <v>1510</v>
      </c>
      <c r="V189" s="14" t="s">
        <v>1448</v>
      </c>
      <c r="W189" s="14"/>
      <c r="X189" s="14"/>
      <c r="Y189" s="14"/>
      <c r="Z189" s="14"/>
      <c r="AA189" s="12"/>
      <c r="AB189" s="13"/>
      <c r="AC189" s="14" t="s">
        <v>1529</v>
      </c>
      <c r="AD189" s="13"/>
      <c r="AE189" s="13"/>
    </row>
    <row r="190">
      <c r="A190" s="10" t="s">
        <v>27</v>
      </c>
      <c r="B190" s="10" t="s">
        <v>1481</v>
      </c>
      <c r="C190" s="10" t="s">
        <v>1530</v>
      </c>
      <c r="D190" s="14" t="s">
        <v>1531</v>
      </c>
      <c r="E190" s="10" t="s">
        <v>31</v>
      </c>
      <c r="F190" s="10" t="s">
        <v>32</v>
      </c>
      <c r="G190" s="10"/>
      <c r="H190" s="10" t="s">
        <v>906</v>
      </c>
      <c r="I190" s="10" t="s">
        <v>35</v>
      </c>
      <c r="J190" s="14" t="s">
        <v>1532</v>
      </c>
      <c r="K190" s="10" t="s">
        <v>1533</v>
      </c>
      <c r="L190" s="14" t="s">
        <v>711</v>
      </c>
      <c r="M190" s="14" t="s">
        <v>711</v>
      </c>
      <c r="N190" s="14" t="s">
        <v>1534</v>
      </c>
      <c r="O190" s="12"/>
      <c r="P190" s="10" t="s">
        <v>1535</v>
      </c>
      <c r="Q190" s="10" t="s">
        <v>1536</v>
      </c>
      <c r="R190" s="10" t="s">
        <v>1537</v>
      </c>
      <c r="S190" s="14" t="s">
        <v>551</v>
      </c>
      <c r="T190" s="14" t="s">
        <v>552</v>
      </c>
      <c r="U190" s="14" t="s">
        <v>1448</v>
      </c>
      <c r="V190" s="14" t="s">
        <v>1448</v>
      </c>
      <c r="W190" s="14"/>
      <c r="X190" s="14"/>
      <c r="Y190" s="14"/>
      <c r="Z190" s="14"/>
      <c r="AA190" s="12"/>
      <c r="AB190" s="13"/>
      <c r="AC190" s="14" t="s">
        <v>1538</v>
      </c>
      <c r="AD190" s="13"/>
      <c r="AE190" s="13"/>
    </row>
    <row r="191">
      <c r="A191" s="10" t="s">
        <v>27</v>
      </c>
      <c r="B191" s="10" t="s">
        <v>1481</v>
      </c>
      <c r="C191" s="10" t="s">
        <v>1539</v>
      </c>
      <c r="D191" s="14" t="s">
        <v>1540</v>
      </c>
      <c r="E191" s="10" t="s">
        <v>31</v>
      </c>
      <c r="F191" s="10" t="s">
        <v>32</v>
      </c>
      <c r="G191" s="10"/>
      <c r="H191" s="10"/>
      <c r="I191" s="10"/>
      <c r="J191" s="14"/>
      <c r="K191" s="10"/>
      <c r="L191" s="14"/>
      <c r="M191" s="14"/>
      <c r="N191" s="14"/>
      <c r="O191" s="12"/>
      <c r="P191" s="10" t="s">
        <v>1541</v>
      </c>
      <c r="Q191" s="10" t="s">
        <v>1542</v>
      </c>
      <c r="R191" s="10" t="s">
        <v>1543</v>
      </c>
      <c r="S191" s="14" t="s">
        <v>551</v>
      </c>
      <c r="T191" s="14" t="s">
        <v>552</v>
      </c>
      <c r="U191" s="14" t="s">
        <v>1448</v>
      </c>
      <c r="V191" s="14" t="s">
        <v>1448</v>
      </c>
      <c r="W191" s="14"/>
      <c r="X191" s="14"/>
      <c r="Y191" s="14"/>
      <c r="Z191" s="14"/>
      <c r="AA191" s="12"/>
      <c r="AB191" s="13"/>
      <c r="AC191" s="14" t="s">
        <v>1544</v>
      </c>
      <c r="AD191" s="13"/>
      <c r="AE191" s="13"/>
    </row>
    <row r="192">
      <c r="A192" s="10" t="s">
        <v>27</v>
      </c>
      <c r="B192" s="10" t="s">
        <v>1481</v>
      </c>
      <c r="C192" s="10" t="s">
        <v>1545</v>
      </c>
      <c r="D192" s="14" t="s">
        <v>1546</v>
      </c>
      <c r="E192" s="10" t="s">
        <v>31</v>
      </c>
      <c r="F192" s="10" t="s">
        <v>32</v>
      </c>
      <c r="G192" s="10"/>
      <c r="H192" s="10"/>
      <c r="I192" s="10"/>
      <c r="J192" s="14"/>
      <c r="K192" s="10"/>
      <c r="L192" s="14"/>
      <c r="M192" s="14"/>
      <c r="N192" s="14"/>
      <c r="O192" s="12"/>
      <c r="P192" s="10" t="s">
        <v>1547</v>
      </c>
      <c r="Q192" s="10" t="s">
        <v>1005</v>
      </c>
      <c r="R192" s="10" t="s">
        <v>1548</v>
      </c>
      <c r="S192" s="14" t="s">
        <v>551</v>
      </c>
      <c r="T192" s="14" t="s">
        <v>552</v>
      </c>
      <c r="U192" s="14" t="s">
        <v>1448</v>
      </c>
      <c r="V192" s="14" t="s">
        <v>1448</v>
      </c>
      <c r="W192" s="14"/>
      <c r="X192" s="14"/>
      <c r="Y192" s="14"/>
      <c r="Z192" s="14"/>
      <c r="AA192" s="12"/>
      <c r="AB192" s="13"/>
      <c r="AC192" s="14" t="s">
        <v>1549</v>
      </c>
      <c r="AD192" s="13"/>
      <c r="AE192" s="13"/>
    </row>
    <row r="193">
      <c r="A193" s="10" t="s">
        <v>27</v>
      </c>
      <c r="B193" s="10" t="s">
        <v>1481</v>
      </c>
      <c r="C193" s="10" t="s">
        <v>1550</v>
      </c>
      <c r="D193" s="14" t="s">
        <v>1551</v>
      </c>
      <c r="E193" s="10" t="s">
        <v>31</v>
      </c>
      <c r="F193" s="10" t="s">
        <v>32</v>
      </c>
      <c r="G193" s="10"/>
      <c r="H193" s="10"/>
      <c r="I193" s="10"/>
      <c r="J193" s="14"/>
      <c r="K193" s="10"/>
      <c r="L193" s="14"/>
      <c r="M193" s="14"/>
      <c r="N193" s="14"/>
      <c r="O193" s="12"/>
      <c r="P193" s="10" t="s">
        <v>1552</v>
      </c>
      <c r="Q193" s="10" t="s">
        <v>1553</v>
      </c>
      <c r="R193" s="10" t="s">
        <v>1554</v>
      </c>
      <c r="S193" s="14" t="s">
        <v>551</v>
      </c>
      <c r="T193" s="14" t="s">
        <v>552</v>
      </c>
      <c r="U193" s="14" t="s">
        <v>1448</v>
      </c>
      <c r="V193" s="14" t="s">
        <v>1448</v>
      </c>
      <c r="W193" s="14"/>
      <c r="X193" s="14"/>
      <c r="Y193" s="14"/>
      <c r="Z193" s="14"/>
      <c r="AA193" s="12"/>
      <c r="AB193" s="13"/>
      <c r="AC193" s="14" t="s">
        <v>1555</v>
      </c>
      <c r="AD193" s="13"/>
      <c r="AE193" s="13"/>
    </row>
    <row r="194">
      <c r="A194" s="10" t="s">
        <v>27</v>
      </c>
      <c r="B194" s="10" t="s">
        <v>1481</v>
      </c>
      <c r="C194" s="10" t="s">
        <v>1556</v>
      </c>
      <c r="D194" s="14" t="s">
        <v>1557</v>
      </c>
      <c r="E194" s="10" t="s">
        <v>31</v>
      </c>
      <c r="F194" s="10" t="s">
        <v>32</v>
      </c>
      <c r="G194" s="10"/>
      <c r="H194" s="10"/>
      <c r="I194" s="10"/>
      <c r="J194" s="14"/>
      <c r="K194" s="10"/>
      <c r="L194" s="14"/>
      <c r="M194" s="14"/>
      <c r="N194" s="14" t="s">
        <v>1558</v>
      </c>
      <c r="O194" s="12"/>
      <c r="P194" s="10" t="s">
        <v>271</v>
      </c>
      <c r="Q194" s="10" t="s">
        <v>1559</v>
      </c>
      <c r="R194" s="10" t="s">
        <v>1560</v>
      </c>
      <c r="S194" s="14" t="s">
        <v>551</v>
      </c>
      <c r="T194" s="14" t="s">
        <v>552</v>
      </c>
      <c r="U194" s="14" t="s">
        <v>1448</v>
      </c>
      <c r="V194" s="14" t="s">
        <v>1448</v>
      </c>
      <c r="W194" s="14"/>
      <c r="X194" s="14"/>
      <c r="Y194" s="14"/>
      <c r="Z194" s="14"/>
      <c r="AA194" s="12"/>
      <c r="AB194" s="13"/>
      <c r="AC194" s="14" t="s">
        <v>1561</v>
      </c>
      <c r="AD194" s="13"/>
      <c r="AE194" s="13"/>
    </row>
    <row r="195">
      <c r="A195" s="10" t="s">
        <v>27</v>
      </c>
      <c r="B195" s="10" t="s">
        <v>1108</v>
      </c>
      <c r="C195" s="10" t="s">
        <v>1562</v>
      </c>
      <c r="D195" s="14" t="s">
        <v>1563</v>
      </c>
      <c r="E195" s="10" t="s">
        <v>31</v>
      </c>
      <c r="F195" s="10" t="s">
        <v>32</v>
      </c>
      <c r="G195" s="10"/>
      <c r="H195" s="10"/>
      <c r="I195" s="10"/>
      <c r="J195" s="14"/>
      <c r="K195" s="10"/>
      <c r="L195" s="14"/>
      <c r="M195" s="14"/>
      <c r="N195" s="14"/>
      <c r="O195" s="12"/>
      <c r="P195" s="10" t="s">
        <v>1564</v>
      </c>
      <c r="Q195" s="10" t="s">
        <v>1565</v>
      </c>
      <c r="R195" s="10" t="s">
        <v>1566</v>
      </c>
      <c r="S195" s="14" t="s">
        <v>551</v>
      </c>
      <c r="T195" s="14" t="s">
        <v>552</v>
      </c>
      <c r="U195" s="14" t="s">
        <v>1448</v>
      </c>
      <c r="V195" s="14" t="s">
        <v>1448</v>
      </c>
      <c r="W195" s="14"/>
      <c r="X195" s="14"/>
      <c r="Y195" s="14"/>
      <c r="Z195" s="14"/>
      <c r="AA195" s="12"/>
      <c r="AB195" s="13"/>
      <c r="AC195" s="14" t="s">
        <v>1567</v>
      </c>
      <c r="AD195" s="13"/>
      <c r="AE195" s="13"/>
    </row>
    <row r="196">
      <c r="A196" s="10" t="s">
        <v>27</v>
      </c>
      <c r="B196" s="10" t="s">
        <v>1108</v>
      </c>
      <c r="C196" s="10" t="s">
        <v>1568</v>
      </c>
      <c r="D196" s="14" t="s">
        <v>1569</v>
      </c>
      <c r="E196" s="10" t="s">
        <v>31</v>
      </c>
      <c r="F196" s="10" t="s">
        <v>32</v>
      </c>
      <c r="G196" s="10" t="s">
        <v>1570</v>
      </c>
      <c r="H196" s="10" t="s">
        <v>906</v>
      </c>
      <c r="I196" s="10" t="s">
        <v>35</v>
      </c>
      <c r="J196" s="18" t="s">
        <v>1571</v>
      </c>
      <c r="K196" s="14" t="s">
        <v>1572</v>
      </c>
      <c r="L196" s="14" t="s">
        <v>161</v>
      </c>
      <c r="M196" s="14" t="s">
        <v>62</v>
      </c>
      <c r="N196" s="14" t="s">
        <v>1573</v>
      </c>
      <c r="O196" s="12"/>
      <c r="P196" s="10" t="s">
        <v>1574</v>
      </c>
      <c r="Q196" s="10" t="s">
        <v>1575</v>
      </c>
      <c r="R196" s="10" t="s">
        <v>1576</v>
      </c>
      <c r="S196" s="14" t="s">
        <v>551</v>
      </c>
      <c r="T196" s="14" t="s">
        <v>552</v>
      </c>
      <c r="U196" s="14" t="s">
        <v>1577</v>
      </c>
      <c r="V196" s="14" t="s">
        <v>1577</v>
      </c>
      <c r="W196" s="14"/>
      <c r="X196" s="14"/>
      <c r="Y196" s="14"/>
      <c r="Z196" s="14"/>
      <c r="AA196" s="12"/>
      <c r="AB196" s="13"/>
      <c r="AC196" s="14" t="s">
        <v>1578</v>
      </c>
      <c r="AD196" s="13"/>
      <c r="AE196" s="13"/>
    </row>
    <row r="197">
      <c r="A197" s="10" t="s">
        <v>27</v>
      </c>
      <c r="B197" s="10" t="s">
        <v>1108</v>
      </c>
      <c r="C197" s="10" t="s">
        <v>1579</v>
      </c>
      <c r="D197" s="14" t="s">
        <v>1580</v>
      </c>
      <c r="E197" s="10" t="s">
        <v>31</v>
      </c>
      <c r="F197" s="10" t="s">
        <v>32</v>
      </c>
      <c r="G197" s="10"/>
      <c r="H197" s="10"/>
      <c r="I197" s="10"/>
      <c r="J197" s="14"/>
      <c r="K197" s="10"/>
      <c r="L197" s="14"/>
      <c r="M197" s="14"/>
      <c r="N197" s="14"/>
      <c r="O197" s="12"/>
      <c r="P197" s="10" t="s">
        <v>1581</v>
      </c>
      <c r="Q197" s="10" t="s">
        <v>1582</v>
      </c>
      <c r="R197" s="10" t="s">
        <v>1583</v>
      </c>
      <c r="S197" s="14" t="s">
        <v>551</v>
      </c>
      <c r="T197" s="14" t="s">
        <v>552</v>
      </c>
      <c r="U197" s="14" t="s">
        <v>1584</v>
      </c>
      <c r="V197" s="14" t="s">
        <v>1577</v>
      </c>
      <c r="W197" s="14"/>
      <c r="X197" s="14"/>
      <c r="Y197" s="14"/>
      <c r="Z197" s="14"/>
      <c r="AA197" s="12"/>
      <c r="AB197" s="13"/>
      <c r="AC197" s="14" t="s">
        <v>1585</v>
      </c>
      <c r="AD197" s="13"/>
      <c r="AE197" s="13"/>
    </row>
    <row r="198">
      <c r="A198" s="10" t="s">
        <v>27</v>
      </c>
      <c r="B198" s="10" t="s">
        <v>1108</v>
      </c>
      <c r="C198" s="10" t="s">
        <v>1586</v>
      </c>
      <c r="D198" s="14" t="s">
        <v>1587</v>
      </c>
      <c r="E198" s="10" t="s">
        <v>31</v>
      </c>
      <c r="F198" s="10" t="s">
        <v>32</v>
      </c>
      <c r="G198" s="10"/>
      <c r="H198" s="10"/>
      <c r="I198" s="10"/>
      <c r="J198" s="14"/>
      <c r="K198" s="10"/>
      <c r="L198" s="14"/>
      <c r="M198" s="14"/>
      <c r="N198" s="14"/>
      <c r="O198" s="12"/>
      <c r="P198" s="10" t="s">
        <v>1588</v>
      </c>
      <c r="Q198" s="10" t="s">
        <v>1589</v>
      </c>
      <c r="R198" s="10" t="s">
        <v>1590</v>
      </c>
      <c r="S198" s="14" t="s">
        <v>551</v>
      </c>
      <c r="T198" s="14" t="s">
        <v>552</v>
      </c>
      <c r="U198" s="14" t="s">
        <v>1577</v>
      </c>
      <c r="V198" s="14" t="s">
        <v>1577</v>
      </c>
      <c r="W198" s="14"/>
      <c r="X198" s="14"/>
      <c r="Y198" s="14"/>
      <c r="Z198" s="14"/>
      <c r="AA198" s="12"/>
      <c r="AB198" s="13"/>
      <c r="AC198" s="14" t="s">
        <v>1591</v>
      </c>
      <c r="AD198" s="13"/>
      <c r="AE198" s="13"/>
    </row>
    <row r="199">
      <c r="A199" s="10" t="s">
        <v>27</v>
      </c>
      <c r="B199" s="10" t="s">
        <v>1108</v>
      </c>
      <c r="C199" s="10" t="s">
        <v>1592</v>
      </c>
      <c r="D199" s="14" t="s">
        <v>1593</v>
      </c>
      <c r="E199" s="10" t="s">
        <v>31</v>
      </c>
      <c r="F199" s="10" t="s">
        <v>32</v>
      </c>
      <c r="G199" s="10"/>
      <c r="H199" s="10"/>
      <c r="I199" s="10"/>
      <c r="J199" s="14"/>
      <c r="K199" s="10"/>
      <c r="L199" s="14"/>
      <c r="M199" s="14"/>
      <c r="N199" s="14"/>
      <c r="O199" s="12"/>
      <c r="P199" s="10" t="s">
        <v>1594</v>
      </c>
      <c r="Q199" s="10" t="s">
        <v>1595</v>
      </c>
      <c r="R199" s="10" t="s">
        <v>1596</v>
      </c>
      <c r="S199" s="14" t="s">
        <v>551</v>
      </c>
      <c r="T199" s="14" t="s">
        <v>552</v>
      </c>
      <c r="U199" s="14" t="s">
        <v>1597</v>
      </c>
      <c r="V199" s="14" t="s">
        <v>1597</v>
      </c>
      <c r="W199" s="14"/>
      <c r="X199" s="14"/>
      <c r="Y199" s="14"/>
      <c r="Z199" s="14"/>
      <c r="AA199" s="12"/>
      <c r="AB199" s="13"/>
      <c r="AC199" s="14" t="s">
        <v>1598</v>
      </c>
      <c r="AD199" s="13"/>
      <c r="AE199" s="13"/>
    </row>
    <row r="200">
      <c r="A200" s="10" t="s">
        <v>27</v>
      </c>
      <c r="B200" s="10" t="s">
        <v>1108</v>
      </c>
      <c r="C200" s="10" t="s">
        <v>1599</v>
      </c>
      <c r="D200" s="14" t="s">
        <v>1600</v>
      </c>
      <c r="E200" s="10" t="s">
        <v>31</v>
      </c>
      <c r="F200" s="10" t="s">
        <v>32</v>
      </c>
      <c r="G200" s="10"/>
      <c r="H200" s="10"/>
      <c r="I200" s="10"/>
      <c r="J200" s="14"/>
      <c r="K200" s="10"/>
      <c r="L200" s="14"/>
      <c r="M200" s="14"/>
      <c r="N200" s="14"/>
      <c r="O200" s="12"/>
      <c r="P200" s="10" t="s">
        <v>1601</v>
      </c>
      <c r="Q200" s="10" t="s">
        <v>1602</v>
      </c>
      <c r="R200" s="10" t="s">
        <v>1603</v>
      </c>
      <c r="S200" s="14" t="s">
        <v>551</v>
      </c>
      <c r="T200" s="14" t="s">
        <v>552</v>
      </c>
      <c r="U200" s="14" t="s">
        <v>1604</v>
      </c>
      <c r="V200" s="14" t="s">
        <v>1605</v>
      </c>
      <c r="W200" s="14"/>
      <c r="X200" s="14"/>
      <c r="Y200" s="14"/>
      <c r="Z200" s="14"/>
      <c r="AA200" s="12"/>
      <c r="AB200" s="13"/>
      <c r="AC200" s="14" t="s">
        <v>1606</v>
      </c>
      <c r="AD200" s="13"/>
      <c r="AE200" s="13"/>
    </row>
    <row r="201">
      <c r="A201" s="9" t="s">
        <v>1607</v>
      </c>
      <c r="B201" s="9" t="s">
        <v>28</v>
      </c>
      <c r="C201" s="10" t="s">
        <v>1608</v>
      </c>
      <c r="D201" s="14" t="s">
        <v>1609</v>
      </c>
      <c r="E201" s="10" t="s">
        <v>31</v>
      </c>
      <c r="F201" s="10" t="s">
        <v>32</v>
      </c>
      <c r="G201" s="9" t="s">
        <v>905</v>
      </c>
      <c r="H201" s="10" t="s">
        <v>34</v>
      </c>
      <c r="I201" s="10" t="s">
        <v>35</v>
      </c>
      <c r="J201" s="12" t="s">
        <v>1610</v>
      </c>
      <c r="K201" s="9" t="s">
        <v>1611</v>
      </c>
      <c r="L201" s="12" t="s">
        <v>63</v>
      </c>
      <c r="M201" s="12" t="s">
        <v>75</v>
      </c>
      <c r="N201" s="12"/>
      <c r="O201" s="12"/>
      <c r="P201" s="10" t="s">
        <v>1612</v>
      </c>
      <c r="Q201" s="10" t="s">
        <v>1613</v>
      </c>
      <c r="R201" s="9" t="s">
        <v>1614</v>
      </c>
      <c r="S201" s="12" t="s">
        <v>1615</v>
      </c>
      <c r="T201" s="12" t="s">
        <v>1616</v>
      </c>
      <c r="U201" s="12" t="s">
        <v>221</v>
      </c>
      <c r="V201" s="12" t="s">
        <v>221</v>
      </c>
      <c r="W201" s="14" t="s">
        <v>41</v>
      </c>
      <c r="X201" s="14" t="s">
        <v>42</v>
      </c>
      <c r="Y201" s="14" t="s">
        <v>631</v>
      </c>
      <c r="Z201" s="14" t="s">
        <v>671</v>
      </c>
      <c r="AA201" s="12"/>
      <c r="AB201" s="13"/>
      <c r="AC201" s="14" t="s">
        <v>1617</v>
      </c>
      <c r="AD201" s="13"/>
      <c r="AE201" s="13"/>
    </row>
    <row r="202">
      <c r="A202" s="9" t="s">
        <v>1607</v>
      </c>
      <c r="B202" s="9" t="s">
        <v>28</v>
      </c>
      <c r="C202" s="10" t="s">
        <v>1618</v>
      </c>
      <c r="D202" s="14" t="s">
        <v>1619</v>
      </c>
      <c r="E202" s="10" t="s">
        <v>31</v>
      </c>
      <c r="F202" s="10" t="s">
        <v>32</v>
      </c>
      <c r="G202" s="9"/>
      <c r="H202" s="14" t="s">
        <v>906</v>
      </c>
      <c r="I202" s="10" t="s">
        <v>35</v>
      </c>
      <c r="J202" s="14" t="s">
        <v>1620</v>
      </c>
      <c r="K202" s="9" t="s">
        <v>1621</v>
      </c>
      <c r="L202" s="12" t="s">
        <v>951</v>
      </c>
      <c r="M202" s="12" t="s">
        <v>951</v>
      </c>
      <c r="N202" s="12"/>
      <c r="O202" s="12"/>
      <c r="P202" s="10" t="s">
        <v>1622</v>
      </c>
      <c r="Q202" s="10" t="s">
        <v>1623</v>
      </c>
      <c r="R202" s="10" t="s">
        <v>1624</v>
      </c>
      <c r="S202" s="12" t="s">
        <v>1615</v>
      </c>
      <c r="T202" s="12" t="s">
        <v>1616</v>
      </c>
      <c r="U202" s="12" t="s">
        <v>1625</v>
      </c>
      <c r="V202" s="12" t="s">
        <v>1625</v>
      </c>
      <c r="W202" s="14" t="s">
        <v>41</v>
      </c>
      <c r="X202" s="14" t="s">
        <v>42</v>
      </c>
      <c r="Y202" s="14" t="s">
        <v>1626</v>
      </c>
      <c r="Z202" s="14" t="s">
        <v>1626</v>
      </c>
      <c r="AA202" s="12"/>
      <c r="AB202" s="13"/>
      <c r="AC202" s="14" t="s">
        <v>1627</v>
      </c>
      <c r="AD202" s="13"/>
      <c r="AE202" s="13"/>
    </row>
    <row r="203">
      <c r="A203" s="9" t="s">
        <v>1607</v>
      </c>
      <c r="B203" s="9" t="s">
        <v>28</v>
      </c>
      <c r="C203" s="9" t="s">
        <v>1628</v>
      </c>
      <c r="D203" s="14" t="s">
        <v>1629</v>
      </c>
      <c r="E203" s="10" t="s">
        <v>31</v>
      </c>
      <c r="F203" s="10" t="s">
        <v>32</v>
      </c>
      <c r="G203" s="9"/>
      <c r="H203" s="14" t="s">
        <v>906</v>
      </c>
      <c r="I203" s="10" t="s">
        <v>35</v>
      </c>
      <c r="J203" s="14" t="s">
        <v>1630</v>
      </c>
      <c r="K203" s="9" t="s">
        <v>1631</v>
      </c>
      <c r="L203" s="14" t="s">
        <v>141</v>
      </c>
      <c r="M203" s="14" t="s">
        <v>141</v>
      </c>
      <c r="N203" s="14" t="s">
        <v>1632</v>
      </c>
      <c r="O203" s="12"/>
      <c r="P203" s="18" t="s">
        <v>1633</v>
      </c>
      <c r="Q203" s="10" t="s">
        <v>1634</v>
      </c>
      <c r="R203" s="10" t="s">
        <v>1635</v>
      </c>
      <c r="S203" s="12" t="s">
        <v>1615</v>
      </c>
      <c r="T203" s="12" t="s">
        <v>1616</v>
      </c>
      <c r="U203" s="12" t="s">
        <v>1636</v>
      </c>
      <c r="V203" s="12" t="s">
        <v>1636</v>
      </c>
      <c r="W203" s="14" t="s">
        <v>41</v>
      </c>
      <c r="X203" s="14" t="s">
        <v>42</v>
      </c>
      <c r="Y203" s="14" t="s">
        <v>1626</v>
      </c>
      <c r="Z203" s="14" t="s">
        <v>1626</v>
      </c>
      <c r="AA203" s="12"/>
      <c r="AB203" s="13"/>
      <c r="AC203" s="14" t="s">
        <v>1637</v>
      </c>
      <c r="AD203" s="13"/>
      <c r="AE203" s="13"/>
    </row>
    <row r="204">
      <c r="A204" s="9" t="s">
        <v>1607</v>
      </c>
      <c r="B204" s="9" t="s">
        <v>28</v>
      </c>
      <c r="C204" s="9" t="s">
        <v>1638</v>
      </c>
      <c r="D204" s="14" t="s">
        <v>1639</v>
      </c>
      <c r="E204" s="10" t="s">
        <v>31</v>
      </c>
      <c r="F204" s="10" t="s">
        <v>32</v>
      </c>
      <c r="G204" s="10" t="s">
        <v>413</v>
      </c>
      <c r="H204" s="14" t="s">
        <v>906</v>
      </c>
      <c r="I204" s="10" t="s">
        <v>35</v>
      </c>
      <c r="J204" s="14" t="s">
        <v>1640</v>
      </c>
      <c r="K204" s="9" t="s">
        <v>1641</v>
      </c>
      <c r="L204" s="13">
        <v>13.0</v>
      </c>
      <c r="M204" s="12" t="s">
        <v>577</v>
      </c>
      <c r="N204" s="14" t="s">
        <v>1642</v>
      </c>
      <c r="O204" s="12"/>
      <c r="P204" s="10" t="s">
        <v>1643</v>
      </c>
      <c r="Q204" s="10" t="s">
        <v>1644</v>
      </c>
      <c r="R204" s="10" t="s">
        <v>1645</v>
      </c>
      <c r="S204" s="12" t="s">
        <v>1615</v>
      </c>
      <c r="T204" s="12" t="s">
        <v>1616</v>
      </c>
      <c r="U204" s="12" t="s">
        <v>239</v>
      </c>
      <c r="V204" s="12" t="s">
        <v>1646</v>
      </c>
      <c r="W204" s="14" t="s">
        <v>41</v>
      </c>
      <c r="X204" s="14" t="s">
        <v>42</v>
      </c>
      <c r="Y204" s="14" t="s">
        <v>1626</v>
      </c>
      <c r="Z204" s="14" t="s">
        <v>1626</v>
      </c>
      <c r="AA204" s="12"/>
      <c r="AB204" s="13"/>
      <c r="AC204" s="14" t="s">
        <v>1647</v>
      </c>
      <c r="AD204" s="13"/>
      <c r="AE204" s="13"/>
    </row>
    <row r="205">
      <c r="A205" s="9" t="s">
        <v>1607</v>
      </c>
      <c r="B205" s="9" t="s">
        <v>28</v>
      </c>
      <c r="C205" s="9" t="s">
        <v>1648</v>
      </c>
      <c r="D205" s="14" t="s">
        <v>1649</v>
      </c>
      <c r="E205" s="10" t="s">
        <v>31</v>
      </c>
      <c r="F205" s="10" t="s">
        <v>32</v>
      </c>
      <c r="G205" s="10" t="s">
        <v>413</v>
      </c>
      <c r="H205" s="10" t="s">
        <v>34</v>
      </c>
      <c r="I205" s="10" t="s">
        <v>35</v>
      </c>
      <c r="J205" s="12" t="s">
        <v>1650</v>
      </c>
      <c r="K205" s="9" t="s">
        <v>1651</v>
      </c>
      <c r="L205" s="12" t="s">
        <v>63</v>
      </c>
      <c r="M205" s="12" t="s">
        <v>75</v>
      </c>
      <c r="N205" s="12"/>
      <c r="O205" s="12"/>
      <c r="P205" s="9" t="s">
        <v>1652</v>
      </c>
      <c r="Q205" s="10" t="s">
        <v>1653</v>
      </c>
      <c r="R205" s="9" t="s">
        <v>1654</v>
      </c>
      <c r="S205" s="12" t="s">
        <v>1615</v>
      </c>
      <c r="T205" s="12" t="s">
        <v>1616</v>
      </c>
      <c r="U205" s="12" t="s">
        <v>1646</v>
      </c>
      <c r="V205" s="12" t="s">
        <v>1655</v>
      </c>
      <c r="W205" s="12"/>
      <c r="X205" s="12"/>
      <c r="Y205" s="12"/>
      <c r="Z205" s="12"/>
      <c r="AA205" s="12"/>
      <c r="AB205" s="13"/>
      <c r="AC205" s="14" t="s">
        <v>1656</v>
      </c>
      <c r="AD205" s="13"/>
      <c r="AE205" s="13"/>
    </row>
    <row r="206">
      <c r="A206" s="9" t="s">
        <v>1607</v>
      </c>
      <c r="B206" s="9" t="s">
        <v>116</v>
      </c>
      <c r="C206" s="9" t="s">
        <v>1657</v>
      </c>
      <c r="D206" s="14" t="s">
        <v>1658</v>
      </c>
      <c r="E206" s="10" t="s">
        <v>31</v>
      </c>
      <c r="F206" s="10" t="s">
        <v>32</v>
      </c>
      <c r="G206" s="9"/>
      <c r="H206" s="12"/>
      <c r="I206" s="12"/>
      <c r="J206" s="12" t="s">
        <v>1659</v>
      </c>
      <c r="K206" s="9" t="s">
        <v>1660</v>
      </c>
      <c r="L206" s="12" t="s">
        <v>1661</v>
      </c>
      <c r="M206" s="12" t="s">
        <v>1661</v>
      </c>
      <c r="N206" s="12"/>
      <c r="O206" s="12"/>
      <c r="P206" s="9" t="s">
        <v>1662</v>
      </c>
      <c r="Q206" s="10" t="s">
        <v>1663</v>
      </c>
      <c r="R206" s="9" t="s">
        <v>1664</v>
      </c>
      <c r="S206" s="12" t="s">
        <v>1615</v>
      </c>
      <c r="T206" s="12" t="s">
        <v>1616</v>
      </c>
      <c r="U206" s="12" t="s">
        <v>1665</v>
      </c>
      <c r="V206" s="12" t="s">
        <v>1666</v>
      </c>
      <c r="W206" s="12"/>
      <c r="X206" s="12"/>
      <c r="Y206" s="12"/>
      <c r="Z206" s="12"/>
      <c r="AA206" s="12"/>
      <c r="AB206" s="13"/>
      <c r="AC206" s="14" t="s">
        <v>1667</v>
      </c>
      <c r="AD206" s="13"/>
      <c r="AE206" s="13"/>
    </row>
    <row r="207">
      <c r="A207" s="9" t="s">
        <v>1607</v>
      </c>
      <c r="B207" s="9" t="s">
        <v>116</v>
      </c>
      <c r="C207" s="9" t="s">
        <v>1668</v>
      </c>
      <c r="D207" s="14" t="s">
        <v>1669</v>
      </c>
      <c r="E207" s="10" t="s">
        <v>31</v>
      </c>
      <c r="F207" s="10" t="s">
        <v>32</v>
      </c>
      <c r="G207" s="9" t="s">
        <v>50</v>
      </c>
      <c r="H207" s="12"/>
      <c r="I207" s="12"/>
      <c r="J207" s="12" t="s">
        <v>1670</v>
      </c>
      <c r="K207" s="9" t="s">
        <v>1671</v>
      </c>
      <c r="L207" s="12" t="s">
        <v>75</v>
      </c>
      <c r="M207" s="12" t="s">
        <v>38</v>
      </c>
      <c r="N207" s="12"/>
      <c r="O207" s="12"/>
      <c r="P207" s="18" t="s">
        <v>1005</v>
      </c>
      <c r="Q207" s="10" t="s">
        <v>1672</v>
      </c>
      <c r="R207" s="9" t="s">
        <v>1673</v>
      </c>
      <c r="S207" s="12" t="s">
        <v>1615</v>
      </c>
      <c r="T207" s="12" t="s">
        <v>1616</v>
      </c>
      <c r="U207" s="12" t="s">
        <v>1674</v>
      </c>
      <c r="V207" s="12" t="s">
        <v>1674</v>
      </c>
      <c r="W207" s="12"/>
      <c r="X207" s="12"/>
      <c r="Y207" s="12"/>
      <c r="Z207" s="12"/>
      <c r="AA207" s="12"/>
      <c r="AB207" s="13"/>
      <c r="AC207" s="14" t="s">
        <v>1675</v>
      </c>
      <c r="AD207" s="13"/>
      <c r="AE207" s="13"/>
    </row>
    <row r="208">
      <c r="A208" s="9" t="s">
        <v>1607</v>
      </c>
      <c r="B208" s="9" t="s">
        <v>116</v>
      </c>
      <c r="C208" s="9" t="s">
        <v>1676</v>
      </c>
      <c r="D208" s="14" t="s">
        <v>1677</v>
      </c>
      <c r="E208" s="10" t="s">
        <v>31</v>
      </c>
      <c r="F208" s="10" t="s">
        <v>32</v>
      </c>
      <c r="G208" s="9"/>
      <c r="H208" s="12"/>
      <c r="I208" s="12"/>
      <c r="J208" s="12" t="s">
        <v>1678</v>
      </c>
      <c r="K208" s="9" t="s">
        <v>1679</v>
      </c>
      <c r="L208" s="12" t="s">
        <v>430</v>
      </c>
      <c r="M208" s="12" t="s">
        <v>430</v>
      </c>
      <c r="N208" s="12"/>
      <c r="O208" s="12"/>
      <c r="P208" s="9" t="s">
        <v>1680</v>
      </c>
      <c r="Q208" s="10" t="s">
        <v>1681</v>
      </c>
      <c r="R208" s="10" t="s">
        <v>1682</v>
      </c>
      <c r="S208" s="12" t="s">
        <v>1615</v>
      </c>
      <c r="T208" s="12" t="s">
        <v>1616</v>
      </c>
      <c r="U208" s="12" t="s">
        <v>1674</v>
      </c>
      <c r="V208" s="12" t="s">
        <v>1683</v>
      </c>
      <c r="W208" s="12"/>
      <c r="X208" s="12"/>
      <c r="Y208" s="12"/>
      <c r="Z208" s="12"/>
      <c r="AA208" s="12"/>
      <c r="AB208" s="13"/>
      <c r="AC208" s="14" t="s">
        <v>1684</v>
      </c>
      <c r="AD208" s="13"/>
      <c r="AE208" s="13"/>
    </row>
    <row r="209">
      <c r="A209" s="9" t="s">
        <v>1607</v>
      </c>
      <c r="B209" s="9" t="s">
        <v>116</v>
      </c>
      <c r="C209" s="9" t="s">
        <v>1685</v>
      </c>
      <c r="D209" s="14" t="s">
        <v>1686</v>
      </c>
      <c r="E209" s="10" t="s">
        <v>31</v>
      </c>
      <c r="F209" s="10" t="s">
        <v>32</v>
      </c>
      <c r="G209" s="9"/>
      <c r="H209" s="12"/>
      <c r="I209" s="12"/>
      <c r="J209" s="12" t="s">
        <v>1687</v>
      </c>
      <c r="K209" s="9" t="s">
        <v>1688</v>
      </c>
      <c r="L209" s="12" t="s">
        <v>63</v>
      </c>
      <c r="M209" s="12" t="s">
        <v>63</v>
      </c>
      <c r="N209" s="12"/>
      <c r="O209" s="12"/>
      <c r="P209" s="9" t="s">
        <v>1689</v>
      </c>
      <c r="Q209" s="10" t="s">
        <v>1690</v>
      </c>
      <c r="R209" s="9" t="s">
        <v>1691</v>
      </c>
      <c r="S209" s="12" t="s">
        <v>1615</v>
      </c>
      <c r="T209" s="12" t="s">
        <v>1616</v>
      </c>
      <c r="U209" s="12" t="s">
        <v>1683</v>
      </c>
      <c r="V209" s="12" t="s">
        <v>1683</v>
      </c>
      <c r="W209" s="12"/>
      <c r="X209" s="12"/>
      <c r="Y209" s="12"/>
      <c r="Z209" s="12"/>
      <c r="AA209" s="12"/>
      <c r="AB209" s="13"/>
      <c r="AC209" s="14" t="s">
        <v>1692</v>
      </c>
      <c r="AD209" s="13"/>
      <c r="AE209" s="13"/>
    </row>
    <row r="210">
      <c r="A210" s="9" t="s">
        <v>1607</v>
      </c>
      <c r="B210" s="9" t="s">
        <v>192</v>
      </c>
      <c r="C210" s="9" t="s">
        <v>1693</v>
      </c>
      <c r="D210" s="14" t="s">
        <v>1694</v>
      </c>
      <c r="E210" s="10" t="s">
        <v>31</v>
      </c>
      <c r="F210" s="10" t="s">
        <v>32</v>
      </c>
      <c r="G210" s="9"/>
      <c r="H210" s="12"/>
      <c r="I210" s="12"/>
      <c r="J210" s="12" t="s">
        <v>1695</v>
      </c>
      <c r="K210" s="9" t="s">
        <v>1696</v>
      </c>
      <c r="L210" s="12" t="s">
        <v>297</v>
      </c>
      <c r="M210" s="12" t="s">
        <v>297</v>
      </c>
      <c r="N210" s="12"/>
      <c r="O210" s="12"/>
      <c r="P210" s="9" t="s">
        <v>1697</v>
      </c>
      <c r="Q210" s="1" t="s">
        <v>1698</v>
      </c>
      <c r="R210" s="10" t="s">
        <v>1699</v>
      </c>
      <c r="S210" s="12" t="s">
        <v>1615</v>
      </c>
      <c r="T210" s="12" t="s">
        <v>1616</v>
      </c>
      <c r="U210" s="12" t="s">
        <v>1700</v>
      </c>
      <c r="V210" s="12" t="s">
        <v>258</v>
      </c>
      <c r="W210" s="12"/>
      <c r="X210" s="12"/>
      <c r="Y210" s="12"/>
      <c r="Z210" s="12"/>
      <c r="AA210" s="12"/>
      <c r="AB210" s="13"/>
      <c r="AC210" s="14" t="s">
        <v>1701</v>
      </c>
      <c r="AD210" s="13"/>
      <c r="AE210" s="13"/>
    </row>
    <row r="211">
      <c r="A211" s="9" t="s">
        <v>1607</v>
      </c>
      <c r="B211" s="9" t="s">
        <v>192</v>
      </c>
      <c r="C211" s="9" t="s">
        <v>1702</v>
      </c>
      <c r="D211" s="14" t="s">
        <v>1703</v>
      </c>
      <c r="E211" s="10" t="s">
        <v>31</v>
      </c>
      <c r="F211" s="10" t="s">
        <v>32</v>
      </c>
      <c r="G211" s="9" t="s">
        <v>1704</v>
      </c>
      <c r="H211" s="10" t="s">
        <v>34</v>
      </c>
      <c r="I211" s="10" t="s">
        <v>35</v>
      </c>
      <c r="J211" s="12" t="s">
        <v>1705</v>
      </c>
      <c r="K211" s="9" t="s">
        <v>1706</v>
      </c>
      <c r="L211" s="12" t="s">
        <v>62</v>
      </c>
      <c r="M211" s="12" t="s">
        <v>63</v>
      </c>
      <c r="N211" s="12"/>
      <c r="O211" s="12"/>
      <c r="P211" s="9" t="s">
        <v>1707</v>
      </c>
      <c r="Q211" s="10" t="s">
        <v>1429</v>
      </c>
      <c r="R211" s="9" t="s">
        <v>1708</v>
      </c>
      <c r="S211" s="12" t="s">
        <v>1615</v>
      </c>
      <c r="T211" s="12" t="s">
        <v>1616</v>
      </c>
      <c r="U211" s="12" t="s">
        <v>1709</v>
      </c>
      <c r="V211" s="12" t="s">
        <v>1709</v>
      </c>
      <c r="W211" s="12"/>
      <c r="X211" s="12"/>
      <c r="Y211" s="12"/>
      <c r="Z211" s="12"/>
      <c r="AA211" s="12"/>
      <c r="AB211" s="13"/>
      <c r="AC211" s="14" t="s">
        <v>1710</v>
      </c>
      <c r="AD211" s="13"/>
      <c r="AE211" s="13"/>
    </row>
    <row r="212">
      <c r="A212" s="9" t="s">
        <v>1607</v>
      </c>
      <c r="B212" s="9" t="s">
        <v>192</v>
      </c>
      <c r="C212" s="9" t="s">
        <v>1711</v>
      </c>
      <c r="D212" s="14" t="s">
        <v>1712</v>
      </c>
      <c r="E212" s="10" t="s">
        <v>31</v>
      </c>
      <c r="F212" s="10" t="s">
        <v>32</v>
      </c>
      <c r="G212" s="9" t="s">
        <v>1704</v>
      </c>
      <c r="H212" s="10" t="s">
        <v>34</v>
      </c>
      <c r="I212" s="10" t="s">
        <v>35</v>
      </c>
      <c r="J212" s="12" t="s">
        <v>1713</v>
      </c>
      <c r="K212" s="9" t="s">
        <v>1714</v>
      </c>
      <c r="L212" s="12" t="s">
        <v>84</v>
      </c>
      <c r="M212" s="12" t="s">
        <v>74</v>
      </c>
      <c r="N212" s="12"/>
      <c r="O212" s="12"/>
      <c r="P212" s="9" t="s">
        <v>1715</v>
      </c>
      <c r="Q212" s="10" t="s">
        <v>1087</v>
      </c>
      <c r="R212" s="9" t="s">
        <v>1716</v>
      </c>
      <c r="S212" s="12" t="s">
        <v>1615</v>
      </c>
      <c r="T212" s="12" t="s">
        <v>1616</v>
      </c>
      <c r="U212" s="12" t="s">
        <v>282</v>
      </c>
      <c r="V212" s="12" t="s">
        <v>282</v>
      </c>
      <c r="W212" s="12"/>
      <c r="X212" s="12"/>
      <c r="Y212" s="12"/>
      <c r="Z212" s="12"/>
      <c r="AA212" s="12"/>
      <c r="AB212" s="13"/>
      <c r="AC212" s="14" t="s">
        <v>1717</v>
      </c>
      <c r="AD212" s="13"/>
      <c r="AE212" s="13"/>
    </row>
    <row r="213">
      <c r="A213" s="9" t="s">
        <v>1607</v>
      </c>
      <c r="B213" s="9" t="s">
        <v>192</v>
      </c>
      <c r="C213" s="9" t="s">
        <v>1718</v>
      </c>
      <c r="D213" s="14" t="s">
        <v>1719</v>
      </c>
      <c r="E213" s="10" t="s">
        <v>31</v>
      </c>
      <c r="F213" s="10" t="s">
        <v>32</v>
      </c>
      <c r="G213" s="9" t="s">
        <v>1704</v>
      </c>
      <c r="H213" s="10" t="s">
        <v>34</v>
      </c>
      <c r="I213" s="10" t="s">
        <v>35</v>
      </c>
      <c r="J213" s="12" t="s">
        <v>1720</v>
      </c>
      <c r="K213" s="9" t="s">
        <v>1721</v>
      </c>
      <c r="L213" s="12" t="s">
        <v>62</v>
      </c>
      <c r="M213" s="12" t="s">
        <v>63</v>
      </c>
      <c r="N213" s="12"/>
      <c r="O213" s="12"/>
      <c r="P213" s="36" t="s">
        <v>1722</v>
      </c>
      <c r="Q213" s="10" t="s">
        <v>1723</v>
      </c>
      <c r="R213" s="9" t="s">
        <v>1724</v>
      </c>
      <c r="S213" s="12" t="s">
        <v>1615</v>
      </c>
      <c r="T213" s="12" t="s">
        <v>1616</v>
      </c>
      <c r="U213" s="12" t="s">
        <v>282</v>
      </c>
      <c r="V213" s="12" t="s">
        <v>282</v>
      </c>
      <c r="W213" s="12"/>
      <c r="X213" s="12"/>
      <c r="Y213" s="12"/>
      <c r="Z213" s="12"/>
      <c r="AA213" s="12"/>
      <c r="AB213" s="13"/>
      <c r="AC213" s="14" t="s">
        <v>1725</v>
      </c>
      <c r="AD213" s="13"/>
      <c r="AE213" s="13"/>
    </row>
    <row r="214">
      <c r="A214" s="9" t="s">
        <v>1607</v>
      </c>
      <c r="B214" s="9" t="s">
        <v>192</v>
      </c>
      <c r="C214" s="9" t="s">
        <v>1726</v>
      </c>
      <c r="D214" s="37" t="s">
        <v>1727</v>
      </c>
      <c r="E214" s="10" t="s">
        <v>31</v>
      </c>
      <c r="F214" s="10" t="s">
        <v>32</v>
      </c>
      <c r="G214" s="38" t="s">
        <v>1704</v>
      </c>
      <c r="H214" s="10" t="s">
        <v>34</v>
      </c>
      <c r="I214" s="10" t="s">
        <v>35</v>
      </c>
      <c r="J214" s="39" t="s">
        <v>1728</v>
      </c>
      <c r="K214" s="38" t="s">
        <v>1729</v>
      </c>
      <c r="L214" s="39" t="s">
        <v>63</v>
      </c>
      <c r="M214" s="39" t="s">
        <v>75</v>
      </c>
      <c r="N214" s="40"/>
      <c r="O214" s="40"/>
      <c r="P214" s="22" t="s">
        <v>1005</v>
      </c>
      <c r="Q214" s="10" t="s">
        <v>1005</v>
      </c>
      <c r="R214" s="9" t="s">
        <v>1730</v>
      </c>
      <c r="S214" s="39" t="s">
        <v>1615</v>
      </c>
      <c r="T214" s="39" t="s">
        <v>1616</v>
      </c>
      <c r="U214" s="39" t="s">
        <v>1731</v>
      </c>
      <c r="V214" s="37" t="s">
        <v>1731</v>
      </c>
      <c r="W214" s="12"/>
      <c r="X214" s="12"/>
      <c r="Y214" s="12"/>
      <c r="Z214" s="12"/>
      <c r="AA214" s="12"/>
      <c r="AB214" s="13"/>
      <c r="AC214" s="14" t="s">
        <v>1732</v>
      </c>
      <c r="AD214" s="13"/>
      <c r="AE214" s="13"/>
    </row>
    <row r="215">
      <c r="A215" s="9" t="s">
        <v>1607</v>
      </c>
      <c r="B215" s="9" t="s">
        <v>192</v>
      </c>
      <c r="C215" s="9" t="s">
        <v>1733</v>
      </c>
      <c r="D215" s="14" t="s">
        <v>1734</v>
      </c>
      <c r="E215" s="10" t="s">
        <v>31</v>
      </c>
      <c r="F215" s="10" t="s">
        <v>32</v>
      </c>
      <c r="G215" s="38" t="s">
        <v>1704</v>
      </c>
      <c r="H215" s="10" t="s">
        <v>34</v>
      </c>
      <c r="I215" s="10" t="s">
        <v>35</v>
      </c>
      <c r="J215" s="14" t="s">
        <v>1735</v>
      </c>
      <c r="K215" s="10" t="s">
        <v>1736</v>
      </c>
      <c r="L215" s="14" t="s">
        <v>739</v>
      </c>
      <c r="M215" s="14" t="s">
        <v>367</v>
      </c>
      <c r="N215" s="12"/>
      <c r="O215" s="12"/>
      <c r="P215" s="10" t="s">
        <v>1737</v>
      </c>
      <c r="Q215" s="10" t="s">
        <v>1738</v>
      </c>
      <c r="R215" s="10" t="s">
        <v>1739</v>
      </c>
      <c r="S215" s="39" t="s">
        <v>1615</v>
      </c>
      <c r="T215" s="39" t="s">
        <v>1616</v>
      </c>
      <c r="U215" s="14" t="s">
        <v>1740</v>
      </c>
      <c r="V215" s="14" t="s">
        <v>425</v>
      </c>
      <c r="W215" s="12"/>
      <c r="X215" s="12"/>
      <c r="Y215" s="12"/>
      <c r="Z215" s="12"/>
      <c r="AA215" s="12"/>
      <c r="AB215" s="13"/>
      <c r="AC215" s="14" t="s">
        <v>1741</v>
      </c>
      <c r="AD215" s="13"/>
      <c r="AE215" s="13"/>
    </row>
    <row r="216">
      <c r="A216" s="9" t="s">
        <v>1607</v>
      </c>
      <c r="B216" s="9" t="s">
        <v>192</v>
      </c>
      <c r="C216" s="9" t="s">
        <v>1742</v>
      </c>
      <c r="D216" s="14" t="s">
        <v>1743</v>
      </c>
      <c r="E216" s="10" t="s">
        <v>31</v>
      </c>
      <c r="F216" s="10" t="s">
        <v>32</v>
      </c>
      <c r="G216" s="10" t="s">
        <v>413</v>
      </c>
      <c r="H216" s="10" t="s">
        <v>34</v>
      </c>
      <c r="I216" s="10" t="s">
        <v>35</v>
      </c>
      <c r="J216" s="14" t="s">
        <v>1744</v>
      </c>
      <c r="K216" s="10" t="s">
        <v>1745</v>
      </c>
      <c r="L216" s="14" t="s">
        <v>577</v>
      </c>
      <c r="M216" s="14" t="s">
        <v>62</v>
      </c>
      <c r="N216" s="14" t="s">
        <v>1746</v>
      </c>
      <c r="O216" s="14" t="s">
        <v>1747</v>
      </c>
      <c r="P216" s="10" t="s">
        <v>1748</v>
      </c>
      <c r="Q216" s="10" t="s">
        <v>1749</v>
      </c>
      <c r="R216" s="10" t="s">
        <v>1750</v>
      </c>
      <c r="S216" s="39" t="s">
        <v>1615</v>
      </c>
      <c r="T216" s="39" t="s">
        <v>1616</v>
      </c>
      <c r="U216" s="14" t="s">
        <v>425</v>
      </c>
      <c r="V216" s="14" t="s">
        <v>443</v>
      </c>
      <c r="W216" s="14" t="s">
        <v>41</v>
      </c>
      <c r="X216" s="14" t="s">
        <v>42</v>
      </c>
      <c r="Y216" s="14" t="s">
        <v>1626</v>
      </c>
      <c r="Z216" s="14" t="s">
        <v>1626</v>
      </c>
      <c r="AA216" s="12"/>
      <c r="AB216" s="13"/>
      <c r="AC216" s="14" t="s">
        <v>1751</v>
      </c>
      <c r="AD216" s="13"/>
      <c r="AE216" s="13"/>
    </row>
    <row r="217">
      <c r="A217" s="9" t="s">
        <v>1607</v>
      </c>
      <c r="B217" s="9" t="s">
        <v>303</v>
      </c>
      <c r="C217" s="10" t="s">
        <v>1752</v>
      </c>
      <c r="D217" s="14" t="s">
        <v>1753</v>
      </c>
      <c r="E217" s="10" t="s">
        <v>1754</v>
      </c>
      <c r="F217" s="10" t="s">
        <v>31</v>
      </c>
      <c r="G217" s="10" t="s">
        <v>1755</v>
      </c>
      <c r="H217" s="14" t="s">
        <v>1756</v>
      </c>
      <c r="I217" s="14" t="s">
        <v>1757</v>
      </c>
      <c r="J217" s="14" t="s">
        <v>1026</v>
      </c>
      <c r="K217" s="10" t="s">
        <v>1758</v>
      </c>
      <c r="L217" s="14" t="s">
        <v>37</v>
      </c>
      <c r="M217" s="14" t="s">
        <v>37</v>
      </c>
      <c r="N217" s="12"/>
      <c r="O217" s="12"/>
      <c r="P217" s="10" t="s">
        <v>1759</v>
      </c>
      <c r="Q217" s="10" t="s">
        <v>1760</v>
      </c>
      <c r="R217" s="10" t="s">
        <v>1761</v>
      </c>
      <c r="S217" s="39" t="s">
        <v>1615</v>
      </c>
      <c r="T217" s="14" t="s">
        <v>1616</v>
      </c>
      <c r="U217" s="14" t="s">
        <v>443</v>
      </c>
      <c r="V217" s="14" t="s">
        <v>443</v>
      </c>
      <c r="W217" s="12"/>
      <c r="X217" s="12"/>
      <c r="Y217" s="12"/>
      <c r="Z217" s="12"/>
      <c r="AA217" s="12"/>
      <c r="AB217" s="13"/>
      <c r="AC217" s="14" t="s">
        <v>1762</v>
      </c>
      <c r="AD217" s="13"/>
      <c r="AE217" s="13"/>
    </row>
    <row r="218">
      <c r="A218" s="9" t="s">
        <v>1607</v>
      </c>
      <c r="B218" s="9" t="s">
        <v>400</v>
      </c>
      <c r="C218" s="9" t="s">
        <v>1763</v>
      </c>
      <c r="D218" s="14" t="s">
        <v>1764</v>
      </c>
      <c r="E218" s="10" t="s">
        <v>31</v>
      </c>
      <c r="F218" s="10" t="s">
        <v>32</v>
      </c>
      <c r="G218" s="38" t="s">
        <v>1704</v>
      </c>
      <c r="H218" s="10" t="s">
        <v>34</v>
      </c>
      <c r="I218" s="10" t="s">
        <v>35</v>
      </c>
      <c r="J218" s="14" t="s">
        <v>1765</v>
      </c>
      <c r="K218" s="10" t="s">
        <v>1766</v>
      </c>
      <c r="L218" s="14" t="s">
        <v>951</v>
      </c>
      <c r="M218" s="14" t="s">
        <v>367</v>
      </c>
      <c r="N218" s="14" t="s">
        <v>1767</v>
      </c>
      <c r="O218" s="12"/>
      <c r="P218" s="10" t="s">
        <v>1768</v>
      </c>
      <c r="Q218" s="10" t="s">
        <v>1769</v>
      </c>
      <c r="R218" s="10" t="s">
        <v>1770</v>
      </c>
      <c r="S218" s="14" t="s">
        <v>1615</v>
      </c>
      <c r="T218" s="14" t="s">
        <v>1616</v>
      </c>
      <c r="U218" s="14" t="s">
        <v>1771</v>
      </c>
      <c r="V218" s="14" t="s">
        <v>1771</v>
      </c>
      <c r="W218" s="14" t="s">
        <v>41</v>
      </c>
      <c r="X218" s="14" t="s">
        <v>42</v>
      </c>
      <c r="Y218" s="14" t="s">
        <v>1626</v>
      </c>
      <c r="Z218" s="14" t="s">
        <v>1772</v>
      </c>
      <c r="AA218" s="12"/>
      <c r="AB218" s="13"/>
      <c r="AC218" s="14" t="s">
        <v>1773</v>
      </c>
      <c r="AD218" s="13"/>
      <c r="AE218" s="13"/>
    </row>
    <row r="219">
      <c r="A219" s="9" t="s">
        <v>1607</v>
      </c>
      <c r="B219" s="9" t="s">
        <v>400</v>
      </c>
      <c r="C219" s="9" t="s">
        <v>1774</v>
      </c>
      <c r="D219" s="14" t="s">
        <v>1775</v>
      </c>
      <c r="E219" s="10" t="s">
        <v>31</v>
      </c>
      <c r="F219" s="10" t="s">
        <v>32</v>
      </c>
      <c r="G219" s="38" t="s">
        <v>1704</v>
      </c>
      <c r="H219" s="10" t="s">
        <v>34</v>
      </c>
      <c r="I219" s="10" t="s">
        <v>35</v>
      </c>
      <c r="J219" s="14" t="s">
        <v>1776</v>
      </c>
      <c r="K219" s="10" t="s">
        <v>1777</v>
      </c>
      <c r="L219" s="14" t="s">
        <v>577</v>
      </c>
      <c r="M219" s="14" t="s">
        <v>84</v>
      </c>
      <c r="N219" s="12"/>
      <c r="O219" s="12"/>
      <c r="P219" s="10" t="s">
        <v>1778</v>
      </c>
      <c r="Q219" s="10" t="s">
        <v>1779</v>
      </c>
      <c r="R219" s="10" t="s">
        <v>1780</v>
      </c>
      <c r="S219" s="14" t="s">
        <v>1615</v>
      </c>
      <c r="T219" s="14" t="s">
        <v>1616</v>
      </c>
      <c r="U219" s="14" t="s">
        <v>462</v>
      </c>
      <c r="V219" s="14" t="s">
        <v>488</v>
      </c>
      <c r="W219" s="14" t="s">
        <v>41</v>
      </c>
      <c r="X219" s="14" t="s">
        <v>42</v>
      </c>
      <c r="Y219" s="14" t="s">
        <v>1626</v>
      </c>
      <c r="Z219" s="14" t="s">
        <v>1772</v>
      </c>
      <c r="AA219" s="12"/>
      <c r="AB219" s="13"/>
      <c r="AC219" s="14" t="s">
        <v>1781</v>
      </c>
      <c r="AD219" s="13"/>
      <c r="AE219" s="13"/>
    </row>
    <row r="220">
      <c r="A220" s="9" t="s">
        <v>1607</v>
      </c>
      <c r="B220" s="9" t="s">
        <v>400</v>
      </c>
      <c r="C220" s="9" t="s">
        <v>1782</v>
      </c>
      <c r="D220" s="14" t="s">
        <v>1783</v>
      </c>
      <c r="E220" s="10" t="s">
        <v>31</v>
      </c>
      <c r="F220" s="10" t="s">
        <v>32</v>
      </c>
      <c r="G220" s="38" t="s">
        <v>1704</v>
      </c>
      <c r="H220" s="10" t="s">
        <v>34</v>
      </c>
      <c r="I220" s="10" t="s">
        <v>35</v>
      </c>
      <c r="J220" s="14" t="s">
        <v>1784</v>
      </c>
      <c r="K220" s="10" t="s">
        <v>1785</v>
      </c>
      <c r="L220" s="14" t="s">
        <v>74</v>
      </c>
      <c r="M220" s="14" t="s">
        <v>37</v>
      </c>
      <c r="N220" s="14" t="s">
        <v>1786</v>
      </c>
      <c r="O220" s="14" t="s">
        <v>1787</v>
      </c>
      <c r="P220" s="10" t="s">
        <v>1788</v>
      </c>
      <c r="Q220" s="10" t="s">
        <v>1789</v>
      </c>
      <c r="R220" s="10" t="s">
        <v>1790</v>
      </c>
      <c r="S220" s="14" t="s">
        <v>1615</v>
      </c>
      <c r="T220" s="14" t="s">
        <v>1616</v>
      </c>
      <c r="U220" s="14" t="s">
        <v>488</v>
      </c>
      <c r="V220" s="14" t="s">
        <v>488</v>
      </c>
      <c r="W220" s="14" t="s">
        <v>41</v>
      </c>
      <c r="X220" s="14" t="s">
        <v>42</v>
      </c>
      <c r="Y220" s="14" t="s">
        <v>1772</v>
      </c>
      <c r="Z220" s="14" t="s">
        <v>1772</v>
      </c>
      <c r="AA220" s="12"/>
      <c r="AB220" s="13"/>
      <c r="AC220" s="14" t="s">
        <v>1791</v>
      </c>
      <c r="AD220" s="13"/>
      <c r="AE220" s="13"/>
    </row>
    <row r="221">
      <c r="A221" s="9" t="s">
        <v>1607</v>
      </c>
      <c r="B221" s="9" t="s">
        <v>400</v>
      </c>
      <c r="C221" s="9" t="s">
        <v>1792</v>
      </c>
      <c r="D221" s="14" t="s">
        <v>1793</v>
      </c>
      <c r="E221" s="10" t="s">
        <v>31</v>
      </c>
      <c r="F221" s="10" t="s">
        <v>32</v>
      </c>
      <c r="G221" s="38" t="s">
        <v>1704</v>
      </c>
      <c r="H221" s="10" t="s">
        <v>34</v>
      </c>
      <c r="I221" s="10" t="s">
        <v>35</v>
      </c>
      <c r="J221" s="14" t="s">
        <v>1794</v>
      </c>
      <c r="K221" s="10" t="s">
        <v>1795</v>
      </c>
      <c r="L221" s="14" t="s">
        <v>130</v>
      </c>
      <c r="M221" s="14" t="s">
        <v>62</v>
      </c>
      <c r="N221" s="12"/>
      <c r="O221" s="12"/>
      <c r="P221" s="21" t="s">
        <v>1796</v>
      </c>
      <c r="Q221" s="10" t="s">
        <v>1797</v>
      </c>
      <c r="R221" s="10" t="s">
        <v>1798</v>
      </c>
      <c r="S221" s="14" t="s">
        <v>1615</v>
      </c>
      <c r="T221" s="14" t="s">
        <v>1616</v>
      </c>
      <c r="U221" s="14" t="s">
        <v>353</v>
      </c>
      <c r="V221" s="14" t="s">
        <v>353</v>
      </c>
      <c r="W221" s="12"/>
      <c r="X221" s="12"/>
      <c r="Y221" s="12"/>
      <c r="Z221" s="12"/>
      <c r="AA221" s="12"/>
      <c r="AB221" s="13"/>
      <c r="AC221" s="14" t="s">
        <v>1799</v>
      </c>
      <c r="AD221" s="13"/>
      <c r="AE221" s="13"/>
    </row>
    <row r="222">
      <c r="A222" s="9" t="s">
        <v>1607</v>
      </c>
      <c r="B222" s="9" t="s">
        <v>400</v>
      </c>
      <c r="C222" s="9" t="s">
        <v>1800</v>
      </c>
      <c r="D222" s="14" t="s">
        <v>1801</v>
      </c>
      <c r="E222" s="10" t="s">
        <v>31</v>
      </c>
      <c r="F222" s="10" t="s">
        <v>32</v>
      </c>
      <c r="G222" s="9" t="s">
        <v>905</v>
      </c>
      <c r="H222" s="10" t="s">
        <v>34</v>
      </c>
      <c r="I222" s="10" t="s">
        <v>35</v>
      </c>
      <c r="J222" s="14" t="s">
        <v>1802</v>
      </c>
      <c r="K222" s="10" t="s">
        <v>1803</v>
      </c>
      <c r="L222" s="14" t="s">
        <v>63</v>
      </c>
      <c r="M222" s="14" t="s">
        <v>75</v>
      </c>
      <c r="N222" s="12"/>
      <c r="O222" s="12"/>
      <c r="P222" s="10" t="s">
        <v>1804</v>
      </c>
      <c r="Q222" s="10" t="s">
        <v>1805</v>
      </c>
      <c r="R222" s="10" t="s">
        <v>1806</v>
      </c>
      <c r="S222" s="14" t="s">
        <v>1615</v>
      </c>
      <c r="T222" s="14" t="s">
        <v>1616</v>
      </c>
      <c r="U222" s="14" t="s">
        <v>361</v>
      </c>
      <c r="V222" s="14" t="s">
        <v>361</v>
      </c>
      <c r="W222" s="12"/>
      <c r="X222" s="12"/>
      <c r="Y222" s="12"/>
      <c r="Z222" s="12"/>
      <c r="AA222" s="12"/>
      <c r="AB222" s="13"/>
      <c r="AC222" s="14" t="s">
        <v>1807</v>
      </c>
      <c r="AD222" s="13"/>
      <c r="AE222" s="13"/>
    </row>
    <row r="223">
      <c r="A223" s="9" t="s">
        <v>1607</v>
      </c>
      <c r="B223" s="9" t="s">
        <v>400</v>
      </c>
      <c r="C223" s="9" t="s">
        <v>1808</v>
      </c>
      <c r="D223" s="14" t="s">
        <v>1809</v>
      </c>
      <c r="E223" s="10" t="s">
        <v>31</v>
      </c>
      <c r="F223" s="10" t="s">
        <v>32</v>
      </c>
      <c r="G223" s="38" t="s">
        <v>1704</v>
      </c>
      <c r="H223" s="10" t="s">
        <v>34</v>
      </c>
      <c r="I223" s="10" t="s">
        <v>35</v>
      </c>
      <c r="J223" s="14" t="s">
        <v>1810</v>
      </c>
      <c r="K223" s="10" t="s">
        <v>1811</v>
      </c>
      <c r="L223" s="14" t="s">
        <v>896</v>
      </c>
      <c r="M223" s="14" t="s">
        <v>161</v>
      </c>
      <c r="N223" s="12"/>
      <c r="O223" s="12"/>
      <c r="P223" s="10" t="s">
        <v>1812</v>
      </c>
      <c r="Q223" s="10" t="s">
        <v>1813</v>
      </c>
      <c r="R223" s="10" t="s">
        <v>1814</v>
      </c>
      <c r="S223" s="14" t="s">
        <v>1615</v>
      </c>
      <c r="T223" s="14" t="s">
        <v>1616</v>
      </c>
      <c r="U223" s="14" t="s">
        <v>1815</v>
      </c>
      <c r="V223" s="14" t="s">
        <v>1816</v>
      </c>
      <c r="W223" s="14" t="s">
        <v>1817</v>
      </c>
      <c r="X223" s="14" t="s">
        <v>42</v>
      </c>
      <c r="Y223" s="14" t="s">
        <v>581</v>
      </c>
      <c r="Z223" s="14" t="s">
        <v>581</v>
      </c>
      <c r="AA223" s="12"/>
      <c r="AB223" s="13"/>
      <c r="AC223" s="14" t="s">
        <v>1818</v>
      </c>
      <c r="AD223" s="13"/>
      <c r="AE223" s="13"/>
    </row>
    <row r="224">
      <c r="A224" s="9" t="s">
        <v>1607</v>
      </c>
      <c r="B224" s="9" t="s">
        <v>490</v>
      </c>
      <c r="C224" s="9" t="s">
        <v>1819</v>
      </c>
      <c r="D224" s="14" t="s">
        <v>1820</v>
      </c>
      <c r="E224" s="10" t="s">
        <v>31</v>
      </c>
      <c r="F224" s="10" t="s">
        <v>32</v>
      </c>
      <c r="G224" s="38" t="s">
        <v>1704</v>
      </c>
      <c r="H224" s="10" t="s">
        <v>34</v>
      </c>
      <c r="I224" s="10" t="s">
        <v>35</v>
      </c>
      <c r="J224" s="14" t="s">
        <v>1821</v>
      </c>
      <c r="K224" s="10" t="s">
        <v>1822</v>
      </c>
      <c r="L224" s="14" t="s">
        <v>62</v>
      </c>
      <c r="M224" s="14" t="s">
        <v>63</v>
      </c>
      <c r="N224" s="12"/>
      <c r="O224" s="12"/>
      <c r="P224" s="10" t="s">
        <v>1823</v>
      </c>
      <c r="Q224" s="10" t="s">
        <v>1824</v>
      </c>
      <c r="R224" s="10" t="s">
        <v>1825</v>
      </c>
      <c r="S224" s="14" t="s">
        <v>1615</v>
      </c>
      <c r="T224" s="14" t="s">
        <v>1616</v>
      </c>
      <c r="U224" s="14" t="s">
        <v>1826</v>
      </c>
      <c r="V224" s="14" t="s">
        <v>1826</v>
      </c>
      <c r="W224" s="12"/>
      <c r="X224" s="12"/>
      <c r="Y224" s="12"/>
      <c r="Z224" s="12"/>
      <c r="AA224" s="12"/>
      <c r="AB224" s="13"/>
      <c r="AC224" s="14" t="s">
        <v>1827</v>
      </c>
      <c r="AD224" s="13"/>
      <c r="AE224" s="13"/>
    </row>
    <row r="225">
      <c r="A225" s="9" t="s">
        <v>1607</v>
      </c>
      <c r="B225" s="9" t="s">
        <v>490</v>
      </c>
      <c r="C225" s="9" t="s">
        <v>1828</v>
      </c>
      <c r="D225" s="14" t="s">
        <v>1829</v>
      </c>
      <c r="E225" s="10" t="s">
        <v>31</v>
      </c>
      <c r="F225" s="10" t="s">
        <v>32</v>
      </c>
      <c r="G225" s="38" t="s">
        <v>1704</v>
      </c>
      <c r="H225" s="10" t="s">
        <v>34</v>
      </c>
      <c r="I225" s="10" t="s">
        <v>35</v>
      </c>
      <c r="J225" s="14" t="s">
        <v>1830</v>
      </c>
      <c r="K225" s="10" t="s">
        <v>1831</v>
      </c>
      <c r="L225" s="14" t="s">
        <v>577</v>
      </c>
      <c r="M225" s="14" t="s">
        <v>84</v>
      </c>
      <c r="N225" s="12"/>
      <c r="O225" s="14" t="s">
        <v>1832</v>
      </c>
      <c r="P225" s="10" t="s">
        <v>1833</v>
      </c>
      <c r="Q225" s="10" t="s">
        <v>1834</v>
      </c>
      <c r="R225" s="10" t="s">
        <v>1835</v>
      </c>
      <c r="S225" s="14" t="s">
        <v>1615</v>
      </c>
      <c r="T225" s="14" t="s">
        <v>1616</v>
      </c>
      <c r="U225" s="14" t="s">
        <v>1836</v>
      </c>
      <c r="V225" s="14" t="s">
        <v>381</v>
      </c>
      <c r="W225" s="14" t="s">
        <v>1817</v>
      </c>
      <c r="X225" s="14" t="s">
        <v>42</v>
      </c>
      <c r="Y225" s="14" t="s">
        <v>581</v>
      </c>
      <c r="Z225" s="14" t="s">
        <v>1837</v>
      </c>
      <c r="AA225" s="12"/>
      <c r="AB225" s="13"/>
      <c r="AC225" s="14" t="s">
        <v>1838</v>
      </c>
      <c r="AD225" s="13"/>
      <c r="AE225" s="13"/>
    </row>
    <row r="226">
      <c r="A226" s="9" t="s">
        <v>1607</v>
      </c>
      <c r="B226" s="9" t="s">
        <v>490</v>
      </c>
      <c r="C226" s="9" t="s">
        <v>1839</v>
      </c>
      <c r="D226" s="14" t="s">
        <v>1840</v>
      </c>
      <c r="E226" s="10" t="s">
        <v>31</v>
      </c>
      <c r="F226" s="10" t="s">
        <v>32</v>
      </c>
      <c r="G226" s="38" t="s">
        <v>1704</v>
      </c>
      <c r="H226" s="10" t="s">
        <v>34</v>
      </c>
      <c r="I226" s="10" t="s">
        <v>35</v>
      </c>
      <c r="J226" s="14" t="s">
        <v>1841</v>
      </c>
      <c r="K226" s="10" t="s">
        <v>1842</v>
      </c>
      <c r="L226" s="14" t="s">
        <v>130</v>
      </c>
      <c r="M226" s="14" t="s">
        <v>62</v>
      </c>
      <c r="N226" s="12"/>
      <c r="O226" s="12"/>
      <c r="P226" s="10" t="s">
        <v>1843</v>
      </c>
      <c r="Q226" s="10" t="s">
        <v>1844</v>
      </c>
      <c r="R226" s="10" t="s">
        <v>1845</v>
      </c>
      <c r="S226" s="14" t="s">
        <v>1615</v>
      </c>
      <c r="T226" s="14" t="s">
        <v>1616</v>
      </c>
      <c r="U226" s="14" t="s">
        <v>381</v>
      </c>
      <c r="V226" s="14" t="s">
        <v>381</v>
      </c>
      <c r="W226" s="12"/>
      <c r="X226" s="12"/>
      <c r="Y226" s="12"/>
      <c r="Z226" s="12"/>
      <c r="AA226" s="12"/>
      <c r="AB226" s="13"/>
      <c r="AC226" s="14" t="s">
        <v>1846</v>
      </c>
      <c r="AD226" s="13"/>
      <c r="AE226" s="13"/>
    </row>
    <row r="227">
      <c r="A227" s="9" t="s">
        <v>1607</v>
      </c>
      <c r="B227" s="9" t="s">
        <v>490</v>
      </c>
      <c r="C227" s="9" t="s">
        <v>1847</v>
      </c>
      <c r="D227" s="14" t="s">
        <v>1848</v>
      </c>
      <c r="E227" s="10" t="s">
        <v>31</v>
      </c>
      <c r="F227" s="10" t="s">
        <v>32</v>
      </c>
      <c r="G227" s="38" t="s">
        <v>1704</v>
      </c>
      <c r="H227" s="10" t="s">
        <v>34</v>
      </c>
      <c r="I227" s="10" t="s">
        <v>35</v>
      </c>
      <c r="J227" s="14" t="s">
        <v>1849</v>
      </c>
      <c r="K227" s="10" t="s">
        <v>1850</v>
      </c>
      <c r="L227" s="14" t="s">
        <v>577</v>
      </c>
      <c r="M227" s="14" t="s">
        <v>84</v>
      </c>
      <c r="N227" s="12"/>
      <c r="O227" s="12"/>
      <c r="P227" s="10" t="s">
        <v>1851</v>
      </c>
      <c r="Q227" s="10" t="s">
        <v>1852</v>
      </c>
      <c r="R227" s="10" t="s">
        <v>1853</v>
      </c>
      <c r="S227" s="14" t="s">
        <v>1615</v>
      </c>
      <c r="T227" s="14" t="s">
        <v>1616</v>
      </c>
      <c r="U227" s="14" t="s">
        <v>1854</v>
      </c>
      <c r="V227" s="14" t="s">
        <v>1854</v>
      </c>
      <c r="W227" s="12"/>
      <c r="X227" s="12"/>
      <c r="Y227" s="12"/>
      <c r="Z227" s="12"/>
      <c r="AA227" s="12"/>
      <c r="AB227" s="13"/>
      <c r="AC227" s="14" t="s">
        <v>1855</v>
      </c>
      <c r="AD227" s="13"/>
      <c r="AE227" s="13"/>
    </row>
    <row r="228">
      <c r="A228" s="9" t="s">
        <v>1607</v>
      </c>
      <c r="B228" s="9" t="s">
        <v>490</v>
      </c>
      <c r="C228" s="9" t="s">
        <v>1856</v>
      </c>
      <c r="D228" s="14" t="s">
        <v>1857</v>
      </c>
      <c r="E228" s="10" t="s">
        <v>31</v>
      </c>
      <c r="F228" s="10" t="s">
        <v>32</v>
      </c>
      <c r="G228" s="38" t="s">
        <v>1704</v>
      </c>
      <c r="H228" s="10" t="s">
        <v>34</v>
      </c>
      <c r="I228" s="10" t="s">
        <v>35</v>
      </c>
      <c r="J228" s="14" t="s">
        <v>1858</v>
      </c>
      <c r="K228" s="10" t="s">
        <v>1859</v>
      </c>
      <c r="L228" s="14" t="s">
        <v>577</v>
      </c>
      <c r="M228" s="14" t="s">
        <v>84</v>
      </c>
      <c r="N228" s="14" t="s">
        <v>1860</v>
      </c>
      <c r="O228" s="12"/>
      <c r="P228" s="10" t="s">
        <v>1861</v>
      </c>
      <c r="Q228" s="10" t="s">
        <v>1862</v>
      </c>
      <c r="R228" s="10" t="s">
        <v>1863</v>
      </c>
      <c r="S228" s="14" t="s">
        <v>1615</v>
      </c>
      <c r="T228" s="14" t="s">
        <v>1616</v>
      </c>
      <c r="U228" s="14" t="s">
        <v>1864</v>
      </c>
      <c r="V228" s="14" t="s">
        <v>1864</v>
      </c>
      <c r="W228" s="14" t="s">
        <v>1817</v>
      </c>
      <c r="X228" s="14" t="s">
        <v>42</v>
      </c>
      <c r="Y228" s="14" t="s">
        <v>1837</v>
      </c>
      <c r="Z228" s="14" t="s">
        <v>1837</v>
      </c>
      <c r="AA228" s="12"/>
      <c r="AB228" s="13"/>
      <c r="AC228" s="14" t="s">
        <v>1865</v>
      </c>
      <c r="AD228" s="13"/>
      <c r="AE228" s="13"/>
    </row>
    <row r="229">
      <c r="A229" s="9" t="s">
        <v>1607</v>
      </c>
      <c r="B229" s="9" t="s">
        <v>490</v>
      </c>
      <c r="C229" s="9" t="s">
        <v>1866</v>
      </c>
      <c r="D229" s="14" t="s">
        <v>1867</v>
      </c>
      <c r="E229" s="10" t="s">
        <v>31</v>
      </c>
      <c r="F229" s="10" t="s">
        <v>32</v>
      </c>
      <c r="G229" s="38" t="s">
        <v>1704</v>
      </c>
      <c r="H229" s="10" t="s">
        <v>34</v>
      </c>
      <c r="I229" s="10" t="s">
        <v>35</v>
      </c>
      <c r="J229" s="14" t="s">
        <v>1868</v>
      </c>
      <c r="K229" s="10" t="s">
        <v>1869</v>
      </c>
      <c r="L229" s="14" t="s">
        <v>84</v>
      </c>
      <c r="M229" s="14" t="s">
        <v>74</v>
      </c>
      <c r="N229" s="12"/>
      <c r="O229" s="12"/>
      <c r="P229" s="10" t="s">
        <v>1870</v>
      </c>
      <c r="Q229" s="10" t="s">
        <v>1871</v>
      </c>
      <c r="R229" s="10" t="s">
        <v>1872</v>
      </c>
      <c r="S229" s="14" t="s">
        <v>1615</v>
      </c>
      <c r="T229" s="14" t="s">
        <v>1616</v>
      </c>
      <c r="U229" s="14" t="s">
        <v>1873</v>
      </c>
      <c r="V229" s="14" t="s">
        <v>1874</v>
      </c>
      <c r="W229" s="12"/>
      <c r="X229" s="12"/>
      <c r="Y229" s="12"/>
      <c r="Z229" s="12"/>
      <c r="AA229" s="12"/>
      <c r="AB229" s="13"/>
      <c r="AC229" s="14" t="s">
        <v>1875</v>
      </c>
      <c r="AD229" s="13"/>
      <c r="AE229" s="13"/>
    </row>
    <row r="230">
      <c r="A230" s="9" t="s">
        <v>1607</v>
      </c>
      <c r="B230" s="9" t="s">
        <v>490</v>
      </c>
      <c r="C230" s="9" t="s">
        <v>1876</v>
      </c>
      <c r="D230" s="14" t="s">
        <v>1877</v>
      </c>
      <c r="E230" s="10" t="s">
        <v>31</v>
      </c>
      <c r="F230" s="10" t="s">
        <v>32</v>
      </c>
      <c r="G230" s="38" t="s">
        <v>1704</v>
      </c>
      <c r="H230" s="10" t="s">
        <v>34</v>
      </c>
      <c r="I230" s="10" t="s">
        <v>35</v>
      </c>
      <c r="J230" s="14" t="s">
        <v>1878</v>
      </c>
      <c r="K230" s="10" t="s">
        <v>1879</v>
      </c>
      <c r="L230" s="14" t="s">
        <v>37</v>
      </c>
      <c r="M230" s="14" t="s">
        <v>38</v>
      </c>
      <c r="N230" s="12"/>
      <c r="O230" s="12"/>
      <c r="P230" s="10" t="s">
        <v>1880</v>
      </c>
      <c r="Q230" s="10" t="s">
        <v>1881</v>
      </c>
      <c r="R230" s="10" t="s">
        <v>1882</v>
      </c>
      <c r="S230" s="14" t="s">
        <v>1615</v>
      </c>
      <c r="T230" s="14" t="s">
        <v>1616</v>
      </c>
      <c r="U230" s="14" t="s">
        <v>1874</v>
      </c>
      <c r="V230" s="14" t="s">
        <v>1874</v>
      </c>
      <c r="W230" s="12"/>
      <c r="X230" s="12"/>
      <c r="Y230" s="12"/>
      <c r="Z230" s="12"/>
      <c r="AA230" s="12"/>
      <c r="AB230" s="13"/>
      <c r="AC230" s="14" t="s">
        <v>1883</v>
      </c>
      <c r="AD230" s="13"/>
      <c r="AE230" s="13"/>
    </row>
    <row r="231">
      <c r="A231" s="9" t="s">
        <v>1607</v>
      </c>
      <c r="B231" s="9" t="s">
        <v>615</v>
      </c>
      <c r="C231" s="9" t="s">
        <v>1884</v>
      </c>
      <c r="D231" s="14" t="s">
        <v>1885</v>
      </c>
      <c r="E231" s="10" t="s">
        <v>31</v>
      </c>
      <c r="F231" s="10" t="s">
        <v>32</v>
      </c>
      <c r="G231" s="38" t="s">
        <v>1704</v>
      </c>
      <c r="H231" s="10" t="s">
        <v>34</v>
      </c>
      <c r="I231" s="10" t="s">
        <v>35</v>
      </c>
      <c r="J231" s="14" t="s">
        <v>1886</v>
      </c>
      <c r="K231" s="10" t="s">
        <v>1887</v>
      </c>
      <c r="L231" s="14" t="s">
        <v>577</v>
      </c>
      <c r="M231" s="14" t="s">
        <v>62</v>
      </c>
      <c r="N231" s="12"/>
      <c r="O231" s="12"/>
      <c r="P231" s="10" t="s">
        <v>1888</v>
      </c>
      <c r="Q231" s="10" t="s">
        <v>1889</v>
      </c>
      <c r="R231" s="10" t="s">
        <v>1890</v>
      </c>
      <c r="S231" s="14" t="s">
        <v>1615</v>
      </c>
      <c r="T231" s="14" t="s">
        <v>1616</v>
      </c>
      <c r="U231" s="14" t="s">
        <v>1891</v>
      </c>
      <c r="V231" s="14" t="s">
        <v>1891</v>
      </c>
      <c r="W231" s="12"/>
      <c r="X231" s="12"/>
      <c r="Y231" s="12"/>
      <c r="Z231" s="12"/>
      <c r="AA231" s="12"/>
      <c r="AB231" s="13"/>
      <c r="AC231" s="14" t="s">
        <v>1892</v>
      </c>
      <c r="AD231" s="13"/>
      <c r="AE231" s="13"/>
    </row>
    <row r="232">
      <c r="A232" s="9" t="s">
        <v>1607</v>
      </c>
      <c r="B232" s="9" t="s">
        <v>615</v>
      </c>
      <c r="C232" s="9" t="s">
        <v>1893</v>
      </c>
      <c r="D232" s="14" t="s">
        <v>1894</v>
      </c>
      <c r="E232" s="10" t="s">
        <v>31</v>
      </c>
      <c r="F232" s="10" t="s">
        <v>32</v>
      </c>
      <c r="G232" s="9"/>
      <c r="H232" s="10"/>
      <c r="I232" s="10"/>
      <c r="J232" s="14" t="s">
        <v>1895</v>
      </c>
      <c r="K232" s="10" t="s">
        <v>1896</v>
      </c>
      <c r="L232" s="14" t="s">
        <v>297</v>
      </c>
      <c r="M232" s="14" t="s">
        <v>297</v>
      </c>
      <c r="N232" s="12"/>
      <c r="O232" s="12"/>
      <c r="P232" s="10" t="s">
        <v>1897</v>
      </c>
      <c r="Q232" s="10" t="s">
        <v>1898</v>
      </c>
      <c r="R232" s="10" t="s">
        <v>1899</v>
      </c>
      <c r="S232" s="14" t="s">
        <v>1615</v>
      </c>
      <c r="T232" s="14" t="s">
        <v>1616</v>
      </c>
      <c r="U232" s="14" t="s">
        <v>1900</v>
      </c>
      <c r="V232" s="14" t="s">
        <v>550</v>
      </c>
      <c r="W232" s="12"/>
      <c r="X232" s="12"/>
      <c r="Y232" s="12"/>
      <c r="Z232" s="12"/>
      <c r="AA232" s="12"/>
      <c r="AB232" s="13"/>
      <c r="AC232" s="14" t="s">
        <v>1901</v>
      </c>
      <c r="AD232" s="13"/>
      <c r="AE232" s="13"/>
    </row>
    <row r="233">
      <c r="A233" s="9" t="s">
        <v>1607</v>
      </c>
      <c r="B233" s="9" t="s">
        <v>615</v>
      </c>
      <c r="C233" s="9" t="s">
        <v>1902</v>
      </c>
      <c r="D233" s="14" t="s">
        <v>1903</v>
      </c>
      <c r="E233" s="10" t="s">
        <v>31</v>
      </c>
      <c r="F233" s="10" t="s">
        <v>32</v>
      </c>
      <c r="G233" s="10" t="s">
        <v>905</v>
      </c>
      <c r="H233" s="10" t="s">
        <v>34</v>
      </c>
      <c r="I233" s="10" t="s">
        <v>35</v>
      </c>
      <c r="J233" s="14" t="s">
        <v>1904</v>
      </c>
      <c r="K233" s="10" t="s">
        <v>1905</v>
      </c>
      <c r="L233" s="14" t="s">
        <v>37</v>
      </c>
      <c r="M233" s="14" t="s">
        <v>38</v>
      </c>
      <c r="N233" s="12"/>
      <c r="O233" s="12"/>
      <c r="P233" s="10" t="s">
        <v>1906</v>
      </c>
      <c r="Q233" s="10" t="s">
        <v>1087</v>
      </c>
      <c r="R233" s="10" t="s">
        <v>1907</v>
      </c>
      <c r="S233" s="14" t="s">
        <v>1615</v>
      </c>
      <c r="T233" s="14" t="s">
        <v>1616</v>
      </c>
      <c r="U233" s="14" t="s">
        <v>550</v>
      </c>
      <c r="V233" s="14" t="s">
        <v>550</v>
      </c>
      <c r="W233" s="12"/>
      <c r="X233" s="12"/>
      <c r="Y233" s="12"/>
      <c r="Z233" s="12"/>
      <c r="AA233" s="12"/>
      <c r="AB233" s="13"/>
      <c r="AC233" s="14" t="s">
        <v>1908</v>
      </c>
      <c r="AD233" s="13"/>
      <c r="AE233" s="13"/>
    </row>
    <row r="234">
      <c r="A234" s="9" t="s">
        <v>1607</v>
      </c>
      <c r="B234" s="9" t="s">
        <v>615</v>
      </c>
      <c r="C234" s="9" t="s">
        <v>1909</v>
      </c>
      <c r="D234" s="14" t="s">
        <v>1910</v>
      </c>
      <c r="E234" s="10" t="s">
        <v>31</v>
      </c>
      <c r="F234" s="10" t="s">
        <v>32</v>
      </c>
      <c r="G234" s="9"/>
      <c r="H234" s="14" t="s">
        <v>34</v>
      </c>
      <c r="I234" s="14" t="s">
        <v>1911</v>
      </c>
      <c r="J234" s="14" t="s">
        <v>1912</v>
      </c>
      <c r="K234" s="10" t="s">
        <v>1913</v>
      </c>
      <c r="L234" s="14" t="s">
        <v>38</v>
      </c>
      <c r="M234" s="14" t="s">
        <v>38</v>
      </c>
      <c r="N234" s="14" t="s">
        <v>874</v>
      </c>
      <c r="O234" s="12"/>
      <c r="P234" s="10" t="s">
        <v>271</v>
      </c>
      <c r="Q234" s="10" t="s">
        <v>1005</v>
      </c>
      <c r="R234" s="10" t="s">
        <v>1914</v>
      </c>
      <c r="S234" s="14" t="s">
        <v>1192</v>
      </c>
      <c r="T234" s="14" t="s">
        <v>1431</v>
      </c>
      <c r="U234" s="12"/>
      <c r="V234" s="14" t="s">
        <v>1915</v>
      </c>
      <c r="W234" s="12"/>
      <c r="X234" s="12"/>
      <c r="Y234" s="12"/>
      <c r="Z234" s="12"/>
      <c r="AA234" s="12"/>
      <c r="AB234" s="13"/>
      <c r="AC234" s="14" t="s">
        <v>1916</v>
      </c>
      <c r="AD234" s="13"/>
      <c r="AE234" s="13"/>
    </row>
    <row r="235">
      <c r="A235" s="9" t="s">
        <v>1607</v>
      </c>
      <c r="B235" s="9" t="s">
        <v>615</v>
      </c>
      <c r="C235" s="9" t="s">
        <v>1917</v>
      </c>
      <c r="D235" s="14" t="s">
        <v>1918</v>
      </c>
      <c r="E235" s="10" t="s">
        <v>31</v>
      </c>
      <c r="F235" s="10" t="s">
        <v>32</v>
      </c>
      <c r="G235" s="10" t="s">
        <v>905</v>
      </c>
      <c r="H235" s="10" t="s">
        <v>34</v>
      </c>
      <c r="I235" s="10" t="s">
        <v>35</v>
      </c>
      <c r="J235" s="14" t="s">
        <v>1919</v>
      </c>
      <c r="K235" s="10" t="s">
        <v>1920</v>
      </c>
      <c r="L235" s="14" t="s">
        <v>37</v>
      </c>
      <c r="M235" s="14" t="s">
        <v>38</v>
      </c>
      <c r="N235" s="12"/>
      <c r="O235" s="12"/>
      <c r="P235" s="10" t="s">
        <v>1921</v>
      </c>
      <c r="Q235" s="10" t="s">
        <v>1005</v>
      </c>
      <c r="R235" s="10" t="s">
        <v>1922</v>
      </c>
      <c r="S235" s="14" t="s">
        <v>1923</v>
      </c>
      <c r="T235" s="14" t="s">
        <v>1616</v>
      </c>
      <c r="U235" s="14" t="s">
        <v>1924</v>
      </c>
      <c r="V235" s="14" t="s">
        <v>1924</v>
      </c>
      <c r="W235" s="12"/>
      <c r="X235" s="12"/>
      <c r="Y235" s="12"/>
      <c r="Z235" s="12"/>
      <c r="AA235" s="12"/>
      <c r="AB235" s="13"/>
      <c r="AC235" s="14" t="s">
        <v>1925</v>
      </c>
      <c r="AD235" s="13"/>
      <c r="AE235" s="13"/>
    </row>
    <row r="236">
      <c r="A236" s="9" t="s">
        <v>1607</v>
      </c>
      <c r="B236" s="9" t="s">
        <v>615</v>
      </c>
      <c r="C236" s="9" t="s">
        <v>1926</v>
      </c>
      <c r="D236" s="14" t="s">
        <v>1927</v>
      </c>
      <c r="E236" s="10" t="s">
        <v>31</v>
      </c>
      <c r="F236" s="10" t="s">
        <v>32</v>
      </c>
      <c r="G236" s="10" t="s">
        <v>905</v>
      </c>
      <c r="H236" s="10" t="s">
        <v>34</v>
      </c>
      <c r="I236" s="10" t="s">
        <v>35</v>
      </c>
      <c r="J236" s="14" t="s">
        <v>1928</v>
      </c>
      <c r="K236" s="10" t="s">
        <v>1929</v>
      </c>
      <c r="L236" s="14" t="s">
        <v>131</v>
      </c>
      <c r="M236" s="14" t="s">
        <v>74</v>
      </c>
      <c r="N236" s="12"/>
      <c r="O236" s="12"/>
      <c r="P236" s="10" t="s">
        <v>1930</v>
      </c>
      <c r="Q236" s="10" t="s">
        <v>1931</v>
      </c>
      <c r="R236" s="10" t="s">
        <v>1932</v>
      </c>
      <c r="S236" s="14" t="s">
        <v>1923</v>
      </c>
      <c r="T236" s="14" t="s">
        <v>1616</v>
      </c>
      <c r="U236" s="14" t="s">
        <v>1924</v>
      </c>
      <c r="V236" s="14" t="s">
        <v>1924</v>
      </c>
      <c r="W236" s="12"/>
      <c r="X236" s="12"/>
      <c r="Y236" s="12"/>
      <c r="Z236" s="12"/>
      <c r="AA236" s="12"/>
      <c r="AB236" s="13"/>
      <c r="AC236" s="14" t="s">
        <v>1933</v>
      </c>
      <c r="AD236" s="13"/>
      <c r="AE236" s="13"/>
    </row>
    <row r="237">
      <c r="A237" s="9" t="s">
        <v>1607</v>
      </c>
      <c r="B237" s="9" t="s">
        <v>615</v>
      </c>
      <c r="C237" s="9" t="s">
        <v>1934</v>
      </c>
      <c r="D237" s="14" t="s">
        <v>1935</v>
      </c>
      <c r="E237" s="10" t="s">
        <v>31</v>
      </c>
      <c r="F237" s="10" t="s">
        <v>32</v>
      </c>
      <c r="G237" s="9"/>
      <c r="H237" s="14"/>
      <c r="I237" s="14"/>
      <c r="J237" s="14" t="s">
        <v>1936</v>
      </c>
      <c r="K237" s="10" t="s">
        <v>1937</v>
      </c>
      <c r="L237" s="14" t="s">
        <v>577</v>
      </c>
      <c r="M237" s="14" t="s">
        <v>84</v>
      </c>
      <c r="N237" s="12"/>
      <c r="O237" s="12"/>
      <c r="P237" s="10" t="s">
        <v>1938</v>
      </c>
      <c r="Q237" s="10" t="s">
        <v>1005</v>
      </c>
      <c r="R237" s="10" t="s">
        <v>1939</v>
      </c>
      <c r="S237" s="14" t="s">
        <v>1923</v>
      </c>
      <c r="T237" s="14" t="s">
        <v>1616</v>
      </c>
      <c r="U237" s="14" t="s">
        <v>1940</v>
      </c>
      <c r="V237" s="14" t="s">
        <v>1940</v>
      </c>
      <c r="W237" s="12"/>
      <c r="X237" s="12"/>
      <c r="Y237" s="12"/>
      <c r="Z237" s="12"/>
      <c r="AA237" s="12"/>
      <c r="AB237" s="13"/>
      <c r="AC237" s="14" t="s">
        <v>1941</v>
      </c>
      <c r="AD237" s="13"/>
      <c r="AE237" s="13"/>
    </row>
    <row r="238">
      <c r="A238" s="9" t="s">
        <v>1607</v>
      </c>
      <c r="B238" s="9" t="s">
        <v>680</v>
      </c>
      <c r="C238" s="9" t="s">
        <v>1942</v>
      </c>
      <c r="D238" s="14" t="s">
        <v>1943</v>
      </c>
      <c r="E238" s="10" t="s">
        <v>31</v>
      </c>
      <c r="F238" s="10" t="s">
        <v>32</v>
      </c>
      <c r="G238" s="9"/>
      <c r="H238" s="14"/>
      <c r="I238" s="14"/>
      <c r="J238" s="14" t="s">
        <v>1944</v>
      </c>
      <c r="K238" s="10" t="s">
        <v>1945</v>
      </c>
      <c r="L238" s="14" t="s">
        <v>577</v>
      </c>
      <c r="M238" s="14" t="s">
        <v>62</v>
      </c>
      <c r="N238" s="12"/>
      <c r="O238" s="12"/>
      <c r="P238" s="10" t="s">
        <v>1946</v>
      </c>
      <c r="Q238" s="10" t="s">
        <v>1947</v>
      </c>
      <c r="R238" s="10" t="s">
        <v>1948</v>
      </c>
      <c r="S238" s="14" t="s">
        <v>1923</v>
      </c>
      <c r="T238" s="14" t="s">
        <v>1616</v>
      </c>
      <c r="U238" s="14" t="s">
        <v>1949</v>
      </c>
      <c r="V238" s="14" t="s">
        <v>1950</v>
      </c>
      <c r="W238" s="14" t="s">
        <v>45</v>
      </c>
      <c r="X238" s="14" t="s">
        <v>1951</v>
      </c>
      <c r="Y238" s="14" t="s">
        <v>1951</v>
      </c>
      <c r="Z238" s="14" t="s">
        <v>1952</v>
      </c>
      <c r="AA238" s="12"/>
      <c r="AB238" s="13"/>
      <c r="AC238" s="14" t="s">
        <v>1953</v>
      </c>
      <c r="AD238" s="13"/>
      <c r="AE238" s="13"/>
    </row>
    <row r="239">
      <c r="A239" s="12" t="s">
        <v>1607</v>
      </c>
      <c r="B239" s="12" t="s">
        <v>680</v>
      </c>
      <c r="C239" s="10" t="s">
        <v>1954</v>
      </c>
      <c r="D239" s="14" t="s">
        <v>1955</v>
      </c>
      <c r="E239" s="10" t="s">
        <v>31</v>
      </c>
      <c r="F239" s="10" t="s">
        <v>32</v>
      </c>
      <c r="G239" s="9" t="s">
        <v>905</v>
      </c>
      <c r="H239" s="10" t="s">
        <v>34</v>
      </c>
      <c r="I239" s="10" t="s">
        <v>35</v>
      </c>
      <c r="J239" s="12" t="s">
        <v>1956</v>
      </c>
      <c r="K239" s="9" t="s">
        <v>1957</v>
      </c>
      <c r="L239" s="12" t="s">
        <v>37</v>
      </c>
      <c r="M239" s="12" t="s">
        <v>38</v>
      </c>
      <c r="N239" s="12"/>
      <c r="O239" s="12"/>
      <c r="P239" s="9" t="s">
        <v>1958</v>
      </c>
      <c r="Q239" s="10" t="s">
        <v>1959</v>
      </c>
      <c r="R239" s="10" t="s">
        <v>1960</v>
      </c>
      <c r="S239" s="12" t="s">
        <v>41</v>
      </c>
      <c r="T239" s="12" t="s">
        <v>42</v>
      </c>
      <c r="U239" s="12" t="s">
        <v>371</v>
      </c>
      <c r="V239" s="12" t="s">
        <v>372</v>
      </c>
      <c r="W239" s="12"/>
      <c r="X239" s="12"/>
      <c r="Y239" s="12"/>
      <c r="Z239" s="12"/>
      <c r="AA239" s="12"/>
      <c r="AB239" s="13"/>
      <c r="AC239" s="14" t="s">
        <v>1961</v>
      </c>
      <c r="AD239" s="13"/>
      <c r="AE239" s="13"/>
    </row>
    <row r="240">
      <c r="A240" s="9" t="s">
        <v>1607</v>
      </c>
      <c r="B240" s="9" t="s">
        <v>680</v>
      </c>
      <c r="C240" s="9" t="s">
        <v>1962</v>
      </c>
      <c r="D240" s="14" t="s">
        <v>1963</v>
      </c>
      <c r="E240" s="10" t="s">
        <v>31</v>
      </c>
      <c r="F240" s="10" t="s">
        <v>32</v>
      </c>
      <c r="G240" s="9" t="s">
        <v>905</v>
      </c>
      <c r="H240" s="10" t="s">
        <v>34</v>
      </c>
      <c r="I240" s="10" t="s">
        <v>35</v>
      </c>
      <c r="J240" s="14" t="s">
        <v>1964</v>
      </c>
      <c r="K240" s="10" t="s">
        <v>1965</v>
      </c>
      <c r="L240" s="14" t="s">
        <v>84</v>
      </c>
      <c r="M240" s="14" t="s">
        <v>63</v>
      </c>
      <c r="N240" s="12"/>
      <c r="O240" s="12"/>
      <c r="P240" s="10" t="s">
        <v>1966</v>
      </c>
      <c r="Q240" s="10" t="s">
        <v>333</v>
      </c>
      <c r="R240" s="10" t="s">
        <v>1967</v>
      </c>
      <c r="S240" s="14" t="s">
        <v>1923</v>
      </c>
      <c r="T240" s="14" t="s">
        <v>1616</v>
      </c>
      <c r="U240" s="14" t="s">
        <v>1968</v>
      </c>
      <c r="V240" s="14" t="s">
        <v>1968</v>
      </c>
      <c r="W240" s="12"/>
      <c r="X240" s="12"/>
      <c r="Y240" s="12"/>
      <c r="Z240" s="12"/>
      <c r="AA240" s="12"/>
      <c r="AB240" s="13"/>
      <c r="AC240" s="14" t="s">
        <v>1969</v>
      </c>
      <c r="AD240" s="13"/>
      <c r="AE240" s="13"/>
    </row>
    <row r="241">
      <c r="A241" s="9" t="s">
        <v>1607</v>
      </c>
      <c r="B241" s="9" t="s">
        <v>680</v>
      </c>
      <c r="C241" s="9" t="s">
        <v>1970</v>
      </c>
      <c r="D241" s="14" t="s">
        <v>1971</v>
      </c>
      <c r="E241" s="10" t="s">
        <v>31</v>
      </c>
      <c r="F241" s="10" t="s">
        <v>32</v>
      </c>
      <c r="G241" s="10" t="s">
        <v>1972</v>
      </c>
      <c r="H241" s="10" t="s">
        <v>34</v>
      </c>
      <c r="I241" s="10" t="s">
        <v>35</v>
      </c>
      <c r="J241" s="14" t="s">
        <v>1973</v>
      </c>
      <c r="K241" s="10" t="s">
        <v>1974</v>
      </c>
      <c r="L241" s="14" t="s">
        <v>84</v>
      </c>
      <c r="M241" s="14" t="s">
        <v>84</v>
      </c>
      <c r="N241" s="12"/>
      <c r="O241" s="12"/>
      <c r="P241" s="10" t="s">
        <v>1975</v>
      </c>
      <c r="Q241" s="10" t="s">
        <v>1976</v>
      </c>
      <c r="R241" s="10" t="s">
        <v>1977</v>
      </c>
      <c r="S241" s="14" t="s">
        <v>1923</v>
      </c>
      <c r="T241" s="14" t="s">
        <v>1616</v>
      </c>
      <c r="U241" s="14" t="s">
        <v>530</v>
      </c>
      <c r="V241" s="14" t="s">
        <v>530</v>
      </c>
      <c r="W241" s="12"/>
      <c r="X241" s="12"/>
      <c r="Y241" s="12"/>
      <c r="Z241" s="12"/>
      <c r="AA241" s="12"/>
      <c r="AB241" s="13"/>
      <c r="AC241" s="14" t="s">
        <v>1978</v>
      </c>
      <c r="AD241" s="13"/>
      <c r="AE241" s="13"/>
    </row>
    <row r="242">
      <c r="A242" s="36" t="s">
        <v>1607</v>
      </c>
      <c r="B242" s="36" t="s">
        <v>680</v>
      </c>
      <c r="C242" s="36" t="s">
        <v>1979</v>
      </c>
      <c r="D242" s="33" t="s">
        <v>1980</v>
      </c>
      <c r="E242" s="32" t="s">
        <v>31</v>
      </c>
      <c r="F242" s="32" t="s">
        <v>32</v>
      </c>
      <c r="G242" s="32" t="s">
        <v>1972</v>
      </c>
      <c r="H242" s="32" t="s">
        <v>34</v>
      </c>
      <c r="I242" s="32" t="s">
        <v>35</v>
      </c>
      <c r="J242" s="33" t="s">
        <v>1981</v>
      </c>
      <c r="K242" s="32" t="s">
        <v>1982</v>
      </c>
      <c r="L242" s="33" t="s">
        <v>161</v>
      </c>
      <c r="M242" s="33" t="s">
        <v>161</v>
      </c>
      <c r="N242" s="34"/>
      <c r="O242" s="34"/>
      <c r="P242" s="36"/>
      <c r="Q242" s="36"/>
      <c r="R242" s="36"/>
      <c r="S242" s="33" t="s">
        <v>1923</v>
      </c>
      <c r="T242" s="33" t="s">
        <v>1616</v>
      </c>
      <c r="U242" s="33" t="s">
        <v>1983</v>
      </c>
      <c r="V242" s="34"/>
      <c r="W242" s="33" t="s">
        <v>1192</v>
      </c>
      <c r="X242" s="33" t="s">
        <v>1431</v>
      </c>
      <c r="Y242" s="33" t="s">
        <v>1984</v>
      </c>
      <c r="Z242" s="34"/>
      <c r="AA242" s="34"/>
      <c r="AB242" s="35"/>
      <c r="AC242" s="33" t="s">
        <v>1985</v>
      </c>
      <c r="AD242" s="35"/>
      <c r="AE242" s="35"/>
    </row>
    <row r="243">
      <c r="A243" s="9" t="s">
        <v>1607</v>
      </c>
      <c r="B243" s="9" t="s">
        <v>680</v>
      </c>
      <c r="C243" s="9" t="s">
        <v>1986</v>
      </c>
      <c r="D243" s="14" t="s">
        <v>1987</v>
      </c>
      <c r="E243" s="10" t="s">
        <v>31</v>
      </c>
      <c r="F243" s="10" t="s">
        <v>32</v>
      </c>
      <c r="G243" s="10" t="s">
        <v>905</v>
      </c>
      <c r="H243" s="14" t="s">
        <v>34</v>
      </c>
      <c r="I243" s="14" t="s">
        <v>35</v>
      </c>
      <c r="J243" s="14" t="s">
        <v>1988</v>
      </c>
      <c r="K243" s="10" t="s">
        <v>1989</v>
      </c>
      <c r="L243" s="14" t="s">
        <v>63</v>
      </c>
      <c r="M243" s="14" t="s">
        <v>75</v>
      </c>
      <c r="N243" s="14" t="s">
        <v>1990</v>
      </c>
      <c r="O243" s="12"/>
      <c r="P243" s="10" t="s">
        <v>1991</v>
      </c>
      <c r="Q243" s="10" t="s">
        <v>1992</v>
      </c>
      <c r="R243" s="10" t="s">
        <v>1993</v>
      </c>
      <c r="S243" s="14" t="s">
        <v>551</v>
      </c>
      <c r="T243" s="14" t="s">
        <v>552</v>
      </c>
      <c r="U243" s="14" t="s">
        <v>1994</v>
      </c>
      <c r="V243" s="14" t="s">
        <v>1995</v>
      </c>
      <c r="W243" s="12"/>
      <c r="X243" s="12"/>
      <c r="Y243" s="12"/>
      <c r="Z243" s="12"/>
      <c r="AA243" s="12"/>
      <c r="AB243" s="13"/>
      <c r="AC243" s="14" t="s">
        <v>1996</v>
      </c>
      <c r="AD243" s="13"/>
      <c r="AE243" s="13"/>
    </row>
    <row r="244">
      <c r="A244" s="9" t="s">
        <v>1607</v>
      </c>
      <c r="B244" s="9" t="s">
        <v>680</v>
      </c>
      <c r="C244" s="9" t="s">
        <v>1997</v>
      </c>
      <c r="D244" s="14" t="s">
        <v>1998</v>
      </c>
      <c r="E244" s="10" t="s">
        <v>31</v>
      </c>
      <c r="F244" s="10" t="s">
        <v>32</v>
      </c>
      <c r="G244" s="10" t="s">
        <v>905</v>
      </c>
      <c r="H244" s="14" t="s">
        <v>34</v>
      </c>
      <c r="I244" s="14" t="s">
        <v>35</v>
      </c>
      <c r="J244" s="14" t="s">
        <v>1999</v>
      </c>
      <c r="K244" s="10" t="s">
        <v>2000</v>
      </c>
      <c r="L244" s="14" t="s">
        <v>63</v>
      </c>
      <c r="M244" s="14" t="s">
        <v>63</v>
      </c>
      <c r="N244" s="12"/>
      <c r="O244" s="12"/>
      <c r="P244" s="10" t="s">
        <v>2001</v>
      </c>
      <c r="Q244" s="10" t="s">
        <v>2002</v>
      </c>
      <c r="R244" s="10" t="s">
        <v>2003</v>
      </c>
      <c r="S244" s="14" t="s">
        <v>551</v>
      </c>
      <c r="T244" s="14" t="s">
        <v>552</v>
      </c>
      <c r="U244" s="14" t="s">
        <v>1995</v>
      </c>
      <c r="V244" s="14" t="s">
        <v>2004</v>
      </c>
      <c r="W244" s="12"/>
      <c r="X244" s="12"/>
      <c r="Y244" s="12"/>
      <c r="Z244" s="12"/>
      <c r="AA244" s="12"/>
      <c r="AB244" s="13"/>
      <c r="AC244" s="14" t="s">
        <v>2005</v>
      </c>
      <c r="AD244" s="13"/>
      <c r="AE244" s="13"/>
    </row>
    <row r="245">
      <c r="A245" s="9" t="s">
        <v>1607</v>
      </c>
      <c r="B245" s="9" t="s">
        <v>765</v>
      </c>
      <c r="C245" s="9" t="s">
        <v>2006</v>
      </c>
      <c r="D245" s="14" t="s">
        <v>2007</v>
      </c>
      <c r="E245" s="10" t="s">
        <v>31</v>
      </c>
      <c r="F245" s="10" t="s">
        <v>32</v>
      </c>
      <c r="G245" s="10" t="s">
        <v>2008</v>
      </c>
      <c r="H245" s="14" t="s">
        <v>34</v>
      </c>
      <c r="I245" s="14" t="s">
        <v>35</v>
      </c>
      <c r="J245" s="14" t="s">
        <v>2009</v>
      </c>
      <c r="K245" s="10" t="s">
        <v>2010</v>
      </c>
      <c r="L245" s="14" t="s">
        <v>75</v>
      </c>
      <c r="M245" s="14" t="s">
        <v>75</v>
      </c>
      <c r="N245" s="14" t="s">
        <v>2011</v>
      </c>
      <c r="O245" s="12"/>
      <c r="P245" s="10" t="s">
        <v>2012</v>
      </c>
      <c r="Q245" s="10" t="s">
        <v>2013</v>
      </c>
      <c r="R245" s="10" t="s">
        <v>2014</v>
      </c>
      <c r="S245" s="14" t="s">
        <v>551</v>
      </c>
      <c r="T245" s="14" t="s">
        <v>552</v>
      </c>
      <c r="U245" s="14" t="s">
        <v>2004</v>
      </c>
      <c r="V245" s="14" t="s">
        <v>2015</v>
      </c>
      <c r="W245" s="12"/>
      <c r="X245" s="12"/>
      <c r="Y245" s="12"/>
      <c r="Z245" s="12"/>
      <c r="AA245" s="12"/>
      <c r="AB245" s="13"/>
      <c r="AC245" s="14" t="s">
        <v>2016</v>
      </c>
      <c r="AD245" s="13"/>
      <c r="AE245" s="13"/>
    </row>
    <row r="246">
      <c r="A246" s="9" t="s">
        <v>1607</v>
      </c>
      <c r="B246" s="9" t="s">
        <v>765</v>
      </c>
      <c r="C246" s="9" t="s">
        <v>2017</v>
      </c>
      <c r="D246" s="14" t="s">
        <v>2018</v>
      </c>
      <c r="E246" s="10" t="s">
        <v>31</v>
      </c>
      <c r="F246" s="10" t="s">
        <v>32</v>
      </c>
      <c r="G246" s="10" t="s">
        <v>905</v>
      </c>
      <c r="H246" s="14" t="s">
        <v>34</v>
      </c>
      <c r="I246" s="14" t="s">
        <v>35</v>
      </c>
      <c r="J246" s="14" t="s">
        <v>2019</v>
      </c>
      <c r="K246" s="10" t="s">
        <v>2020</v>
      </c>
      <c r="L246" s="14" t="s">
        <v>63</v>
      </c>
      <c r="M246" s="14" t="s">
        <v>75</v>
      </c>
      <c r="N246" s="14" t="s">
        <v>2021</v>
      </c>
      <c r="O246" s="12"/>
      <c r="P246" s="10" t="s">
        <v>2022</v>
      </c>
      <c r="Q246" s="10" t="s">
        <v>2023</v>
      </c>
      <c r="R246" s="10" t="s">
        <v>2024</v>
      </c>
      <c r="S246" s="14" t="s">
        <v>551</v>
      </c>
      <c r="T246" s="14" t="s">
        <v>552</v>
      </c>
      <c r="U246" s="14" t="s">
        <v>2025</v>
      </c>
      <c r="V246" s="14" t="s">
        <v>2015</v>
      </c>
      <c r="W246" s="12"/>
      <c r="X246" s="12"/>
      <c r="Y246" s="12"/>
      <c r="Z246" s="12"/>
      <c r="AA246" s="12"/>
      <c r="AB246" s="13"/>
      <c r="AC246" s="14" t="s">
        <v>2026</v>
      </c>
      <c r="AD246" s="13"/>
      <c r="AE246" s="13"/>
    </row>
    <row r="247">
      <c r="A247" s="9" t="s">
        <v>1607</v>
      </c>
      <c r="B247" s="9" t="s">
        <v>765</v>
      </c>
      <c r="C247" s="9" t="s">
        <v>2027</v>
      </c>
      <c r="D247" s="14" t="s">
        <v>2028</v>
      </c>
      <c r="E247" s="10" t="s">
        <v>31</v>
      </c>
      <c r="F247" s="10" t="s">
        <v>32</v>
      </c>
      <c r="G247" s="10" t="s">
        <v>2029</v>
      </c>
      <c r="H247" s="14" t="s">
        <v>34</v>
      </c>
      <c r="I247" s="14" t="s">
        <v>35</v>
      </c>
      <c r="J247" s="14" t="s">
        <v>2030</v>
      </c>
      <c r="K247" s="10" t="s">
        <v>2031</v>
      </c>
      <c r="L247" s="14" t="s">
        <v>226</v>
      </c>
      <c r="M247" s="14" t="s">
        <v>131</v>
      </c>
      <c r="N247" s="14" t="s">
        <v>2032</v>
      </c>
      <c r="O247" s="12"/>
      <c r="P247" s="10" t="s">
        <v>2033</v>
      </c>
      <c r="Q247" s="10" t="s">
        <v>1087</v>
      </c>
      <c r="R247" s="10" t="s">
        <v>2034</v>
      </c>
      <c r="S247" s="14" t="s">
        <v>551</v>
      </c>
      <c r="T247" s="14" t="s">
        <v>552</v>
      </c>
      <c r="U247" s="14" t="s">
        <v>2015</v>
      </c>
      <c r="V247" s="14" t="s">
        <v>2015</v>
      </c>
      <c r="W247" s="12"/>
      <c r="X247" s="12"/>
      <c r="Y247" s="12"/>
      <c r="Z247" s="12"/>
      <c r="AA247" s="12"/>
      <c r="AB247" s="13"/>
      <c r="AC247" s="14" t="s">
        <v>2035</v>
      </c>
      <c r="AD247" s="13"/>
      <c r="AE247" s="13"/>
    </row>
    <row r="248">
      <c r="A248" s="9" t="s">
        <v>1607</v>
      </c>
      <c r="B248" s="9" t="s">
        <v>765</v>
      </c>
      <c r="C248" s="9" t="s">
        <v>2036</v>
      </c>
      <c r="D248" s="14" t="s">
        <v>2037</v>
      </c>
      <c r="E248" s="10" t="s">
        <v>31</v>
      </c>
      <c r="F248" s="10" t="s">
        <v>32</v>
      </c>
      <c r="G248" s="10" t="s">
        <v>2038</v>
      </c>
      <c r="H248" s="14" t="s">
        <v>34</v>
      </c>
      <c r="I248" s="14" t="s">
        <v>35</v>
      </c>
      <c r="J248" s="14" t="s">
        <v>627</v>
      </c>
      <c r="K248" s="10" t="s">
        <v>2039</v>
      </c>
      <c r="L248" s="14" t="s">
        <v>37</v>
      </c>
      <c r="M248" s="14" t="s">
        <v>37</v>
      </c>
      <c r="N248" s="14" t="s">
        <v>2021</v>
      </c>
      <c r="O248" s="12"/>
      <c r="P248" s="10" t="s">
        <v>2040</v>
      </c>
      <c r="Q248" s="10" t="s">
        <v>1005</v>
      </c>
      <c r="R248" s="10" t="s">
        <v>2041</v>
      </c>
      <c r="S248" s="14" t="s">
        <v>551</v>
      </c>
      <c r="T248" s="14" t="s">
        <v>552</v>
      </c>
      <c r="U248" s="14" t="s">
        <v>2015</v>
      </c>
      <c r="V248" s="14" t="s">
        <v>2015</v>
      </c>
      <c r="W248" s="12"/>
      <c r="X248" s="12"/>
      <c r="Y248" s="12"/>
      <c r="Z248" s="12"/>
      <c r="AA248" s="12"/>
      <c r="AB248" s="13"/>
      <c r="AC248" s="14" t="s">
        <v>2042</v>
      </c>
      <c r="AD248" s="13"/>
      <c r="AE248" s="13"/>
    </row>
    <row r="249">
      <c r="A249" s="9" t="s">
        <v>1607</v>
      </c>
      <c r="B249" s="9" t="s">
        <v>765</v>
      </c>
      <c r="C249" s="9" t="s">
        <v>2043</v>
      </c>
      <c r="D249" s="14" t="s">
        <v>2044</v>
      </c>
      <c r="E249" s="10" t="s">
        <v>31</v>
      </c>
      <c r="F249" s="10" t="s">
        <v>32</v>
      </c>
      <c r="G249" s="9"/>
      <c r="H249" s="14" t="s">
        <v>34</v>
      </c>
      <c r="I249" s="14" t="s">
        <v>35</v>
      </c>
      <c r="J249" s="14" t="s">
        <v>2045</v>
      </c>
      <c r="K249" s="10" t="s">
        <v>2046</v>
      </c>
      <c r="L249" s="14" t="s">
        <v>297</v>
      </c>
      <c r="M249" s="14" t="s">
        <v>297</v>
      </c>
      <c r="N249" s="14" t="s">
        <v>2047</v>
      </c>
      <c r="O249" s="12"/>
      <c r="P249" s="10" t="s">
        <v>2048</v>
      </c>
      <c r="Q249" s="10" t="s">
        <v>2049</v>
      </c>
      <c r="R249" s="10" t="s">
        <v>2050</v>
      </c>
      <c r="S249" s="14" t="s">
        <v>551</v>
      </c>
      <c r="T249" s="14" t="s">
        <v>552</v>
      </c>
      <c r="U249" s="14" t="s">
        <v>2015</v>
      </c>
      <c r="V249" s="14" t="s">
        <v>845</v>
      </c>
      <c r="W249" s="12"/>
      <c r="X249" s="12"/>
      <c r="Y249" s="12"/>
      <c r="Z249" s="12"/>
      <c r="AA249" s="12"/>
      <c r="AB249" s="13"/>
      <c r="AC249" s="14" t="s">
        <v>2051</v>
      </c>
      <c r="AD249" s="13"/>
      <c r="AE249" s="13"/>
    </row>
    <row r="250">
      <c r="A250" s="41" t="s">
        <v>1607</v>
      </c>
      <c r="B250" s="41" t="s">
        <v>226</v>
      </c>
      <c r="C250" s="41" t="s">
        <v>2052</v>
      </c>
      <c r="D250" s="42" t="s">
        <v>2053</v>
      </c>
      <c r="E250" s="43" t="s">
        <v>31</v>
      </c>
      <c r="F250" s="43" t="s">
        <v>32</v>
      </c>
      <c r="G250" s="43" t="s">
        <v>2038</v>
      </c>
      <c r="H250" s="42" t="s">
        <v>34</v>
      </c>
      <c r="I250" s="42" t="s">
        <v>35</v>
      </c>
      <c r="J250" s="42" t="s">
        <v>2054</v>
      </c>
      <c r="K250" s="43" t="s">
        <v>2055</v>
      </c>
      <c r="L250" s="42" t="s">
        <v>130</v>
      </c>
      <c r="M250" s="42" t="s">
        <v>130</v>
      </c>
      <c r="N250" s="42" t="s">
        <v>1071</v>
      </c>
      <c r="O250" s="44"/>
      <c r="P250" s="43" t="s">
        <v>2056</v>
      </c>
      <c r="Q250" s="43"/>
      <c r="R250" s="43" t="s">
        <v>2057</v>
      </c>
      <c r="S250" s="42" t="s">
        <v>551</v>
      </c>
      <c r="T250" s="42" t="s">
        <v>552</v>
      </c>
      <c r="U250" s="42" t="s">
        <v>1605</v>
      </c>
      <c r="V250" s="42" t="s">
        <v>1605</v>
      </c>
      <c r="W250" s="44"/>
      <c r="X250" s="44"/>
      <c r="Y250" s="44"/>
      <c r="Z250" s="44"/>
      <c r="AA250" s="44"/>
      <c r="AB250" s="45"/>
      <c r="AC250" s="42" t="s">
        <v>2058</v>
      </c>
      <c r="AD250" s="45"/>
      <c r="AE250" s="45"/>
    </row>
    <row r="251">
      <c r="A251" s="9" t="s">
        <v>1607</v>
      </c>
      <c r="B251" s="9" t="s">
        <v>226</v>
      </c>
      <c r="C251" s="9" t="s">
        <v>2059</v>
      </c>
      <c r="D251" s="14" t="s">
        <v>2060</v>
      </c>
      <c r="E251" s="10" t="s">
        <v>31</v>
      </c>
      <c r="F251" s="10" t="s">
        <v>32</v>
      </c>
      <c r="G251" s="9"/>
      <c r="H251" s="12"/>
      <c r="I251" s="12"/>
      <c r="J251" s="12"/>
      <c r="K251" s="9"/>
      <c r="L251" s="12"/>
      <c r="M251" s="12"/>
      <c r="N251" s="12"/>
      <c r="O251" s="12"/>
      <c r="P251" s="9"/>
      <c r="Q251" s="10"/>
      <c r="R251" s="10" t="s">
        <v>2061</v>
      </c>
      <c r="S251" s="14" t="s">
        <v>551</v>
      </c>
      <c r="T251" s="14" t="s">
        <v>552</v>
      </c>
      <c r="U251" s="14" t="s">
        <v>1605</v>
      </c>
      <c r="V251" s="14" t="s">
        <v>1605</v>
      </c>
      <c r="W251" s="12"/>
      <c r="X251" s="12"/>
      <c r="Y251" s="12"/>
      <c r="Z251" s="12"/>
      <c r="AA251" s="12"/>
      <c r="AB251" s="13"/>
      <c r="AC251" s="14" t="s">
        <v>2062</v>
      </c>
      <c r="AD251" s="13"/>
      <c r="AE251" s="13"/>
    </row>
    <row r="252">
      <c r="A252" s="9" t="s">
        <v>1607</v>
      </c>
      <c r="B252" s="9" t="s">
        <v>226</v>
      </c>
      <c r="C252" s="9" t="s">
        <v>2063</v>
      </c>
      <c r="D252" s="14" t="s">
        <v>2064</v>
      </c>
      <c r="E252" s="10" t="s">
        <v>31</v>
      </c>
      <c r="F252" s="10" t="s">
        <v>32</v>
      </c>
      <c r="G252" s="9"/>
      <c r="H252" s="12"/>
      <c r="I252" s="12"/>
      <c r="J252" s="12"/>
      <c r="K252" s="9"/>
      <c r="L252" s="12"/>
      <c r="M252" s="12"/>
      <c r="N252" s="12"/>
      <c r="O252" s="12"/>
      <c r="P252" s="9"/>
      <c r="Q252" s="9"/>
      <c r="R252" s="9"/>
      <c r="S252" s="14" t="s">
        <v>551</v>
      </c>
      <c r="T252" s="14" t="s">
        <v>552</v>
      </c>
      <c r="U252" s="14" t="s">
        <v>2065</v>
      </c>
      <c r="V252" s="14" t="s">
        <v>2065</v>
      </c>
      <c r="W252" s="12"/>
      <c r="X252" s="12"/>
      <c r="Y252" s="12"/>
      <c r="Z252" s="12"/>
      <c r="AA252" s="12"/>
      <c r="AB252" s="13"/>
      <c r="AC252" s="14" t="s">
        <v>2066</v>
      </c>
      <c r="AD252" s="13"/>
      <c r="AE252" s="13"/>
    </row>
    <row r="253">
      <c r="A253" s="9" t="s">
        <v>1607</v>
      </c>
      <c r="B253" s="9" t="s">
        <v>367</v>
      </c>
      <c r="C253" s="10" t="s">
        <v>2067</v>
      </c>
      <c r="D253" s="14" t="s">
        <v>2068</v>
      </c>
      <c r="E253" s="10" t="s">
        <v>31</v>
      </c>
      <c r="F253" s="10" t="s">
        <v>32</v>
      </c>
      <c r="G253" s="9"/>
      <c r="H253" s="12"/>
      <c r="I253" s="12"/>
      <c r="J253" s="12"/>
      <c r="K253" s="9"/>
      <c r="L253" s="12"/>
      <c r="M253" s="12"/>
      <c r="N253" s="12"/>
      <c r="O253" s="12"/>
      <c r="P253" s="9"/>
      <c r="Q253" s="9"/>
      <c r="R253" s="9"/>
      <c r="S253" s="12"/>
      <c r="T253" s="12"/>
      <c r="U253" s="12"/>
      <c r="V253" s="12"/>
      <c r="W253" s="12"/>
      <c r="X253" s="12"/>
      <c r="Y253" s="12"/>
      <c r="Z253" s="12"/>
      <c r="AA253" s="12"/>
      <c r="AB253" s="13"/>
      <c r="AC253" s="14" t="s">
        <v>2069</v>
      </c>
      <c r="AD253" s="13"/>
      <c r="AE253" s="13"/>
    </row>
    <row r="254">
      <c r="A254" s="9" t="s">
        <v>1607</v>
      </c>
      <c r="B254" s="9" t="s">
        <v>367</v>
      </c>
      <c r="C254" s="10" t="s">
        <v>2070</v>
      </c>
      <c r="D254" s="14" t="s">
        <v>2071</v>
      </c>
      <c r="E254" s="10" t="s">
        <v>31</v>
      </c>
      <c r="F254" s="10" t="s">
        <v>32</v>
      </c>
      <c r="G254" s="9"/>
      <c r="H254" s="12"/>
      <c r="I254" s="12"/>
      <c r="J254" s="12"/>
      <c r="K254" s="9"/>
      <c r="L254" s="12"/>
      <c r="M254" s="12"/>
      <c r="N254" s="12"/>
      <c r="O254" s="12"/>
      <c r="P254" s="9"/>
      <c r="Q254" s="9"/>
      <c r="R254" s="9"/>
      <c r="S254" s="12"/>
      <c r="T254" s="12"/>
      <c r="U254" s="12"/>
      <c r="V254" s="12"/>
      <c r="W254" s="12"/>
      <c r="X254" s="12"/>
      <c r="Y254" s="12"/>
      <c r="Z254" s="12"/>
      <c r="AA254" s="12"/>
      <c r="AB254" s="13"/>
      <c r="AC254" s="14" t="s">
        <v>2072</v>
      </c>
      <c r="AD254" s="13"/>
      <c r="AE254" s="13"/>
    </row>
    <row r="255">
      <c r="A255" s="9" t="s">
        <v>1607</v>
      </c>
      <c r="B255" s="9" t="s">
        <v>367</v>
      </c>
      <c r="C255" s="9" t="s">
        <v>2073</v>
      </c>
      <c r="D255" s="14" t="s">
        <v>2074</v>
      </c>
      <c r="E255" s="10" t="s">
        <v>31</v>
      </c>
      <c r="F255" s="10" t="s">
        <v>32</v>
      </c>
      <c r="G255" s="9"/>
      <c r="H255" s="12"/>
      <c r="I255" s="12"/>
      <c r="J255" s="12"/>
      <c r="K255" s="9"/>
      <c r="L255" s="12"/>
      <c r="M255" s="12"/>
      <c r="N255" s="12"/>
      <c r="O255" s="12"/>
      <c r="P255" s="9"/>
      <c r="Q255" s="10"/>
      <c r="R255" s="10" t="s">
        <v>2075</v>
      </c>
      <c r="S255" s="14" t="s">
        <v>551</v>
      </c>
      <c r="T255" s="14" t="s">
        <v>552</v>
      </c>
      <c r="U255" s="14" t="s">
        <v>2076</v>
      </c>
      <c r="V255" s="14" t="s">
        <v>2076</v>
      </c>
      <c r="W255" s="12"/>
      <c r="X255" s="12"/>
      <c r="Y255" s="12"/>
      <c r="Z255" s="12"/>
      <c r="AA255" s="12"/>
      <c r="AB255" s="13"/>
      <c r="AC255" s="14" t="s">
        <v>2077</v>
      </c>
      <c r="AD255" s="13"/>
      <c r="AE255" s="13"/>
    </row>
    <row r="256">
      <c r="A256" s="9" t="s">
        <v>1607</v>
      </c>
      <c r="B256" s="9" t="s">
        <v>367</v>
      </c>
      <c r="C256" s="9" t="s">
        <v>2078</v>
      </c>
      <c r="D256" s="14" t="s">
        <v>2079</v>
      </c>
      <c r="E256" s="10" t="s">
        <v>31</v>
      </c>
      <c r="F256" s="10" t="s">
        <v>32</v>
      </c>
      <c r="G256" s="9"/>
      <c r="H256" s="12"/>
      <c r="I256" s="12"/>
      <c r="J256" s="12"/>
      <c r="K256" s="9"/>
      <c r="L256" s="12"/>
      <c r="M256" s="12"/>
      <c r="N256" s="12"/>
      <c r="O256" s="12"/>
      <c r="P256" s="9"/>
      <c r="Q256" s="9"/>
      <c r="R256" s="9"/>
      <c r="S256" s="14" t="s">
        <v>551</v>
      </c>
      <c r="T256" s="14" t="s">
        <v>552</v>
      </c>
      <c r="U256" s="14" t="s">
        <v>2076</v>
      </c>
      <c r="V256" s="14" t="s">
        <v>2076</v>
      </c>
      <c r="W256" s="12"/>
      <c r="X256" s="12"/>
      <c r="Y256" s="12"/>
      <c r="Z256" s="12"/>
      <c r="AA256" s="12"/>
      <c r="AB256" s="13"/>
      <c r="AC256" s="14" t="s">
        <v>2080</v>
      </c>
      <c r="AD256" s="13"/>
      <c r="AE256" s="13"/>
    </row>
    <row r="257">
      <c r="A257" s="9" t="s">
        <v>1607</v>
      </c>
      <c r="B257" s="9" t="s">
        <v>367</v>
      </c>
      <c r="C257" s="9" t="s">
        <v>2081</v>
      </c>
      <c r="D257" s="14" t="s">
        <v>2082</v>
      </c>
      <c r="E257" s="10" t="s">
        <v>31</v>
      </c>
      <c r="F257" s="10" t="s">
        <v>32</v>
      </c>
      <c r="G257" s="9"/>
      <c r="H257" s="12"/>
      <c r="I257" s="12"/>
      <c r="J257" s="12"/>
      <c r="K257" s="9"/>
      <c r="L257" s="12"/>
      <c r="M257" s="12"/>
      <c r="N257" s="12"/>
      <c r="O257" s="12"/>
      <c r="P257" s="9"/>
      <c r="Q257" s="9"/>
      <c r="R257" s="9"/>
      <c r="S257" s="14" t="s">
        <v>551</v>
      </c>
      <c r="T257" s="14" t="s">
        <v>552</v>
      </c>
      <c r="U257" s="14" t="s">
        <v>2076</v>
      </c>
      <c r="V257" s="14" t="s">
        <v>2076</v>
      </c>
      <c r="W257" s="12"/>
      <c r="X257" s="12"/>
      <c r="Y257" s="12"/>
      <c r="Z257" s="12"/>
      <c r="AA257" s="12"/>
      <c r="AB257" s="13"/>
      <c r="AC257" s="14" t="s">
        <v>2083</v>
      </c>
      <c r="AD257" s="13"/>
      <c r="AE257" s="13"/>
    </row>
    <row r="258">
      <c r="A258" s="9" t="s">
        <v>1607</v>
      </c>
      <c r="B258" s="9" t="s">
        <v>367</v>
      </c>
      <c r="C258" s="9" t="s">
        <v>2084</v>
      </c>
      <c r="D258" s="14" t="s">
        <v>2085</v>
      </c>
      <c r="E258" s="10" t="s">
        <v>31</v>
      </c>
      <c r="F258" s="10" t="s">
        <v>32</v>
      </c>
      <c r="G258" s="9"/>
      <c r="H258" s="12"/>
      <c r="I258" s="12"/>
      <c r="J258" s="12"/>
      <c r="K258" s="9"/>
      <c r="L258" s="12"/>
      <c r="M258" s="12"/>
      <c r="N258" s="12"/>
      <c r="O258" s="12"/>
      <c r="P258" s="9"/>
      <c r="Q258" s="9"/>
      <c r="R258" s="9"/>
      <c r="S258" s="14" t="s">
        <v>551</v>
      </c>
      <c r="T258" s="14" t="s">
        <v>552</v>
      </c>
      <c r="U258" s="14" t="s">
        <v>2086</v>
      </c>
      <c r="V258" s="14" t="s">
        <v>2086</v>
      </c>
      <c r="W258" s="12"/>
      <c r="X258" s="12"/>
      <c r="Y258" s="12"/>
      <c r="Z258" s="12"/>
      <c r="AA258" s="12"/>
      <c r="AB258" s="13"/>
      <c r="AC258" s="14" t="s">
        <v>2087</v>
      </c>
      <c r="AD258" s="13"/>
      <c r="AE258" s="13"/>
    </row>
    <row r="259">
      <c r="A259" s="9" t="s">
        <v>1607</v>
      </c>
      <c r="B259" s="9" t="s">
        <v>367</v>
      </c>
      <c r="C259" s="9" t="s">
        <v>2088</v>
      </c>
      <c r="D259" s="14" t="s">
        <v>2089</v>
      </c>
      <c r="E259" s="10" t="s">
        <v>31</v>
      </c>
      <c r="F259" s="10" t="s">
        <v>32</v>
      </c>
      <c r="G259" s="9"/>
      <c r="H259" s="12"/>
      <c r="I259" s="12"/>
      <c r="J259" s="12"/>
      <c r="K259" s="9"/>
      <c r="L259" s="12"/>
      <c r="M259" s="12"/>
      <c r="N259" s="14" t="s">
        <v>1071</v>
      </c>
      <c r="O259" s="12"/>
      <c r="P259" s="10" t="s">
        <v>2090</v>
      </c>
      <c r="Q259" s="10"/>
      <c r="R259" s="10" t="s">
        <v>2091</v>
      </c>
      <c r="S259" s="14" t="s">
        <v>551</v>
      </c>
      <c r="T259" s="14" t="s">
        <v>552</v>
      </c>
      <c r="U259" s="14" t="s">
        <v>2086</v>
      </c>
      <c r="V259" s="14" t="s">
        <v>2086</v>
      </c>
      <c r="W259" s="12"/>
      <c r="X259" s="12"/>
      <c r="Y259" s="12"/>
      <c r="Z259" s="12"/>
      <c r="AA259" s="12"/>
      <c r="AB259" s="13"/>
      <c r="AC259" s="14" t="s">
        <v>2092</v>
      </c>
      <c r="AD259" s="13"/>
      <c r="AE259" s="13"/>
    </row>
    <row r="260">
      <c r="A260" s="10" t="s">
        <v>1607</v>
      </c>
      <c r="B260" s="10" t="s">
        <v>577</v>
      </c>
      <c r="C260" s="10" t="s">
        <v>2093</v>
      </c>
      <c r="D260" s="14" t="s">
        <v>2094</v>
      </c>
      <c r="E260" s="10" t="s">
        <v>31</v>
      </c>
      <c r="F260" s="10" t="s">
        <v>32</v>
      </c>
      <c r="G260" s="9"/>
      <c r="H260" s="12"/>
      <c r="I260" s="12"/>
      <c r="J260" s="12"/>
      <c r="K260" s="9"/>
      <c r="L260" s="12"/>
      <c r="M260" s="12"/>
      <c r="N260" s="14" t="s">
        <v>1071</v>
      </c>
      <c r="O260" s="12"/>
      <c r="P260" s="10" t="s">
        <v>2095</v>
      </c>
      <c r="Q260" s="10"/>
      <c r="R260" s="10" t="s">
        <v>2096</v>
      </c>
      <c r="S260" s="14" t="s">
        <v>551</v>
      </c>
      <c r="T260" s="14" t="s">
        <v>552</v>
      </c>
      <c r="U260" s="14" t="s">
        <v>2097</v>
      </c>
      <c r="V260" s="14" t="s">
        <v>2097</v>
      </c>
      <c r="W260" s="12"/>
      <c r="X260" s="12"/>
      <c r="Y260" s="12"/>
      <c r="Z260" s="12"/>
      <c r="AA260" s="12"/>
      <c r="AB260" s="13"/>
      <c r="AC260" s="14" t="s">
        <v>2098</v>
      </c>
      <c r="AD260" s="13"/>
      <c r="AE260" s="13"/>
    </row>
    <row r="261">
      <c r="A261" s="10" t="s">
        <v>1607</v>
      </c>
      <c r="B261" s="10" t="s">
        <v>577</v>
      </c>
      <c r="C261" s="10" t="s">
        <v>2099</v>
      </c>
      <c r="D261" s="14" t="s">
        <v>2100</v>
      </c>
      <c r="E261" s="10" t="s">
        <v>31</v>
      </c>
      <c r="F261" s="10" t="s">
        <v>32</v>
      </c>
      <c r="G261" s="9"/>
      <c r="H261" s="12"/>
      <c r="I261" s="12"/>
      <c r="J261" s="12"/>
      <c r="K261" s="9"/>
      <c r="L261" s="12"/>
      <c r="M261" s="12"/>
      <c r="N261" s="14" t="s">
        <v>1071</v>
      </c>
      <c r="O261" s="12"/>
      <c r="P261" s="10" t="s">
        <v>2101</v>
      </c>
      <c r="Q261" s="10"/>
      <c r="R261" s="10" t="s">
        <v>2102</v>
      </c>
      <c r="S261" s="14" t="s">
        <v>551</v>
      </c>
      <c r="T261" s="14" t="s">
        <v>552</v>
      </c>
      <c r="U261" s="14" t="s">
        <v>2097</v>
      </c>
      <c r="V261" s="14" t="s">
        <v>2097</v>
      </c>
      <c r="W261" s="12"/>
      <c r="X261" s="12"/>
      <c r="Y261" s="12"/>
      <c r="Z261" s="12"/>
      <c r="AA261" s="12"/>
      <c r="AB261" s="13"/>
      <c r="AC261" s="14" t="s">
        <v>2103</v>
      </c>
      <c r="AD261" s="13"/>
      <c r="AE261" s="13"/>
    </row>
    <row r="262">
      <c r="A262" s="9" t="s">
        <v>1607</v>
      </c>
      <c r="B262" s="9" t="s">
        <v>367</v>
      </c>
      <c r="C262" s="9" t="s">
        <v>2104</v>
      </c>
      <c r="D262" s="14" t="s">
        <v>2105</v>
      </c>
      <c r="E262" s="10" t="s">
        <v>31</v>
      </c>
      <c r="F262" s="10" t="s">
        <v>32</v>
      </c>
      <c r="G262" s="9"/>
      <c r="H262" s="12"/>
      <c r="I262" s="12"/>
      <c r="J262" s="12"/>
      <c r="K262" s="9"/>
      <c r="L262" s="12"/>
      <c r="M262" s="12"/>
      <c r="N262" s="12"/>
      <c r="O262" s="12"/>
      <c r="P262" s="10" t="s">
        <v>386</v>
      </c>
      <c r="Q262" s="10"/>
      <c r="R262" s="10" t="s">
        <v>2106</v>
      </c>
      <c r="S262" s="14" t="s">
        <v>551</v>
      </c>
      <c r="T262" s="14" t="s">
        <v>552</v>
      </c>
      <c r="U262" s="14" t="s">
        <v>2097</v>
      </c>
      <c r="V262" s="14" t="s">
        <v>2097</v>
      </c>
      <c r="W262" s="12"/>
      <c r="X262" s="12"/>
      <c r="Y262" s="12"/>
      <c r="Z262" s="12"/>
      <c r="AA262" s="12"/>
      <c r="AB262" s="13"/>
      <c r="AC262" s="14" t="s">
        <v>2107</v>
      </c>
      <c r="AD262" s="13"/>
      <c r="AE262" s="13"/>
    </row>
    <row r="263">
      <c r="A263" s="9" t="s">
        <v>1607</v>
      </c>
      <c r="B263" s="9" t="s">
        <v>577</v>
      </c>
      <c r="C263" s="10" t="s">
        <v>2108</v>
      </c>
      <c r="D263" s="10" t="s">
        <v>2109</v>
      </c>
      <c r="E263" s="10" t="s">
        <v>31</v>
      </c>
      <c r="F263" s="10" t="s">
        <v>32</v>
      </c>
      <c r="G263" s="46" t="s">
        <v>1972</v>
      </c>
      <c r="H263" s="10" t="s">
        <v>34</v>
      </c>
      <c r="I263" s="10" t="s">
        <v>35</v>
      </c>
      <c r="J263" s="46" t="s">
        <v>2110</v>
      </c>
      <c r="K263" s="9" t="s">
        <v>2111</v>
      </c>
      <c r="L263" s="46">
        <v>22.0</v>
      </c>
      <c r="M263" s="46">
        <v>22.0</v>
      </c>
      <c r="N263" s="18" t="s">
        <v>2112</v>
      </c>
      <c r="O263" s="13"/>
      <c r="P263" s="46" t="s">
        <v>2113</v>
      </c>
      <c r="Q263" s="46"/>
      <c r="R263" s="46" t="s">
        <v>2114</v>
      </c>
      <c r="S263" s="46" t="s">
        <v>41</v>
      </c>
      <c r="T263" s="46" t="s">
        <v>42</v>
      </c>
      <c r="U263" s="9" t="s">
        <v>248</v>
      </c>
      <c r="V263" s="9" t="s">
        <v>249</v>
      </c>
      <c r="W263" s="13"/>
      <c r="X263" s="13"/>
      <c r="Y263" s="13"/>
      <c r="Z263" s="13"/>
      <c r="AA263" s="13"/>
      <c r="AB263" s="13"/>
      <c r="AC263" s="14" t="s">
        <v>2115</v>
      </c>
      <c r="AD263" s="13"/>
      <c r="AE263" s="13"/>
    </row>
    <row r="264">
      <c r="A264" s="10" t="s">
        <v>1607</v>
      </c>
      <c r="B264" s="10" t="s">
        <v>577</v>
      </c>
      <c r="C264" s="10" t="s">
        <v>2116</v>
      </c>
      <c r="D264" s="10" t="s">
        <v>2117</v>
      </c>
      <c r="E264" s="10" t="s">
        <v>31</v>
      </c>
      <c r="F264" s="10" t="s">
        <v>32</v>
      </c>
      <c r="G264" s="46"/>
      <c r="H264" s="10"/>
      <c r="I264" s="10"/>
      <c r="J264" s="46"/>
      <c r="K264" s="9"/>
      <c r="L264" s="46"/>
      <c r="M264" s="46"/>
      <c r="N264" s="13"/>
      <c r="O264" s="13"/>
      <c r="P264" s="46"/>
      <c r="Q264" s="46"/>
      <c r="R264" s="46"/>
      <c r="S264" s="29" t="s">
        <v>551</v>
      </c>
      <c r="T264" s="29" t="s">
        <v>552</v>
      </c>
      <c r="U264" s="10" t="s">
        <v>2097</v>
      </c>
      <c r="V264" s="10" t="s">
        <v>2097</v>
      </c>
      <c r="W264" s="13"/>
      <c r="X264" s="13"/>
      <c r="Y264" s="13"/>
      <c r="Z264" s="13"/>
      <c r="AA264" s="13"/>
      <c r="AB264" s="13"/>
      <c r="AC264" s="14" t="s">
        <v>2118</v>
      </c>
      <c r="AD264" s="13"/>
      <c r="AE264" s="13"/>
    </row>
    <row r="265">
      <c r="A265" s="10" t="s">
        <v>1607</v>
      </c>
      <c r="B265" s="10" t="s">
        <v>577</v>
      </c>
      <c r="C265" s="10" t="s">
        <v>2119</v>
      </c>
      <c r="D265" s="10" t="s">
        <v>2120</v>
      </c>
      <c r="E265" s="10" t="s">
        <v>31</v>
      </c>
      <c r="F265" s="10" t="s">
        <v>32</v>
      </c>
      <c r="G265" s="46"/>
      <c r="H265" s="10"/>
      <c r="I265" s="10"/>
      <c r="J265" s="46"/>
      <c r="K265" s="9"/>
      <c r="L265" s="46"/>
      <c r="M265" s="46"/>
      <c r="N265" s="13"/>
      <c r="O265" s="13"/>
      <c r="P265" s="46"/>
      <c r="Q265" s="46"/>
      <c r="R265" s="46"/>
      <c r="S265" s="29" t="s">
        <v>551</v>
      </c>
      <c r="T265" s="29" t="s">
        <v>552</v>
      </c>
      <c r="U265" s="10" t="s">
        <v>2097</v>
      </c>
      <c r="V265" s="10" t="s">
        <v>2097</v>
      </c>
      <c r="W265" s="13"/>
      <c r="X265" s="13"/>
      <c r="Y265" s="13"/>
      <c r="Z265" s="13"/>
      <c r="AA265" s="13"/>
      <c r="AB265" s="13"/>
      <c r="AC265" s="14" t="s">
        <v>2121</v>
      </c>
      <c r="AD265" s="13"/>
      <c r="AE265" s="13"/>
    </row>
    <row r="266">
      <c r="A266" s="10" t="s">
        <v>1607</v>
      </c>
      <c r="B266" s="10" t="s">
        <v>430</v>
      </c>
      <c r="C266" s="10" t="s">
        <v>2122</v>
      </c>
      <c r="D266" s="10" t="s">
        <v>2123</v>
      </c>
      <c r="E266" s="10" t="s">
        <v>31</v>
      </c>
      <c r="F266" s="10" t="s">
        <v>32</v>
      </c>
      <c r="G266" s="46" t="s">
        <v>1972</v>
      </c>
      <c r="H266" s="10" t="s">
        <v>34</v>
      </c>
      <c r="I266" s="10" t="s">
        <v>35</v>
      </c>
      <c r="J266" s="29" t="s">
        <v>2124</v>
      </c>
      <c r="K266" s="10" t="s">
        <v>2125</v>
      </c>
      <c r="L266" s="29">
        <v>14.0</v>
      </c>
      <c r="M266" s="29">
        <v>14.0</v>
      </c>
      <c r="N266" s="13"/>
      <c r="O266" s="13"/>
      <c r="P266" s="46"/>
      <c r="Q266" s="46"/>
      <c r="R266" s="46"/>
      <c r="S266" s="46"/>
      <c r="T266" s="46"/>
      <c r="U266" s="9"/>
      <c r="V266" s="9"/>
      <c r="W266" s="13"/>
      <c r="X266" s="13"/>
      <c r="Y266" s="13"/>
      <c r="Z266" s="13"/>
      <c r="AA266" s="13"/>
      <c r="AB266" s="13"/>
      <c r="AC266" s="14" t="s">
        <v>2126</v>
      </c>
      <c r="AD266" s="13"/>
      <c r="AE266" s="13"/>
    </row>
    <row r="267">
      <c r="A267" s="10" t="s">
        <v>1607</v>
      </c>
      <c r="B267" s="10" t="s">
        <v>430</v>
      </c>
      <c r="C267" s="10" t="s">
        <v>2127</v>
      </c>
      <c r="D267" s="10" t="s">
        <v>2128</v>
      </c>
      <c r="E267" s="10" t="s">
        <v>31</v>
      </c>
      <c r="F267" s="10" t="s">
        <v>32</v>
      </c>
      <c r="G267" s="46"/>
      <c r="H267" s="10"/>
      <c r="I267" s="10"/>
      <c r="J267" s="46"/>
      <c r="K267" s="9"/>
      <c r="L267" s="46"/>
      <c r="M267" s="46"/>
      <c r="N267" s="13"/>
      <c r="O267" s="13"/>
      <c r="P267" s="46"/>
      <c r="Q267" s="46"/>
      <c r="R267" s="46"/>
      <c r="S267" s="46"/>
      <c r="T267" s="46"/>
      <c r="U267" s="9"/>
      <c r="V267" s="9"/>
      <c r="W267" s="13"/>
      <c r="X267" s="13"/>
      <c r="Y267" s="13"/>
      <c r="Z267" s="13"/>
      <c r="AA267" s="13"/>
      <c r="AB267" s="13"/>
      <c r="AC267" s="14" t="s">
        <v>2129</v>
      </c>
      <c r="AD267" s="13"/>
      <c r="AE267" s="13"/>
    </row>
    <row r="268">
      <c r="A268" s="10" t="s">
        <v>1607</v>
      </c>
      <c r="B268" s="10" t="s">
        <v>430</v>
      </c>
      <c r="C268" s="10" t="s">
        <v>2130</v>
      </c>
      <c r="D268" s="10" t="s">
        <v>2131</v>
      </c>
      <c r="E268" s="10" t="s">
        <v>31</v>
      </c>
      <c r="F268" s="10" t="s">
        <v>32</v>
      </c>
      <c r="G268" s="46"/>
      <c r="H268" s="10"/>
      <c r="I268" s="10"/>
      <c r="J268" s="46"/>
      <c r="K268" s="9"/>
      <c r="L268" s="46"/>
      <c r="M268" s="46"/>
      <c r="N268" s="13"/>
      <c r="O268" s="13"/>
      <c r="P268" s="46"/>
      <c r="Q268" s="46"/>
      <c r="R268" s="46"/>
      <c r="S268" s="46"/>
      <c r="T268" s="46"/>
      <c r="U268" s="9"/>
      <c r="V268" s="9"/>
      <c r="W268" s="13"/>
      <c r="X268" s="13"/>
      <c r="Y268" s="13"/>
      <c r="Z268" s="13"/>
      <c r="AA268" s="13"/>
      <c r="AB268" s="13"/>
      <c r="AC268" s="14" t="s">
        <v>2132</v>
      </c>
      <c r="AD268" s="13"/>
      <c r="AE268" s="13"/>
    </row>
    <row r="269">
      <c r="A269" s="10" t="s">
        <v>1607</v>
      </c>
      <c r="B269" s="10" t="s">
        <v>430</v>
      </c>
      <c r="C269" s="10" t="s">
        <v>2133</v>
      </c>
      <c r="D269" s="10" t="s">
        <v>2134</v>
      </c>
      <c r="E269" s="10" t="s">
        <v>31</v>
      </c>
      <c r="F269" s="10" t="s">
        <v>32</v>
      </c>
      <c r="G269" s="46"/>
      <c r="H269" s="10"/>
      <c r="I269" s="10"/>
      <c r="J269" s="46"/>
      <c r="K269" s="9"/>
      <c r="L269" s="46"/>
      <c r="M269" s="46"/>
      <c r="N269" s="13"/>
      <c r="O269" s="13"/>
      <c r="P269" s="46"/>
      <c r="Q269" s="46"/>
      <c r="R269" s="46"/>
      <c r="S269" s="46"/>
      <c r="T269" s="46"/>
      <c r="U269" s="9"/>
      <c r="V269" s="9"/>
      <c r="W269" s="13"/>
      <c r="X269" s="13"/>
      <c r="Y269" s="13"/>
      <c r="Z269" s="13"/>
      <c r="AA269" s="13"/>
      <c r="AB269" s="13"/>
      <c r="AC269" s="14" t="s">
        <v>2135</v>
      </c>
      <c r="AD269" s="13"/>
      <c r="AE269" s="13"/>
    </row>
    <row r="270">
      <c r="A270" s="10" t="s">
        <v>1607</v>
      </c>
      <c r="B270" s="10" t="s">
        <v>430</v>
      </c>
      <c r="C270" s="10" t="s">
        <v>2136</v>
      </c>
      <c r="D270" s="10" t="s">
        <v>2137</v>
      </c>
      <c r="E270" s="10" t="s">
        <v>31</v>
      </c>
      <c r="F270" s="10" t="s">
        <v>32</v>
      </c>
      <c r="G270" s="46"/>
      <c r="H270" s="10"/>
      <c r="I270" s="10"/>
      <c r="J270" s="46"/>
      <c r="K270" s="9"/>
      <c r="L270" s="46"/>
      <c r="M270" s="46"/>
      <c r="N270" s="13"/>
      <c r="O270" s="13"/>
      <c r="P270" s="46"/>
      <c r="Q270" s="46"/>
      <c r="R270" s="46"/>
      <c r="S270" s="46"/>
      <c r="T270" s="46"/>
      <c r="U270" s="9"/>
      <c r="V270" s="9"/>
      <c r="W270" s="13"/>
      <c r="X270" s="13"/>
      <c r="Y270" s="13"/>
      <c r="Z270" s="13"/>
      <c r="AA270" s="13"/>
      <c r="AB270" s="13"/>
      <c r="AC270" s="14" t="s">
        <v>2138</v>
      </c>
      <c r="AD270" s="13"/>
      <c r="AE270" s="13"/>
    </row>
    <row r="271">
      <c r="A271" s="10" t="s">
        <v>1607</v>
      </c>
      <c r="B271" s="10" t="s">
        <v>430</v>
      </c>
      <c r="C271" s="10" t="s">
        <v>2139</v>
      </c>
      <c r="D271" s="10" t="s">
        <v>2140</v>
      </c>
      <c r="E271" s="10" t="s">
        <v>31</v>
      </c>
      <c r="F271" s="10" t="s">
        <v>32</v>
      </c>
      <c r="G271" s="46"/>
      <c r="H271" s="10"/>
      <c r="I271" s="10"/>
      <c r="J271" s="46"/>
      <c r="K271" s="9"/>
      <c r="L271" s="46"/>
      <c r="M271" s="46"/>
      <c r="N271" s="13"/>
      <c r="O271" s="13"/>
      <c r="P271" s="46"/>
      <c r="Q271" s="46"/>
      <c r="R271" s="46"/>
      <c r="S271" s="46"/>
      <c r="T271" s="46"/>
      <c r="U271" s="9"/>
      <c r="V271" s="9"/>
      <c r="W271" s="13"/>
      <c r="X271" s="13"/>
      <c r="Y271" s="13"/>
      <c r="Z271" s="13"/>
      <c r="AA271" s="13"/>
      <c r="AB271" s="13"/>
      <c r="AC271" s="14" t="s">
        <v>2141</v>
      </c>
      <c r="AD271" s="13"/>
      <c r="AE271" s="13"/>
    </row>
    <row r="272">
      <c r="A272" s="10" t="s">
        <v>1607</v>
      </c>
      <c r="B272" s="10" t="s">
        <v>430</v>
      </c>
      <c r="C272" s="10" t="s">
        <v>2142</v>
      </c>
      <c r="D272" s="10" t="s">
        <v>2143</v>
      </c>
      <c r="E272" s="10" t="s">
        <v>31</v>
      </c>
      <c r="F272" s="10" t="s">
        <v>32</v>
      </c>
      <c r="G272" s="46"/>
      <c r="H272" s="10"/>
      <c r="I272" s="10"/>
      <c r="J272" s="46"/>
      <c r="K272" s="9"/>
      <c r="L272" s="46"/>
      <c r="M272" s="46"/>
      <c r="N272" s="13"/>
      <c r="O272" s="13"/>
      <c r="P272" s="46"/>
      <c r="Q272" s="46"/>
      <c r="R272" s="46"/>
      <c r="S272" s="46"/>
      <c r="T272" s="46"/>
      <c r="U272" s="9"/>
      <c r="V272" s="9"/>
      <c r="W272" s="13"/>
      <c r="X272" s="13"/>
      <c r="Y272" s="13"/>
      <c r="Z272" s="13"/>
      <c r="AA272" s="13"/>
      <c r="AB272" s="13"/>
      <c r="AC272" s="14" t="s">
        <v>2144</v>
      </c>
      <c r="AD272" s="13"/>
      <c r="AE272" s="13"/>
    </row>
    <row r="273">
      <c r="A273" s="10" t="s">
        <v>1607</v>
      </c>
      <c r="B273" s="10" t="s">
        <v>430</v>
      </c>
      <c r="C273" s="10" t="s">
        <v>2145</v>
      </c>
      <c r="D273" s="10" t="s">
        <v>2146</v>
      </c>
      <c r="E273" s="10" t="s">
        <v>31</v>
      </c>
      <c r="F273" s="10" t="s">
        <v>32</v>
      </c>
      <c r="G273" s="46"/>
      <c r="H273" s="10"/>
      <c r="I273" s="10"/>
      <c r="J273" s="46"/>
      <c r="K273" s="9"/>
      <c r="L273" s="46"/>
      <c r="M273" s="46"/>
      <c r="N273" s="13"/>
      <c r="O273" s="13"/>
      <c r="P273" s="46"/>
      <c r="Q273" s="46"/>
      <c r="R273" s="46"/>
      <c r="S273" s="46"/>
      <c r="T273" s="46"/>
      <c r="U273" s="9"/>
      <c r="V273" s="9"/>
      <c r="W273" s="13"/>
      <c r="X273" s="13"/>
      <c r="Y273" s="13"/>
      <c r="Z273" s="13"/>
      <c r="AA273" s="13"/>
      <c r="AB273" s="13"/>
      <c r="AC273" s="14" t="s">
        <v>2147</v>
      </c>
      <c r="AD273" s="13"/>
      <c r="AE273" s="13"/>
    </row>
    <row r="274">
      <c r="A274" s="10" t="s">
        <v>1607</v>
      </c>
      <c r="B274" s="10" t="s">
        <v>430</v>
      </c>
      <c r="C274" s="10" t="s">
        <v>2148</v>
      </c>
      <c r="D274" s="10" t="s">
        <v>2149</v>
      </c>
      <c r="E274" s="10" t="s">
        <v>31</v>
      </c>
      <c r="F274" s="10" t="s">
        <v>32</v>
      </c>
      <c r="G274" s="46"/>
      <c r="H274" s="10"/>
      <c r="I274" s="10"/>
      <c r="J274" s="46"/>
      <c r="K274" s="9"/>
      <c r="L274" s="46"/>
      <c r="M274" s="46"/>
      <c r="N274" s="13"/>
      <c r="O274" s="13"/>
      <c r="P274" s="46"/>
      <c r="Q274" s="46"/>
      <c r="R274" s="46"/>
      <c r="S274" s="46"/>
      <c r="T274" s="46"/>
      <c r="U274" s="9"/>
      <c r="V274" s="9"/>
      <c r="W274" s="13"/>
      <c r="X274" s="13"/>
      <c r="Y274" s="13"/>
      <c r="Z274" s="13"/>
      <c r="AA274" s="13"/>
      <c r="AB274" s="13"/>
      <c r="AC274" s="14" t="s">
        <v>2150</v>
      </c>
      <c r="AD274" s="13"/>
      <c r="AE274" s="13"/>
    </row>
    <row r="275">
      <c r="A275" s="10" t="s">
        <v>1607</v>
      </c>
      <c r="B275" s="10" t="s">
        <v>130</v>
      </c>
      <c r="C275" s="10" t="s">
        <v>2151</v>
      </c>
      <c r="D275" s="10" t="s">
        <v>2152</v>
      </c>
      <c r="E275" s="10" t="s">
        <v>31</v>
      </c>
      <c r="F275" s="10" t="s">
        <v>32</v>
      </c>
      <c r="G275" s="29" t="s">
        <v>2153</v>
      </c>
      <c r="H275" s="10" t="s">
        <v>34</v>
      </c>
      <c r="I275" s="10" t="s">
        <v>35</v>
      </c>
      <c r="J275" s="29">
        <v>401.0</v>
      </c>
      <c r="K275" s="10" t="s">
        <v>2154</v>
      </c>
      <c r="L275" s="29">
        <v>2.0</v>
      </c>
      <c r="M275" s="29">
        <v>2.0</v>
      </c>
      <c r="N275" s="14" t="s">
        <v>2155</v>
      </c>
      <c r="O275" s="13"/>
      <c r="P275" s="29" t="s">
        <v>2156</v>
      </c>
      <c r="Q275" s="29"/>
      <c r="R275" s="29" t="s">
        <v>2157</v>
      </c>
      <c r="S275" s="29" t="s">
        <v>45</v>
      </c>
      <c r="T275" s="29" t="s">
        <v>46</v>
      </c>
      <c r="U275" s="10" t="s">
        <v>2158</v>
      </c>
      <c r="V275" s="10" t="s">
        <v>2158</v>
      </c>
      <c r="W275" s="13"/>
      <c r="X275" s="13"/>
      <c r="Y275" s="13"/>
      <c r="Z275" s="13"/>
      <c r="AA275" s="13"/>
      <c r="AB275" s="13"/>
      <c r="AC275" s="14" t="s">
        <v>2159</v>
      </c>
      <c r="AD275" s="13"/>
      <c r="AE275" s="13"/>
    </row>
    <row r="276">
      <c r="A276" s="10" t="s">
        <v>1607</v>
      </c>
      <c r="B276" s="10" t="s">
        <v>130</v>
      </c>
      <c r="C276" s="10" t="s">
        <v>2160</v>
      </c>
      <c r="D276" s="21" t="s">
        <v>2161</v>
      </c>
      <c r="E276" s="10" t="s">
        <v>31</v>
      </c>
      <c r="F276" s="10" t="s">
        <v>32</v>
      </c>
      <c r="G276" s="29" t="s">
        <v>1704</v>
      </c>
      <c r="H276" s="10" t="s">
        <v>34</v>
      </c>
      <c r="I276" s="10" t="s">
        <v>35</v>
      </c>
      <c r="J276" s="28">
        <v>402.0</v>
      </c>
      <c r="K276" s="10" t="s">
        <v>2162</v>
      </c>
      <c r="L276" s="29">
        <v>3.0</v>
      </c>
      <c r="M276" s="29">
        <v>2.0</v>
      </c>
      <c r="N276" s="13"/>
      <c r="O276" s="13"/>
      <c r="P276" s="46"/>
      <c r="Q276" s="29"/>
      <c r="R276" s="29" t="s">
        <v>2163</v>
      </c>
      <c r="S276" s="29" t="s">
        <v>45</v>
      </c>
      <c r="T276" s="29" t="s">
        <v>46</v>
      </c>
      <c r="U276" s="10" t="s">
        <v>2158</v>
      </c>
      <c r="V276" s="10" t="s">
        <v>2158</v>
      </c>
      <c r="W276" s="13"/>
      <c r="X276" s="13"/>
      <c r="Y276" s="13"/>
      <c r="Z276" s="13"/>
      <c r="AA276" s="13"/>
      <c r="AB276" s="13"/>
      <c r="AC276" s="14" t="s">
        <v>2164</v>
      </c>
      <c r="AD276" s="13"/>
      <c r="AE276" s="13"/>
    </row>
    <row r="277">
      <c r="A277" s="10" t="s">
        <v>1607</v>
      </c>
      <c r="B277" s="10" t="s">
        <v>130</v>
      </c>
      <c r="C277" s="10" t="s">
        <v>2165</v>
      </c>
      <c r="D277" s="10" t="s">
        <v>2166</v>
      </c>
      <c r="E277" s="10" t="s">
        <v>31</v>
      </c>
      <c r="F277" s="10" t="s">
        <v>32</v>
      </c>
      <c r="G277" s="29" t="s">
        <v>1704</v>
      </c>
      <c r="H277" s="10" t="s">
        <v>34</v>
      </c>
      <c r="I277" s="10" t="s">
        <v>35</v>
      </c>
      <c r="J277" s="29" t="s">
        <v>2167</v>
      </c>
      <c r="K277" s="10" t="s">
        <v>2168</v>
      </c>
      <c r="L277" s="29">
        <v>12.0</v>
      </c>
      <c r="M277" s="29">
        <v>8.0</v>
      </c>
      <c r="N277" s="18" t="s">
        <v>2169</v>
      </c>
      <c r="O277" s="13"/>
      <c r="P277" s="29" t="s">
        <v>2170</v>
      </c>
      <c r="Q277" s="29"/>
      <c r="R277" s="29" t="s">
        <v>2171</v>
      </c>
      <c r="S277" s="29" t="s">
        <v>45</v>
      </c>
      <c r="T277" s="29" t="s">
        <v>46</v>
      </c>
      <c r="U277" s="10" t="s">
        <v>2158</v>
      </c>
      <c r="V277" s="10" t="s">
        <v>2158</v>
      </c>
      <c r="W277" s="13"/>
      <c r="X277" s="13"/>
      <c r="Y277" s="13"/>
      <c r="Z277" s="13"/>
      <c r="AA277" s="13"/>
      <c r="AB277" s="13"/>
      <c r="AC277" s="14" t="s">
        <v>2172</v>
      </c>
      <c r="AD277" s="13"/>
      <c r="AE277" s="13"/>
    </row>
    <row r="278">
      <c r="A278" s="10" t="s">
        <v>1607</v>
      </c>
      <c r="B278" s="10" t="s">
        <v>951</v>
      </c>
      <c r="C278" s="10" t="s">
        <v>2173</v>
      </c>
      <c r="D278" s="10" t="s">
        <v>2174</v>
      </c>
      <c r="E278" s="10" t="s">
        <v>31</v>
      </c>
      <c r="F278" s="10" t="s">
        <v>32</v>
      </c>
      <c r="G278" s="46"/>
      <c r="H278" s="10"/>
      <c r="I278" s="10"/>
      <c r="J278" s="46"/>
      <c r="K278" s="9"/>
      <c r="L278" s="46"/>
      <c r="M278" s="46"/>
      <c r="N278" s="13"/>
      <c r="O278" s="13"/>
      <c r="P278" s="46"/>
      <c r="Q278" s="46"/>
      <c r="R278" s="46"/>
      <c r="S278" s="46"/>
      <c r="T278" s="46"/>
      <c r="U278" s="9"/>
      <c r="V278" s="9"/>
      <c r="W278" s="13"/>
      <c r="X278" s="13"/>
      <c r="Y278" s="13"/>
      <c r="Z278" s="13"/>
      <c r="AA278" s="13"/>
      <c r="AB278" s="13"/>
      <c r="AC278" s="14" t="s">
        <v>2175</v>
      </c>
      <c r="AD278" s="13"/>
      <c r="AE278" s="13"/>
    </row>
    <row r="279">
      <c r="A279" s="10" t="s">
        <v>1607</v>
      </c>
      <c r="B279" s="10" t="s">
        <v>951</v>
      </c>
      <c r="C279" s="10" t="s">
        <v>2176</v>
      </c>
      <c r="D279" s="10" t="s">
        <v>2177</v>
      </c>
      <c r="E279" s="10" t="s">
        <v>31</v>
      </c>
      <c r="F279" s="10" t="s">
        <v>32</v>
      </c>
      <c r="G279" s="46"/>
      <c r="H279" s="10"/>
      <c r="I279" s="10"/>
      <c r="J279" s="46"/>
      <c r="K279" s="9"/>
      <c r="L279" s="46"/>
      <c r="M279" s="46"/>
      <c r="N279" s="13"/>
      <c r="O279" s="13"/>
      <c r="P279" s="46"/>
      <c r="Q279" s="46"/>
      <c r="R279" s="46"/>
      <c r="S279" s="46"/>
      <c r="T279" s="46"/>
      <c r="U279" s="9"/>
      <c r="V279" s="9"/>
      <c r="W279" s="13"/>
      <c r="X279" s="13"/>
      <c r="Y279" s="13"/>
      <c r="Z279" s="13"/>
      <c r="AA279" s="13"/>
      <c r="AB279" s="13"/>
      <c r="AC279" s="14" t="s">
        <v>2178</v>
      </c>
      <c r="AD279" s="13"/>
      <c r="AE279" s="13"/>
    </row>
    <row r="280">
      <c r="A280" s="10" t="s">
        <v>1607</v>
      </c>
      <c r="B280" s="10" t="s">
        <v>951</v>
      </c>
      <c r="C280" s="10" t="s">
        <v>2179</v>
      </c>
      <c r="D280" s="10" t="s">
        <v>2180</v>
      </c>
      <c r="E280" s="10" t="s">
        <v>31</v>
      </c>
      <c r="F280" s="10" t="s">
        <v>32</v>
      </c>
      <c r="G280" s="46"/>
      <c r="H280" s="10"/>
      <c r="I280" s="10"/>
      <c r="J280" s="46"/>
      <c r="K280" s="9"/>
      <c r="L280" s="46"/>
      <c r="M280" s="46"/>
      <c r="N280" s="13"/>
      <c r="O280" s="13"/>
      <c r="P280" s="46"/>
      <c r="Q280" s="46"/>
      <c r="R280" s="46"/>
      <c r="S280" s="46"/>
      <c r="T280" s="46"/>
      <c r="U280" s="9"/>
      <c r="V280" s="9"/>
      <c r="W280" s="13"/>
      <c r="X280" s="13"/>
      <c r="Y280" s="13"/>
      <c r="Z280" s="13"/>
      <c r="AA280" s="13"/>
      <c r="AB280" s="13"/>
      <c r="AC280" s="14" t="s">
        <v>2181</v>
      </c>
      <c r="AD280" s="13"/>
      <c r="AE280" s="13"/>
    </row>
    <row r="281">
      <c r="A281" s="10" t="s">
        <v>1607</v>
      </c>
      <c r="B281" s="10" t="s">
        <v>951</v>
      </c>
      <c r="C281" s="10" t="s">
        <v>2182</v>
      </c>
      <c r="D281" s="10" t="s">
        <v>2183</v>
      </c>
      <c r="E281" s="10" t="s">
        <v>31</v>
      </c>
      <c r="F281" s="10" t="s">
        <v>32</v>
      </c>
      <c r="G281" s="46"/>
      <c r="H281" s="10"/>
      <c r="I281" s="10"/>
      <c r="J281" s="46"/>
      <c r="K281" s="9"/>
      <c r="L281" s="46"/>
      <c r="M281" s="46"/>
      <c r="N281" s="13"/>
      <c r="O281" s="13"/>
      <c r="P281" s="46"/>
      <c r="Q281" s="46"/>
      <c r="R281" s="46"/>
      <c r="S281" s="46"/>
      <c r="T281" s="46"/>
      <c r="U281" s="9"/>
      <c r="V281" s="9"/>
      <c r="W281" s="13"/>
      <c r="X281" s="13"/>
      <c r="Y281" s="13"/>
      <c r="Z281" s="13"/>
      <c r="AA281" s="13"/>
      <c r="AB281" s="13"/>
      <c r="AC281" s="14" t="s">
        <v>2184</v>
      </c>
      <c r="AD281" s="13"/>
      <c r="AE281" s="13"/>
    </row>
    <row r="282">
      <c r="A282" s="10" t="s">
        <v>1607</v>
      </c>
      <c r="B282" s="10" t="s">
        <v>951</v>
      </c>
      <c r="C282" s="10" t="s">
        <v>2185</v>
      </c>
      <c r="D282" s="10" t="s">
        <v>2186</v>
      </c>
      <c r="E282" s="10" t="s">
        <v>31</v>
      </c>
      <c r="F282" s="10" t="s">
        <v>32</v>
      </c>
      <c r="G282" s="46"/>
      <c r="H282" s="10"/>
      <c r="I282" s="10"/>
      <c r="J282" s="46"/>
      <c r="K282" s="9"/>
      <c r="L282" s="46"/>
      <c r="M282" s="46"/>
      <c r="N282" s="13"/>
      <c r="O282" s="13"/>
      <c r="P282" s="46"/>
      <c r="Q282" s="46"/>
      <c r="R282" s="46"/>
      <c r="S282" s="46"/>
      <c r="T282" s="46"/>
      <c r="U282" s="9"/>
      <c r="V282" s="9"/>
      <c r="W282" s="13"/>
      <c r="X282" s="13"/>
      <c r="Y282" s="13"/>
      <c r="Z282" s="13"/>
      <c r="AA282" s="13"/>
      <c r="AB282" s="13"/>
      <c r="AC282" s="14" t="s">
        <v>2187</v>
      </c>
      <c r="AD282" s="13"/>
      <c r="AE282" s="13"/>
    </row>
    <row r="283">
      <c r="A283" s="10" t="s">
        <v>1607</v>
      </c>
      <c r="B283" s="10" t="s">
        <v>951</v>
      </c>
      <c r="C283" s="10" t="s">
        <v>2188</v>
      </c>
      <c r="D283" s="10" t="s">
        <v>2189</v>
      </c>
      <c r="E283" s="10" t="s">
        <v>31</v>
      </c>
      <c r="F283" s="10" t="s">
        <v>32</v>
      </c>
      <c r="G283" s="46"/>
      <c r="H283" s="10"/>
      <c r="I283" s="10"/>
      <c r="J283" s="46"/>
      <c r="K283" s="9"/>
      <c r="L283" s="46"/>
      <c r="M283" s="46"/>
      <c r="N283" s="13"/>
      <c r="O283" s="13"/>
      <c r="P283" s="46"/>
      <c r="Q283" s="46"/>
      <c r="R283" s="46"/>
      <c r="S283" s="46"/>
      <c r="T283" s="46"/>
      <c r="U283" s="9"/>
      <c r="V283" s="9"/>
      <c r="W283" s="13"/>
      <c r="X283" s="13"/>
      <c r="Y283" s="13"/>
      <c r="Z283" s="13"/>
      <c r="AA283" s="13"/>
      <c r="AB283" s="13"/>
      <c r="AC283" s="14" t="s">
        <v>2190</v>
      </c>
      <c r="AD283" s="13"/>
      <c r="AE283" s="13"/>
    </row>
    <row r="284">
      <c r="A284" s="10" t="s">
        <v>1607</v>
      </c>
      <c r="B284" s="10" t="s">
        <v>951</v>
      </c>
      <c r="C284" s="10" t="s">
        <v>2191</v>
      </c>
      <c r="D284" s="10" t="s">
        <v>2192</v>
      </c>
      <c r="E284" s="10" t="s">
        <v>31</v>
      </c>
      <c r="F284" s="10" t="s">
        <v>32</v>
      </c>
      <c r="G284" s="46"/>
      <c r="H284" s="10"/>
      <c r="I284" s="10"/>
      <c r="J284" s="46"/>
      <c r="K284" s="9"/>
      <c r="L284" s="46"/>
      <c r="M284" s="46"/>
      <c r="N284" s="13"/>
      <c r="O284" s="13"/>
      <c r="P284" s="46"/>
      <c r="Q284" s="46"/>
      <c r="R284" s="46"/>
      <c r="S284" s="46"/>
      <c r="T284" s="46"/>
      <c r="U284" s="9"/>
      <c r="V284" s="9"/>
      <c r="W284" s="13"/>
      <c r="X284" s="13"/>
      <c r="Y284" s="13"/>
      <c r="Z284" s="13"/>
      <c r="AA284" s="13"/>
      <c r="AB284" s="13"/>
      <c r="AC284" s="14" t="s">
        <v>2193</v>
      </c>
      <c r="AD284" s="13"/>
      <c r="AE284" s="13"/>
    </row>
    <row r="285">
      <c r="A285" s="10" t="s">
        <v>1607</v>
      </c>
      <c r="B285" s="10" t="s">
        <v>951</v>
      </c>
      <c r="C285" s="10" t="s">
        <v>2194</v>
      </c>
      <c r="D285" s="10" t="s">
        <v>2195</v>
      </c>
      <c r="E285" s="10" t="s">
        <v>31</v>
      </c>
      <c r="F285" s="10" t="s">
        <v>32</v>
      </c>
      <c r="G285" s="46"/>
      <c r="H285" s="10"/>
      <c r="I285" s="10"/>
      <c r="J285" s="46"/>
      <c r="K285" s="9"/>
      <c r="L285" s="46"/>
      <c r="M285" s="46"/>
      <c r="N285" s="13"/>
      <c r="O285" s="13"/>
      <c r="P285" s="46"/>
      <c r="Q285" s="46"/>
      <c r="R285" s="46"/>
      <c r="S285" s="46"/>
      <c r="T285" s="46"/>
      <c r="U285" s="9"/>
      <c r="V285" s="9"/>
      <c r="W285" s="13"/>
      <c r="X285" s="13"/>
      <c r="Y285" s="13"/>
      <c r="Z285" s="13"/>
      <c r="AA285" s="13"/>
      <c r="AB285" s="13"/>
      <c r="AC285" s="14" t="s">
        <v>2196</v>
      </c>
      <c r="AD285" s="13"/>
      <c r="AE285" s="13"/>
    </row>
    <row r="286">
      <c r="A286" s="10" t="s">
        <v>1607</v>
      </c>
      <c r="B286" s="10" t="s">
        <v>141</v>
      </c>
      <c r="C286" s="10" t="s">
        <v>2197</v>
      </c>
      <c r="D286" s="10" t="s">
        <v>2198</v>
      </c>
      <c r="E286" s="10" t="s">
        <v>31</v>
      </c>
      <c r="F286" s="10" t="s">
        <v>32</v>
      </c>
      <c r="G286" s="46"/>
      <c r="H286" s="10"/>
      <c r="I286" s="10"/>
      <c r="J286" s="46"/>
      <c r="K286" s="9"/>
      <c r="L286" s="46"/>
      <c r="M286" s="46"/>
      <c r="N286" s="13"/>
      <c r="O286" s="13"/>
      <c r="P286" s="46"/>
      <c r="Q286" s="46"/>
      <c r="R286" s="46"/>
      <c r="S286" s="46"/>
      <c r="T286" s="46"/>
      <c r="U286" s="9"/>
      <c r="V286" s="9"/>
      <c r="W286" s="13"/>
      <c r="X286" s="13"/>
      <c r="Y286" s="13"/>
      <c r="Z286" s="13"/>
      <c r="AA286" s="13"/>
      <c r="AB286" s="13"/>
      <c r="AC286" s="14" t="s">
        <v>2199</v>
      </c>
      <c r="AD286" s="13"/>
      <c r="AE286" s="13"/>
    </row>
    <row r="287">
      <c r="A287" s="10" t="s">
        <v>1607</v>
      </c>
      <c r="B287" s="10" t="s">
        <v>141</v>
      </c>
      <c r="C287" s="10" t="s">
        <v>2200</v>
      </c>
      <c r="D287" s="10" t="s">
        <v>2201</v>
      </c>
      <c r="E287" s="10" t="s">
        <v>31</v>
      </c>
      <c r="F287" s="10" t="s">
        <v>32</v>
      </c>
      <c r="G287" s="46"/>
      <c r="H287" s="10"/>
      <c r="I287" s="10"/>
      <c r="J287" s="46"/>
      <c r="K287" s="9"/>
      <c r="L287" s="46"/>
      <c r="M287" s="46"/>
      <c r="N287" s="13"/>
      <c r="O287" s="13"/>
      <c r="P287" s="46"/>
      <c r="Q287" s="46"/>
      <c r="R287" s="46"/>
      <c r="S287" s="46"/>
      <c r="T287" s="46"/>
      <c r="U287" s="9"/>
      <c r="V287" s="9"/>
      <c r="W287" s="13"/>
      <c r="X287" s="13"/>
      <c r="Y287" s="13"/>
      <c r="Z287" s="13"/>
      <c r="AA287" s="13"/>
      <c r="AB287" s="13"/>
      <c r="AC287" s="14" t="s">
        <v>2202</v>
      </c>
      <c r="AD287" s="13"/>
      <c r="AE287" s="13"/>
    </row>
    <row r="288">
      <c r="A288" s="10" t="s">
        <v>1607</v>
      </c>
      <c r="B288" s="10" t="s">
        <v>141</v>
      </c>
      <c r="C288" s="10" t="s">
        <v>2203</v>
      </c>
      <c r="D288" s="10" t="s">
        <v>2204</v>
      </c>
      <c r="E288" s="10" t="s">
        <v>31</v>
      </c>
      <c r="F288" s="10" t="s">
        <v>32</v>
      </c>
      <c r="G288" s="46"/>
      <c r="H288" s="10"/>
      <c r="I288" s="10"/>
      <c r="J288" s="46"/>
      <c r="K288" s="9"/>
      <c r="L288" s="46"/>
      <c r="M288" s="46"/>
      <c r="N288" s="13"/>
      <c r="O288" s="13"/>
      <c r="P288" s="46"/>
      <c r="Q288" s="46"/>
      <c r="R288" s="46"/>
      <c r="S288" s="46"/>
      <c r="T288" s="46"/>
      <c r="U288" s="9"/>
      <c r="V288" s="9"/>
      <c r="W288" s="13"/>
      <c r="X288" s="13"/>
      <c r="Y288" s="13"/>
      <c r="Z288" s="13"/>
      <c r="AA288" s="13"/>
      <c r="AB288" s="13"/>
      <c r="AC288" s="14" t="s">
        <v>2205</v>
      </c>
      <c r="AD288" s="13"/>
      <c r="AE288" s="13"/>
    </row>
    <row r="289">
      <c r="A289" s="10" t="s">
        <v>1607</v>
      </c>
      <c r="B289" s="10" t="s">
        <v>141</v>
      </c>
      <c r="C289" s="10" t="s">
        <v>2206</v>
      </c>
      <c r="D289" s="23" t="s">
        <v>2207</v>
      </c>
      <c r="E289" s="10" t="s">
        <v>31</v>
      </c>
      <c r="F289" s="10" t="s">
        <v>32</v>
      </c>
      <c r="G289" s="29" t="s">
        <v>2038</v>
      </c>
      <c r="H289" s="10" t="s">
        <v>34</v>
      </c>
      <c r="I289" s="10" t="s">
        <v>35</v>
      </c>
      <c r="J289" s="29" t="s">
        <v>2208</v>
      </c>
      <c r="K289" s="10" t="s">
        <v>2209</v>
      </c>
      <c r="L289" s="29">
        <v>24.0</v>
      </c>
      <c r="M289" s="29">
        <v>24.0</v>
      </c>
      <c r="N289" s="14" t="s">
        <v>2210</v>
      </c>
      <c r="O289" s="13"/>
      <c r="P289" s="18" t="s">
        <v>2211</v>
      </c>
      <c r="Q289" s="47"/>
      <c r="R289" s="47" t="s">
        <v>2212</v>
      </c>
      <c r="S289" s="29" t="s">
        <v>41</v>
      </c>
      <c r="T289" s="29" t="s">
        <v>42</v>
      </c>
      <c r="U289" s="10" t="s">
        <v>1837</v>
      </c>
      <c r="V289" s="10" t="s">
        <v>1940</v>
      </c>
      <c r="W289" s="13"/>
      <c r="X289" s="13"/>
      <c r="Y289" s="13"/>
      <c r="Z289" s="13"/>
      <c r="AA289" s="13"/>
      <c r="AB289" s="13"/>
      <c r="AC289" s="14" t="s">
        <v>2213</v>
      </c>
      <c r="AD289" s="13"/>
      <c r="AE289" s="13"/>
    </row>
    <row r="290">
      <c r="A290" s="10" t="s">
        <v>1607</v>
      </c>
      <c r="B290" s="10" t="s">
        <v>141</v>
      </c>
      <c r="C290" s="10" t="s">
        <v>2214</v>
      </c>
      <c r="D290" s="23" t="s">
        <v>2215</v>
      </c>
      <c r="E290" s="10" t="s">
        <v>31</v>
      </c>
      <c r="F290" s="10" t="s">
        <v>32</v>
      </c>
      <c r="G290" s="29" t="s">
        <v>1704</v>
      </c>
      <c r="H290" s="10" t="s">
        <v>34</v>
      </c>
      <c r="I290" s="10" t="s">
        <v>35</v>
      </c>
      <c r="J290" s="29" t="s">
        <v>2216</v>
      </c>
      <c r="K290" s="10" t="s">
        <v>2217</v>
      </c>
      <c r="L290" s="29">
        <v>9.0</v>
      </c>
      <c r="M290" s="29">
        <v>6.0</v>
      </c>
      <c r="N290" s="14" t="s">
        <v>2169</v>
      </c>
      <c r="O290" s="13"/>
      <c r="P290" s="18" t="s">
        <v>2218</v>
      </c>
      <c r="Q290" s="18" t="s">
        <v>2219</v>
      </c>
      <c r="R290" s="18" t="s">
        <v>2220</v>
      </c>
      <c r="S290" s="29" t="s">
        <v>41</v>
      </c>
      <c r="T290" s="29" t="s">
        <v>42</v>
      </c>
      <c r="U290" s="10" t="s">
        <v>1837</v>
      </c>
      <c r="V290" s="10" t="s">
        <v>1940</v>
      </c>
      <c r="W290" s="18" t="s">
        <v>45</v>
      </c>
      <c r="X290" s="18" t="s">
        <v>46</v>
      </c>
      <c r="Y290" s="31">
        <v>45068.0</v>
      </c>
      <c r="Z290" s="31">
        <v>45068.0</v>
      </c>
      <c r="AA290" s="31">
        <v>45068.0</v>
      </c>
      <c r="AB290" s="13"/>
      <c r="AC290" s="14" t="s">
        <v>2221</v>
      </c>
      <c r="AD290" s="13"/>
      <c r="AE290" s="13"/>
    </row>
    <row r="291">
      <c r="A291" s="10" t="s">
        <v>1607</v>
      </c>
      <c r="B291" s="10" t="s">
        <v>141</v>
      </c>
      <c r="C291" s="10" t="s">
        <v>2222</v>
      </c>
      <c r="D291" s="23" t="s">
        <v>2223</v>
      </c>
      <c r="E291" s="10" t="s">
        <v>31</v>
      </c>
      <c r="F291" s="10" t="s">
        <v>32</v>
      </c>
      <c r="G291" s="29"/>
      <c r="H291" s="10"/>
      <c r="I291" s="10"/>
      <c r="J291" s="29"/>
      <c r="K291" s="10"/>
      <c r="L291" s="29"/>
      <c r="M291" s="29"/>
      <c r="N291" s="14"/>
      <c r="O291" s="13"/>
      <c r="P291" s="18"/>
      <c r="Q291" s="18"/>
      <c r="R291" s="18"/>
      <c r="S291" s="29"/>
      <c r="T291" s="29"/>
      <c r="U291" s="10"/>
      <c r="V291" s="10"/>
      <c r="W291" s="13"/>
      <c r="X291" s="13"/>
      <c r="Y291" s="13"/>
      <c r="Z291" s="13"/>
      <c r="AA291" s="13"/>
      <c r="AB291" s="13"/>
      <c r="AC291" s="14" t="s">
        <v>2224</v>
      </c>
      <c r="AD291" s="13"/>
      <c r="AE291" s="13"/>
    </row>
    <row r="292">
      <c r="A292" s="10" t="s">
        <v>1607</v>
      </c>
      <c r="B292" s="10" t="s">
        <v>141</v>
      </c>
      <c r="C292" s="10" t="s">
        <v>2225</v>
      </c>
      <c r="D292" s="23" t="s">
        <v>2226</v>
      </c>
      <c r="E292" s="10" t="s">
        <v>31</v>
      </c>
      <c r="F292" s="10" t="s">
        <v>32</v>
      </c>
      <c r="G292" s="29"/>
      <c r="H292" s="10"/>
      <c r="I292" s="10"/>
      <c r="J292" s="29"/>
      <c r="K292" s="10"/>
      <c r="L292" s="29"/>
      <c r="M292" s="29"/>
      <c r="N292" s="14"/>
      <c r="O292" s="13"/>
      <c r="P292" s="18"/>
      <c r="Q292" s="18"/>
      <c r="R292" s="18"/>
      <c r="S292" s="29"/>
      <c r="T292" s="29"/>
      <c r="U292" s="10"/>
      <c r="V292" s="10"/>
      <c r="W292" s="13"/>
      <c r="X292" s="13"/>
      <c r="Y292" s="13"/>
      <c r="Z292" s="13"/>
      <c r="AA292" s="13"/>
      <c r="AB292" s="13"/>
      <c r="AC292" s="14" t="s">
        <v>2227</v>
      </c>
      <c r="AD292" s="13"/>
      <c r="AE292" s="13"/>
    </row>
    <row r="293">
      <c r="A293" s="10" t="s">
        <v>1607</v>
      </c>
      <c r="B293" s="10" t="s">
        <v>141</v>
      </c>
      <c r="C293" s="10" t="s">
        <v>2228</v>
      </c>
      <c r="D293" s="23" t="s">
        <v>2229</v>
      </c>
      <c r="E293" s="10" t="s">
        <v>31</v>
      </c>
      <c r="F293" s="10" t="s">
        <v>32</v>
      </c>
      <c r="G293" s="46"/>
      <c r="H293" s="29"/>
      <c r="I293" s="10"/>
      <c r="J293" s="29" t="s">
        <v>2230</v>
      </c>
      <c r="K293" s="9"/>
      <c r="L293" s="29" t="s">
        <v>2231</v>
      </c>
      <c r="M293" s="29">
        <v>3.0</v>
      </c>
      <c r="N293" s="29" t="s">
        <v>2232</v>
      </c>
      <c r="O293" s="13"/>
      <c r="P293" s="18" t="s">
        <v>2233</v>
      </c>
      <c r="Q293" s="18"/>
      <c r="R293" s="18" t="s">
        <v>2234</v>
      </c>
      <c r="S293" s="29" t="s">
        <v>41</v>
      </c>
      <c r="T293" s="29" t="s">
        <v>42</v>
      </c>
      <c r="U293" s="10" t="s">
        <v>1837</v>
      </c>
      <c r="V293" s="10" t="s">
        <v>2235</v>
      </c>
      <c r="W293" s="13"/>
      <c r="X293" s="13"/>
      <c r="Y293" s="13"/>
      <c r="Z293" s="13"/>
      <c r="AA293" s="13"/>
      <c r="AB293" s="13"/>
      <c r="AC293" s="14" t="s">
        <v>2236</v>
      </c>
      <c r="AD293" s="13"/>
      <c r="AE293" s="13"/>
    </row>
    <row r="294">
      <c r="A294" s="10" t="s">
        <v>1607</v>
      </c>
      <c r="B294" s="10" t="s">
        <v>739</v>
      </c>
      <c r="C294" s="10" t="s">
        <v>2237</v>
      </c>
      <c r="D294" s="23" t="s">
        <v>2238</v>
      </c>
      <c r="E294" s="10" t="s">
        <v>31</v>
      </c>
      <c r="F294" s="10" t="s">
        <v>32</v>
      </c>
      <c r="G294" s="46"/>
      <c r="H294" s="29"/>
      <c r="I294" s="10"/>
      <c r="J294" s="29"/>
      <c r="K294" s="9"/>
      <c r="L294" s="29"/>
      <c r="M294" s="29"/>
      <c r="N294" s="29"/>
      <c r="O294" s="13"/>
      <c r="P294" s="18"/>
      <c r="Q294" s="18"/>
      <c r="R294" s="18"/>
      <c r="S294" s="29"/>
      <c r="T294" s="29"/>
      <c r="U294" s="10"/>
      <c r="V294" s="10"/>
      <c r="W294" s="13"/>
      <c r="X294" s="13"/>
      <c r="Y294" s="13"/>
      <c r="Z294" s="13"/>
      <c r="AA294" s="13"/>
      <c r="AB294" s="13"/>
      <c r="AC294" s="14" t="s">
        <v>2239</v>
      </c>
      <c r="AD294" s="13"/>
      <c r="AE294" s="13"/>
    </row>
    <row r="295">
      <c r="A295" s="10" t="s">
        <v>1607</v>
      </c>
      <c r="B295" s="10" t="s">
        <v>739</v>
      </c>
      <c r="C295" s="10" t="s">
        <v>2240</v>
      </c>
      <c r="D295" s="23" t="s">
        <v>2241</v>
      </c>
      <c r="E295" s="10" t="s">
        <v>31</v>
      </c>
      <c r="F295" s="10" t="s">
        <v>32</v>
      </c>
      <c r="G295" s="46"/>
      <c r="H295" s="29"/>
      <c r="I295" s="10"/>
      <c r="J295" s="29"/>
      <c r="K295" s="9"/>
      <c r="L295" s="29"/>
      <c r="M295" s="29"/>
      <c r="N295" s="29"/>
      <c r="O295" s="13"/>
      <c r="P295" s="18"/>
      <c r="Q295" s="18"/>
      <c r="R295" s="18"/>
      <c r="S295" s="29"/>
      <c r="T295" s="29"/>
      <c r="U295" s="10"/>
      <c r="V295" s="10"/>
      <c r="W295" s="13"/>
      <c r="X295" s="13"/>
      <c r="Y295" s="13"/>
      <c r="Z295" s="13"/>
      <c r="AA295" s="13"/>
      <c r="AB295" s="13"/>
      <c r="AC295" s="14" t="s">
        <v>2242</v>
      </c>
      <c r="AD295" s="13"/>
      <c r="AE295" s="13"/>
    </row>
    <row r="296">
      <c r="A296" s="10" t="s">
        <v>1607</v>
      </c>
      <c r="B296" s="10" t="s">
        <v>739</v>
      </c>
      <c r="C296" s="10" t="s">
        <v>2243</v>
      </c>
      <c r="D296" s="23" t="s">
        <v>2244</v>
      </c>
      <c r="E296" s="10" t="s">
        <v>31</v>
      </c>
      <c r="F296" s="10" t="s">
        <v>32</v>
      </c>
      <c r="G296" s="46"/>
      <c r="H296" s="29"/>
      <c r="I296" s="10"/>
      <c r="J296" s="29"/>
      <c r="K296" s="9"/>
      <c r="L296" s="29"/>
      <c r="M296" s="29"/>
      <c r="N296" s="29"/>
      <c r="O296" s="13"/>
      <c r="P296" s="18"/>
      <c r="Q296" s="18"/>
      <c r="R296" s="18"/>
      <c r="S296" s="29"/>
      <c r="T296" s="29"/>
      <c r="U296" s="10"/>
      <c r="V296" s="10"/>
      <c r="W296" s="13"/>
      <c r="X296" s="13"/>
      <c r="Y296" s="13"/>
      <c r="Z296" s="13"/>
      <c r="AA296" s="13"/>
      <c r="AB296" s="13"/>
      <c r="AC296" s="14" t="s">
        <v>2245</v>
      </c>
      <c r="AD296" s="13"/>
      <c r="AE296" s="13"/>
    </row>
    <row r="297">
      <c r="A297" s="10" t="s">
        <v>1607</v>
      </c>
      <c r="B297" s="10" t="s">
        <v>739</v>
      </c>
      <c r="C297" s="10" t="s">
        <v>2246</v>
      </c>
      <c r="D297" s="23" t="s">
        <v>2247</v>
      </c>
      <c r="E297" s="10" t="s">
        <v>31</v>
      </c>
      <c r="F297" s="10" t="s">
        <v>32</v>
      </c>
      <c r="G297" s="46"/>
      <c r="H297" s="29"/>
      <c r="I297" s="10"/>
      <c r="J297" s="29"/>
      <c r="K297" s="9"/>
      <c r="L297" s="29"/>
      <c r="M297" s="29"/>
      <c r="N297" s="29"/>
      <c r="O297" s="13"/>
      <c r="P297" s="18"/>
      <c r="Q297" s="18"/>
      <c r="R297" s="18"/>
      <c r="S297" s="29"/>
      <c r="T297" s="29"/>
      <c r="U297" s="10"/>
      <c r="V297" s="10"/>
      <c r="W297" s="13"/>
      <c r="X297" s="13"/>
      <c r="Y297" s="13"/>
      <c r="Z297" s="13"/>
      <c r="AA297" s="13"/>
      <c r="AB297" s="13"/>
      <c r="AC297" s="14" t="s">
        <v>2248</v>
      </c>
      <c r="AD297" s="13"/>
      <c r="AE297" s="13"/>
    </row>
    <row r="298">
      <c r="A298" s="10" t="s">
        <v>1607</v>
      </c>
      <c r="B298" s="10" t="s">
        <v>739</v>
      </c>
      <c r="C298" s="10" t="s">
        <v>2249</v>
      </c>
      <c r="D298" s="23" t="s">
        <v>2250</v>
      </c>
      <c r="E298" s="10" t="s">
        <v>31</v>
      </c>
      <c r="F298" s="10" t="s">
        <v>32</v>
      </c>
      <c r="G298" s="46"/>
      <c r="H298" s="29"/>
      <c r="I298" s="10"/>
      <c r="J298" s="29"/>
      <c r="K298" s="9"/>
      <c r="L298" s="29"/>
      <c r="M298" s="29"/>
      <c r="N298" s="29"/>
      <c r="O298" s="13"/>
      <c r="P298" s="18"/>
      <c r="Q298" s="18"/>
      <c r="R298" s="18"/>
      <c r="S298" s="29"/>
      <c r="T298" s="29"/>
      <c r="U298" s="10"/>
      <c r="V298" s="10"/>
      <c r="W298" s="13"/>
      <c r="X298" s="13"/>
      <c r="Y298" s="13"/>
      <c r="Z298" s="13"/>
      <c r="AA298" s="13"/>
      <c r="AB298" s="13"/>
      <c r="AC298" s="14" t="s">
        <v>2251</v>
      </c>
      <c r="AD298" s="13"/>
      <c r="AE298" s="13"/>
    </row>
    <row r="299">
      <c r="A299" s="10" t="s">
        <v>1607</v>
      </c>
      <c r="B299" s="10" t="s">
        <v>739</v>
      </c>
      <c r="C299" s="10" t="s">
        <v>2252</v>
      </c>
      <c r="D299" s="23" t="s">
        <v>2253</v>
      </c>
      <c r="E299" s="10" t="s">
        <v>31</v>
      </c>
      <c r="F299" s="10" t="s">
        <v>32</v>
      </c>
      <c r="G299" s="46"/>
      <c r="H299" s="29"/>
      <c r="I299" s="10"/>
      <c r="J299" s="29"/>
      <c r="K299" s="9"/>
      <c r="L299" s="29"/>
      <c r="M299" s="29"/>
      <c r="N299" s="29"/>
      <c r="O299" s="13"/>
      <c r="P299" s="18"/>
      <c r="Q299" s="18"/>
      <c r="R299" s="18"/>
      <c r="S299" s="29"/>
      <c r="T299" s="29"/>
      <c r="U299" s="10"/>
      <c r="V299" s="10"/>
      <c r="W299" s="13"/>
      <c r="X299" s="13"/>
      <c r="Y299" s="13"/>
      <c r="Z299" s="13"/>
      <c r="AA299" s="13"/>
      <c r="AB299" s="13"/>
      <c r="AC299" s="14" t="s">
        <v>2254</v>
      </c>
      <c r="AD299" s="13"/>
      <c r="AE299" s="13"/>
    </row>
    <row r="300">
      <c r="A300" s="10" t="s">
        <v>1607</v>
      </c>
      <c r="B300" s="10" t="s">
        <v>739</v>
      </c>
      <c r="C300" s="10" t="s">
        <v>2255</v>
      </c>
      <c r="D300" s="23" t="s">
        <v>2256</v>
      </c>
      <c r="E300" s="10" t="s">
        <v>31</v>
      </c>
      <c r="F300" s="10" t="s">
        <v>32</v>
      </c>
      <c r="G300" s="46"/>
      <c r="H300" s="29"/>
      <c r="I300" s="10"/>
      <c r="J300" s="29"/>
      <c r="K300" s="9"/>
      <c r="L300" s="29"/>
      <c r="M300" s="29"/>
      <c r="N300" s="29"/>
      <c r="O300" s="13"/>
      <c r="P300" s="18"/>
      <c r="Q300" s="18"/>
      <c r="R300" s="18"/>
      <c r="S300" s="29"/>
      <c r="T300" s="29"/>
      <c r="U300" s="10"/>
      <c r="V300" s="10"/>
      <c r="W300" s="13"/>
      <c r="X300" s="13"/>
      <c r="Y300" s="13"/>
      <c r="Z300" s="13"/>
      <c r="AA300" s="13"/>
      <c r="AB300" s="13"/>
      <c r="AC300" s="14" t="s">
        <v>2257</v>
      </c>
      <c r="AD300" s="13"/>
      <c r="AE300" s="13"/>
    </row>
    <row r="301">
      <c r="A301" s="10" t="s">
        <v>1607</v>
      </c>
      <c r="B301" s="10" t="s">
        <v>161</v>
      </c>
      <c r="C301" s="10" t="s">
        <v>2258</v>
      </c>
      <c r="D301" s="23" t="s">
        <v>2259</v>
      </c>
      <c r="E301" s="10" t="s">
        <v>31</v>
      </c>
      <c r="F301" s="10" t="s">
        <v>32</v>
      </c>
      <c r="G301" s="46"/>
      <c r="H301" s="29"/>
      <c r="I301" s="10"/>
      <c r="J301" s="29"/>
      <c r="K301" s="9"/>
      <c r="L301" s="29"/>
      <c r="M301" s="29"/>
      <c r="N301" s="29"/>
      <c r="O301" s="13"/>
      <c r="P301" s="18"/>
      <c r="Q301" s="18"/>
      <c r="R301" s="18"/>
      <c r="S301" s="29"/>
      <c r="T301" s="29"/>
      <c r="U301" s="10"/>
      <c r="V301" s="10"/>
      <c r="W301" s="13"/>
      <c r="X301" s="13"/>
      <c r="Y301" s="13"/>
      <c r="Z301" s="13"/>
      <c r="AA301" s="13"/>
      <c r="AB301" s="13"/>
      <c r="AC301" s="14" t="s">
        <v>2260</v>
      </c>
      <c r="AD301" s="13"/>
      <c r="AE301" s="13"/>
    </row>
    <row r="302">
      <c r="A302" s="10" t="s">
        <v>1607</v>
      </c>
      <c r="B302" s="10" t="s">
        <v>161</v>
      </c>
      <c r="C302" s="10" t="s">
        <v>2261</v>
      </c>
      <c r="D302" s="23" t="s">
        <v>2262</v>
      </c>
      <c r="E302" s="10" t="s">
        <v>31</v>
      </c>
      <c r="F302" s="10" t="s">
        <v>32</v>
      </c>
      <c r="G302" s="46"/>
      <c r="H302" s="29"/>
      <c r="I302" s="10"/>
      <c r="J302" s="29"/>
      <c r="K302" s="9"/>
      <c r="L302" s="29"/>
      <c r="M302" s="29"/>
      <c r="N302" s="29"/>
      <c r="O302" s="13"/>
      <c r="P302" s="18"/>
      <c r="Q302" s="18"/>
      <c r="R302" s="18"/>
      <c r="S302" s="29"/>
      <c r="T302" s="29"/>
      <c r="U302" s="10"/>
      <c r="V302" s="10"/>
      <c r="W302" s="13"/>
      <c r="X302" s="13"/>
      <c r="Y302" s="13"/>
      <c r="Z302" s="13"/>
      <c r="AA302" s="13"/>
      <c r="AB302" s="13"/>
      <c r="AC302" s="14" t="s">
        <v>2263</v>
      </c>
      <c r="AD302" s="13"/>
      <c r="AE302" s="13"/>
    </row>
    <row r="303">
      <c r="A303" s="10" t="s">
        <v>1607</v>
      </c>
      <c r="B303" s="10" t="s">
        <v>161</v>
      </c>
      <c r="C303" s="10" t="s">
        <v>2264</v>
      </c>
      <c r="D303" s="23" t="s">
        <v>2265</v>
      </c>
      <c r="E303" s="10" t="s">
        <v>31</v>
      </c>
      <c r="F303" s="10" t="s">
        <v>32</v>
      </c>
      <c r="G303" s="46"/>
      <c r="H303" s="29"/>
      <c r="I303" s="10"/>
      <c r="J303" s="29"/>
      <c r="K303" s="9"/>
      <c r="L303" s="29"/>
      <c r="M303" s="29"/>
      <c r="N303" s="29"/>
      <c r="O303" s="13"/>
      <c r="P303" s="18"/>
      <c r="Q303" s="18"/>
      <c r="R303" s="18"/>
      <c r="S303" s="29"/>
      <c r="T303" s="29"/>
      <c r="U303" s="10"/>
      <c r="V303" s="10"/>
      <c r="W303" s="13"/>
      <c r="X303" s="13"/>
      <c r="Y303" s="13"/>
      <c r="Z303" s="13"/>
      <c r="AA303" s="13"/>
      <c r="AB303" s="13"/>
      <c r="AC303" s="14" t="s">
        <v>2266</v>
      </c>
      <c r="AD303" s="13"/>
      <c r="AE303" s="13"/>
    </row>
    <row r="304">
      <c r="A304" s="10" t="s">
        <v>1607</v>
      </c>
      <c r="B304" s="10" t="s">
        <v>161</v>
      </c>
      <c r="C304" s="10" t="s">
        <v>2267</v>
      </c>
      <c r="D304" s="23" t="s">
        <v>2268</v>
      </c>
      <c r="E304" s="10" t="s">
        <v>31</v>
      </c>
      <c r="F304" s="10" t="s">
        <v>32</v>
      </c>
      <c r="G304" s="46"/>
      <c r="H304" s="29"/>
      <c r="I304" s="10"/>
      <c r="J304" s="29"/>
      <c r="K304" s="9"/>
      <c r="L304" s="29"/>
      <c r="M304" s="29"/>
      <c r="N304" s="29"/>
      <c r="O304" s="13"/>
      <c r="P304" s="18"/>
      <c r="Q304" s="18"/>
      <c r="R304" s="18"/>
      <c r="S304" s="29"/>
      <c r="T304" s="29"/>
      <c r="U304" s="10"/>
      <c r="V304" s="10"/>
      <c r="W304" s="13"/>
      <c r="X304" s="13"/>
      <c r="Y304" s="13"/>
      <c r="Z304" s="13"/>
      <c r="AA304" s="13"/>
      <c r="AB304" s="13"/>
      <c r="AC304" s="14" t="s">
        <v>2269</v>
      </c>
      <c r="AD304" s="13"/>
      <c r="AE304" s="13"/>
    </row>
    <row r="305">
      <c r="A305" s="10" t="s">
        <v>1607</v>
      </c>
      <c r="B305" s="10" t="s">
        <v>161</v>
      </c>
      <c r="C305" s="10" t="s">
        <v>2270</v>
      </c>
      <c r="D305" s="23" t="s">
        <v>2271</v>
      </c>
      <c r="E305" s="10" t="s">
        <v>31</v>
      </c>
      <c r="F305" s="10" t="s">
        <v>32</v>
      </c>
      <c r="G305" s="46"/>
      <c r="H305" s="29"/>
      <c r="I305" s="10"/>
      <c r="J305" s="29"/>
      <c r="K305" s="9"/>
      <c r="L305" s="29"/>
      <c r="M305" s="29"/>
      <c r="N305" s="29"/>
      <c r="O305" s="13"/>
      <c r="P305" s="18"/>
      <c r="Q305" s="18"/>
      <c r="R305" s="18"/>
      <c r="S305" s="29"/>
      <c r="T305" s="29"/>
      <c r="U305" s="10"/>
      <c r="V305" s="10"/>
      <c r="W305" s="13"/>
      <c r="X305" s="13"/>
      <c r="Y305" s="13"/>
      <c r="Z305" s="13"/>
      <c r="AA305" s="13"/>
      <c r="AB305" s="13"/>
      <c r="AC305" s="14" t="s">
        <v>2272</v>
      </c>
      <c r="AD305" s="13"/>
      <c r="AE305" s="13"/>
    </row>
    <row r="306">
      <c r="A306" s="10" t="s">
        <v>1607</v>
      </c>
      <c r="B306" s="10" t="s">
        <v>473</v>
      </c>
      <c r="C306" s="10" t="s">
        <v>2273</v>
      </c>
      <c r="D306" s="23" t="s">
        <v>2274</v>
      </c>
      <c r="E306" s="10" t="s">
        <v>31</v>
      </c>
      <c r="F306" s="10" t="s">
        <v>32</v>
      </c>
      <c r="G306" s="46"/>
      <c r="H306" s="29"/>
      <c r="I306" s="10"/>
      <c r="J306" s="29"/>
      <c r="K306" s="9"/>
      <c r="L306" s="29"/>
      <c r="M306" s="29"/>
      <c r="N306" s="29"/>
      <c r="O306" s="13"/>
      <c r="P306" s="18"/>
      <c r="Q306" s="18"/>
      <c r="R306" s="18"/>
      <c r="S306" s="29"/>
      <c r="T306" s="29"/>
      <c r="U306" s="10"/>
      <c r="V306" s="10"/>
      <c r="W306" s="13"/>
      <c r="X306" s="13"/>
      <c r="Y306" s="13"/>
      <c r="Z306" s="13"/>
      <c r="AA306" s="13"/>
      <c r="AB306" s="13"/>
      <c r="AC306" s="14" t="s">
        <v>2275</v>
      </c>
      <c r="AD306" s="13"/>
      <c r="AE306" s="13"/>
    </row>
    <row r="307">
      <c r="A307" s="10" t="s">
        <v>1607</v>
      </c>
      <c r="B307" s="10" t="s">
        <v>473</v>
      </c>
      <c r="C307" s="10" t="s">
        <v>2276</v>
      </c>
      <c r="D307" s="23" t="s">
        <v>2277</v>
      </c>
      <c r="E307" s="10" t="s">
        <v>31</v>
      </c>
      <c r="F307" s="10" t="s">
        <v>32</v>
      </c>
      <c r="G307" s="46"/>
      <c r="H307" s="29"/>
      <c r="I307" s="10"/>
      <c r="J307" s="29"/>
      <c r="K307" s="9"/>
      <c r="L307" s="29"/>
      <c r="M307" s="29"/>
      <c r="N307" s="29"/>
      <c r="O307" s="13"/>
      <c r="P307" s="18"/>
      <c r="Q307" s="18"/>
      <c r="R307" s="18"/>
      <c r="S307" s="29"/>
      <c r="T307" s="29"/>
      <c r="U307" s="10"/>
      <c r="V307" s="10"/>
      <c r="W307" s="13"/>
      <c r="X307" s="13"/>
      <c r="Y307" s="13"/>
      <c r="Z307" s="13"/>
      <c r="AA307" s="13"/>
      <c r="AB307" s="13"/>
      <c r="AC307" s="14" t="s">
        <v>2278</v>
      </c>
      <c r="AD307" s="13"/>
      <c r="AE307" s="13"/>
    </row>
    <row r="308">
      <c r="A308" s="10" t="s">
        <v>1607</v>
      </c>
      <c r="B308" s="10" t="s">
        <v>473</v>
      </c>
      <c r="C308" s="10" t="s">
        <v>2279</v>
      </c>
      <c r="D308" s="23" t="s">
        <v>2280</v>
      </c>
      <c r="E308" s="10" t="s">
        <v>31</v>
      </c>
      <c r="F308" s="10" t="s">
        <v>32</v>
      </c>
      <c r="G308" s="46"/>
      <c r="H308" s="29"/>
      <c r="I308" s="10"/>
      <c r="J308" s="29"/>
      <c r="K308" s="9"/>
      <c r="L308" s="29"/>
      <c r="M308" s="29"/>
      <c r="N308" s="29"/>
      <c r="O308" s="13"/>
      <c r="P308" s="18"/>
      <c r="Q308" s="18"/>
      <c r="R308" s="18"/>
      <c r="S308" s="29"/>
      <c r="T308" s="29"/>
      <c r="U308" s="10"/>
      <c r="V308" s="10"/>
      <c r="W308" s="13"/>
      <c r="X308" s="13"/>
      <c r="Y308" s="13"/>
      <c r="Z308" s="13"/>
      <c r="AA308" s="13"/>
      <c r="AB308" s="13"/>
      <c r="AC308" s="14" t="s">
        <v>2281</v>
      </c>
      <c r="AD308" s="13"/>
      <c r="AE308" s="13"/>
    </row>
    <row r="309">
      <c r="A309" s="10" t="s">
        <v>1607</v>
      </c>
      <c r="B309" s="10" t="s">
        <v>473</v>
      </c>
      <c r="C309" s="10" t="s">
        <v>2282</v>
      </c>
      <c r="D309" s="23" t="s">
        <v>2283</v>
      </c>
      <c r="E309" s="10" t="s">
        <v>31</v>
      </c>
      <c r="F309" s="10" t="s">
        <v>32</v>
      </c>
      <c r="G309" s="46"/>
      <c r="H309" s="29"/>
      <c r="I309" s="10"/>
      <c r="J309" s="29"/>
      <c r="K309" s="9"/>
      <c r="L309" s="29"/>
      <c r="M309" s="29"/>
      <c r="N309" s="29"/>
      <c r="O309" s="13"/>
      <c r="P309" s="18"/>
      <c r="Q309" s="18"/>
      <c r="R309" s="18"/>
      <c r="S309" s="29"/>
      <c r="T309" s="29"/>
      <c r="U309" s="10"/>
      <c r="V309" s="10"/>
      <c r="W309" s="13"/>
      <c r="X309" s="13"/>
      <c r="Y309" s="13"/>
      <c r="Z309" s="13"/>
      <c r="AA309" s="13"/>
      <c r="AB309" s="13"/>
      <c r="AC309" s="14" t="s">
        <v>2284</v>
      </c>
      <c r="AD309" s="13"/>
      <c r="AE309" s="13"/>
    </row>
    <row r="310">
      <c r="A310" s="10" t="s">
        <v>1607</v>
      </c>
      <c r="B310" s="10" t="s">
        <v>473</v>
      </c>
      <c r="C310" s="10" t="s">
        <v>2285</v>
      </c>
      <c r="D310" s="23" t="s">
        <v>2286</v>
      </c>
      <c r="E310" s="10" t="s">
        <v>31</v>
      </c>
      <c r="F310" s="10" t="s">
        <v>32</v>
      </c>
      <c r="G310" s="46"/>
      <c r="H310" s="29"/>
      <c r="I310" s="10"/>
      <c r="J310" s="29"/>
      <c r="K310" s="9"/>
      <c r="L310" s="29"/>
      <c r="M310" s="29"/>
      <c r="N310" s="29"/>
      <c r="O310" s="13"/>
      <c r="P310" s="18"/>
      <c r="Q310" s="18"/>
      <c r="R310" s="18"/>
      <c r="S310" s="29"/>
      <c r="T310" s="29"/>
      <c r="U310" s="10"/>
      <c r="V310" s="10"/>
      <c r="W310" s="13"/>
      <c r="X310" s="13"/>
      <c r="Y310" s="13"/>
      <c r="Z310" s="13"/>
      <c r="AA310" s="13"/>
      <c r="AB310" s="13"/>
      <c r="AC310" s="14" t="s">
        <v>2287</v>
      </c>
      <c r="AD310" s="13"/>
      <c r="AE310" s="13"/>
    </row>
    <row r="311">
      <c r="A311" s="10" t="s">
        <v>1607</v>
      </c>
      <c r="B311" s="10" t="s">
        <v>473</v>
      </c>
      <c r="C311" s="10" t="s">
        <v>2288</v>
      </c>
      <c r="D311" s="23" t="s">
        <v>2289</v>
      </c>
      <c r="E311" s="10" t="s">
        <v>31</v>
      </c>
      <c r="F311" s="10" t="s">
        <v>32</v>
      </c>
      <c r="G311" s="46"/>
      <c r="H311" s="29"/>
      <c r="I311" s="10"/>
      <c r="J311" s="29"/>
      <c r="K311" s="9"/>
      <c r="L311" s="29"/>
      <c r="M311" s="29"/>
      <c r="N311" s="29"/>
      <c r="O311" s="13"/>
      <c r="P311" s="18"/>
      <c r="Q311" s="18"/>
      <c r="R311" s="18"/>
      <c r="S311" s="29"/>
      <c r="T311" s="29"/>
      <c r="U311" s="10"/>
      <c r="V311" s="10"/>
      <c r="W311" s="13"/>
      <c r="X311" s="13"/>
      <c r="Y311" s="13"/>
      <c r="Z311" s="13"/>
      <c r="AA311" s="13"/>
      <c r="AB311" s="13"/>
      <c r="AC311" s="14" t="s">
        <v>2290</v>
      </c>
      <c r="AD311" s="13"/>
      <c r="AE311" s="13"/>
    </row>
    <row r="312">
      <c r="A312" s="10" t="s">
        <v>1607</v>
      </c>
      <c r="B312" s="10" t="s">
        <v>297</v>
      </c>
      <c r="C312" s="10" t="s">
        <v>2291</v>
      </c>
      <c r="D312" s="23" t="s">
        <v>2292</v>
      </c>
      <c r="E312" s="10" t="s">
        <v>31</v>
      </c>
      <c r="F312" s="10" t="s">
        <v>32</v>
      </c>
      <c r="G312" s="46"/>
      <c r="H312" s="29"/>
      <c r="I312" s="10"/>
      <c r="J312" s="29"/>
      <c r="K312" s="9"/>
      <c r="L312" s="29"/>
      <c r="M312" s="29"/>
      <c r="N312" s="29"/>
      <c r="O312" s="13"/>
      <c r="P312" s="18"/>
      <c r="Q312" s="18"/>
      <c r="R312" s="18"/>
      <c r="S312" s="29"/>
      <c r="T312" s="29"/>
      <c r="U312" s="10"/>
      <c r="V312" s="10"/>
      <c r="W312" s="13"/>
      <c r="X312" s="13"/>
      <c r="Y312" s="13"/>
      <c r="Z312" s="13"/>
      <c r="AA312" s="13"/>
      <c r="AB312" s="13"/>
      <c r="AC312" s="14" t="s">
        <v>2293</v>
      </c>
      <c r="AD312" s="13"/>
      <c r="AE312" s="13"/>
    </row>
    <row r="313">
      <c r="A313" s="10" t="s">
        <v>1607</v>
      </c>
      <c r="B313" s="10" t="s">
        <v>297</v>
      </c>
      <c r="C313" s="10" t="s">
        <v>2294</v>
      </c>
      <c r="D313" s="23" t="s">
        <v>2295</v>
      </c>
      <c r="E313" s="10" t="s">
        <v>31</v>
      </c>
      <c r="F313" s="10" t="s">
        <v>32</v>
      </c>
      <c r="G313" s="46"/>
      <c r="H313" s="29"/>
      <c r="I313" s="10"/>
      <c r="J313" s="29"/>
      <c r="K313" s="9"/>
      <c r="L313" s="29"/>
      <c r="M313" s="29"/>
      <c r="N313" s="29"/>
      <c r="O313" s="13"/>
      <c r="P313" s="18"/>
      <c r="Q313" s="18"/>
      <c r="R313" s="18"/>
      <c r="S313" s="29"/>
      <c r="T313" s="29"/>
      <c r="U313" s="10"/>
      <c r="V313" s="10"/>
      <c r="W313" s="13"/>
      <c r="X313" s="13"/>
      <c r="Y313" s="13"/>
      <c r="Z313" s="13"/>
      <c r="AA313" s="13"/>
      <c r="AB313" s="13"/>
      <c r="AC313" s="14" t="s">
        <v>2296</v>
      </c>
      <c r="AD313" s="13"/>
      <c r="AE313" s="13"/>
    </row>
    <row r="314">
      <c r="A314" s="10" t="s">
        <v>1607</v>
      </c>
      <c r="B314" s="10" t="s">
        <v>297</v>
      </c>
      <c r="C314" s="10" t="s">
        <v>2297</v>
      </c>
      <c r="D314" s="23" t="s">
        <v>2298</v>
      </c>
      <c r="E314" s="10" t="s">
        <v>31</v>
      </c>
      <c r="F314" s="10" t="s">
        <v>32</v>
      </c>
      <c r="G314" s="46"/>
      <c r="H314" s="29"/>
      <c r="I314" s="10"/>
      <c r="J314" s="29"/>
      <c r="K314" s="9"/>
      <c r="L314" s="29"/>
      <c r="M314" s="29"/>
      <c r="N314" s="29"/>
      <c r="O314" s="13"/>
      <c r="P314" s="18"/>
      <c r="Q314" s="18"/>
      <c r="R314" s="18"/>
      <c r="S314" s="29"/>
      <c r="T314" s="29"/>
      <c r="U314" s="10"/>
      <c r="V314" s="10"/>
      <c r="W314" s="13"/>
      <c r="X314" s="13"/>
      <c r="Y314" s="13"/>
      <c r="Z314" s="13"/>
      <c r="AA314" s="13"/>
      <c r="AB314" s="13"/>
      <c r="AC314" s="14" t="s">
        <v>2299</v>
      </c>
      <c r="AD314" s="13"/>
      <c r="AE314" s="13"/>
    </row>
    <row r="315">
      <c r="A315" s="10" t="s">
        <v>1607</v>
      </c>
      <c r="B315" s="10" t="s">
        <v>297</v>
      </c>
      <c r="C315" s="10" t="s">
        <v>2300</v>
      </c>
      <c r="D315" s="23" t="s">
        <v>2301</v>
      </c>
      <c r="E315" s="10" t="s">
        <v>31</v>
      </c>
      <c r="F315" s="10" t="s">
        <v>32</v>
      </c>
      <c r="G315" s="46"/>
      <c r="H315" s="29"/>
      <c r="I315" s="10"/>
      <c r="J315" s="29"/>
      <c r="K315" s="9"/>
      <c r="L315" s="29"/>
      <c r="M315" s="29"/>
      <c r="N315" s="29"/>
      <c r="O315" s="13"/>
      <c r="P315" s="18"/>
      <c r="Q315" s="18"/>
      <c r="R315" s="18"/>
      <c r="S315" s="29"/>
      <c r="T315" s="29"/>
      <c r="U315" s="10"/>
      <c r="V315" s="10"/>
      <c r="W315" s="13"/>
      <c r="X315" s="13"/>
      <c r="Y315" s="13"/>
      <c r="Z315" s="13"/>
      <c r="AA315" s="13"/>
      <c r="AB315" s="13"/>
      <c r="AC315" s="14" t="s">
        <v>2302</v>
      </c>
      <c r="AD315" s="13"/>
      <c r="AE315" s="13"/>
    </row>
    <row r="316">
      <c r="A316" s="10" t="s">
        <v>1607</v>
      </c>
      <c r="B316" s="10" t="s">
        <v>297</v>
      </c>
      <c r="C316" s="10" t="s">
        <v>2303</v>
      </c>
      <c r="D316" s="23" t="s">
        <v>2304</v>
      </c>
      <c r="E316" s="10" t="s">
        <v>31</v>
      </c>
      <c r="F316" s="10" t="s">
        <v>32</v>
      </c>
      <c r="G316" s="46"/>
      <c r="H316" s="29"/>
      <c r="I316" s="10"/>
      <c r="J316" s="29"/>
      <c r="K316" s="9"/>
      <c r="L316" s="29"/>
      <c r="M316" s="29"/>
      <c r="N316" s="29"/>
      <c r="O316" s="13"/>
      <c r="P316" s="18"/>
      <c r="Q316" s="18"/>
      <c r="R316" s="18"/>
      <c r="S316" s="29"/>
      <c r="T316" s="29"/>
      <c r="U316" s="10"/>
      <c r="V316" s="10"/>
      <c r="W316" s="13"/>
      <c r="X316" s="13"/>
      <c r="Y316" s="13"/>
      <c r="Z316" s="13"/>
      <c r="AA316" s="13"/>
      <c r="AB316" s="13"/>
      <c r="AC316" s="14" t="s">
        <v>2305</v>
      </c>
      <c r="AD316" s="13"/>
      <c r="AE316" s="13"/>
    </row>
    <row r="317">
      <c r="A317" s="9" t="s">
        <v>2306</v>
      </c>
      <c r="B317" s="9" t="s">
        <v>28</v>
      </c>
      <c r="C317" s="10" t="s">
        <v>2307</v>
      </c>
      <c r="D317" s="10" t="s">
        <v>2308</v>
      </c>
      <c r="E317" s="10" t="s">
        <v>31</v>
      </c>
      <c r="F317" s="10" t="s">
        <v>32</v>
      </c>
      <c r="G317" s="46" t="s">
        <v>1704</v>
      </c>
      <c r="H317" s="10" t="s">
        <v>34</v>
      </c>
      <c r="I317" s="10" t="s">
        <v>35</v>
      </c>
      <c r="J317" s="46" t="s">
        <v>2309</v>
      </c>
      <c r="K317" s="9" t="s">
        <v>2310</v>
      </c>
      <c r="L317" s="46">
        <v>8.0</v>
      </c>
      <c r="M317" s="46">
        <v>6.0</v>
      </c>
      <c r="N317" s="46"/>
      <c r="O317" s="13"/>
      <c r="P317" s="18" t="s">
        <v>2311</v>
      </c>
      <c r="Q317" s="18"/>
      <c r="R317" s="18" t="s">
        <v>2312</v>
      </c>
      <c r="S317" s="46" t="s">
        <v>2313</v>
      </c>
      <c r="T317" s="46" t="s">
        <v>2314</v>
      </c>
      <c r="U317" s="9" t="s">
        <v>2315</v>
      </c>
      <c r="V317" s="9" t="s">
        <v>2315</v>
      </c>
      <c r="W317" s="18" t="s">
        <v>1615</v>
      </c>
      <c r="X317" s="18" t="s">
        <v>1616</v>
      </c>
      <c r="Y317" s="31">
        <v>44322.0</v>
      </c>
      <c r="Z317" s="31">
        <v>44326.0</v>
      </c>
      <c r="AA317" s="13"/>
      <c r="AB317" s="13"/>
      <c r="AC317" s="14" t="s">
        <v>2316</v>
      </c>
      <c r="AD317" s="13"/>
      <c r="AE317" s="13"/>
    </row>
    <row r="318">
      <c r="A318" s="9" t="s">
        <v>2306</v>
      </c>
      <c r="B318" s="9" t="s">
        <v>28</v>
      </c>
      <c r="C318" s="10" t="s">
        <v>2317</v>
      </c>
      <c r="D318" s="10" t="s">
        <v>2318</v>
      </c>
      <c r="E318" s="10" t="s">
        <v>31</v>
      </c>
      <c r="F318" s="10" t="s">
        <v>32</v>
      </c>
      <c r="G318" s="46" t="s">
        <v>1704</v>
      </c>
      <c r="H318" s="10" t="s">
        <v>34</v>
      </c>
      <c r="I318" s="10" t="s">
        <v>35</v>
      </c>
      <c r="J318" s="46" t="s">
        <v>2319</v>
      </c>
      <c r="K318" s="9" t="s">
        <v>2320</v>
      </c>
      <c r="L318" s="46">
        <v>22.0</v>
      </c>
      <c r="M318" s="46">
        <v>15.0</v>
      </c>
      <c r="N318" s="13"/>
      <c r="O318" s="13"/>
      <c r="P318" s="18" t="s">
        <v>2321</v>
      </c>
      <c r="Q318" s="18"/>
      <c r="R318" s="18" t="s">
        <v>2322</v>
      </c>
      <c r="S318" s="46" t="s">
        <v>2313</v>
      </c>
      <c r="T318" s="46" t="s">
        <v>2314</v>
      </c>
      <c r="U318" s="9" t="s">
        <v>273</v>
      </c>
      <c r="V318" s="9" t="s">
        <v>2323</v>
      </c>
      <c r="W318" s="18" t="s">
        <v>1615</v>
      </c>
      <c r="X318" s="18" t="s">
        <v>1616</v>
      </c>
      <c r="Y318" s="31">
        <v>44326.0</v>
      </c>
      <c r="Z318" s="31">
        <v>44327.0</v>
      </c>
      <c r="AA318" s="13"/>
      <c r="AB318" s="13"/>
      <c r="AC318" s="14" t="s">
        <v>2324</v>
      </c>
      <c r="AD318" s="13"/>
      <c r="AE318" s="13"/>
    </row>
    <row r="319">
      <c r="A319" s="9" t="s">
        <v>2306</v>
      </c>
      <c r="B319" s="9" t="s">
        <v>28</v>
      </c>
      <c r="C319" s="9" t="s">
        <v>2325</v>
      </c>
      <c r="D319" s="14" t="s">
        <v>2326</v>
      </c>
      <c r="E319" s="10" t="s">
        <v>31</v>
      </c>
      <c r="F319" s="10" t="s">
        <v>32</v>
      </c>
      <c r="G319" s="46" t="s">
        <v>1704</v>
      </c>
      <c r="H319" s="10" t="s">
        <v>34</v>
      </c>
      <c r="I319" s="10" t="s">
        <v>35</v>
      </c>
      <c r="J319" s="46" t="s">
        <v>2327</v>
      </c>
      <c r="K319" s="9" t="s">
        <v>2328</v>
      </c>
      <c r="L319" s="13">
        <v>18.0</v>
      </c>
      <c r="M319" s="13">
        <v>12.0</v>
      </c>
      <c r="N319" s="13" t="s">
        <v>2329</v>
      </c>
      <c r="O319" s="13"/>
      <c r="P319" s="13" t="s">
        <v>2330</v>
      </c>
      <c r="Q319" s="13"/>
      <c r="R319" s="13" t="s">
        <v>2331</v>
      </c>
      <c r="S319" s="46" t="s">
        <v>45</v>
      </c>
      <c r="T319" s="46" t="s">
        <v>46</v>
      </c>
      <c r="U319" s="9" t="s">
        <v>2332</v>
      </c>
      <c r="V319" s="12" t="s">
        <v>2333</v>
      </c>
      <c r="W319" s="13"/>
      <c r="X319" s="13"/>
      <c r="Y319" s="13"/>
      <c r="Z319" s="13"/>
      <c r="AA319" s="13"/>
      <c r="AB319" s="13"/>
      <c r="AC319" s="14" t="s">
        <v>2334</v>
      </c>
      <c r="AD319" s="13"/>
      <c r="AE319" s="13"/>
    </row>
    <row r="320">
      <c r="A320" s="9" t="s">
        <v>2306</v>
      </c>
      <c r="B320" s="9" t="s">
        <v>28</v>
      </c>
      <c r="C320" s="9" t="s">
        <v>2335</v>
      </c>
      <c r="D320" s="14" t="s">
        <v>2336</v>
      </c>
      <c r="E320" s="10" t="s">
        <v>31</v>
      </c>
      <c r="F320" s="10" t="s">
        <v>32</v>
      </c>
      <c r="G320" s="46" t="s">
        <v>1704</v>
      </c>
      <c r="H320" s="10" t="s">
        <v>34</v>
      </c>
      <c r="I320" s="10" t="s">
        <v>35</v>
      </c>
      <c r="J320" s="46" t="s">
        <v>2337</v>
      </c>
      <c r="K320" s="9" t="s">
        <v>2338</v>
      </c>
      <c r="L320" s="13">
        <v>18.0</v>
      </c>
      <c r="M320" s="13">
        <v>12.0</v>
      </c>
      <c r="N320" s="13"/>
      <c r="O320" s="13"/>
      <c r="P320" s="13" t="s">
        <v>2339</v>
      </c>
      <c r="Q320" s="13"/>
      <c r="R320" s="13" t="s">
        <v>2340</v>
      </c>
      <c r="S320" s="46" t="s">
        <v>45</v>
      </c>
      <c r="T320" s="46" t="s">
        <v>46</v>
      </c>
      <c r="U320" s="9" t="s">
        <v>2341</v>
      </c>
      <c r="V320" s="12" t="s">
        <v>2342</v>
      </c>
      <c r="W320" s="13"/>
      <c r="X320" s="13"/>
      <c r="Y320" s="13"/>
      <c r="Z320" s="13"/>
      <c r="AA320" s="13"/>
      <c r="AB320" s="13"/>
      <c r="AC320" s="14" t="s">
        <v>2343</v>
      </c>
      <c r="AD320" s="13"/>
      <c r="AE320" s="13"/>
    </row>
    <row r="321">
      <c r="A321" s="9" t="s">
        <v>2306</v>
      </c>
      <c r="B321" s="9" t="s">
        <v>116</v>
      </c>
      <c r="C321" s="9" t="s">
        <v>2344</v>
      </c>
      <c r="D321" s="14" t="s">
        <v>2345</v>
      </c>
      <c r="E321" s="10" t="s">
        <v>31</v>
      </c>
      <c r="F321" s="10" t="s">
        <v>32</v>
      </c>
      <c r="G321" s="46" t="s">
        <v>2346</v>
      </c>
      <c r="H321" s="10" t="s">
        <v>34</v>
      </c>
      <c r="I321" s="10" t="s">
        <v>35</v>
      </c>
      <c r="J321" s="46" t="s">
        <v>2347</v>
      </c>
      <c r="K321" s="9" t="s">
        <v>2348</v>
      </c>
      <c r="L321" s="13">
        <v>21.0</v>
      </c>
      <c r="M321" s="13">
        <v>14.0</v>
      </c>
      <c r="N321" s="13" t="s">
        <v>2349</v>
      </c>
      <c r="O321" s="13"/>
      <c r="P321" s="13" t="s">
        <v>2350</v>
      </c>
      <c r="Q321" s="13"/>
      <c r="R321" s="13" t="s">
        <v>2351</v>
      </c>
      <c r="S321" s="46" t="s">
        <v>45</v>
      </c>
      <c r="T321" s="46" t="s">
        <v>46</v>
      </c>
      <c r="U321" s="9" t="s">
        <v>2352</v>
      </c>
      <c r="V321" s="12" t="s">
        <v>2353</v>
      </c>
      <c r="W321" s="13"/>
      <c r="X321" s="13"/>
      <c r="Y321" s="13"/>
      <c r="Z321" s="13"/>
      <c r="AA321" s="13"/>
      <c r="AB321" s="13"/>
      <c r="AC321" s="14" t="s">
        <v>2354</v>
      </c>
      <c r="AD321" s="13"/>
      <c r="AE321" s="13"/>
    </row>
    <row r="322">
      <c r="A322" s="9" t="s">
        <v>2306</v>
      </c>
      <c r="B322" s="9" t="s">
        <v>116</v>
      </c>
      <c r="C322" s="9" t="s">
        <v>2355</v>
      </c>
      <c r="D322" s="12" t="s">
        <v>2356</v>
      </c>
      <c r="E322" s="10" t="s">
        <v>31</v>
      </c>
      <c r="F322" s="10" t="s">
        <v>32</v>
      </c>
      <c r="G322" s="46" t="s">
        <v>1972</v>
      </c>
      <c r="H322" s="10" t="s">
        <v>34</v>
      </c>
      <c r="I322" s="10" t="s">
        <v>35</v>
      </c>
      <c r="J322" s="46" t="s">
        <v>2357</v>
      </c>
      <c r="K322" s="9" t="s">
        <v>2358</v>
      </c>
      <c r="L322" s="13">
        <v>8.0</v>
      </c>
      <c r="M322" s="13">
        <v>8.0</v>
      </c>
      <c r="N322" s="13"/>
      <c r="O322" s="13"/>
      <c r="P322" s="18" t="s">
        <v>2359</v>
      </c>
      <c r="Q322" s="18"/>
      <c r="R322" s="18" t="s">
        <v>2360</v>
      </c>
      <c r="S322" s="46" t="s">
        <v>2361</v>
      </c>
      <c r="T322" s="46" t="s">
        <v>2362</v>
      </c>
      <c r="U322" s="9" t="s">
        <v>424</v>
      </c>
      <c r="V322" s="9" t="s">
        <v>424</v>
      </c>
      <c r="W322" s="18" t="s">
        <v>1615</v>
      </c>
      <c r="X322" s="18" t="s">
        <v>1616</v>
      </c>
      <c r="Y322" s="31">
        <v>44342.0</v>
      </c>
      <c r="Z322" s="31">
        <v>44342.0</v>
      </c>
      <c r="AA322" s="13"/>
      <c r="AB322" s="13"/>
      <c r="AC322" s="14" t="s">
        <v>2363</v>
      </c>
      <c r="AD322" s="13"/>
      <c r="AE322" s="13"/>
    </row>
    <row r="323">
      <c r="A323" s="9" t="s">
        <v>2306</v>
      </c>
      <c r="B323" s="9" t="s">
        <v>116</v>
      </c>
      <c r="C323" s="10" t="s">
        <v>2364</v>
      </c>
      <c r="D323" s="14" t="s">
        <v>2365</v>
      </c>
      <c r="E323" s="10" t="s">
        <v>31</v>
      </c>
      <c r="F323" s="10" t="s">
        <v>32</v>
      </c>
      <c r="G323" s="46"/>
      <c r="H323" s="46"/>
      <c r="I323" s="46"/>
      <c r="J323" s="46"/>
      <c r="K323" s="9"/>
      <c r="L323" s="13"/>
      <c r="M323" s="13"/>
      <c r="N323" s="18" t="s">
        <v>2366</v>
      </c>
      <c r="O323" s="18" t="s">
        <v>2366</v>
      </c>
      <c r="P323" s="13"/>
      <c r="Q323" s="13"/>
      <c r="R323" s="13"/>
      <c r="S323" s="46"/>
      <c r="T323" s="46"/>
      <c r="U323" s="9"/>
      <c r="V323" s="12"/>
      <c r="W323" s="13"/>
      <c r="X323" s="13"/>
      <c r="Y323" s="13"/>
      <c r="Z323" s="13"/>
      <c r="AA323" s="13"/>
      <c r="AB323" s="13"/>
      <c r="AC323" s="14" t="s">
        <v>2367</v>
      </c>
      <c r="AD323" s="13"/>
      <c r="AE323" s="13"/>
    </row>
    <row r="324">
      <c r="A324" s="9" t="s">
        <v>2306</v>
      </c>
      <c r="B324" s="9" t="s">
        <v>116</v>
      </c>
      <c r="C324" s="9" t="s">
        <v>2368</v>
      </c>
      <c r="D324" s="48" t="s">
        <v>2369</v>
      </c>
      <c r="E324" s="10" t="s">
        <v>31</v>
      </c>
      <c r="F324" s="10" t="s">
        <v>32</v>
      </c>
      <c r="G324" s="46" t="s">
        <v>1972</v>
      </c>
      <c r="H324" s="10" t="s">
        <v>34</v>
      </c>
      <c r="I324" s="10" t="s">
        <v>35</v>
      </c>
      <c r="J324" s="46" t="s">
        <v>2370</v>
      </c>
      <c r="K324" s="9" t="s">
        <v>2371</v>
      </c>
      <c r="L324" s="13">
        <v>30.0</v>
      </c>
      <c r="M324" s="13">
        <v>30.0</v>
      </c>
      <c r="N324" s="13"/>
      <c r="O324" s="13"/>
      <c r="P324" s="29" t="s">
        <v>2372</v>
      </c>
      <c r="Q324" s="18"/>
      <c r="R324" s="18" t="s">
        <v>2373</v>
      </c>
      <c r="S324" s="46" t="s">
        <v>2374</v>
      </c>
      <c r="T324" s="46" t="s">
        <v>2375</v>
      </c>
      <c r="U324" s="9" t="s">
        <v>2376</v>
      </c>
      <c r="V324" s="12" t="s">
        <v>2377</v>
      </c>
      <c r="W324" s="18" t="s">
        <v>1615</v>
      </c>
      <c r="X324" s="18" t="s">
        <v>1616</v>
      </c>
      <c r="Y324" s="31">
        <v>44342.0</v>
      </c>
      <c r="Z324" s="31">
        <v>44344.0</v>
      </c>
      <c r="AA324" s="13"/>
      <c r="AB324" s="13"/>
      <c r="AC324" s="14" t="s">
        <v>2378</v>
      </c>
      <c r="AD324" s="13"/>
      <c r="AE324" s="13"/>
    </row>
    <row r="325">
      <c r="A325" s="9" t="s">
        <v>2306</v>
      </c>
      <c r="B325" s="9" t="s">
        <v>116</v>
      </c>
      <c r="C325" s="9" t="s">
        <v>2379</v>
      </c>
      <c r="D325" s="48" t="s">
        <v>2380</v>
      </c>
      <c r="E325" s="10" t="s">
        <v>31</v>
      </c>
      <c r="F325" s="10" t="s">
        <v>32</v>
      </c>
      <c r="G325" s="46" t="s">
        <v>50</v>
      </c>
      <c r="H325" s="46"/>
      <c r="I325" s="46"/>
      <c r="J325" s="46" t="s">
        <v>2381</v>
      </c>
      <c r="K325" s="9" t="s">
        <v>2382</v>
      </c>
      <c r="L325" s="13">
        <v>18.0</v>
      </c>
      <c r="M325" s="13">
        <v>9.0</v>
      </c>
      <c r="N325" s="13"/>
      <c r="O325" s="13"/>
      <c r="P325" s="47" t="s">
        <v>2383</v>
      </c>
      <c r="Q325" s="18"/>
      <c r="R325" s="18" t="s">
        <v>2384</v>
      </c>
      <c r="S325" s="46" t="s">
        <v>2374</v>
      </c>
      <c r="T325" s="46" t="s">
        <v>2375</v>
      </c>
      <c r="U325" s="9" t="s">
        <v>2376</v>
      </c>
      <c r="V325" s="12" t="s">
        <v>258</v>
      </c>
      <c r="W325" s="18" t="s">
        <v>1615</v>
      </c>
      <c r="X325" s="18" t="s">
        <v>1616</v>
      </c>
      <c r="Y325" s="31">
        <v>44345.0</v>
      </c>
      <c r="Z325" s="31">
        <v>44351.0</v>
      </c>
      <c r="AA325" s="13"/>
      <c r="AB325" s="13"/>
      <c r="AC325" s="14" t="s">
        <v>2385</v>
      </c>
      <c r="AD325" s="13"/>
      <c r="AE325" s="13"/>
    </row>
    <row r="326">
      <c r="A326" s="9" t="s">
        <v>2306</v>
      </c>
      <c r="B326" s="9" t="s">
        <v>192</v>
      </c>
      <c r="C326" s="9" t="s">
        <v>2386</v>
      </c>
      <c r="D326" s="10" t="s">
        <v>2387</v>
      </c>
      <c r="E326" s="10" t="s">
        <v>31</v>
      </c>
      <c r="F326" s="10" t="s">
        <v>32</v>
      </c>
      <c r="G326" s="46" t="s">
        <v>50</v>
      </c>
      <c r="H326" s="46"/>
      <c r="I326" s="46"/>
      <c r="J326" s="46" t="s">
        <v>2388</v>
      </c>
      <c r="K326" s="9" t="s">
        <v>2389</v>
      </c>
      <c r="L326" s="46">
        <v>29.0</v>
      </c>
      <c r="M326" s="46">
        <v>15.0</v>
      </c>
      <c r="N326" s="13"/>
      <c r="O326" s="13"/>
      <c r="P326" s="46" t="s">
        <v>2390</v>
      </c>
      <c r="Q326" s="46"/>
      <c r="R326" s="46" t="s">
        <v>2391</v>
      </c>
      <c r="S326" s="46" t="s">
        <v>41</v>
      </c>
      <c r="T326" s="46" t="s">
        <v>42</v>
      </c>
      <c r="U326" s="9" t="s">
        <v>248</v>
      </c>
      <c r="V326" s="9" t="s">
        <v>2392</v>
      </c>
      <c r="W326" s="13"/>
      <c r="X326" s="13"/>
      <c r="Y326" s="13"/>
      <c r="Z326" s="13"/>
      <c r="AA326" s="13"/>
      <c r="AB326" s="13"/>
      <c r="AC326" s="14" t="s">
        <v>2393</v>
      </c>
      <c r="AD326" s="13"/>
      <c r="AE326" s="13"/>
    </row>
    <row r="327">
      <c r="A327" s="9" t="s">
        <v>2306</v>
      </c>
      <c r="B327" s="9" t="s">
        <v>192</v>
      </c>
      <c r="C327" s="10" t="s">
        <v>2394</v>
      </c>
      <c r="D327" s="10" t="s">
        <v>2395</v>
      </c>
      <c r="E327" s="10" t="s">
        <v>2396</v>
      </c>
      <c r="F327" s="10" t="s">
        <v>31</v>
      </c>
      <c r="G327" s="46"/>
      <c r="H327" s="46"/>
      <c r="I327" s="46"/>
      <c r="J327" s="46">
        <v>60.0</v>
      </c>
      <c r="K327" s="9"/>
      <c r="L327" s="46">
        <v>1.0</v>
      </c>
      <c r="M327" s="46">
        <v>2.0</v>
      </c>
      <c r="N327" s="49" t="s">
        <v>2397</v>
      </c>
      <c r="O327" s="13"/>
      <c r="P327" s="46" t="s">
        <v>2398</v>
      </c>
      <c r="Q327" s="46"/>
      <c r="R327" s="46" t="s">
        <v>2399</v>
      </c>
      <c r="S327" s="46" t="s">
        <v>41</v>
      </c>
      <c r="T327" s="46" t="s">
        <v>42</v>
      </c>
      <c r="U327" s="9" t="s">
        <v>248</v>
      </c>
      <c r="V327" s="9" t="s">
        <v>55</v>
      </c>
      <c r="W327" s="13"/>
      <c r="X327" s="13"/>
      <c r="Y327" s="13"/>
      <c r="Z327" s="13"/>
      <c r="AA327" s="13"/>
      <c r="AB327" s="13"/>
      <c r="AC327" s="14" t="s">
        <v>2400</v>
      </c>
      <c r="AD327" s="13"/>
      <c r="AE327" s="13"/>
    </row>
    <row r="328">
      <c r="A328" s="9" t="s">
        <v>2306</v>
      </c>
      <c r="B328" s="9" t="s">
        <v>192</v>
      </c>
      <c r="C328" s="9" t="s">
        <v>2401</v>
      </c>
      <c r="D328" s="10" t="s">
        <v>2402</v>
      </c>
      <c r="E328" s="10" t="s">
        <v>31</v>
      </c>
      <c r="F328" s="10" t="s">
        <v>32</v>
      </c>
      <c r="G328" s="46" t="s">
        <v>50</v>
      </c>
      <c r="H328" s="46"/>
      <c r="I328" s="46"/>
      <c r="J328" s="46" t="s">
        <v>2403</v>
      </c>
      <c r="K328" s="9" t="s">
        <v>2404</v>
      </c>
      <c r="L328" s="46">
        <v>8.0</v>
      </c>
      <c r="M328" s="46">
        <v>4.0</v>
      </c>
      <c r="N328" s="13"/>
      <c r="O328" s="13"/>
      <c r="P328" s="46" t="s">
        <v>2405</v>
      </c>
      <c r="Q328" s="46"/>
      <c r="R328" s="46" t="s">
        <v>2406</v>
      </c>
      <c r="S328" s="46" t="s">
        <v>41</v>
      </c>
      <c r="T328" s="46" t="s">
        <v>42</v>
      </c>
      <c r="U328" s="9" t="s">
        <v>248</v>
      </c>
      <c r="V328" s="9" t="s">
        <v>55</v>
      </c>
      <c r="W328" s="13"/>
      <c r="X328" s="13"/>
      <c r="Y328" s="13"/>
      <c r="Z328" s="13"/>
      <c r="AA328" s="13"/>
      <c r="AB328" s="13"/>
      <c r="AC328" s="14" t="s">
        <v>2407</v>
      </c>
      <c r="AD328" s="13"/>
      <c r="AE328" s="13"/>
    </row>
    <row r="329">
      <c r="A329" s="9" t="s">
        <v>2306</v>
      </c>
      <c r="B329" s="9" t="s">
        <v>192</v>
      </c>
      <c r="C329" s="9" t="s">
        <v>2408</v>
      </c>
      <c r="D329" s="14" t="s">
        <v>2409</v>
      </c>
      <c r="E329" s="10" t="s">
        <v>31</v>
      </c>
      <c r="F329" s="10" t="s">
        <v>32</v>
      </c>
      <c r="G329" s="46" t="s">
        <v>50</v>
      </c>
      <c r="H329" s="46"/>
      <c r="I329" s="46"/>
      <c r="J329" s="46" t="s">
        <v>2410</v>
      </c>
      <c r="K329" s="9" t="s">
        <v>2411</v>
      </c>
      <c r="L329" s="13">
        <v>21.0</v>
      </c>
      <c r="M329" s="13">
        <v>11.0</v>
      </c>
      <c r="N329" s="13"/>
      <c r="O329" s="13"/>
      <c r="P329" s="18" t="s">
        <v>2412</v>
      </c>
      <c r="Q329" s="13"/>
      <c r="R329" s="13" t="s">
        <v>2413</v>
      </c>
      <c r="S329" s="46" t="s">
        <v>1923</v>
      </c>
      <c r="T329" s="46" t="s">
        <v>1616</v>
      </c>
      <c r="U329" s="9" t="s">
        <v>258</v>
      </c>
      <c r="V329" s="12" t="s">
        <v>274</v>
      </c>
      <c r="W329" s="13"/>
      <c r="X329" s="13"/>
      <c r="Y329" s="13"/>
      <c r="Z329" s="13"/>
      <c r="AA329" s="13"/>
      <c r="AB329" s="13"/>
      <c r="AC329" s="14" t="s">
        <v>2414</v>
      </c>
      <c r="AD329" s="13"/>
      <c r="AE329" s="13"/>
    </row>
    <row r="330">
      <c r="A330" s="9" t="s">
        <v>2306</v>
      </c>
      <c r="B330" s="9" t="s">
        <v>192</v>
      </c>
      <c r="C330" s="9" t="s">
        <v>2415</v>
      </c>
      <c r="D330" s="18" t="s">
        <v>2416</v>
      </c>
      <c r="E330" s="10" t="s">
        <v>31</v>
      </c>
      <c r="F330" s="10" t="s">
        <v>32</v>
      </c>
      <c r="G330" s="46" t="s">
        <v>50</v>
      </c>
      <c r="H330" s="46"/>
      <c r="I330" s="46"/>
      <c r="J330" s="46" t="s">
        <v>2417</v>
      </c>
      <c r="K330" s="9" t="s">
        <v>2418</v>
      </c>
      <c r="L330" s="13">
        <v>28.0</v>
      </c>
      <c r="M330" s="13">
        <v>16.0</v>
      </c>
      <c r="N330" s="18" t="s">
        <v>2419</v>
      </c>
      <c r="O330" s="13"/>
      <c r="P330" s="18" t="s">
        <v>2420</v>
      </c>
      <c r="Q330" s="18"/>
      <c r="R330" s="18" t="s">
        <v>2421</v>
      </c>
      <c r="S330" s="46" t="s">
        <v>1615</v>
      </c>
      <c r="T330" s="46" t="s">
        <v>1616</v>
      </c>
      <c r="U330" s="9" t="s">
        <v>2422</v>
      </c>
      <c r="V330" s="12" t="s">
        <v>2423</v>
      </c>
      <c r="W330" s="18" t="s">
        <v>1817</v>
      </c>
      <c r="X330" s="18" t="s">
        <v>42</v>
      </c>
      <c r="Y330" s="31">
        <v>44369.0</v>
      </c>
      <c r="Z330" s="31">
        <v>44369.0</v>
      </c>
      <c r="AA330" s="13"/>
      <c r="AB330" s="13"/>
      <c r="AC330" s="14" t="s">
        <v>2424</v>
      </c>
      <c r="AD330" s="13"/>
      <c r="AE330" s="13"/>
    </row>
    <row r="331">
      <c r="A331" s="9" t="s">
        <v>2306</v>
      </c>
      <c r="B331" s="9" t="s">
        <v>192</v>
      </c>
      <c r="C331" s="9" t="s">
        <v>2425</v>
      </c>
      <c r="D331" s="12" t="s">
        <v>2426</v>
      </c>
      <c r="E331" s="10" t="s">
        <v>31</v>
      </c>
      <c r="F331" s="10" t="s">
        <v>32</v>
      </c>
      <c r="G331" s="46" t="s">
        <v>50</v>
      </c>
      <c r="H331" s="46"/>
      <c r="I331" s="46"/>
      <c r="J331" s="46" t="s">
        <v>2427</v>
      </c>
      <c r="K331" s="9" t="s">
        <v>2428</v>
      </c>
      <c r="L331" s="13">
        <v>11.0</v>
      </c>
      <c r="M331" s="13">
        <v>6.0</v>
      </c>
      <c r="N331" s="13"/>
      <c r="O331" s="13"/>
      <c r="P331" s="18" t="s">
        <v>2429</v>
      </c>
      <c r="Q331" s="18"/>
      <c r="R331" s="18" t="s">
        <v>2430</v>
      </c>
      <c r="S331" s="46" t="s">
        <v>2361</v>
      </c>
      <c r="T331" s="46" t="s">
        <v>2362</v>
      </c>
      <c r="U331" s="9" t="s">
        <v>424</v>
      </c>
      <c r="V331" s="12" t="s">
        <v>424</v>
      </c>
      <c r="W331" s="18" t="s">
        <v>1615</v>
      </c>
      <c r="X331" s="18" t="s">
        <v>1616</v>
      </c>
      <c r="Y331" s="31">
        <v>44327.0</v>
      </c>
      <c r="Z331" s="31">
        <v>44327.0</v>
      </c>
      <c r="AA331" s="13"/>
      <c r="AB331" s="13"/>
      <c r="AC331" s="14" t="s">
        <v>2431</v>
      </c>
      <c r="AD331" s="13"/>
      <c r="AE331" s="13"/>
    </row>
    <row r="332">
      <c r="A332" s="9" t="s">
        <v>2306</v>
      </c>
      <c r="B332" s="9" t="s">
        <v>192</v>
      </c>
      <c r="C332" s="9" t="s">
        <v>2432</v>
      </c>
      <c r="D332" s="14" t="s">
        <v>2433</v>
      </c>
      <c r="E332" s="10" t="s">
        <v>31</v>
      </c>
      <c r="F332" s="10" t="s">
        <v>32</v>
      </c>
      <c r="G332" s="46" t="s">
        <v>50</v>
      </c>
      <c r="H332" s="46"/>
      <c r="I332" s="46"/>
      <c r="J332" s="46" t="s">
        <v>2434</v>
      </c>
      <c r="K332" s="9" t="s">
        <v>2435</v>
      </c>
      <c r="L332" s="13">
        <v>18.0</v>
      </c>
      <c r="M332" s="13">
        <v>10.0</v>
      </c>
      <c r="N332" s="13"/>
      <c r="O332" s="13"/>
      <c r="P332" s="13" t="s">
        <v>2436</v>
      </c>
      <c r="Q332" s="13"/>
      <c r="R332" s="13" t="s">
        <v>2437</v>
      </c>
      <c r="S332" s="46" t="s">
        <v>1615</v>
      </c>
      <c r="T332" s="46" t="s">
        <v>1616</v>
      </c>
      <c r="U332" s="9" t="s">
        <v>2438</v>
      </c>
      <c r="V332" s="12" t="s">
        <v>2439</v>
      </c>
      <c r="W332" s="13"/>
      <c r="X332" s="13"/>
      <c r="Y332" s="13"/>
      <c r="Z332" s="13"/>
      <c r="AA332" s="13"/>
      <c r="AB332" s="13"/>
      <c r="AC332" s="14" t="s">
        <v>2440</v>
      </c>
      <c r="AD332" s="13"/>
      <c r="AE332" s="13"/>
    </row>
    <row r="333">
      <c r="A333" s="9" t="s">
        <v>2306</v>
      </c>
      <c r="B333" s="9" t="s">
        <v>303</v>
      </c>
      <c r="C333" s="9" t="s">
        <v>2441</v>
      </c>
      <c r="D333" s="14" t="s">
        <v>2442</v>
      </c>
      <c r="E333" s="10" t="s">
        <v>31</v>
      </c>
      <c r="F333" s="10" t="s">
        <v>32</v>
      </c>
      <c r="G333" s="46" t="s">
        <v>50</v>
      </c>
      <c r="H333" s="46"/>
      <c r="I333" s="46"/>
      <c r="J333" s="46" t="s">
        <v>2443</v>
      </c>
      <c r="K333" s="9" t="s">
        <v>2444</v>
      </c>
      <c r="L333" s="13">
        <v>12.0</v>
      </c>
      <c r="M333" s="13">
        <v>6.0</v>
      </c>
      <c r="N333" s="13"/>
      <c r="O333" s="13"/>
      <c r="P333" s="13" t="s">
        <v>2445</v>
      </c>
      <c r="Q333" s="13"/>
      <c r="R333" s="13" t="s">
        <v>2446</v>
      </c>
      <c r="S333" s="46" t="s">
        <v>1615</v>
      </c>
      <c r="T333" s="46" t="s">
        <v>1616</v>
      </c>
      <c r="U333" s="9" t="s">
        <v>2447</v>
      </c>
      <c r="V333" s="12" t="s">
        <v>2448</v>
      </c>
      <c r="W333" s="13"/>
      <c r="X333" s="13"/>
      <c r="Y333" s="13"/>
      <c r="Z333" s="13"/>
      <c r="AA333" s="13"/>
      <c r="AB333" s="13"/>
      <c r="AC333" s="14" t="s">
        <v>2449</v>
      </c>
      <c r="AD333" s="13"/>
      <c r="AE333" s="13"/>
    </row>
    <row r="334">
      <c r="A334" s="9" t="s">
        <v>2306</v>
      </c>
      <c r="B334" s="9" t="s">
        <v>303</v>
      </c>
      <c r="C334" s="9" t="s">
        <v>2450</v>
      </c>
      <c r="D334" s="14" t="s">
        <v>2451</v>
      </c>
      <c r="E334" s="10" t="s">
        <v>31</v>
      </c>
      <c r="F334" s="10" t="s">
        <v>32</v>
      </c>
      <c r="G334" s="46" t="s">
        <v>2452</v>
      </c>
      <c r="H334" s="29" t="s">
        <v>2453</v>
      </c>
      <c r="I334" s="10" t="s">
        <v>35</v>
      </c>
      <c r="J334" s="46" t="s">
        <v>2454</v>
      </c>
      <c r="K334" s="9" t="s">
        <v>2455</v>
      </c>
      <c r="L334" s="13">
        <v>12.0</v>
      </c>
      <c r="M334" s="13">
        <v>8.0</v>
      </c>
      <c r="N334" s="13"/>
      <c r="O334" s="13"/>
      <c r="P334" s="13" t="s">
        <v>2456</v>
      </c>
      <c r="Q334" s="13"/>
      <c r="R334" s="13" t="s">
        <v>2457</v>
      </c>
      <c r="S334" s="46" t="s">
        <v>1615</v>
      </c>
      <c r="T334" s="46" t="s">
        <v>1616</v>
      </c>
      <c r="U334" s="9" t="s">
        <v>2448</v>
      </c>
      <c r="V334" s="12" t="s">
        <v>2458</v>
      </c>
      <c r="W334" s="13"/>
      <c r="X334" s="13"/>
      <c r="Y334" s="13"/>
      <c r="Z334" s="13"/>
      <c r="AA334" s="13"/>
      <c r="AB334" s="13"/>
      <c r="AC334" s="14" t="s">
        <v>2459</v>
      </c>
      <c r="AD334" s="13"/>
      <c r="AE334" s="13"/>
    </row>
    <row r="335">
      <c r="A335" s="9" t="s">
        <v>2306</v>
      </c>
      <c r="B335" s="9" t="s">
        <v>303</v>
      </c>
      <c r="C335" s="9" t="s">
        <v>2460</v>
      </c>
      <c r="D335" s="14" t="s">
        <v>2461</v>
      </c>
      <c r="E335" s="10" t="s">
        <v>31</v>
      </c>
      <c r="F335" s="10" t="s">
        <v>32</v>
      </c>
      <c r="G335" s="46" t="s">
        <v>1972</v>
      </c>
      <c r="H335" s="10" t="s">
        <v>34</v>
      </c>
      <c r="I335" s="10" t="s">
        <v>35</v>
      </c>
      <c r="J335" s="46" t="s">
        <v>2462</v>
      </c>
      <c r="K335" s="9" t="s">
        <v>2463</v>
      </c>
      <c r="L335" s="13">
        <v>8.0</v>
      </c>
      <c r="M335" s="13">
        <v>8.0</v>
      </c>
      <c r="N335" s="13"/>
      <c r="O335" s="13"/>
      <c r="P335" s="13" t="s">
        <v>2464</v>
      </c>
      <c r="Q335" s="13"/>
      <c r="R335" s="13" t="s">
        <v>2465</v>
      </c>
      <c r="S335" s="46" t="s">
        <v>1615</v>
      </c>
      <c r="T335" s="46" t="s">
        <v>1616</v>
      </c>
      <c r="U335" s="9" t="s">
        <v>2466</v>
      </c>
      <c r="V335" s="12" t="s">
        <v>2466</v>
      </c>
      <c r="W335" s="13"/>
      <c r="X335" s="13"/>
      <c r="Y335" s="13"/>
      <c r="Z335" s="13"/>
      <c r="AA335" s="13"/>
      <c r="AB335" s="13"/>
      <c r="AC335" s="14" t="s">
        <v>2467</v>
      </c>
      <c r="AD335" s="13"/>
      <c r="AE335" s="13"/>
    </row>
    <row r="336">
      <c r="A336" s="9" t="s">
        <v>2306</v>
      </c>
      <c r="B336" s="9" t="s">
        <v>303</v>
      </c>
      <c r="C336" s="9" t="s">
        <v>2468</v>
      </c>
      <c r="D336" s="10" t="s">
        <v>2469</v>
      </c>
      <c r="E336" s="10" t="s">
        <v>31</v>
      </c>
      <c r="F336" s="10" t="s">
        <v>32</v>
      </c>
      <c r="G336" s="46" t="s">
        <v>50</v>
      </c>
      <c r="H336" s="46"/>
      <c r="I336" s="46"/>
      <c r="J336" s="46" t="s">
        <v>2470</v>
      </c>
      <c r="K336" s="9" t="s">
        <v>2471</v>
      </c>
      <c r="L336" s="46">
        <v>24.0</v>
      </c>
      <c r="M336" s="46">
        <v>12.0</v>
      </c>
      <c r="N336" s="13"/>
      <c r="O336" s="13"/>
      <c r="P336" s="29" t="s">
        <v>2472</v>
      </c>
      <c r="Q336" s="46"/>
      <c r="R336" s="46" t="s">
        <v>2473</v>
      </c>
      <c r="S336" s="46" t="s">
        <v>41</v>
      </c>
      <c r="T336" s="46" t="s">
        <v>42</v>
      </c>
      <c r="U336" s="9" t="s">
        <v>248</v>
      </c>
      <c r="V336" s="9" t="s">
        <v>55</v>
      </c>
      <c r="W336" s="13"/>
      <c r="X336" s="13"/>
      <c r="Y336" s="13"/>
      <c r="Z336" s="13"/>
      <c r="AA336" s="13"/>
      <c r="AB336" s="13"/>
      <c r="AC336" s="14" t="s">
        <v>2474</v>
      </c>
      <c r="AD336" s="13"/>
      <c r="AE336" s="13"/>
    </row>
    <row r="337">
      <c r="A337" s="9" t="s">
        <v>2306</v>
      </c>
      <c r="B337" s="9" t="s">
        <v>303</v>
      </c>
      <c r="C337" s="9" t="s">
        <v>2475</v>
      </c>
      <c r="D337" s="10" t="s">
        <v>2476</v>
      </c>
      <c r="E337" s="10" t="s">
        <v>31</v>
      </c>
      <c r="F337" s="10" t="s">
        <v>32</v>
      </c>
      <c r="G337" s="46" t="s">
        <v>50</v>
      </c>
      <c r="H337" s="29"/>
      <c r="I337" s="29"/>
      <c r="J337" s="29" t="s">
        <v>2477</v>
      </c>
      <c r="K337" s="9" t="s">
        <v>2478</v>
      </c>
      <c r="L337" s="46">
        <v>4.0</v>
      </c>
      <c r="M337" s="46">
        <v>2.0</v>
      </c>
      <c r="N337" s="18" t="s">
        <v>2479</v>
      </c>
      <c r="O337" s="13"/>
      <c r="P337" s="29" t="s">
        <v>2480</v>
      </c>
      <c r="Q337" s="18" t="s">
        <v>2481</v>
      </c>
      <c r="R337" s="18" t="s">
        <v>2482</v>
      </c>
      <c r="S337" s="29" t="s">
        <v>1615</v>
      </c>
      <c r="T337" s="29" t="s">
        <v>1616</v>
      </c>
      <c r="U337" s="10" t="s">
        <v>2483</v>
      </c>
      <c r="V337" s="10" t="s">
        <v>2483</v>
      </c>
      <c r="W337" s="18" t="s">
        <v>45</v>
      </c>
      <c r="X337" s="18" t="s">
        <v>46</v>
      </c>
      <c r="Y337" s="31">
        <v>45068.0</v>
      </c>
      <c r="Z337" s="31">
        <v>45068.0</v>
      </c>
      <c r="AA337" s="31">
        <v>45068.0</v>
      </c>
      <c r="AB337" s="13"/>
      <c r="AC337" s="14" t="s">
        <v>2484</v>
      </c>
      <c r="AD337" s="13"/>
      <c r="AE337" s="13"/>
    </row>
    <row r="338">
      <c r="A338" s="9" t="s">
        <v>2306</v>
      </c>
      <c r="B338" s="9" t="s">
        <v>303</v>
      </c>
      <c r="C338" s="9" t="s">
        <v>2485</v>
      </c>
      <c r="D338" s="10" t="s">
        <v>2486</v>
      </c>
      <c r="E338" s="10" t="s">
        <v>31</v>
      </c>
      <c r="F338" s="10" t="s">
        <v>32</v>
      </c>
      <c r="G338" s="46" t="s">
        <v>50</v>
      </c>
      <c r="H338" s="46"/>
      <c r="I338" s="46"/>
      <c r="J338" s="46" t="s">
        <v>2487</v>
      </c>
      <c r="K338" s="9" t="s">
        <v>2488</v>
      </c>
      <c r="L338" s="46">
        <v>24.0</v>
      </c>
      <c r="M338" s="46">
        <v>12.0</v>
      </c>
      <c r="N338" s="13"/>
      <c r="O338" s="13"/>
      <c r="P338" s="18" t="s">
        <v>2489</v>
      </c>
      <c r="Q338" s="18"/>
      <c r="R338" s="18" t="s">
        <v>2490</v>
      </c>
      <c r="S338" s="29" t="s">
        <v>551</v>
      </c>
      <c r="T338" s="29" t="s">
        <v>552</v>
      </c>
      <c r="U338" s="10" t="s">
        <v>2491</v>
      </c>
      <c r="V338" s="14" t="s">
        <v>2491</v>
      </c>
      <c r="W338" s="13"/>
      <c r="X338" s="13"/>
      <c r="Y338" s="13"/>
      <c r="Z338" s="13"/>
      <c r="AA338" s="13"/>
      <c r="AB338" s="13"/>
      <c r="AC338" s="14" t="s">
        <v>2492</v>
      </c>
      <c r="AD338" s="13"/>
      <c r="AE338" s="13"/>
    </row>
    <row r="339">
      <c r="A339" s="9" t="s">
        <v>2306</v>
      </c>
      <c r="B339" s="9" t="s">
        <v>303</v>
      </c>
      <c r="C339" s="9" t="s">
        <v>2493</v>
      </c>
      <c r="D339" s="14" t="s">
        <v>2494</v>
      </c>
      <c r="E339" s="10" t="s">
        <v>31</v>
      </c>
      <c r="F339" s="10" t="s">
        <v>32</v>
      </c>
      <c r="G339" s="46"/>
      <c r="H339" s="46"/>
      <c r="I339" s="46"/>
      <c r="J339" s="29" t="s">
        <v>2495</v>
      </c>
      <c r="K339" s="10" t="s">
        <v>2496</v>
      </c>
      <c r="L339" s="18">
        <v>8.0</v>
      </c>
      <c r="M339" s="18">
        <v>6.0</v>
      </c>
      <c r="N339" s="13"/>
      <c r="O339" s="13"/>
      <c r="P339" s="18" t="s">
        <v>2497</v>
      </c>
      <c r="Q339" s="18"/>
      <c r="R339" s="18" t="s">
        <v>2498</v>
      </c>
      <c r="S339" s="29" t="s">
        <v>551</v>
      </c>
      <c r="T339" s="29" t="s">
        <v>552</v>
      </c>
      <c r="U339" s="10" t="s">
        <v>2491</v>
      </c>
      <c r="V339" s="14" t="s">
        <v>2491</v>
      </c>
      <c r="W339" s="13"/>
      <c r="X339" s="13"/>
      <c r="Y339" s="13"/>
      <c r="Z339" s="13"/>
      <c r="AA339" s="13"/>
      <c r="AB339" s="13"/>
      <c r="AC339" s="14" t="s">
        <v>2499</v>
      </c>
      <c r="AD339" s="13"/>
      <c r="AE339" s="13"/>
    </row>
    <row r="340">
      <c r="A340" s="9" t="s">
        <v>2306</v>
      </c>
      <c r="B340" s="9" t="s">
        <v>303</v>
      </c>
      <c r="C340" s="9" t="s">
        <v>2500</v>
      </c>
      <c r="D340" s="14" t="s">
        <v>2501</v>
      </c>
      <c r="E340" s="10" t="s">
        <v>31</v>
      </c>
      <c r="F340" s="10" t="s">
        <v>32</v>
      </c>
      <c r="G340" s="46"/>
      <c r="H340" s="46"/>
      <c r="I340" s="46"/>
      <c r="J340" s="29">
        <v>170.0</v>
      </c>
      <c r="K340" s="10" t="s">
        <v>2502</v>
      </c>
      <c r="L340" s="18">
        <v>3.0</v>
      </c>
      <c r="M340" s="18">
        <v>2.0</v>
      </c>
      <c r="N340" s="13"/>
      <c r="O340" s="13"/>
      <c r="P340" s="18" t="s">
        <v>2503</v>
      </c>
      <c r="Q340" s="18"/>
      <c r="R340" s="18" t="s">
        <v>2504</v>
      </c>
      <c r="S340" s="29" t="s">
        <v>551</v>
      </c>
      <c r="T340" s="29" t="s">
        <v>552</v>
      </c>
      <c r="U340" s="10" t="s">
        <v>1007</v>
      </c>
      <c r="V340" s="14" t="s">
        <v>1007</v>
      </c>
      <c r="W340" s="13"/>
      <c r="X340" s="13"/>
      <c r="Y340" s="13"/>
      <c r="Z340" s="13"/>
      <c r="AA340" s="13"/>
      <c r="AB340" s="13"/>
      <c r="AC340" s="14" t="s">
        <v>2505</v>
      </c>
      <c r="AD340" s="13"/>
      <c r="AE340" s="13"/>
    </row>
    <row r="341">
      <c r="A341" s="9" t="s">
        <v>2306</v>
      </c>
      <c r="B341" s="9" t="s">
        <v>303</v>
      </c>
      <c r="C341" s="9" t="s">
        <v>2506</v>
      </c>
      <c r="D341" s="14" t="s">
        <v>2507</v>
      </c>
      <c r="E341" s="10" t="s">
        <v>31</v>
      </c>
      <c r="F341" s="10" t="s">
        <v>32</v>
      </c>
      <c r="G341" s="46"/>
      <c r="H341" s="46"/>
      <c r="I341" s="46"/>
      <c r="J341" s="46"/>
      <c r="K341" s="9"/>
      <c r="L341" s="13"/>
      <c r="M341" s="13"/>
      <c r="N341" s="13"/>
      <c r="O341" s="13"/>
      <c r="P341" s="18" t="s">
        <v>2508</v>
      </c>
      <c r="Q341" s="18"/>
      <c r="R341" s="18" t="s">
        <v>2509</v>
      </c>
      <c r="S341" s="29" t="s">
        <v>551</v>
      </c>
      <c r="T341" s="29" t="s">
        <v>552</v>
      </c>
      <c r="U341" s="10" t="s">
        <v>1007</v>
      </c>
      <c r="V341" s="14" t="s">
        <v>1007</v>
      </c>
      <c r="W341" s="13"/>
      <c r="X341" s="13"/>
      <c r="Y341" s="13"/>
      <c r="Z341" s="13"/>
      <c r="AA341" s="13"/>
      <c r="AB341" s="13"/>
      <c r="AC341" s="14" t="s">
        <v>2510</v>
      </c>
      <c r="AD341" s="13"/>
      <c r="AE341" s="13"/>
    </row>
    <row r="342">
      <c r="A342" s="9" t="s">
        <v>2306</v>
      </c>
      <c r="B342" s="9" t="s">
        <v>303</v>
      </c>
      <c r="C342" s="10" t="s">
        <v>2511</v>
      </c>
      <c r="D342" s="14" t="s">
        <v>2512</v>
      </c>
      <c r="E342" s="10" t="s">
        <v>31</v>
      </c>
      <c r="F342" s="10" t="s">
        <v>32</v>
      </c>
      <c r="G342" s="46"/>
      <c r="H342" s="46"/>
      <c r="I342" s="46"/>
      <c r="J342" s="46"/>
      <c r="K342" s="10" t="s">
        <v>2513</v>
      </c>
      <c r="L342" s="18">
        <v>17.0</v>
      </c>
      <c r="M342" s="18">
        <v>13.0</v>
      </c>
      <c r="N342" s="18" t="s">
        <v>2514</v>
      </c>
      <c r="O342" s="18" t="s">
        <v>2515</v>
      </c>
      <c r="P342" s="18" t="s">
        <v>2516</v>
      </c>
      <c r="Q342" s="18"/>
      <c r="R342" s="18" t="s">
        <v>2517</v>
      </c>
      <c r="S342" s="29" t="s">
        <v>551</v>
      </c>
      <c r="T342" s="29" t="s">
        <v>552</v>
      </c>
      <c r="U342" s="10" t="s">
        <v>1007</v>
      </c>
      <c r="V342" s="14" t="s">
        <v>1007</v>
      </c>
      <c r="W342" s="13"/>
      <c r="X342" s="13"/>
      <c r="Y342" s="13"/>
      <c r="Z342" s="13"/>
      <c r="AA342" s="13"/>
      <c r="AB342" s="13"/>
      <c r="AC342" s="14" t="s">
        <v>2518</v>
      </c>
      <c r="AD342" s="13"/>
      <c r="AE342" s="13"/>
    </row>
    <row r="343">
      <c r="A343" s="9" t="s">
        <v>2306</v>
      </c>
      <c r="B343" s="9" t="s">
        <v>400</v>
      </c>
      <c r="C343" s="9" t="s">
        <v>2519</v>
      </c>
      <c r="D343" s="9" t="s">
        <v>2520</v>
      </c>
      <c r="E343" s="10" t="s">
        <v>31</v>
      </c>
      <c r="F343" s="10" t="s">
        <v>32</v>
      </c>
      <c r="G343" s="29" t="s">
        <v>2521</v>
      </c>
      <c r="H343" s="29" t="s">
        <v>2522</v>
      </c>
      <c r="I343" s="10" t="s">
        <v>35</v>
      </c>
      <c r="J343" s="46" t="s">
        <v>2523</v>
      </c>
      <c r="K343" s="9" t="s">
        <v>2524</v>
      </c>
      <c r="L343" s="46">
        <v>9.0</v>
      </c>
      <c r="M343" s="46">
        <v>6.0</v>
      </c>
      <c r="N343" s="46" t="s">
        <v>2525</v>
      </c>
      <c r="O343" s="13"/>
      <c r="P343" s="13"/>
      <c r="Q343" s="13"/>
      <c r="R343" s="13"/>
      <c r="S343" s="46" t="s">
        <v>2526</v>
      </c>
      <c r="T343" s="46" t="s">
        <v>2527</v>
      </c>
      <c r="U343" s="9" t="s">
        <v>2528</v>
      </c>
      <c r="V343" s="9" t="s">
        <v>2528</v>
      </c>
      <c r="W343" s="46" t="s">
        <v>2313</v>
      </c>
      <c r="X343" s="46" t="s">
        <v>2314</v>
      </c>
      <c r="Y343" s="50">
        <v>44048.0</v>
      </c>
      <c r="Z343" s="50">
        <v>44060.0</v>
      </c>
      <c r="AA343" s="13"/>
      <c r="AB343" s="13"/>
      <c r="AC343" s="14" t="s">
        <v>2529</v>
      </c>
      <c r="AD343" s="13"/>
      <c r="AE343" s="13"/>
    </row>
    <row r="344">
      <c r="A344" s="9" t="s">
        <v>2306</v>
      </c>
      <c r="B344" s="9" t="s">
        <v>400</v>
      </c>
      <c r="C344" s="9" t="s">
        <v>2530</v>
      </c>
      <c r="D344" s="9" t="s">
        <v>2531</v>
      </c>
      <c r="E344" s="10" t="s">
        <v>31</v>
      </c>
      <c r="F344" s="10" t="s">
        <v>32</v>
      </c>
      <c r="G344" s="46" t="s">
        <v>2532</v>
      </c>
      <c r="H344" s="10" t="s">
        <v>34</v>
      </c>
      <c r="I344" s="10" t="s">
        <v>35</v>
      </c>
      <c r="J344" s="46" t="s">
        <v>2533</v>
      </c>
      <c r="K344" s="9" t="s">
        <v>2534</v>
      </c>
      <c r="L344" s="46">
        <v>18.0</v>
      </c>
      <c r="M344" s="46">
        <v>12.0</v>
      </c>
      <c r="N344" s="46" t="s">
        <v>2535</v>
      </c>
      <c r="O344" s="13"/>
      <c r="P344" s="13"/>
      <c r="Q344" s="13"/>
      <c r="R344" s="13"/>
      <c r="S344" s="46" t="s">
        <v>2526</v>
      </c>
      <c r="T344" s="46" t="s">
        <v>2527</v>
      </c>
      <c r="U344" s="9" t="s">
        <v>2536</v>
      </c>
      <c r="V344" s="9" t="s">
        <v>1291</v>
      </c>
      <c r="W344" s="46" t="s">
        <v>2313</v>
      </c>
      <c r="X344" s="46" t="s">
        <v>2314</v>
      </c>
      <c r="Y344" s="50">
        <v>44060.0</v>
      </c>
      <c r="Z344" s="50">
        <v>44061.0</v>
      </c>
      <c r="AA344" s="13"/>
      <c r="AB344" s="13"/>
      <c r="AC344" s="14" t="s">
        <v>2537</v>
      </c>
      <c r="AD344" s="13"/>
      <c r="AE344" s="13"/>
    </row>
    <row r="345">
      <c r="A345" s="9" t="s">
        <v>2306</v>
      </c>
      <c r="B345" s="9" t="s">
        <v>400</v>
      </c>
      <c r="C345" s="9" t="s">
        <v>2538</v>
      </c>
      <c r="D345" s="9" t="s">
        <v>2539</v>
      </c>
      <c r="E345" s="10" t="s">
        <v>31</v>
      </c>
      <c r="F345" s="10" t="s">
        <v>32</v>
      </c>
      <c r="G345" s="46" t="s">
        <v>2540</v>
      </c>
      <c r="H345" s="10" t="s">
        <v>34</v>
      </c>
      <c r="I345" s="10" t="s">
        <v>35</v>
      </c>
      <c r="J345" s="46">
        <v>191.0</v>
      </c>
      <c r="K345" s="9" t="s">
        <v>2541</v>
      </c>
      <c r="L345" s="46">
        <v>3.0</v>
      </c>
      <c r="M345" s="46">
        <v>2.0</v>
      </c>
      <c r="N345" s="13"/>
      <c r="O345" s="13"/>
      <c r="P345" s="13"/>
      <c r="Q345" s="13"/>
      <c r="R345" s="13"/>
      <c r="S345" s="46" t="s">
        <v>2526</v>
      </c>
      <c r="T345" s="46" t="s">
        <v>2527</v>
      </c>
      <c r="U345" s="9" t="s">
        <v>1291</v>
      </c>
      <c r="V345" s="9" t="s">
        <v>1291</v>
      </c>
      <c r="W345" s="46" t="s">
        <v>2313</v>
      </c>
      <c r="X345" s="46" t="s">
        <v>2314</v>
      </c>
      <c r="Y345" s="50">
        <v>44060.0</v>
      </c>
      <c r="Z345" s="50">
        <v>44061.0</v>
      </c>
      <c r="AA345" s="13"/>
      <c r="AB345" s="13"/>
      <c r="AC345" s="14" t="s">
        <v>2542</v>
      </c>
      <c r="AD345" s="13"/>
      <c r="AE345" s="13"/>
    </row>
    <row r="346">
      <c r="A346" s="9" t="s">
        <v>2306</v>
      </c>
      <c r="B346" s="9" t="s">
        <v>400</v>
      </c>
      <c r="C346" s="9" t="s">
        <v>2543</v>
      </c>
      <c r="D346" s="10" t="s">
        <v>2544</v>
      </c>
      <c r="E346" s="10" t="s">
        <v>31</v>
      </c>
      <c r="F346" s="10" t="s">
        <v>32</v>
      </c>
      <c r="G346" s="46" t="s">
        <v>2532</v>
      </c>
      <c r="H346" s="10" t="s">
        <v>34</v>
      </c>
      <c r="I346" s="10" t="s">
        <v>35</v>
      </c>
      <c r="J346" s="46" t="s">
        <v>2545</v>
      </c>
      <c r="K346" s="9" t="s">
        <v>2546</v>
      </c>
      <c r="L346" s="46">
        <v>9.0</v>
      </c>
      <c r="M346" s="46">
        <v>6.0</v>
      </c>
      <c r="N346" s="13"/>
      <c r="O346" s="13"/>
      <c r="P346" s="13"/>
      <c r="Q346" s="13"/>
      <c r="R346" s="13"/>
      <c r="S346" s="46" t="s">
        <v>2526</v>
      </c>
      <c r="T346" s="46" t="s">
        <v>2527</v>
      </c>
      <c r="U346" s="9" t="s">
        <v>1291</v>
      </c>
      <c r="V346" s="9" t="s">
        <v>80</v>
      </c>
      <c r="W346" s="46" t="s">
        <v>2313</v>
      </c>
      <c r="X346" s="46" t="s">
        <v>2314</v>
      </c>
      <c r="Y346" s="50">
        <v>44061.0</v>
      </c>
      <c r="Z346" s="50">
        <v>44062.0</v>
      </c>
      <c r="AA346" s="13"/>
      <c r="AB346" s="13"/>
      <c r="AC346" s="14" t="s">
        <v>2547</v>
      </c>
      <c r="AD346" s="13"/>
      <c r="AE346" s="13"/>
    </row>
    <row r="347">
      <c r="A347" s="9" t="s">
        <v>2306</v>
      </c>
      <c r="B347" s="9" t="s">
        <v>400</v>
      </c>
      <c r="C347" s="9" t="s">
        <v>2548</v>
      </c>
      <c r="D347" s="10" t="s">
        <v>2549</v>
      </c>
      <c r="E347" s="10" t="s">
        <v>31</v>
      </c>
      <c r="F347" s="10" t="s">
        <v>32</v>
      </c>
      <c r="G347" s="46" t="s">
        <v>2532</v>
      </c>
      <c r="H347" s="10" t="s">
        <v>34</v>
      </c>
      <c r="I347" s="10" t="s">
        <v>35</v>
      </c>
      <c r="J347" s="46" t="s">
        <v>2550</v>
      </c>
      <c r="K347" s="9"/>
      <c r="L347" s="46">
        <v>6.0</v>
      </c>
      <c r="M347" s="46">
        <v>4.0</v>
      </c>
      <c r="N347" s="13"/>
      <c r="O347" s="13"/>
      <c r="P347" s="13"/>
      <c r="Q347" s="13"/>
      <c r="R347" s="13"/>
      <c r="S347" s="46" t="s">
        <v>2526</v>
      </c>
      <c r="T347" s="46" t="s">
        <v>2527</v>
      </c>
      <c r="U347" s="9" t="s">
        <v>80</v>
      </c>
      <c r="V347" s="9" t="s">
        <v>220</v>
      </c>
      <c r="W347" s="46" t="s">
        <v>2313</v>
      </c>
      <c r="X347" s="46" t="s">
        <v>2314</v>
      </c>
      <c r="Y347" s="50">
        <v>44062.0</v>
      </c>
      <c r="Z347" s="50">
        <v>44062.0</v>
      </c>
      <c r="AA347" s="13"/>
      <c r="AB347" s="13"/>
      <c r="AC347" s="14" t="s">
        <v>2551</v>
      </c>
      <c r="AD347" s="13"/>
      <c r="AE347" s="13"/>
    </row>
    <row r="348">
      <c r="A348" s="9" t="s">
        <v>2306</v>
      </c>
      <c r="B348" s="9" t="s">
        <v>400</v>
      </c>
      <c r="C348" s="9" t="s">
        <v>2552</v>
      </c>
      <c r="D348" s="9" t="s">
        <v>2553</v>
      </c>
      <c r="E348" s="10" t="s">
        <v>31</v>
      </c>
      <c r="F348" s="10" t="s">
        <v>32</v>
      </c>
      <c r="G348" s="46" t="s">
        <v>2554</v>
      </c>
      <c r="H348" s="10" t="s">
        <v>34</v>
      </c>
      <c r="I348" s="10" t="s">
        <v>35</v>
      </c>
      <c r="J348" s="46" t="s">
        <v>2555</v>
      </c>
      <c r="K348" s="9" t="s">
        <v>2556</v>
      </c>
      <c r="L348" s="46">
        <v>16.0</v>
      </c>
      <c r="M348" s="46">
        <v>12.0</v>
      </c>
      <c r="N348" s="13"/>
      <c r="O348" s="13"/>
      <c r="P348" s="46" t="s">
        <v>2557</v>
      </c>
      <c r="Q348" s="13"/>
      <c r="R348" s="13"/>
      <c r="S348" s="46" t="s">
        <v>2526</v>
      </c>
      <c r="T348" s="46" t="s">
        <v>2527</v>
      </c>
      <c r="U348" s="9" t="s">
        <v>220</v>
      </c>
      <c r="V348" s="9" t="s">
        <v>311</v>
      </c>
      <c r="W348" s="46" t="s">
        <v>2313</v>
      </c>
      <c r="X348" s="46" t="s">
        <v>2314</v>
      </c>
      <c r="Y348" s="50">
        <v>44063.0</v>
      </c>
      <c r="Z348" s="50">
        <v>44064.0</v>
      </c>
      <c r="AA348" s="13"/>
      <c r="AB348" s="13"/>
      <c r="AC348" s="14" t="s">
        <v>2558</v>
      </c>
      <c r="AD348" s="13"/>
      <c r="AE348" s="13"/>
    </row>
    <row r="349">
      <c r="A349" s="9" t="s">
        <v>2306</v>
      </c>
      <c r="B349" s="9" t="s">
        <v>400</v>
      </c>
      <c r="C349" s="9" t="s">
        <v>2559</v>
      </c>
      <c r="D349" s="10" t="s">
        <v>2560</v>
      </c>
      <c r="E349" s="10" t="s">
        <v>31</v>
      </c>
      <c r="F349" s="10" t="s">
        <v>32</v>
      </c>
      <c r="G349" s="46" t="s">
        <v>50</v>
      </c>
      <c r="H349" s="46"/>
      <c r="I349" s="46"/>
      <c r="J349" s="46"/>
      <c r="K349" s="9" t="s">
        <v>2561</v>
      </c>
      <c r="L349" s="13"/>
      <c r="M349" s="13"/>
      <c r="N349" s="13"/>
      <c r="O349" s="13"/>
      <c r="P349" s="13"/>
      <c r="Q349" s="13"/>
      <c r="R349" s="13"/>
      <c r="S349" s="46" t="s">
        <v>2526</v>
      </c>
      <c r="T349" s="46" t="s">
        <v>2527</v>
      </c>
      <c r="U349" s="9" t="s">
        <v>311</v>
      </c>
      <c r="V349" s="12"/>
      <c r="W349" s="13"/>
      <c r="X349" s="13"/>
      <c r="Y349" s="13"/>
      <c r="Z349" s="13"/>
      <c r="AA349" s="13"/>
      <c r="AB349" s="13"/>
      <c r="AC349" s="14" t="s">
        <v>2562</v>
      </c>
      <c r="AD349" s="13"/>
      <c r="AE349" s="13"/>
    </row>
    <row r="350">
      <c r="A350" s="9" t="s">
        <v>2306</v>
      </c>
      <c r="B350" s="9" t="s">
        <v>490</v>
      </c>
      <c r="C350" s="9" t="s">
        <v>2563</v>
      </c>
      <c r="D350" s="9" t="s">
        <v>2564</v>
      </c>
      <c r="E350" s="10" t="s">
        <v>31</v>
      </c>
      <c r="F350" s="10" t="s">
        <v>32</v>
      </c>
      <c r="G350" s="46" t="s">
        <v>50</v>
      </c>
      <c r="H350" s="9"/>
      <c r="I350" s="9"/>
      <c r="J350" s="9" t="s">
        <v>2565</v>
      </c>
      <c r="K350" s="46" t="s">
        <v>2566</v>
      </c>
      <c r="L350" s="46">
        <v>12.0</v>
      </c>
      <c r="M350" s="13">
        <v>6.0</v>
      </c>
      <c r="N350" s="13"/>
      <c r="O350" s="13"/>
      <c r="P350" s="18" t="s">
        <v>2567</v>
      </c>
      <c r="Q350" s="18"/>
      <c r="R350" s="18" t="s">
        <v>2568</v>
      </c>
      <c r="S350" s="46" t="s">
        <v>2569</v>
      </c>
      <c r="T350" s="46" t="s">
        <v>2570</v>
      </c>
      <c r="U350" s="9" t="s">
        <v>220</v>
      </c>
      <c r="V350" s="9" t="s">
        <v>220</v>
      </c>
      <c r="W350" s="18" t="s">
        <v>1615</v>
      </c>
      <c r="X350" s="18" t="s">
        <v>1616</v>
      </c>
      <c r="Y350" s="31">
        <v>44337.0</v>
      </c>
      <c r="Z350" s="31">
        <v>44337.0</v>
      </c>
      <c r="AA350" s="13"/>
      <c r="AB350" s="13"/>
      <c r="AC350" s="14" t="s">
        <v>2571</v>
      </c>
      <c r="AD350" s="13"/>
      <c r="AE350" s="13"/>
    </row>
    <row r="351">
      <c r="A351" s="9" t="s">
        <v>2306</v>
      </c>
      <c r="B351" s="9" t="s">
        <v>490</v>
      </c>
      <c r="C351" s="10" t="s">
        <v>2572</v>
      </c>
      <c r="D351" s="10" t="s">
        <v>2573</v>
      </c>
      <c r="E351" s="10" t="s">
        <v>31</v>
      </c>
      <c r="F351" s="10" t="s">
        <v>32</v>
      </c>
      <c r="G351" s="46" t="s">
        <v>50</v>
      </c>
      <c r="H351" s="13"/>
      <c r="I351" s="13"/>
      <c r="J351" s="13" t="s">
        <v>2574</v>
      </c>
      <c r="K351" s="9" t="s">
        <v>2575</v>
      </c>
      <c r="L351" s="46">
        <v>26.0</v>
      </c>
      <c r="M351" s="46">
        <v>13.0</v>
      </c>
      <c r="N351" s="13"/>
      <c r="O351" s="13"/>
      <c r="P351" s="46" t="s">
        <v>2576</v>
      </c>
      <c r="Q351" s="46"/>
      <c r="R351" s="46" t="s">
        <v>2577</v>
      </c>
      <c r="S351" s="46" t="s">
        <v>2569</v>
      </c>
      <c r="T351" s="46" t="s">
        <v>2570</v>
      </c>
      <c r="U351" s="9" t="s">
        <v>220</v>
      </c>
      <c r="V351" s="9" t="s">
        <v>273</v>
      </c>
      <c r="W351" s="46" t="s">
        <v>41</v>
      </c>
      <c r="X351" s="46" t="s">
        <v>42</v>
      </c>
      <c r="Y351" s="50">
        <v>44075.0</v>
      </c>
      <c r="Z351" s="51">
        <v>44078.0</v>
      </c>
      <c r="AA351" s="13"/>
      <c r="AB351" s="13"/>
      <c r="AC351" s="14" t="s">
        <v>2578</v>
      </c>
      <c r="AD351" s="13"/>
      <c r="AE351" s="13"/>
    </row>
    <row r="352">
      <c r="A352" s="9" t="s">
        <v>2306</v>
      </c>
      <c r="B352" s="9" t="s">
        <v>490</v>
      </c>
      <c r="C352" s="9" t="s">
        <v>2579</v>
      </c>
      <c r="D352" s="9" t="s">
        <v>2580</v>
      </c>
      <c r="E352" s="10" t="s">
        <v>31</v>
      </c>
      <c r="F352" s="10" t="s">
        <v>32</v>
      </c>
      <c r="G352" s="46" t="s">
        <v>50</v>
      </c>
      <c r="H352" s="46"/>
      <c r="I352" s="46"/>
      <c r="J352" s="46" t="s">
        <v>2581</v>
      </c>
      <c r="K352" s="9" t="s">
        <v>2582</v>
      </c>
      <c r="L352" s="46">
        <v>24.0</v>
      </c>
      <c r="M352" s="13">
        <v>12.0</v>
      </c>
      <c r="N352" s="13"/>
      <c r="O352" s="13"/>
      <c r="P352" s="18" t="s">
        <v>2583</v>
      </c>
      <c r="Q352" s="18"/>
      <c r="R352" s="18" t="s">
        <v>2584</v>
      </c>
      <c r="S352" s="46" t="s">
        <v>2569</v>
      </c>
      <c r="T352" s="46" t="s">
        <v>2570</v>
      </c>
      <c r="U352" s="9" t="s">
        <v>273</v>
      </c>
      <c r="V352" s="9" t="s">
        <v>2585</v>
      </c>
      <c r="W352" s="18" t="s">
        <v>1615</v>
      </c>
      <c r="X352" s="18" t="s">
        <v>1616</v>
      </c>
      <c r="Y352" s="31">
        <v>44354.0</v>
      </c>
      <c r="Z352" s="31">
        <v>44370.0</v>
      </c>
      <c r="AA352" s="13"/>
      <c r="AB352" s="13"/>
      <c r="AC352" s="14" t="s">
        <v>2586</v>
      </c>
      <c r="AD352" s="13"/>
      <c r="AE352" s="13"/>
    </row>
    <row r="353">
      <c r="A353" s="9" t="s">
        <v>2306</v>
      </c>
      <c r="B353" s="9" t="s">
        <v>490</v>
      </c>
      <c r="C353" s="9" t="s">
        <v>2587</v>
      </c>
      <c r="D353" s="12" t="s">
        <v>2588</v>
      </c>
      <c r="E353" s="10" t="s">
        <v>31</v>
      </c>
      <c r="F353" s="10" t="s">
        <v>32</v>
      </c>
      <c r="G353" s="46" t="s">
        <v>50</v>
      </c>
      <c r="H353" s="46"/>
      <c r="I353" s="46"/>
      <c r="J353" s="46" t="s">
        <v>576</v>
      </c>
      <c r="K353" s="9" t="s">
        <v>2589</v>
      </c>
      <c r="L353" s="13">
        <v>12.0</v>
      </c>
      <c r="M353" s="13">
        <v>6.0</v>
      </c>
      <c r="N353" s="13"/>
      <c r="O353" s="13"/>
      <c r="P353" s="18" t="s">
        <v>2590</v>
      </c>
      <c r="Q353" s="18"/>
      <c r="R353" s="18" t="s">
        <v>2591</v>
      </c>
      <c r="S353" s="46" t="s">
        <v>2361</v>
      </c>
      <c r="T353" s="46" t="s">
        <v>2362</v>
      </c>
      <c r="U353" s="9" t="s">
        <v>2585</v>
      </c>
      <c r="V353" s="12" t="s">
        <v>424</v>
      </c>
      <c r="W353" s="18" t="s">
        <v>1615</v>
      </c>
      <c r="X353" s="18" t="s">
        <v>1616</v>
      </c>
      <c r="Y353" s="31">
        <v>44379.0</v>
      </c>
      <c r="Z353" s="31">
        <v>44379.0</v>
      </c>
      <c r="AA353" s="13"/>
      <c r="AB353" s="13"/>
      <c r="AC353" s="14" t="s">
        <v>2592</v>
      </c>
      <c r="AD353" s="13"/>
      <c r="AE353" s="13"/>
    </row>
    <row r="354">
      <c r="A354" s="9" t="s">
        <v>2306</v>
      </c>
      <c r="B354" s="9" t="s">
        <v>490</v>
      </c>
      <c r="C354" s="10" t="s">
        <v>2593</v>
      </c>
      <c r="D354" s="12" t="s">
        <v>2594</v>
      </c>
      <c r="E354" s="10" t="s">
        <v>31</v>
      </c>
      <c r="F354" s="10" t="s">
        <v>32</v>
      </c>
      <c r="G354" s="46" t="s">
        <v>50</v>
      </c>
      <c r="H354" s="46"/>
      <c r="I354" s="46"/>
      <c r="J354" s="46" t="s">
        <v>2595</v>
      </c>
      <c r="K354" s="9" t="s">
        <v>2596</v>
      </c>
      <c r="L354" s="13">
        <v>16.0</v>
      </c>
      <c r="M354" s="13">
        <v>8.0</v>
      </c>
      <c r="N354" s="28" t="s">
        <v>2597</v>
      </c>
      <c r="O354" s="13"/>
      <c r="P354" s="18" t="s">
        <v>2598</v>
      </c>
      <c r="Q354" s="18"/>
      <c r="R354" s="18" t="s">
        <v>2599</v>
      </c>
      <c r="S354" s="46" t="s">
        <v>2361</v>
      </c>
      <c r="T354" s="46" t="s">
        <v>2362</v>
      </c>
      <c r="U354" s="9" t="s">
        <v>2585</v>
      </c>
      <c r="V354" s="12" t="s">
        <v>424</v>
      </c>
      <c r="W354" s="18" t="s">
        <v>1615</v>
      </c>
      <c r="X354" s="18" t="s">
        <v>1616</v>
      </c>
      <c r="Y354" s="31">
        <v>44382.0</v>
      </c>
      <c r="Z354" s="31">
        <v>44382.0</v>
      </c>
      <c r="AA354" s="13"/>
      <c r="AB354" s="13"/>
      <c r="AC354" s="14" t="s">
        <v>2600</v>
      </c>
      <c r="AD354" s="13"/>
      <c r="AE354" s="13"/>
    </row>
    <row r="355">
      <c r="A355" s="9" t="s">
        <v>2306</v>
      </c>
      <c r="B355" s="9" t="s">
        <v>490</v>
      </c>
      <c r="C355" s="10" t="s">
        <v>2601</v>
      </c>
      <c r="D355" s="10" t="s">
        <v>2602</v>
      </c>
      <c r="E355" s="10" t="s">
        <v>31</v>
      </c>
      <c r="F355" s="10" t="s">
        <v>32</v>
      </c>
      <c r="G355" s="46" t="s">
        <v>50</v>
      </c>
      <c r="H355" s="46"/>
      <c r="I355" s="46"/>
      <c r="J355" s="46" t="s">
        <v>2603</v>
      </c>
      <c r="K355" s="9" t="s">
        <v>2604</v>
      </c>
      <c r="L355" s="46">
        <v>12.0</v>
      </c>
      <c r="M355" s="46">
        <v>6.0</v>
      </c>
      <c r="N355" s="28" t="s">
        <v>2605</v>
      </c>
      <c r="O355" s="13"/>
      <c r="P355" s="18" t="s">
        <v>2606</v>
      </c>
      <c r="Q355" s="18"/>
      <c r="R355" s="18" t="s">
        <v>2607</v>
      </c>
      <c r="S355" s="46" t="s">
        <v>2569</v>
      </c>
      <c r="T355" s="46" t="s">
        <v>2570</v>
      </c>
      <c r="U355" s="9" t="s">
        <v>2323</v>
      </c>
      <c r="V355" s="9" t="s">
        <v>2608</v>
      </c>
      <c r="W355" s="18" t="s">
        <v>1615</v>
      </c>
      <c r="X355" s="18" t="s">
        <v>1616</v>
      </c>
      <c r="Y355" s="31">
        <v>44385.0</v>
      </c>
      <c r="Z355" s="31">
        <v>44385.0</v>
      </c>
      <c r="AA355" s="13"/>
      <c r="AB355" s="13"/>
      <c r="AC355" s="14" t="s">
        <v>2609</v>
      </c>
      <c r="AD355" s="13"/>
      <c r="AE355" s="13"/>
    </row>
    <row r="356">
      <c r="A356" s="9" t="s">
        <v>2306</v>
      </c>
      <c r="B356" s="9" t="s">
        <v>615</v>
      </c>
      <c r="C356" s="9" t="s">
        <v>2610</v>
      </c>
      <c r="D356" s="9" t="s">
        <v>2611</v>
      </c>
      <c r="E356" s="10" t="s">
        <v>31</v>
      </c>
      <c r="F356" s="10" t="s">
        <v>32</v>
      </c>
      <c r="G356" s="46" t="s">
        <v>50</v>
      </c>
      <c r="H356" s="46"/>
      <c r="I356" s="46"/>
      <c r="J356" s="46" t="s">
        <v>2612</v>
      </c>
      <c r="K356" s="9" t="s">
        <v>2613</v>
      </c>
      <c r="L356" s="46">
        <v>10.0</v>
      </c>
      <c r="M356" s="46">
        <v>5.0</v>
      </c>
      <c r="N356" s="46" t="s">
        <v>2525</v>
      </c>
      <c r="O356" s="13"/>
      <c r="P356" s="13"/>
      <c r="Q356" s="13"/>
      <c r="R356" s="13"/>
      <c r="S356" s="46" t="s">
        <v>2569</v>
      </c>
      <c r="T356" s="46" t="s">
        <v>2570</v>
      </c>
      <c r="U356" s="9" t="s">
        <v>2614</v>
      </c>
      <c r="V356" s="9" t="s">
        <v>2614</v>
      </c>
      <c r="W356" s="46" t="s">
        <v>2313</v>
      </c>
      <c r="X356" s="46" t="s">
        <v>2314</v>
      </c>
      <c r="Y356" s="50">
        <v>44062.0</v>
      </c>
      <c r="Z356" s="50">
        <v>44063.0</v>
      </c>
      <c r="AA356" s="13"/>
      <c r="AB356" s="13"/>
      <c r="AC356" s="14" t="s">
        <v>2615</v>
      </c>
      <c r="AD356" s="13"/>
      <c r="AE356" s="13"/>
    </row>
    <row r="357">
      <c r="A357" s="9" t="s">
        <v>2306</v>
      </c>
      <c r="B357" s="9" t="s">
        <v>615</v>
      </c>
      <c r="C357" s="9" t="s">
        <v>2616</v>
      </c>
      <c r="D357" s="9" t="s">
        <v>2617</v>
      </c>
      <c r="E357" s="10" t="s">
        <v>31</v>
      </c>
      <c r="F357" s="10" t="s">
        <v>32</v>
      </c>
      <c r="G357" s="46" t="s">
        <v>50</v>
      </c>
      <c r="H357" s="46"/>
      <c r="I357" s="46"/>
      <c r="J357" s="46" t="s">
        <v>2618</v>
      </c>
      <c r="K357" s="9" t="s">
        <v>2619</v>
      </c>
      <c r="L357" s="46">
        <v>6.0</v>
      </c>
      <c r="M357" s="46">
        <v>3.0</v>
      </c>
      <c r="N357" s="13"/>
      <c r="O357" s="13"/>
      <c r="P357" s="13"/>
      <c r="Q357" s="13"/>
      <c r="R357" s="13"/>
      <c r="S357" s="46" t="s">
        <v>2569</v>
      </c>
      <c r="T357" s="46" t="s">
        <v>2570</v>
      </c>
      <c r="U357" s="9" t="s">
        <v>2614</v>
      </c>
      <c r="V357" s="9" t="s">
        <v>2614</v>
      </c>
      <c r="W357" s="46" t="s">
        <v>2313</v>
      </c>
      <c r="X357" s="46" t="s">
        <v>2314</v>
      </c>
      <c r="Y357" s="50">
        <v>44064.0</v>
      </c>
      <c r="Z357" s="50">
        <v>44064.0</v>
      </c>
      <c r="AA357" s="13"/>
      <c r="AB357" s="13"/>
      <c r="AC357" s="14" t="s">
        <v>2620</v>
      </c>
      <c r="AD357" s="13"/>
      <c r="AE357" s="13"/>
    </row>
    <row r="358">
      <c r="A358" s="9" t="s">
        <v>2306</v>
      </c>
      <c r="B358" s="9" t="s">
        <v>615</v>
      </c>
      <c r="C358" s="9" t="s">
        <v>2621</v>
      </c>
      <c r="D358" s="9" t="s">
        <v>2622</v>
      </c>
      <c r="E358" s="10" t="s">
        <v>31</v>
      </c>
      <c r="F358" s="10" t="s">
        <v>32</v>
      </c>
      <c r="G358" s="46" t="s">
        <v>50</v>
      </c>
      <c r="H358" s="46"/>
      <c r="I358" s="46"/>
      <c r="J358" s="46" t="s">
        <v>2623</v>
      </c>
      <c r="K358" s="9" t="s">
        <v>2624</v>
      </c>
      <c r="L358" s="46">
        <v>28.0</v>
      </c>
      <c r="M358" s="46">
        <v>14.0</v>
      </c>
      <c r="N358" s="13"/>
      <c r="O358" s="13"/>
      <c r="P358" s="13"/>
      <c r="Q358" s="13"/>
      <c r="R358" s="13"/>
      <c r="S358" s="46" t="s">
        <v>2569</v>
      </c>
      <c r="T358" s="46" t="s">
        <v>2570</v>
      </c>
      <c r="U358" s="9" t="s">
        <v>2614</v>
      </c>
      <c r="V358" s="9" t="s">
        <v>80</v>
      </c>
      <c r="W358" s="46" t="s">
        <v>2313</v>
      </c>
      <c r="X358" s="46" t="s">
        <v>2314</v>
      </c>
      <c r="Y358" s="50">
        <v>44064.0</v>
      </c>
      <c r="Z358" s="50">
        <v>44065.0</v>
      </c>
      <c r="AA358" s="13"/>
      <c r="AB358" s="13"/>
      <c r="AC358" s="14" t="s">
        <v>2625</v>
      </c>
      <c r="AD358" s="13"/>
      <c r="AE358" s="13"/>
    </row>
    <row r="359">
      <c r="A359" s="9" t="s">
        <v>2306</v>
      </c>
      <c r="B359" s="9" t="s">
        <v>615</v>
      </c>
      <c r="C359" s="9" t="s">
        <v>2626</v>
      </c>
      <c r="D359" s="9" t="s">
        <v>2627</v>
      </c>
      <c r="E359" s="10" t="s">
        <v>31</v>
      </c>
      <c r="F359" s="10" t="s">
        <v>32</v>
      </c>
      <c r="G359" s="46" t="s">
        <v>50</v>
      </c>
      <c r="H359" s="46"/>
      <c r="I359" s="46"/>
      <c r="J359" s="46" t="s">
        <v>2628</v>
      </c>
      <c r="K359" s="9" t="s">
        <v>2629</v>
      </c>
      <c r="L359" s="46">
        <v>8.0</v>
      </c>
      <c r="M359" s="46">
        <v>4.0</v>
      </c>
      <c r="N359" s="13"/>
      <c r="O359" s="13"/>
      <c r="P359" s="13"/>
      <c r="Q359" s="13"/>
      <c r="R359" s="13"/>
      <c r="S359" s="46" t="s">
        <v>2569</v>
      </c>
      <c r="T359" s="46" t="s">
        <v>2570</v>
      </c>
      <c r="U359" s="9" t="s">
        <v>80</v>
      </c>
      <c r="V359" s="9" t="s">
        <v>80</v>
      </c>
      <c r="W359" s="46" t="s">
        <v>2313</v>
      </c>
      <c r="X359" s="46" t="s">
        <v>2314</v>
      </c>
      <c r="Y359" s="50">
        <v>44065.0</v>
      </c>
      <c r="Z359" s="50">
        <v>44065.0</v>
      </c>
      <c r="AA359" s="13"/>
      <c r="AB359" s="13"/>
      <c r="AC359" s="14" t="s">
        <v>2630</v>
      </c>
      <c r="AD359" s="13"/>
      <c r="AE359" s="13"/>
    </row>
    <row r="360">
      <c r="A360" s="9" t="s">
        <v>2306</v>
      </c>
      <c r="B360" s="9" t="s">
        <v>615</v>
      </c>
      <c r="C360" s="9" t="s">
        <v>2631</v>
      </c>
      <c r="D360" s="9" t="s">
        <v>2632</v>
      </c>
      <c r="E360" s="10" t="s">
        <v>31</v>
      </c>
      <c r="F360" s="10" t="s">
        <v>32</v>
      </c>
      <c r="G360" s="46" t="s">
        <v>50</v>
      </c>
      <c r="H360" s="46"/>
      <c r="I360" s="46"/>
      <c r="J360" s="46" t="s">
        <v>2633</v>
      </c>
      <c r="K360" s="9" t="s">
        <v>2634</v>
      </c>
      <c r="L360" s="46"/>
      <c r="M360" s="46"/>
      <c r="N360" s="13"/>
      <c r="O360" s="13"/>
      <c r="P360" s="46"/>
      <c r="Q360" s="13"/>
      <c r="R360" s="13"/>
      <c r="S360" s="46" t="s">
        <v>2569</v>
      </c>
      <c r="T360" s="46" t="s">
        <v>2570</v>
      </c>
      <c r="U360" s="9" t="s">
        <v>80</v>
      </c>
      <c r="V360" s="10" t="s">
        <v>2635</v>
      </c>
      <c r="W360" s="46" t="s">
        <v>2313</v>
      </c>
      <c r="X360" s="46" t="s">
        <v>2314</v>
      </c>
      <c r="Y360" s="50"/>
      <c r="Z360" s="13"/>
      <c r="AA360" s="13"/>
      <c r="AB360" s="13"/>
      <c r="AC360" s="14" t="s">
        <v>2636</v>
      </c>
      <c r="AD360" s="13"/>
      <c r="AE360" s="13"/>
    </row>
    <row r="361">
      <c r="A361" s="9" t="s">
        <v>2306</v>
      </c>
      <c r="B361" s="9" t="s">
        <v>615</v>
      </c>
      <c r="C361" s="10" t="s">
        <v>2637</v>
      </c>
      <c r="D361" s="9" t="s">
        <v>2638</v>
      </c>
      <c r="E361" s="10" t="s">
        <v>31</v>
      </c>
      <c r="F361" s="10" t="s">
        <v>32</v>
      </c>
      <c r="G361" s="46" t="s">
        <v>50</v>
      </c>
      <c r="H361" s="46"/>
      <c r="I361" s="46"/>
      <c r="J361" s="46" t="s">
        <v>2639</v>
      </c>
      <c r="K361" s="9" t="s">
        <v>2640</v>
      </c>
      <c r="L361" s="46">
        <v>22.0</v>
      </c>
      <c r="M361" s="46">
        <v>11.0</v>
      </c>
      <c r="N361" s="28" t="s">
        <v>2605</v>
      </c>
      <c r="O361" s="13"/>
      <c r="P361" s="46" t="s">
        <v>2641</v>
      </c>
      <c r="Q361" s="13"/>
      <c r="R361" s="13"/>
      <c r="S361" s="46" t="s">
        <v>2569</v>
      </c>
      <c r="T361" s="46" t="s">
        <v>2570</v>
      </c>
      <c r="U361" s="9" t="s">
        <v>2642</v>
      </c>
      <c r="V361" s="9" t="s">
        <v>2642</v>
      </c>
      <c r="W361" s="46" t="s">
        <v>2313</v>
      </c>
      <c r="X361" s="46" t="s">
        <v>2314</v>
      </c>
      <c r="Y361" s="50">
        <v>44065.0</v>
      </c>
      <c r="Z361" s="50">
        <v>44067.0</v>
      </c>
      <c r="AA361" s="13"/>
      <c r="AB361" s="13"/>
      <c r="AC361" s="14" t="s">
        <v>2643</v>
      </c>
      <c r="AD361" s="13"/>
      <c r="AE361" s="13"/>
    </row>
    <row r="362">
      <c r="A362" s="9" t="s">
        <v>2306</v>
      </c>
      <c r="B362" s="9" t="s">
        <v>680</v>
      </c>
      <c r="C362" s="10" t="s">
        <v>2644</v>
      </c>
      <c r="D362" s="10" t="s">
        <v>2645</v>
      </c>
      <c r="E362" s="10" t="s">
        <v>31</v>
      </c>
      <c r="F362" s="10" t="s">
        <v>32</v>
      </c>
      <c r="G362" s="46" t="s">
        <v>2646</v>
      </c>
      <c r="H362" s="46"/>
      <c r="I362" s="46"/>
      <c r="J362" s="46">
        <v>331.0</v>
      </c>
      <c r="K362" s="9" t="s">
        <v>2647</v>
      </c>
      <c r="L362" s="46">
        <v>2.0</v>
      </c>
      <c r="M362" s="13">
        <v>2.0</v>
      </c>
      <c r="N362" s="18" t="s">
        <v>874</v>
      </c>
      <c r="O362" s="13"/>
      <c r="P362" s="13"/>
      <c r="Q362" s="13"/>
      <c r="R362" s="13"/>
      <c r="S362" s="46" t="s">
        <v>2569</v>
      </c>
      <c r="T362" s="46" t="s">
        <v>2570</v>
      </c>
      <c r="U362" s="9" t="s">
        <v>2648</v>
      </c>
      <c r="V362" s="9" t="s">
        <v>2528</v>
      </c>
      <c r="W362" s="13"/>
      <c r="X362" s="13"/>
      <c r="Y362" s="13"/>
      <c r="Z362" s="13"/>
      <c r="AA362" s="13"/>
      <c r="AB362" s="13"/>
      <c r="AC362" s="14" t="s">
        <v>2649</v>
      </c>
      <c r="AD362" s="13"/>
      <c r="AE362" s="13"/>
    </row>
    <row r="363">
      <c r="A363" s="9" t="s">
        <v>2306</v>
      </c>
      <c r="B363" s="9" t="s">
        <v>680</v>
      </c>
      <c r="C363" s="9" t="s">
        <v>2650</v>
      </c>
      <c r="D363" s="10" t="s">
        <v>2651</v>
      </c>
      <c r="E363" s="10" t="s">
        <v>31</v>
      </c>
      <c r="F363" s="10" t="s">
        <v>32</v>
      </c>
      <c r="G363" s="46" t="s">
        <v>50</v>
      </c>
      <c r="H363" s="46"/>
      <c r="I363" s="46"/>
      <c r="J363" s="46" t="s">
        <v>2652</v>
      </c>
      <c r="K363" s="9" t="s">
        <v>2653</v>
      </c>
      <c r="L363" s="46">
        <v>31.0</v>
      </c>
      <c r="M363" s="46">
        <v>16.0</v>
      </c>
      <c r="N363" s="13"/>
      <c r="O363" s="13"/>
      <c r="P363" s="13"/>
      <c r="Q363" s="13"/>
      <c r="R363" s="13"/>
      <c r="S363" s="46" t="s">
        <v>2569</v>
      </c>
      <c r="T363" s="46" t="s">
        <v>2570</v>
      </c>
      <c r="U363" s="9" t="s">
        <v>2654</v>
      </c>
      <c r="V363" s="9" t="s">
        <v>2536</v>
      </c>
      <c r="W363" s="46" t="s">
        <v>2313</v>
      </c>
      <c r="X363" s="46" t="s">
        <v>2314</v>
      </c>
      <c r="Y363" s="50">
        <v>44067.0</v>
      </c>
      <c r="Z363" s="50">
        <v>44069.0</v>
      </c>
      <c r="AA363" s="13"/>
      <c r="AB363" s="13"/>
      <c r="AC363" s="14" t="s">
        <v>2655</v>
      </c>
      <c r="AD363" s="13"/>
      <c r="AE363" s="13"/>
    </row>
    <row r="364">
      <c r="A364" s="9" t="s">
        <v>2306</v>
      </c>
      <c r="B364" s="9" t="s">
        <v>680</v>
      </c>
      <c r="C364" s="9" t="s">
        <v>2656</v>
      </c>
      <c r="D364" s="9" t="s">
        <v>2657</v>
      </c>
      <c r="E364" s="10" t="s">
        <v>31</v>
      </c>
      <c r="F364" s="10" t="s">
        <v>32</v>
      </c>
      <c r="G364" s="46" t="s">
        <v>50</v>
      </c>
      <c r="H364" s="46"/>
      <c r="I364" s="46"/>
      <c r="J364" s="46" t="s">
        <v>2658</v>
      </c>
      <c r="K364" s="9" t="s">
        <v>2659</v>
      </c>
      <c r="L364" s="46">
        <v>12.0</v>
      </c>
      <c r="M364" s="46">
        <v>6.0</v>
      </c>
      <c r="N364" s="46" t="s">
        <v>2525</v>
      </c>
      <c r="O364" s="13"/>
      <c r="P364" s="29" t="s">
        <v>2660</v>
      </c>
      <c r="Q364" s="13"/>
      <c r="R364" s="13"/>
      <c r="S364" s="46" t="s">
        <v>2569</v>
      </c>
      <c r="T364" s="46" t="s">
        <v>2570</v>
      </c>
      <c r="U364" s="9" t="s">
        <v>2536</v>
      </c>
      <c r="V364" s="9" t="s">
        <v>44</v>
      </c>
      <c r="W364" s="46" t="s">
        <v>2313</v>
      </c>
      <c r="X364" s="46" t="s">
        <v>2314</v>
      </c>
      <c r="Y364" s="50">
        <v>44069.0</v>
      </c>
      <c r="Z364" s="50">
        <v>44069.0</v>
      </c>
      <c r="AA364" s="13"/>
      <c r="AB364" s="13"/>
      <c r="AC364" s="14" t="s">
        <v>2661</v>
      </c>
      <c r="AD364" s="13"/>
      <c r="AE364" s="13"/>
    </row>
    <row r="365">
      <c r="A365" s="9" t="s">
        <v>2306</v>
      </c>
      <c r="B365" s="9" t="s">
        <v>680</v>
      </c>
      <c r="C365" s="9" t="s">
        <v>2662</v>
      </c>
      <c r="D365" s="20" t="s">
        <v>2663</v>
      </c>
      <c r="E365" s="10" t="s">
        <v>31</v>
      </c>
      <c r="F365" s="10" t="s">
        <v>32</v>
      </c>
      <c r="G365" s="46" t="s">
        <v>2664</v>
      </c>
      <c r="H365" s="10" t="s">
        <v>34</v>
      </c>
      <c r="I365" s="10" t="s">
        <v>35</v>
      </c>
      <c r="J365" s="46" t="s">
        <v>2665</v>
      </c>
      <c r="K365" s="9" t="s">
        <v>2666</v>
      </c>
      <c r="L365" s="46">
        <v>12.0</v>
      </c>
      <c r="M365" s="46">
        <v>12.0</v>
      </c>
      <c r="N365" s="13"/>
      <c r="O365" s="13"/>
      <c r="P365" s="46" t="s">
        <v>2667</v>
      </c>
      <c r="Q365" s="13"/>
      <c r="R365" s="13"/>
      <c r="S365" s="46" t="s">
        <v>2569</v>
      </c>
      <c r="T365" s="46" t="s">
        <v>2570</v>
      </c>
      <c r="U365" s="9" t="s">
        <v>44</v>
      </c>
      <c r="V365" s="9" t="s">
        <v>2614</v>
      </c>
      <c r="W365" s="46" t="s">
        <v>2313</v>
      </c>
      <c r="X365" s="46" t="s">
        <v>2314</v>
      </c>
      <c r="Y365" s="50">
        <v>44069.0</v>
      </c>
      <c r="Z365" s="50">
        <v>44070.0</v>
      </c>
      <c r="AA365" s="13"/>
      <c r="AB365" s="13"/>
      <c r="AC365" s="14" t="s">
        <v>2668</v>
      </c>
      <c r="AD365" s="13"/>
      <c r="AE365" s="13"/>
    </row>
    <row r="366">
      <c r="A366" s="9" t="s">
        <v>2306</v>
      </c>
      <c r="B366" s="9" t="s">
        <v>680</v>
      </c>
      <c r="C366" s="9" t="s">
        <v>2669</v>
      </c>
      <c r="D366" s="9" t="s">
        <v>2670</v>
      </c>
      <c r="E366" s="10" t="s">
        <v>31</v>
      </c>
      <c r="F366" s="10" t="s">
        <v>32</v>
      </c>
      <c r="G366" s="46"/>
      <c r="H366" s="46"/>
      <c r="I366" s="46"/>
      <c r="J366" s="46">
        <v>329.0</v>
      </c>
      <c r="K366" s="9" t="s">
        <v>2671</v>
      </c>
      <c r="L366" s="46">
        <v>1.0</v>
      </c>
      <c r="M366" s="13">
        <v>1.0</v>
      </c>
      <c r="N366" s="13"/>
      <c r="O366" s="13"/>
      <c r="P366" s="13"/>
      <c r="Q366" s="13"/>
      <c r="R366" s="13"/>
      <c r="S366" s="46" t="s">
        <v>2672</v>
      </c>
      <c r="T366" s="46" t="s">
        <v>2673</v>
      </c>
      <c r="U366" s="9" t="s">
        <v>2528</v>
      </c>
      <c r="V366" s="12"/>
      <c r="W366" s="13"/>
      <c r="X366" s="13"/>
      <c r="Y366" s="13"/>
      <c r="Z366" s="13"/>
      <c r="AA366" s="13"/>
      <c r="AB366" s="13"/>
      <c r="AC366" s="14" t="s">
        <v>2674</v>
      </c>
      <c r="AD366" s="13"/>
      <c r="AE366" s="13"/>
    </row>
    <row r="367">
      <c r="A367" s="9" t="s">
        <v>2306</v>
      </c>
      <c r="B367" s="9" t="s">
        <v>680</v>
      </c>
      <c r="C367" s="9" t="s">
        <v>2675</v>
      </c>
      <c r="D367" s="9" t="s">
        <v>2676</v>
      </c>
      <c r="E367" s="10" t="s">
        <v>31</v>
      </c>
      <c r="F367" s="10" t="s">
        <v>32</v>
      </c>
      <c r="G367" s="46"/>
      <c r="H367" s="46"/>
      <c r="I367" s="46"/>
      <c r="J367" s="46">
        <v>330.0</v>
      </c>
      <c r="K367" s="9" t="s">
        <v>2677</v>
      </c>
      <c r="L367" s="46">
        <v>1.0</v>
      </c>
      <c r="M367" s="46">
        <v>1.0</v>
      </c>
      <c r="N367" s="46" t="s">
        <v>2678</v>
      </c>
      <c r="O367" s="13"/>
      <c r="P367" s="13"/>
      <c r="Q367" s="13"/>
      <c r="R367" s="13"/>
      <c r="S367" s="46" t="s">
        <v>2569</v>
      </c>
      <c r="T367" s="46" t="s">
        <v>2570</v>
      </c>
      <c r="U367" s="9" t="s">
        <v>220</v>
      </c>
      <c r="V367" s="9" t="s">
        <v>220</v>
      </c>
      <c r="W367" s="46" t="s">
        <v>2313</v>
      </c>
      <c r="X367" s="46" t="s">
        <v>2314</v>
      </c>
      <c r="Y367" s="50">
        <v>44070.0</v>
      </c>
      <c r="Z367" s="50">
        <v>44071.0</v>
      </c>
      <c r="AA367" s="13"/>
      <c r="AB367" s="13"/>
      <c r="AC367" s="14" t="s">
        <v>2679</v>
      </c>
      <c r="AD367" s="13"/>
      <c r="AE367" s="13"/>
    </row>
    <row r="368">
      <c r="A368" s="9" t="s">
        <v>2306</v>
      </c>
      <c r="B368" s="9" t="s">
        <v>680</v>
      </c>
      <c r="C368" s="10" t="s">
        <v>2680</v>
      </c>
      <c r="D368" s="9" t="s">
        <v>2681</v>
      </c>
      <c r="E368" s="10" t="s">
        <v>31</v>
      </c>
      <c r="F368" s="10" t="s">
        <v>32</v>
      </c>
      <c r="G368" s="46" t="s">
        <v>2682</v>
      </c>
      <c r="H368" s="10" t="s">
        <v>34</v>
      </c>
      <c r="I368" s="10" t="s">
        <v>35</v>
      </c>
      <c r="J368" s="46"/>
      <c r="K368" s="9"/>
      <c r="L368" s="46">
        <v>1.0</v>
      </c>
      <c r="M368" s="13">
        <v>1.0</v>
      </c>
      <c r="N368" s="46" t="s">
        <v>2525</v>
      </c>
      <c r="O368" s="13"/>
      <c r="P368" s="13"/>
      <c r="Q368" s="13"/>
      <c r="R368" s="13"/>
      <c r="S368" s="46" t="s">
        <v>2569</v>
      </c>
      <c r="T368" s="46" t="s">
        <v>2570</v>
      </c>
      <c r="U368" s="9" t="s">
        <v>220</v>
      </c>
      <c r="V368" s="9" t="s">
        <v>2683</v>
      </c>
      <c r="W368" s="46" t="s">
        <v>2313</v>
      </c>
      <c r="X368" s="46" t="s">
        <v>2314</v>
      </c>
      <c r="Y368" s="50">
        <v>44071.0</v>
      </c>
      <c r="Z368" s="50">
        <v>44071.0</v>
      </c>
      <c r="AA368" s="13"/>
      <c r="AB368" s="13"/>
      <c r="AC368" s="14" t="s">
        <v>2684</v>
      </c>
      <c r="AD368" s="13"/>
      <c r="AE368" s="13"/>
    </row>
    <row r="369">
      <c r="A369" s="9" t="s">
        <v>2306</v>
      </c>
      <c r="B369" s="9" t="s">
        <v>765</v>
      </c>
      <c r="C369" s="9" t="s">
        <v>2685</v>
      </c>
      <c r="D369" s="12" t="s">
        <v>2686</v>
      </c>
      <c r="E369" s="10" t="s">
        <v>31</v>
      </c>
      <c r="F369" s="10" t="s">
        <v>32</v>
      </c>
      <c r="G369" s="46"/>
      <c r="H369" s="46"/>
      <c r="I369" s="46"/>
      <c r="J369" s="46" t="s">
        <v>2687</v>
      </c>
      <c r="K369" s="9" t="s">
        <v>2688</v>
      </c>
      <c r="L369" s="13">
        <v>24.0</v>
      </c>
      <c r="M369" s="13">
        <v>24.0</v>
      </c>
      <c r="N369" s="13"/>
      <c r="O369" s="13"/>
      <c r="P369" s="13"/>
      <c r="Q369" s="13"/>
      <c r="R369" s="13"/>
      <c r="S369" s="46" t="s">
        <v>2361</v>
      </c>
      <c r="T369" s="46" t="s">
        <v>2362</v>
      </c>
      <c r="U369" s="9" t="s">
        <v>2689</v>
      </c>
      <c r="V369" s="12" t="s">
        <v>2585</v>
      </c>
      <c r="W369" s="46" t="s">
        <v>2313</v>
      </c>
      <c r="X369" s="46" t="s">
        <v>2314</v>
      </c>
      <c r="Y369" s="50">
        <v>44071.0</v>
      </c>
      <c r="Z369" s="50">
        <v>44071.0</v>
      </c>
      <c r="AA369" s="13"/>
      <c r="AB369" s="13"/>
      <c r="AC369" s="14" t="s">
        <v>2690</v>
      </c>
      <c r="AD369" s="13"/>
      <c r="AE369" s="13"/>
    </row>
    <row r="370">
      <c r="A370" s="9" t="s">
        <v>2306</v>
      </c>
      <c r="B370" s="9" t="s">
        <v>765</v>
      </c>
      <c r="C370" s="9" t="s">
        <v>2691</v>
      </c>
      <c r="D370" s="9" t="s">
        <v>2692</v>
      </c>
      <c r="E370" s="10" t="s">
        <v>31</v>
      </c>
      <c r="F370" s="10" t="s">
        <v>32</v>
      </c>
      <c r="G370" s="46" t="s">
        <v>2532</v>
      </c>
      <c r="H370" s="10" t="s">
        <v>34</v>
      </c>
      <c r="I370" s="10" t="s">
        <v>35</v>
      </c>
      <c r="J370" s="46" t="s">
        <v>2693</v>
      </c>
      <c r="K370" s="9" t="s">
        <v>2694</v>
      </c>
      <c r="L370" s="46">
        <v>8.0</v>
      </c>
      <c r="M370" s="46">
        <v>8.0</v>
      </c>
      <c r="N370" s="46" t="s">
        <v>2695</v>
      </c>
      <c r="O370" s="13"/>
      <c r="P370" s="13"/>
      <c r="Q370" s="13"/>
      <c r="R370" s="13"/>
      <c r="S370" s="46" t="s">
        <v>2569</v>
      </c>
      <c r="T370" s="46" t="s">
        <v>2570</v>
      </c>
      <c r="U370" s="9" t="s">
        <v>2696</v>
      </c>
      <c r="V370" s="9" t="s">
        <v>2315</v>
      </c>
      <c r="W370" s="46" t="s">
        <v>2313</v>
      </c>
      <c r="X370" s="46" t="s">
        <v>2314</v>
      </c>
      <c r="Y370" s="50">
        <v>44071.0</v>
      </c>
      <c r="Z370" s="50">
        <v>44071.0</v>
      </c>
      <c r="AA370" s="13"/>
      <c r="AB370" s="13"/>
      <c r="AC370" s="14" t="s">
        <v>2697</v>
      </c>
      <c r="AD370" s="13"/>
      <c r="AE370" s="13"/>
    </row>
    <row r="371">
      <c r="A371" s="9" t="s">
        <v>2306</v>
      </c>
      <c r="B371" s="9" t="s">
        <v>226</v>
      </c>
      <c r="C371" s="10" t="s">
        <v>2698</v>
      </c>
      <c r="D371" s="9" t="s">
        <v>2699</v>
      </c>
      <c r="E371" s="10" t="s">
        <v>31</v>
      </c>
      <c r="F371" s="10" t="s">
        <v>32</v>
      </c>
      <c r="G371" s="46" t="s">
        <v>2700</v>
      </c>
      <c r="H371" s="10" t="s">
        <v>34</v>
      </c>
      <c r="I371" s="10" t="s">
        <v>35</v>
      </c>
      <c r="J371" s="46">
        <v>350.0</v>
      </c>
      <c r="K371" s="9" t="s">
        <v>2701</v>
      </c>
      <c r="L371" s="46">
        <v>1.0</v>
      </c>
      <c r="M371" s="13">
        <v>1.0</v>
      </c>
      <c r="N371" s="13"/>
      <c r="O371" s="13"/>
      <c r="P371" s="13"/>
      <c r="Q371" s="13"/>
      <c r="R371" s="13"/>
      <c r="S371" s="46" t="s">
        <v>2569</v>
      </c>
      <c r="T371" s="46" t="s">
        <v>2570</v>
      </c>
      <c r="U371" s="9" t="s">
        <v>2696</v>
      </c>
      <c r="V371" s="9" t="s">
        <v>2315</v>
      </c>
      <c r="W371" s="46" t="s">
        <v>2313</v>
      </c>
      <c r="X371" s="46" t="s">
        <v>2314</v>
      </c>
      <c r="Y371" s="50">
        <v>44042.0</v>
      </c>
      <c r="Z371" s="50">
        <v>44042.0</v>
      </c>
      <c r="AA371" s="13"/>
      <c r="AB371" s="13"/>
      <c r="AC371" s="14" t="s">
        <v>2702</v>
      </c>
      <c r="AD371" s="13"/>
      <c r="AE371" s="13"/>
    </row>
    <row r="372">
      <c r="A372" s="9" t="s">
        <v>2306</v>
      </c>
      <c r="B372" s="9" t="s">
        <v>226</v>
      </c>
      <c r="C372" s="10" t="s">
        <v>2703</v>
      </c>
      <c r="D372" s="9" t="s">
        <v>2704</v>
      </c>
      <c r="E372" s="10" t="s">
        <v>31</v>
      </c>
      <c r="F372" s="10" t="s">
        <v>32</v>
      </c>
      <c r="G372" s="46" t="s">
        <v>2700</v>
      </c>
      <c r="H372" s="10" t="s">
        <v>34</v>
      </c>
      <c r="I372" s="10" t="s">
        <v>35</v>
      </c>
      <c r="J372" s="46" t="s">
        <v>2705</v>
      </c>
      <c r="K372" s="9" t="s">
        <v>2701</v>
      </c>
      <c r="L372" s="46">
        <v>12.0</v>
      </c>
      <c r="M372" s="13">
        <v>12.0</v>
      </c>
      <c r="N372" s="13"/>
      <c r="O372" s="13"/>
      <c r="P372" s="13"/>
      <c r="Q372" s="13"/>
      <c r="R372" s="13"/>
      <c r="S372" s="46" t="s">
        <v>2569</v>
      </c>
      <c r="T372" s="46" t="s">
        <v>2570</v>
      </c>
      <c r="U372" s="9" t="s">
        <v>2315</v>
      </c>
      <c r="V372" s="9" t="s">
        <v>2706</v>
      </c>
      <c r="W372" s="13"/>
      <c r="X372" s="13"/>
      <c r="Y372" s="13"/>
      <c r="Z372" s="13"/>
      <c r="AA372" s="13"/>
      <c r="AB372" s="13"/>
      <c r="AC372" s="14" t="s">
        <v>2707</v>
      </c>
      <c r="AD372" s="13"/>
      <c r="AE372" s="13"/>
    </row>
    <row r="373">
      <c r="A373" s="9" t="s">
        <v>2306</v>
      </c>
      <c r="B373" s="9" t="s">
        <v>226</v>
      </c>
      <c r="C373" s="10" t="s">
        <v>2708</v>
      </c>
      <c r="D373" s="9" t="s">
        <v>2709</v>
      </c>
      <c r="E373" s="10" t="s">
        <v>31</v>
      </c>
      <c r="F373" s="10" t="s">
        <v>32</v>
      </c>
      <c r="G373" s="46" t="s">
        <v>2700</v>
      </c>
      <c r="H373" s="10" t="s">
        <v>34</v>
      </c>
      <c r="I373" s="10" t="s">
        <v>35</v>
      </c>
      <c r="J373" s="46" t="s">
        <v>2710</v>
      </c>
      <c r="K373" s="9" t="s">
        <v>2711</v>
      </c>
      <c r="L373" s="46">
        <v>20.0</v>
      </c>
      <c r="M373" s="13">
        <v>20.0</v>
      </c>
      <c r="N373" s="13"/>
      <c r="O373" s="13"/>
      <c r="P373" s="18" t="s">
        <v>2712</v>
      </c>
      <c r="Q373" s="18"/>
      <c r="R373" s="18" t="s">
        <v>2713</v>
      </c>
      <c r="S373" s="46" t="s">
        <v>2569</v>
      </c>
      <c r="T373" s="46" t="s">
        <v>2570</v>
      </c>
      <c r="U373" s="9" t="s">
        <v>2714</v>
      </c>
      <c r="V373" s="9" t="s">
        <v>2648</v>
      </c>
      <c r="W373" s="18" t="s">
        <v>1923</v>
      </c>
      <c r="X373" s="18" t="s">
        <v>1616</v>
      </c>
      <c r="Y373" s="31">
        <v>44389.0</v>
      </c>
      <c r="Z373" s="31">
        <v>44391.0</v>
      </c>
      <c r="AA373" s="13"/>
      <c r="AB373" s="13"/>
      <c r="AC373" s="14" t="s">
        <v>2715</v>
      </c>
      <c r="AD373" s="13"/>
      <c r="AE373" s="13"/>
    </row>
    <row r="374">
      <c r="A374" s="9" t="s">
        <v>2306</v>
      </c>
      <c r="B374" s="9" t="s">
        <v>226</v>
      </c>
      <c r="C374" s="10" t="s">
        <v>2716</v>
      </c>
      <c r="D374" s="9" t="s">
        <v>2717</v>
      </c>
      <c r="E374" s="10" t="s">
        <v>31</v>
      </c>
      <c r="F374" s="10" t="s">
        <v>32</v>
      </c>
      <c r="G374" s="46" t="s">
        <v>2718</v>
      </c>
      <c r="H374" s="10" t="s">
        <v>34</v>
      </c>
      <c r="I374" s="10" t="s">
        <v>35</v>
      </c>
      <c r="J374" s="46">
        <v>367.0</v>
      </c>
      <c r="K374" s="9" t="s">
        <v>2719</v>
      </c>
      <c r="L374" s="46">
        <v>3.0</v>
      </c>
      <c r="M374" s="13">
        <v>2.0</v>
      </c>
      <c r="N374" s="13"/>
      <c r="O374" s="13"/>
      <c r="P374" s="13"/>
      <c r="Q374" s="13"/>
      <c r="R374" s="13"/>
      <c r="S374" s="46" t="s">
        <v>2720</v>
      </c>
      <c r="T374" s="46" t="s">
        <v>2673</v>
      </c>
      <c r="U374" s="9" t="s">
        <v>2714</v>
      </c>
      <c r="V374" s="9" t="s">
        <v>2721</v>
      </c>
      <c r="W374" s="13"/>
      <c r="X374" s="13"/>
      <c r="Y374" s="13"/>
      <c r="Z374" s="13"/>
      <c r="AA374" s="13"/>
      <c r="AB374" s="13"/>
      <c r="AC374" s="14" t="s">
        <v>2722</v>
      </c>
      <c r="AD374" s="13"/>
      <c r="AE374" s="13"/>
    </row>
    <row r="375">
      <c r="A375" s="9" t="s">
        <v>2306</v>
      </c>
      <c r="B375" s="9" t="s">
        <v>226</v>
      </c>
      <c r="C375" s="10" t="s">
        <v>2723</v>
      </c>
      <c r="D375" s="9" t="s">
        <v>2724</v>
      </c>
      <c r="E375" s="10" t="s">
        <v>31</v>
      </c>
      <c r="F375" s="10" t="s">
        <v>32</v>
      </c>
      <c r="G375" s="46" t="s">
        <v>2700</v>
      </c>
      <c r="H375" s="10" t="s">
        <v>34</v>
      </c>
      <c r="I375" s="10" t="s">
        <v>35</v>
      </c>
      <c r="J375" s="46">
        <v>368.0</v>
      </c>
      <c r="K375" s="9" t="s">
        <v>2725</v>
      </c>
      <c r="L375" s="46">
        <v>8.0</v>
      </c>
      <c r="M375" s="13">
        <v>8.0</v>
      </c>
      <c r="N375" s="13"/>
      <c r="O375" s="13"/>
      <c r="P375" s="13"/>
      <c r="Q375" s="13"/>
      <c r="R375" s="13"/>
      <c r="S375" s="46" t="s">
        <v>2720</v>
      </c>
      <c r="T375" s="46" t="s">
        <v>2673</v>
      </c>
      <c r="U375" s="9" t="s">
        <v>2648</v>
      </c>
      <c r="V375" s="9" t="s">
        <v>2528</v>
      </c>
      <c r="W375" s="13"/>
      <c r="X375" s="13"/>
      <c r="Y375" s="13"/>
      <c r="Z375" s="13"/>
      <c r="AA375" s="13"/>
      <c r="AB375" s="13"/>
      <c r="AC375" s="14" t="s">
        <v>2726</v>
      </c>
      <c r="AD375" s="13"/>
      <c r="AE375" s="13"/>
    </row>
    <row r="376">
      <c r="A376" s="9" t="s">
        <v>2306</v>
      </c>
      <c r="B376" s="9" t="s">
        <v>226</v>
      </c>
      <c r="C376" s="10" t="s">
        <v>2727</v>
      </c>
      <c r="D376" s="9" t="s">
        <v>2728</v>
      </c>
      <c r="E376" s="10" t="s">
        <v>31</v>
      </c>
      <c r="F376" s="10" t="s">
        <v>32</v>
      </c>
      <c r="G376" s="46" t="s">
        <v>2700</v>
      </c>
      <c r="H376" s="10" t="s">
        <v>34</v>
      </c>
      <c r="I376" s="10" t="s">
        <v>35</v>
      </c>
      <c r="J376" s="46">
        <v>372.0</v>
      </c>
      <c r="K376" s="9" t="s">
        <v>2729</v>
      </c>
      <c r="L376" s="46">
        <v>4.0</v>
      </c>
      <c r="M376" s="13">
        <v>4.0</v>
      </c>
      <c r="N376" s="13"/>
      <c r="O376" s="13"/>
      <c r="P376" s="13"/>
      <c r="Q376" s="13"/>
      <c r="R376" s="13"/>
      <c r="S376" s="46" t="s">
        <v>2672</v>
      </c>
      <c r="T376" s="46" t="s">
        <v>2673</v>
      </c>
      <c r="U376" s="9" t="s">
        <v>2721</v>
      </c>
      <c r="V376" s="9" t="s">
        <v>2721</v>
      </c>
      <c r="W376" s="13"/>
      <c r="X376" s="13"/>
      <c r="Y376" s="13"/>
      <c r="Z376" s="13"/>
      <c r="AA376" s="13"/>
      <c r="AB376" s="13"/>
      <c r="AC376" s="14" t="s">
        <v>2730</v>
      </c>
      <c r="AD376" s="13"/>
      <c r="AE376" s="13"/>
    </row>
    <row r="377">
      <c r="A377" s="52" t="s">
        <v>2306</v>
      </c>
      <c r="B377" s="52" t="s">
        <v>367</v>
      </c>
      <c r="C377" s="52" t="s">
        <v>2731</v>
      </c>
      <c r="D377" s="53" t="s">
        <v>2732</v>
      </c>
      <c r="E377" s="53" t="s">
        <v>31</v>
      </c>
      <c r="F377" s="53" t="s">
        <v>32</v>
      </c>
      <c r="G377" s="54" t="s">
        <v>1026</v>
      </c>
      <c r="H377" s="54"/>
      <c r="I377" s="54"/>
      <c r="J377" s="54" t="s">
        <v>2733</v>
      </c>
      <c r="K377" s="52" t="s">
        <v>2734</v>
      </c>
      <c r="L377" s="54">
        <v>13.0</v>
      </c>
      <c r="M377" s="55">
        <v>13.0</v>
      </c>
      <c r="N377" s="55"/>
      <c r="O377" s="55"/>
      <c r="P377" s="55" t="s">
        <v>2735</v>
      </c>
      <c r="Q377" s="56" t="s">
        <v>2736</v>
      </c>
      <c r="R377" s="56" t="s">
        <v>2737</v>
      </c>
      <c r="S377" s="54" t="s">
        <v>1615</v>
      </c>
      <c r="T377" s="54" t="s">
        <v>1616</v>
      </c>
      <c r="U377" s="52" t="s">
        <v>2738</v>
      </c>
      <c r="V377" s="52" t="s">
        <v>2739</v>
      </c>
      <c r="W377" s="55" t="s">
        <v>41</v>
      </c>
      <c r="X377" s="55" t="s">
        <v>42</v>
      </c>
      <c r="Y377" s="57">
        <v>44144.0</v>
      </c>
      <c r="Z377" s="58">
        <v>44145.0</v>
      </c>
      <c r="AA377" s="57">
        <v>44207.0</v>
      </c>
      <c r="AB377" s="55"/>
      <c r="AC377" s="59" t="s">
        <v>2740</v>
      </c>
      <c r="AD377" s="55"/>
      <c r="AE377" s="55"/>
    </row>
    <row r="378">
      <c r="A378" s="9" t="s">
        <v>2306</v>
      </c>
      <c r="B378" s="9" t="s">
        <v>367</v>
      </c>
      <c r="C378" s="9" t="s">
        <v>2741</v>
      </c>
      <c r="D378" s="17" t="s">
        <v>2742</v>
      </c>
      <c r="E378" s="10" t="s">
        <v>31</v>
      </c>
      <c r="F378" s="10" t="s">
        <v>32</v>
      </c>
      <c r="G378" s="46" t="s">
        <v>1026</v>
      </c>
      <c r="H378" s="13"/>
      <c r="I378" s="13"/>
      <c r="J378" s="13" t="s">
        <v>2743</v>
      </c>
      <c r="K378" s="9" t="s">
        <v>2744</v>
      </c>
      <c r="L378" s="46">
        <v>7.0</v>
      </c>
      <c r="M378" s="13">
        <v>7.0</v>
      </c>
      <c r="N378" s="13" t="s">
        <v>2745</v>
      </c>
      <c r="O378" s="13"/>
      <c r="P378" s="13" t="s">
        <v>2746</v>
      </c>
      <c r="Q378" s="18" t="s">
        <v>2747</v>
      </c>
      <c r="R378" s="13" t="s">
        <v>2748</v>
      </c>
      <c r="S378" s="46" t="s">
        <v>1615</v>
      </c>
      <c r="T378" s="46" t="s">
        <v>1616</v>
      </c>
      <c r="U378" s="60">
        <v>44145.0</v>
      </c>
      <c r="V378" s="60">
        <v>44146.0</v>
      </c>
      <c r="W378" s="13" t="s">
        <v>41</v>
      </c>
      <c r="X378" s="13" t="s">
        <v>42</v>
      </c>
      <c r="Y378" s="51">
        <v>44207.0</v>
      </c>
      <c r="Z378" s="51">
        <v>44207.0</v>
      </c>
      <c r="AA378" s="13"/>
      <c r="AB378" s="13"/>
      <c r="AC378" s="14" t="s">
        <v>2749</v>
      </c>
      <c r="AD378" s="13"/>
      <c r="AE378" s="13"/>
    </row>
    <row r="379">
      <c r="A379" s="9" t="s">
        <v>2306</v>
      </c>
      <c r="B379" s="9" t="s">
        <v>367</v>
      </c>
      <c r="C379" s="9" t="s">
        <v>2750</v>
      </c>
      <c r="D379" s="10" t="s">
        <v>2751</v>
      </c>
      <c r="E379" s="10" t="s">
        <v>31</v>
      </c>
      <c r="F379" s="10" t="s">
        <v>32</v>
      </c>
      <c r="G379" s="46" t="s">
        <v>1026</v>
      </c>
      <c r="H379" s="46"/>
      <c r="I379" s="46"/>
      <c r="J379" s="46" t="s">
        <v>2752</v>
      </c>
      <c r="K379" s="9" t="s">
        <v>2753</v>
      </c>
      <c r="L379" s="46">
        <v>19.0</v>
      </c>
      <c r="M379" s="13">
        <v>19.0</v>
      </c>
      <c r="N379" s="13"/>
      <c r="O379" s="13"/>
      <c r="P379" s="13" t="s">
        <v>2754</v>
      </c>
      <c r="Q379" s="18" t="s">
        <v>2755</v>
      </c>
      <c r="R379" s="18" t="s">
        <v>2756</v>
      </c>
      <c r="S379" s="46" t="s">
        <v>1615</v>
      </c>
      <c r="T379" s="46" t="s">
        <v>1616</v>
      </c>
      <c r="U379" s="9" t="s">
        <v>2757</v>
      </c>
      <c r="V379" s="9" t="s">
        <v>2758</v>
      </c>
      <c r="W379" s="13"/>
      <c r="X379" s="13"/>
      <c r="Y379" s="13"/>
      <c r="Z379" s="13"/>
      <c r="AA379" s="13"/>
      <c r="AB379" s="13"/>
      <c r="AC379" s="14" t="s">
        <v>2759</v>
      </c>
      <c r="AD379" s="13"/>
      <c r="AE379" s="13"/>
    </row>
    <row r="380">
      <c r="A380" s="9" t="s">
        <v>2306</v>
      </c>
      <c r="B380" s="9" t="s">
        <v>367</v>
      </c>
      <c r="C380" s="9" t="s">
        <v>2760</v>
      </c>
      <c r="D380" s="10" t="s">
        <v>2761</v>
      </c>
      <c r="E380" s="10" t="s">
        <v>31</v>
      </c>
      <c r="F380" s="10" t="s">
        <v>32</v>
      </c>
      <c r="G380" s="46" t="s">
        <v>1026</v>
      </c>
      <c r="H380" s="46"/>
      <c r="I380" s="46"/>
      <c r="J380" s="46" t="s">
        <v>2762</v>
      </c>
      <c r="K380" s="9" t="s">
        <v>2763</v>
      </c>
      <c r="L380" s="46">
        <v>15.0</v>
      </c>
      <c r="M380" s="13">
        <v>10.0</v>
      </c>
      <c r="N380" s="13"/>
      <c r="O380" s="13"/>
      <c r="P380" s="13" t="s">
        <v>2764</v>
      </c>
      <c r="Q380" s="18" t="s">
        <v>2765</v>
      </c>
      <c r="R380" s="18" t="s">
        <v>2766</v>
      </c>
      <c r="S380" s="46" t="s">
        <v>1615</v>
      </c>
      <c r="T380" s="46" t="s">
        <v>1616</v>
      </c>
      <c r="U380" s="9" t="s">
        <v>2767</v>
      </c>
      <c r="V380" s="9" t="s">
        <v>2768</v>
      </c>
      <c r="W380" s="13"/>
      <c r="X380" s="13"/>
      <c r="Y380" s="13"/>
      <c r="Z380" s="13"/>
      <c r="AA380" s="13"/>
      <c r="AB380" s="13"/>
      <c r="AC380" s="14" t="s">
        <v>2769</v>
      </c>
      <c r="AD380" s="13"/>
      <c r="AE380" s="13"/>
    </row>
    <row r="381">
      <c r="A381" s="9" t="s">
        <v>2306</v>
      </c>
      <c r="B381" s="9" t="s">
        <v>577</v>
      </c>
      <c r="C381" s="9" t="s">
        <v>2770</v>
      </c>
      <c r="D381" s="10" t="s">
        <v>2771</v>
      </c>
      <c r="E381" s="10" t="s">
        <v>31</v>
      </c>
      <c r="F381" s="10" t="s">
        <v>32</v>
      </c>
      <c r="G381" s="46" t="s">
        <v>2772</v>
      </c>
      <c r="H381" s="29" t="s">
        <v>295</v>
      </c>
      <c r="I381" s="10" t="s">
        <v>35</v>
      </c>
      <c r="J381" s="46" t="s">
        <v>2773</v>
      </c>
      <c r="K381" s="9" t="s">
        <v>2774</v>
      </c>
      <c r="L381" s="46">
        <v>12.0</v>
      </c>
      <c r="M381" s="13">
        <v>12.0</v>
      </c>
      <c r="N381" s="13"/>
      <c r="O381" s="13"/>
      <c r="P381" s="13" t="s">
        <v>2775</v>
      </c>
      <c r="Q381" s="18" t="s">
        <v>2776</v>
      </c>
      <c r="R381" s="13" t="s">
        <v>2777</v>
      </c>
      <c r="S381" s="46" t="s">
        <v>1615</v>
      </c>
      <c r="T381" s="46" t="s">
        <v>1616</v>
      </c>
      <c r="U381" s="9" t="s">
        <v>2778</v>
      </c>
      <c r="V381" s="9" t="s">
        <v>2779</v>
      </c>
      <c r="W381" s="13"/>
      <c r="X381" s="13"/>
      <c r="Y381" s="13"/>
      <c r="Z381" s="13"/>
      <c r="AA381" s="13"/>
      <c r="AB381" s="13"/>
      <c r="AC381" s="14" t="s">
        <v>2780</v>
      </c>
      <c r="AD381" s="13"/>
      <c r="AE381" s="13"/>
    </row>
    <row r="382">
      <c r="A382" s="9" t="s">
        <v>2306</v>
      </c>
      <c r="B382" s="9" t="s">
        <v>577</v>
      </c>
      <c r="C382" s="9" t="s">
        <v>2781</v>
      </c>
      <c r="D382" s="10" t="s">
        <v>2782</v>
      </c>
      <c r="E382" s="10" t="s">
        <v>31</v>
      </c>
      <c r="F382" s="10" t="s">
        <v>32</v>
      </c>
      <c r="G382" s="46" t="s">
        <v>1026</v>
      </c>
      <c r="H382" s="29" t="s">
        <v>34</v>
      </c>
      <c r="I382" s="10" t="s">
        <v>35</v>
      </c>
      <c r="J382" s="46" t="s">
        <v>2783</v>
      </c>
      <c r="K382" s="9" t="s">
        <v>2784</v>
      </c>
      <c r="L382" s="46">
        <v>30.0</v>
      </c>
      <c r="M382" s="13">
        <v>30.0</v>
      </c>
      <c r="N382" s="13"/>
      <c r="O382" s="13"/>
      <c r="P382" s="18" t="s">
        <v>2785</v>
      </c>
      <c r="Q382" s="18" t="s">
        <v>2786</v>
      </c>
      <c r="R382" s="18" t="s">
        <v>2787</v>
      </c>
      <c r="S382" s="46" t="s">
        <v>1615</v>
      </c>
      <c r="T382" s="46" t="s">
        <v>1616</v>
      </c>
      <c r="U382" s="9" t="s">
        <v>2788</v>
      </c>
      <c r="V382" s="9" t="s">
        <v>2789</v>
      </c>
      <c r="W382" s="18" t="s">
        <v>41</v>
      </c>
      <c r="X382" s="18" t="s">
        <v>42</v>
      </c>
      <c r="Y382" s="31">
        <v>44372.0</v>
      </c>
      <c r="Z382" s="31">
        <v>44378.0</v>
      </c>
      <c r="AA382" s="13"/>
      <c r="AB382" s="13"/>
      <c r="AC382" s="14" t="s">
        <v>2790</v>
      </c>
      <c r="AD382" s="13"/>
      <c r="AE382" s="13"/>
    </row>
    <row r="383">
      <c r="A383" s="9" t="s">
        <v>2306</v>
      </c>
      <c r="B383" s="9" t="s">
        <v>577</v>
      </c>
      <c r="C383" s="9" t="s">
        <v>2791</v>
      </c>
      <c r="D383" s="10" t="s">
        <v>2792</v>
      </c>
      <c r="E383" s="10" t="s">
        <v>31</v>
      </c>
      <c r="F383" s="10" t="s">
        <v>32</v>
      </c>
      <c r="G383" s="46" t="s">
        <v>2554</v>
      </c>
      <c r="H383" s="10" t="s">
        <v>34</v>
      </c>
      <c r="I383" s="10" t="s">
        <v>35</v>
      </c>
      <c r="J383" s="46">
        <v>430.0</v>
      </c>
      <c r="K383" s="9" t="s">
        <v>2793</v>
      </c>
      <c r="L383" s="46">
        <v>2.0</v>
      </c>
      <c r="M383" s="13">
        <v>2.0</v>
      </c>
      <c r="N383" s="13"/>
      <c r="O383" s="13"/>
      <c r="P383" s="13" t="s">
        <v>2794</v>
      </c>
      <c r="Q383" s="18" t="s">
        <v>2795</v>
      </c>
      <c r="R383" s="13" t="s">
        <v>2796</v>
      </c>
      <c r="S383" s="46" t="s">
        <v>1615</v>
      </c>
      <c r="T383" s="46" t="s">
        <v>1616</v>
      </c>
      <c r="U383" s="9" t="s">
        <v>2797</v>
      </c>
      <c r="V383" s="9" t="s">
        <v>2797</v>
      </c>
      <c r="W383" s="13"/>
      <c r="X383" s="13"/>
      <c r="Y383" s="13"/>
      <c r="Z383" s="13"/>
      <c r="AA383" s="13"/>
      <c r="AB383" s="13"/>
      <c r="AC383" s="14" t="s">
        <v>2798</v>
      </c>
      <c r="AD383" s="13"/>
      <c r="AE383" s="13"/>
    </row>
    <row r="384">
      <c r="A384" s="9" t="s">
        <v>2306</v>
      </c>
      <c r="B384" s="9" t="s">
        <v>577</v>
      </c>
      <c r="C384" s="9" t="s">
        <v>2799</v>
      </c>
      <c r="D384" s="10" t="s">
        <v>2800</v>
      </c>
      <c r="E384" s="10" t="s">
        <v>31</v>
      </c>
      <c r="F384" s="10" t="s">
        <v>32</v>
      </c>
      <c r="G384" s="46" t="s">
        <v>1026</v>
      </c>
      <c r="H384" s="46"/>
      <c r="I384" s="46"/>
      <c r="J384" s="46" t="s">
        <v>2801</v>
      </c>
      <c r="K384" s="9" t="s">
        <v>2802</v>
      </c>
      <c r="L384" s="46">
        <v>15.0</v>
      </c>
      <c r="M384" s="13">
        <v>15.0</v>
      </c>
      <c r="N384" s="13"/>
      <c r="O384" s="13"/>
      <c r="P384" s="13" t="s">
        <v>2803</v>
      </c>
      <c r="Q384" s="18" t="s">
        <v>2804</v>
      </c>
      <c r="R384" s="13" t="s">
        <v>2805</v>
      </c>
      <c r="S384" s="46" t="s">
        <v>1615</v>
      </c>
      <c r="T384" s="46" t="s">
        <v>1616</v>
      </c>
      <c r="U384" s="9" t="s">
        <v>2797</v>
      </c>
      <c r="V384" s="9" t="s">
        <v>2797</v>
      </c>
      <c r="W384" s="13"/>
      <c r="X384" s="13"/>
      <c r="Y384" s="13"/>
      <c r="Z384" s="13"/>
      <c r="AA384" s="13"/>
      <c r="AB384" s="13"/>
      <c r="AC384" s="14" t="s">
        <v>2806</v>
      </c>
      <c r="AD384" s="13"/>
      <c r="AE384" s="13"/>
    </row>
    <row r="385">
      <c r="A385" s="9" t="s">
        <v>2306</v>
      </c>
      <c r="B385" s="9" t="s">
        <v>430</v>
      </c>
      <c r="C385" s="9" t="s">
        <v>2807</v>
      </c>
      <c r="D385" s="10" t="s">
        <v>2808</v>
      </c>
      <c r="E385" s="10" t="s">
        <v>31</v>
      </c>
      <c r="F385" s="10" t="s">
        <v>32</v>
      </c>
      <c r="G385" s="46" t="s">
        <v>2809</v>
      </c>
      <c r="H385" s="10" t="s">
        <v>34</v>
      </c>
      <c r="I385" s="10" t="s">
        <v>35</v>
      </c>
      <c r="J385" s="46" t="s">
        <v>2810</v>
      </c>
      <c r="K385" s="9" t="s">
        <v>2811</v>
      </c>
      <c r="L385" s="46">
        <v>10.0</v>
      </c>
      <c r="M385" s="13">
        <v>10.0</v>
      </c>
      <c r="N385" s="13"/>
      <c r="O385" s="13"/>
      <c r="P385" s="13" t="s">
        <v>2812</v>
      </c>
      <c r="Q385" s="18" t="s">
        <v>2813</v>
      </c>
      <c r="R385" s="13" t="s">
        <v>2814</v>
      </c>
      <c r="S385" s="46" t="s">
        <v>1615</v>
      </c>
      <c r="T385" s="46" t="s">
        <v>1616</v>
      </c>
      <c r="U385" s="9" t="s">
        <v>2815</v>
      </c>
      <c r="V385" s="9" t="s">
        <v>2816</v>
      </c>
      <c r="W385" s="13"/>
      <c r="X385" s="13"/>
      <c r="Y385" s="13"/>
      <c r="Z385" s="13"/>
      <c r="AA385" s="13"/>
      <c r="AB385" s="13"/>
      <c r="AC385" s="14" t="s">
        <v>2817</v>
      </c>
      <c r="AD385" s="13"/>
      <c r="AE385" s="13"/>
    </row>
    <row r="386">
      <c r="A386" s="9" t="s">
        <v>2306</v>
      </c>
      <c r="B386" s="9" t="s">
        <v>430</v>
      </c>
      <c r="C386" s="9" t="s">
        <v>2818</v>
      </c>
      <c r="D386" s="18" t="s">
        <v>2819</v>
      </c>
      <c r="E386" s="10" t="s">
        <v>31</v>
      </c>
      <c r="F386" s="10" t="s">
        <v>32</v>
      </c>
      <c r="G386" s="46" t="s">
        <v>1026</v>
      </c>
      <c r="H386" s="46"/>
      <c r="I386" s="46"/>
      <c r="J386" s="46" t="s">
        <v>2820</v>
      </c>
      <c r="K386" s="9" t="s">
        <v>2821</v>
      </c>
      <c r="L386" s="46">
        <v>4.0</v>
      </c>
      <c r="M386" s="13">
        <v>4.0</v>
      </c>
      <c r="N386" s="18" t="s">
        <v>2822</v>
      </c>
      <c r="O386" s="13"/>
      <c r="P386" s="18" t="s">
        <v>2823</v>
      </c>
      <c r="Q386" s="18" t="s">
        <v>2824</v>
      </c>
      <c r="R386" s="13" t="s">
        <v>2825</v>
      </c>
      <c r="S386" s="46" t="s">
        <v>1615</v>
      </c>
      <c r="T386" s="46" t="s">
        <v>1616</v>
      </c>
      <c r="U386" s="9" t="s">
        <v>2826</v>
      </c>
      <c r="V386" s="9" t="s">
        <v>2826</v>
      </c>
      <c r="W386" s="18" t="s">
        <v>45</v>
      </c>
      <c r="X386" s="18" t="s">
        <v>46</v>
      </c>
      <c r="Y386" s="31">
        <v>45068.0</v>
      </c>
      <c r="Z386" s="31">
        <v>45068.0</v>
      </c>
      <c r="AA386" s="31">
        <v>45068.0</v>
      </c>
      <c r="AB386" s="13"/>
      <c r="AC386" s="14" t="s">
        <v>2827</v>
      </c>
      <c r="AD386" s="13"/>
      <c r="AE386" s="13"/>
    </row>
    <row r="387">
      <c r="A387" s="9" t="s">
        <v>2306</v>
      </c>
      <c r="B387" s="9" t="s">
        <v>430</v>
      </c>
      <c r="C387" s="9" t="s">
        <v>2828</v>
      </c>
      <c r="D387" s="10" t="s">
        <v>2829</v>
      </c>
      <c r="E387" s="10" t="s">
        <v>31</v>
      </c>
      <c r="F387" s="10" t="s">
        <v>32</v>
      </c>
      <c r="G387" s="46" t="s">
        <v>50</v>
      </c>
      <c r="H387" s="46"/>
      <c r="I387" s="46"/>
      <c r="J387" s="46" t="s">
        <v>2830</v>
      </c>
      <c r="K387" s="9" t="s">
        <v>2831</v>
      </c>
      <c r="L387" s="13">
        <v>16.0</v>
      </c>
      <c r="M387" s="46">
        <v>10.0</v>
      </c>
      <c r="N387" s="13"/>
      <c r="O387" s="13"/>
      <c r="P387" s="13" t="s">
        <v>2832</v>
      </c>
      <c r="Q387" s="18" t="s">
        <v>2833</v>
      </c>
      <c r="R387" s="13" t="s">
        <v>2834</v>
      </c>
      <c r="S387" s="46" t="s">
        <v>1615</v>
      </c>
      <c r="T387" s="46" t="s">
        <v>1616</v>
      </c>
      <c r="U387" s="9" t="s">
        <v>2826</v>
      </c>
      <c r="V387" s="9" t="s">
        <v>2835</v>
      </c>
      <c r="W387" s="13"/>
      <c r="X387" s="13"/>
      <c r="Y387" s="13"/>
      <c r="Z387" s="13"/>
      <c r="AA387" s="13"/>
      <c r="AB387" s="13"/>
      <c r="AC387" s="14" t="s">
        <v>2836</v>
      </c>
      <c r="AD387" s="13"/>
      <c r="AE387" s="13"/>
    </row>
    <row r="388">
      <c r="A388" s="9" t="s">
        <v>2306</v>
      </c>
      <c r="B388" s="9" t="s">
        <v>430</v>
      </c>
      <c r="C388" s="9" t="s">
        <v>2837</v>
      </c>
      <c r="D388" s="10" t="s">
        <v>2838</v>
      </c>
      <c r="E388" s="10" t="s">
        <v>31</v>
      </c>
      <c r="F388" s="10" t="s">
        <v>32</v>
      </c>
      <c r="G388" s="46" t="s">
        <v>1704</v>
      </c>
      <c r="H388" s="10" t="s">
        <v>34</v>
      </c>
      <c r="I388" s="10" t="s">
        <v>35</v>
      </c>
      <c r="J388" s="46" t="s">
        <v>2839</v>
      </c>
      <c r="K388" s="9" t="s">
        <v>2840</v>
      </c>
      <c r="L388" s="46">
        <v>16.0</v>
      </c>
      <c r="M388" s="13">
        <v>11.0</v>
      </c>
      <c r="N388" s="13"/>
      <c r="O388" s="13"/>
      <c r="P388" s="13" t="s">
        <v>2841</v>
      </c>
      <c r="Q388" s="18" t="s">
        <v>2842</v>
      </c>
      <c r="R388" s="13" t="s">
        <v>2843</v>
      </c>
      <c r="S388" s="46" t="s">
        <v>1615</v>
      </c>
      <c r="T388" s="46" t="s">
        <v>1616</v>
      </c>
      <c r="U388" s="9" t="s">
        <v>2844</v>
      </c>
      <c r="V388" s="9" t="s">
        <v>2844</v>
      </c>
      <c r="W388" s="13"/>
      <c r="X388" s="13"/>
      <c r="Y388" s="13"/>
      <c r="Z388" s="13"/>
      <c r="AA388" s="13"/>
      <c r="AB388" s="13"/>
      <c r="AC388" s="14" t="s">
        <v>2845</v>
      </c>
      <c r="AD388" s="13"/>
      <c r="AE388" s="13"/>
    </row>
    <row r="389">
      <c r="A389" s="9" t="s">
        <v>2306</v>
      </c>
      <c r="B389" s="9" t="s">
        <v>430</v>
      </c>
      <c r="C389" s="9" t="s">
        <v>2846</v>
      </c>
      <c r="D389" s="10" t="s">
        <v>2847</v>
      </c>
      <c r="E389" s="10" t="s">
        <v>31</v>
      </c>
      <c r="F389" s="10" t="s">
        <v>32</v>
      </c>
      <c r="G389" s="46" t="s">
        <v>1026</v>
      </c>
      <c r="H389" s="46"/>
      <c r="I389" s="46"/>
      <c r="J389" s="46" t="s">
        <v>2848</v>
      </c>
      <c r="K389" s="9" t="s">
        <v>2849</v>
      </c>
      <c r="L389" s="46">
        <v>8.0</v>
      </c>
      <c r="M389" s="13">
        <v>9.0</v>
      </c>
      <c r="N389" s="13"/>
      <c r="O389" s="13"/>
      <c r="P389" s="13" t="s">
        <v>2850</v>
      </c>
      <c r="Q389" s="18" t="s">
        <v>2851</v>
      </c>
      <c r="R389" s="13" t="s">
        <v>2852</v>
      </c>
      <c r="S389" s="46" t="s">
        <v>1615</v>
      </c>
      <c r="T389" s="46" t="s">
        <v>1616</v>
      </c>
      <c r="U389" s="9" t="s">
        <v>2853</v>
      </c>
      <c r="V389" s="9" t="s">
        <v>2853</v>
      </c>
      <c r="W389" s="13"/>
      <c r="X389" s="13"/>
      <c r="Y389" s="13"/>
      <c r="Z389" s="13"/>
      <c r="AA389" s="13"/>
      <c r="AB389" s="13"/>
      <c r="AC389" s="14" t="s">
        <v>2854</v>
      </c>
      <c r="AD389" s="13"/>
      <c r="AE389" s="13"/>
    </row>
    <row r="390">
      <c r="A390" s="9" t="s">
        <v>2306</v>
      </c>
      <c r="B390" s="9" t="s">
        <v>130</v>
      </c>
      <c r="C390" s="10" t="s">
        <v>2855</v>
      </c>
      <c r="D390" s="10" t="s">
        <v>2856</v>
      </c>
      <c r="E390" s="10" t="s">
        <v>31</v>
      </c>
      <c r="F390" s="10" t="s">
        <v>32</v>
      </c>
      <c r="G390" s="46" t="s">
        <v>1704</v>
      </c>
      <c r="H390" s="10" t="s">
        <v>34</v>
      </c>
      <c r="I390" s="10" t="s">
        <v>35</v>
      </c>
      <c r="J390" s="46" t="s">
        <v>2857</v>
      </c>
      <c r="K390" s="9" t="s">
        <v>2858</v>
      </c>
      <c r="L390" s="46">
        <v>6.0</v>
      </c>
      <c r="M390" s="13">
        <v>4.0</v>
      </c>
      <c r="N390" s="13"/>
      <c r="O390" s="13"/>
      <c r="P390" s="13" t="s">
        <v>2859</v>
      </c>
      <c r="Q390" s="18" t="s">
        <v>2860</v>
      </c>
      <c r="R390" s="13" t="s">
        <v>2861</v>
      </c>
      <c r="S390" s="46" t="s">
        <v>1615</v>
      </c>
      <c r="T390" s="46" t="s">
        <v>1616</v>
      </c>
      <c r="U390" s="9" t="s">
        <v>2862</v>
      </c>
      <c r="V390" s="9" t="s">
        <v>2862</v>
      </c>
      <c r="W390" s="13" t="s">
        <v>45</v>
      </c>
      <c r="X390" s="13" t="s">
        <v>46</v>
      </c>
      <c r="Y390" s="51">
        <v>44208.0</v>
      </c>
      <c r="Z390" s="51">
        <v>44208.0</v>
      </c>
      <c r="AA390" s="13"/>
      <c r="AB390" s="13"/>
      <c r="AC390" s="14" t="s">
        <v>2863</v>
      </c>
      <c r="AD390" s="13"/>
      <c r="AE390" s="13"/>
    </row>
    <row r="391">
      <c r="A391" s="9" t="s">
        <v>2306</v>
      </c>
      <c r="B391" s="9" t="s">
        <v>130</v>
      </c>
      <c r="C391" s="9" t="s">
        <v>2864</v>
      </c>
      <c r="D391" s="10" t="s">
        <v>2865</v>
      </c>
      <c r="E391" s="10" t="s">
        <v>31</v>
      </c>
      <c r="F391" s="10" t="s">
        <v>32</v>
      </c>
      <c r="G391" s="46" t="s">
        <v>1704</v>
      </c>
      <c r="H391" s="10" t="s">
        <v>34</v>
      </c>
      <c r="I391" s="10" t="s">
        <v>35</v>
      </c>
      <c r="J391" s="46" t="s">
        <v>2866</v>
      </c>
      <c r="K391" s="9" t="s">
        <v>2867</v>
      </c>
      <c r="L391" s="46">
        <v>9.0</v>
      </c>
      <c r="M391" s="13">
        <v>6.0</v>
      </c>
      <c r="N391" s="13"/>
      <c r="O391" s="13"/>
      <c r="P391" s="13" t="s">
        <v>2868</v>
      </c>
      <c r="Q391" s="18" t="s">
        <v>2869</v>
      </c>
      <c r="R391" s="18" t="s">
        <v>2870</v>
      </c>
      <c r="S391" s="46" t="s">
        <v>1615</v>
      </c>
      <c r="T391" s="46" t="s">
        <v>1616</v>
      </c>
      <c r="U391" s="9" t="s">
        <v>2871</v>
      </c>
      <c r="V391" s="9" t="s">
        <v>2871</v>
      </c>
      <c r="W391" s="13"/>
      <c r="X391" s="13"/>
      <c r="Y391" s="13"/>
      <c r="Z391" s="13"/>
      <c r="AA391" s="13"/>
      <c r="AB391" s="13"/>
      <c r="AC391" s="14" t="s">
        <v>2872</v>
      </c>
      <c r="AD391" s="13"/>
      <c r="AE391" s="13"/>
    </row>
    <row r="392">
      <c r="A392" s="9" t="s">
        <v>2306</v>
      </c>
      <c r="B392" s="9" t="s">
        <v>130</v>
      </c>
      <c r="C392" s="9" t="s">
        <v>2873</v>
      </c>
      <c r="D392" s="10" t="s">
        <v>2874</v>
      </c>
      <c r="E392" s="10" t="s">
        <v>31</v>
      </c>
      <c r="F392" s="10" t="s">
        <v>32</v>
      </c>
      <c r="G392" s="46" t="s">
        <v>2875</v>
      </c>
      <c r="H392" s="29" t="s">
        <v>2876</v>
      </c>
      <c r="I392" s="10" t="s">
        <v>35</v>
      </c>
      <c r="J392" s="46" t="s">
        <v>2877</v>
      </c>
      <c r="K392" s="9" t="s">
        <v>2878</v>
      </c>
      <c r="L392" s="46">
        <v>13.0</v>
      </c>
      <c r="M392" s="13">
        <v>20.0</v>
      </c>
      <c r="N392" s="13"/>
      <c r="O392" s="13"/>
      <c r="P392" s="18" t="s">
        <v>2879</v>
      </c>
      <c r="Q392" s="18" t="s">
        <v>2880</v>
      </c>
      <c r="R392" s="13" t="s">
        <v>2881</v>
      </c>
      <c r="S392" s="46" t="s">
        <v>1615</v>
      </c>
      <c r="T392" s="46" t="s">
        <v>1616</v>
      </c>
      <c r="U392" s="9" t="s">
        <v>2882</v>
      </c>
      <c r="V392" s="9" t="s">
        <v>2883</v>
      </c>
      <c r="W392" s="13" t="s">
        <v>41</v>
      </c>
      <c r="X392" s="13" t="s">
        <v>42</v>
      </c>
      <c r="Y392" s="51">
        <v>44207.0</v>
      </c>
      <c r="Z392" s="51">
        <v>44207.0</v>
      </c>
      <c r="AA392" s="51">
        <v>44208.0</v>
      </c>
      <c r="AB392" s="13"/>
      <c r="AC392" s="14" t="s">
        <v>2884</v>
      </c>
      <c r="AD392" s="13"/>
      <c r="AE392" s="13"/>
    </row>
    <row r="393">
      <c r="A393" s="9" t="s">
        <v>2306</v>
      </c>
      <c r="B393" s="9" t="s">
        <v>130</v>
      </c>
      <c r="C393" s="10" t="s">
        <v>2885</v>
      </c>
      <c r="D393" s="10" t="s">
        <v>2886</v>
      </c>
      <c r="E393" s="10" t="s">
        <v>31</v>
      </c>
      <c r="F393" s="10" t="s">
        <v>32</v>
      </c>
      <c r="G393" s="46" t="s">
        <v>1026</v>
      </c>
      <c r="H393" s="46"/>
      <c r="I393" s="46"/>
      <c r="J393" s="46" t="s">
        <v>1026</v>
      </c>
      <c r="K393" s="9" t="s">
        <v>2887</v>
      </c>
      <c r="L393" s="46">
        <v>1.0</v>
      </c>
      <c r="M393" s="13">
        <v>2.0</v>
      </c>
      <c r="N393" s="13" t="s">
        <v>2888</v>
      </c>
      <c r="O393" s="13"/>
      <c r="P393" s="18" t="s">
        <v>2889</v>
      </c>
      <c r="Q393" s="18" t="s">
        <v>2890</v>
      </c>
      <c r="R393" s="13" t="s">
        <v>2891</v>
      </c>
      <c r="S393" s="46" t="s">
        <v>1615</v>
      </c>
      <c r="T393" s="46" t="s">
        <v>1616</v>
      </c>
      <c r="U393" s="9" t="s">
        <v>2892</v>
      </c>
      <c r="V393" s="9" t="s">
        <v>2892</v>
      </c>
      <c r="W393" s="13"/>
      <c r="X393" s="13"/>
      <c r="Y393" s="13"/>
      <c r="Z393" s="13"/>
      <c r="AA393" s="13"/>
      <c r="AB393" s="13"/>
      <c r="AC393" s="14" t="s">
        <v>2893</v>
      </c>
      <c r="AD393" s="13"/>
      <c r="AE393" s="13"/>
    </row>
    <row r="394">
      <c r="A394" s="9" t="s">
        <v>2306</v>
      </c>
      <c r="B394" s="9" t="s">
        <v>951</v>
      </c>
      <c r="C394" s="9" t="s">
        <v>2894</v>
      </c>
      <c r="D394" s="10" t="s">
        <v>2895</v>
      </c>
      <c r="E394" s="10" t="s">
        <v>31</v>
      </c>
      <c r="F394" s="10" t="s">
        <v>32</v>
      </c>
      <c r="G394" s="46" t="s">
        <v>2875</v>
      </c>
      <c r="H394" s="29" t="s">
        <v>2876</v>
      </c>
      <c r="I394" s="10" t="s">
        <v>35</v>
      </c>
      <c r="J394" s="46" t="s">
        <v>2896</v>
      </c>
      <c r="K394" s="9" t="s">
        <v>2897</v>
      </c>
      <c r="L394" s="46">
        <v>17.0</v>
      </c>
      <c r="M394" s="13">
        <v>12.0</v>
      </c>
      <c r="N394" s="13"/>
      <c r="O394" s="13"/>
      <c r="P394" s="13" t="s">
        <v>2898</v>
      </c>
      <c r="Q394" s="18" t="s">
        <v>2899</v>
      </c>
      <c r="R394" s="13" t="s">
        <v>2900</v>
      </c>
      <c r="S394" s="46" t="s">
        <v>45</v>
      </c>
      <c r="T394" s="46" t="s">
        <v>46</v>
      </c>
      <c r="U394" s="9" t="s">
        <v>2901</v>
      </c>
      <c r="V394" s="9" t="s">
        <v>2902</v>
      </c>
      <c r="W394" s="13"/>
      <c r="X394" s="13"/>
      <c r="Y394" s="13"/>
      <c r="Z394" s="13"/>
      <c r="AA394" s="13"/>
      <c r="AB394" s="13"/>
      <c r="AC394" s="14" t="s">
        <v>2903</v>
      </c>
      <c r="AD394" s="13"/>
      <c r="AE394" s="13"/>
    </row>
    <row r="395">
      <c r="A395" s="9" t="s">
        <v>2306</v>
      </c>
      <c r="B395" s="9" t="s">
        <v>951</v>
      </c>
      <c r="C395" s="9" t="s">
        <v>2904</v>
      </c>
      <c r="D395" s="10" t="s">
        <v>2905</v>
      </c>
      <c r="E395" s="10" t="s">
        <v>31</v>
      </c>
      <c r="F395" s="10" t="s">
        <v>32</v>
      </c>
      <c r="G395" s="46" t="s">
        <v>2875</v>
      </c>
      <c r="H395" s="46"/>
      <c r="I395" s="46"/>
      <c r="J395" s="46" t="s">
        <v>2906</v>
      </c>
      <c r="K395" s="9" t="s">
        <v>2907</v>
      </c>
      <c r="L395" s="46">
        <v>9.0</v>
      </c>
      <c r="M395" s="13">
        <v>6.0</v>
      </c>
      <c r="N395" s="13"/>
      <c r="O395" s="13"/>
      <c r="P395" s="13" t="s">
        <v>2908</v>
      </c>
      <c r="Q395" s="47" t="s">
        <v>2909</v>
      </c>
      <c r="R395" s="61" t="s">
        <v>2910</v>
      </c>
      <c r="S395" s="46" t="s">
        <v>45</v>
      </c>
      <c r="T395" s="46" t="s">
        <v>46</v>
      </c>
      <c r="U395" s="9" t="s">
        <v>2911</v>
      </c>
      <c r="V395" s="9" t="s">
        <v>2911</v>
      </c>
      <c r="W395" s="13"/>
      <c r="X395" s="13"/>
      <c r="Y395" s="13"/>
      <c r="Z395" s="13"/>
      <c r="AA395" s="13"/>
      <c r="AB395" s="13"/>
      <c r="AC395" s="14" t="s">
        <v>2912</v>
      </c>
      <c r="AD395" s="13"/>
      <c r="AE395" s="13"/>
    </row>
    <row r="396">
      <c r="A396" s="9" t="s">
        <v>2306</v>
      </c>
      <c r="B396" s="9" t="s">
        <v>141</v>
      </c>
      <c r="C396" s="9" t="s">
        <v>2913</v>
      </c>
      <c r="D396" s="10" t="s">
        <v>2914</v>
      </c>
      <c r="E396" s="10" t="s">
        <v>31</v>
      </c>
      <c r="F396" s="10" t="s">
        <v>32</v>
      </c>
      <c r="G396" s="46" t="s">
        <v>1026</v>
      </c>
      <c r="H396" s="46"/>
      <c r="I396" s="46"/>
      <c r="J396" s="46" t="s">
        <v>1026</v>
      </c>
      <c r="K396" s="9" t="s">
        <v>2915</v>
      </c>
      <c r="L396" s="46">
        <v>2.0</v>
      </c>
      <c r="M396" s="13">
        <v>2.0</v>
      </c>
      <c r="N396" s="13" t="s">
        <v>2888</v>
      </c>
      <c r="O396" s="13"/>
      <c r="P396" s="18" t="s">
        <v>1005</v>
      </c>
      <c r="Q396" s="18" t="s">
        <v>1005</v>
      </c>
      <c r="R396" s="18" t="s">
        <v>2916</v>
      </c>
      <c r="S396" s="46" t="s">
        <v>45</v>
      </c>
      <c r="T396" s="46" t="s">
        <v>2917</v>
      </c>
      <c r="U396" s="9" t="s">
        <v>2918</v>
      </c>
      <c r="V396" s="9" t="s">
        <v>2918</v>
      </c>
      <c r="W396" s="13"/>
      <c r="X396" s="13"/>
      <c r="Y396" s="13"/>
      <c r="Z396" s="13"/>
      <c r="AA396" s="13"/>
      <c r="AB396" s="13"/>
      <c r="AC396" s="14" t="s">
        <v>2919</v>
      </c>
      <c r="AD396" s="13"/>
      <c r="AE396" s="13"/>
    </row>
    <row r="397">
      <c r="A397" s="9" t="s">
        <v>2306</v>
      </c>
      <c r="B397" s="9" t="s">
        <v>141</v>
      </c>
      <c r="C397" s="9" t="s">
        <v>2920</v>
      </c>
      <c r="D397" s="10" t="s">
        <v>2921</v>
      </c>
      <c r="E397" s="10" t="s">
        <v>31</v>
      </c>
      <c r="F397" s="10" t="s">
        <v>32</v>
      </c>
      <c r="G397" s="46" t="s">
        <v>2922</v>
      </c>
      <c r="H397" s="10" t="s">
        <v>34</v>
      </c>
      <c r="I397" s="10" t="s">
        <v>35</v>
      </c>
      <c r="J397" s="46" t="s">
        <v>2923</v>
      </c>
      <c r="K397" s="9" t="s">
        <v>2924</v>
      </c>
      <c r="L397" s="46">
        <v>12.0</v>
      </c>
      <c r="M397" s="13">
        <v>8.0</v>
      </c>
      <c r="N397" s="13"/>
      <c r="O397" s="13"/>
      <c r="P397" s="13" t="s">
        <v>2925</v>
      </c>
      <c r="Q397" s="18" t="s">
        <v>2926</v>
      </c>
      <c r="R397" s="13" t="s">
        <v>2927</v>
      </c>
      <c r="S397" s="46" t="s">
        <v>45</v>
      </c>
      <c r="T397" s="46" t="s">
        <v>46</v>
      </c>
      <c r="U397" s="9" t="s">
        <v>2918</v>
      </c>
      <c r="V397" s="9" t="s">
        <v>2918</v>
      </c>
      <c r="W397" s="13"/>
      <c r="X397" s="13"/>
      <c r="Y397" s="13"/>
      <c r="Z397" s="13"/>
      <c r="AA397" s="13"/>
      <c r="AB397" s="13"/>
      <c r="AC397" s="14" t="s">
        <v>2928</v>
      </c>
      <c r="AD397" s="13"/>
      <c r="AE397" s="13"/>
    </row>
    <row r="398">
      <c r="A398" s="9" t="s">
        <v>2306</v>
      </c>
      <c r="B398" s="9" t="s">
        <v>141</v>
      </c>
      <c r="C398" s="9" t="s">
        <v>2929</v>
      </c>
      <c r="D398" s="10" t="s">
        <v>2930</v>
      </c>
      <c r="E398" s="10" t="s">
        <v>31</v>
      </c>
      <c r="F398" s="10" t="s">
        <v>32</v>
      </c>
      <c r="G398" s="46" t="s">
        <v>2931</v>
      </c>
      <c r="H398" s="10" t="s">
        <v>34</v>
      </c>
      <c r="I398" s="10" t="s">
        <v>35</v>
      </c>
      <c r="J398" s="46" t="s">
        <v>2932</v>
      </c>
      <c r="K398" s="9" t="s">
        <v>2933</v>
      </c>
      <c r="L398" s="46">
        <v>10.0</v>
      </c>
      <c r="M398" s="13">
        <v>10.0</v>
      </c>
      <c r="N398" s="13"/>
      <c r="O398" s="13"/>
      <c r="P398" s="13" t="s">
        <v>2934</v>
      </c>
      <c r="Q398" s="18" t="s">
        <v>2935</v>
      </c>
      <c r="R398" s="13" t="s">
        <v>2936</v>
      </c>
      <c r="S398" s="46" t="s">
        <v>45</v>
      </c>
      <c r="T398" s="46" t="s">
        <v>46</v>
      </c>
      <c r="U398" s="9" t="s">
        <v>2937</v>
      </c>
      <c r="V398" s="9" t="s">
        <v>2937</v>
      </c>
      <c r="W398" s="13"/>
      <c r="X398" s="13"/>
      <c r="Y398" s="13"/>
      <c r="Z398" s="13"/>
      <c r="AA398" s="13"/>
      <c r="AB398" s="13"/>
      <c r="AC398" s="14" t="s">
        <v>2938</v>
      </c>
      <c r="AD398" s="13"/>
      <c r="AE398" s="13"/>
    </row>
    <row r="399">
      <c r="A399" s="9" t="s">
        <v>2306</v>
      </c>
      <c r="B399" s="9" t="s">
        <v>141</v>
      </c>
      <c r="C399" s="9" t="s">
        <v>2939</v>
      </c>
      <c r="D399" s="10" t="s">
        <v>2940</v>
      </c>
      <c r="E399" s="10" t="s">
        <v>31</v>
      </c>
      <c r="F399" s="10" t="s">
        <v>32</v>
      </c>
      <c r="G399" s="46" t="s">
        <v>1026</v>
      </c>
      <c r="H399" s="46"/>
      <c r="I399" s="46"/>
      <c r="J399" s="46" t="s">
        <v>2941</v>
      </c>
      <c r="K399" s="9" t="s">
        <v>2942</v>
      </c>
      <c r="L399" s="46">
        <v>10.0</v>
      </c>
      <c r="M399" s="13">
        <v>10.0</v>
      </c>
      <c r="N399" s="13"/>
      <c r="O399" s="13"/>
      <c r="P399" s="18" t="s">
        <v>2943</v>
      </c>
      <c r="Q399" s="18" t="s">
        <v>2944</v>
      </c>
      <c r="R399" s="13" t="s">
        <v>2945</v>
      </c>
      <c r="S399" s="46" t="s">
        <v>45</v>
      </c>
      <c r="T399" s="46" t="s">
        <v>46</v>
      </c>
      <c r="U399" s="9" t="s">
        <v>2937</v>
      </c>
      <c r="V399" s="9" t="s">
        <v>2937</v>
      </c>
      <c r="W399" s="13"/>
      <c r="X399" s="13"/>
      <c r="Y399" s="13"/>
      <c r="Z399" s="13"/>
      <c r="AA399" s="13"/>
      <c r="AB399" s="13"/>
      <c r="AC399" s="14" t="s">
        <v>2946</v>
      </c>
      <c r="AD399" s="13"/>
      <c r="AE399" s="13"/>
    </row>
    <row r="400">
      <c r="A400" s="9" t="s">
        <v>2306</v>
      </c>
      <c r="B400" s="9" t="s">
        <v>141</v>
      </c>
      <c r="C400" s="9" t="s">
        <v>2947</v>
      </c>
      <c r="D400" s="10" t="s">
        <v>2948</v>
      </c>
      <c r="E400" s="10" t="s">
        <v>31</v>
      </c>
      <c r="F400" s="10" t="s">
        <v>32</v>
      </c>
      <c r="G400" s="46" t="s">
        <v>2875</v>
      </c>
      <c r="H400" s="29" t="s">
        <v>2876</v>
      </c>
      <c r="I400" s="10" t="s">
        <v>35</v>
      </c>
      <c r="J400" s="46" t="s">
        <v>2949</v>
      </c>
      <c r="K400" s="9" t="s">
        <v>2950</v>
      </c>
      <c r="L400" s="46">
        <v>11.0</v>
      </c>
      <c r="M400" s="13">
        <v>8.0</v>
      </c>
      <c r="N400" s="13"/>
      <c r="O400" s="13"/>
      <c r="P400" s="13" t="s">
        <v>2951</v>
      </c>
      <c r="Q400" s="18" t="s">
        <v>2952</v>
      </c>
      <c r="R400" s="13" t="s">
        <v>2953</v>
      </c>
      <c r="S400" s="46" t="s">
        <v>45</v>
      </c>
      <c r="T400" s="46" t="s">
        <v>46</v>
      </c>
      <c r="U400" s="9" t="s">
        <v>2954</v>
      </c>
      <c r="V400" s="9" t="s">
        <v>2954</v>
      </c>
      <c r="W400" s="13"/>
      <c r="X400" s="13"/>
      <c r="Y400" s="13"/>
      <c r="Z400" s="13"/>
      <c r="AA400" s="13"/>
      <c r="AB400" s="13"/>
      <c r="AC400" s="14" t="s">
        <v>2955</v>
      </c>
      <c r="AD400" s="13"/>
      <c r="AE400" s="13"/>
    </row>
    <row r="401">
      <c r="A401" s="9" t="s">
        <v>2306</v>
      </c>
      <c r="B401" s="9" t="s">
        <v>739</v>
      </c>
      <c r="C401" s="9" t="s">
        <v>2956</v>
      </c>
      <c r="D401" s="10" t="s">
        <v>2957</v>
      </c>
      <c r="E401" s="10" t="s">
        <v>31</v>
      </c>
      <c r="F401" s="10" t="s">
        <v>32</v>
      </c>
      <c r="G401" s="46" t="s">
        <v>1026</v>
      </c>
      <c r="H401" s="46"/>
      <c r="I401" s="46"/>
      <c r="J401" s="46" t="s">
        <v>2958</v>
      </c>
      <c r="K401" s="9" t="s">
        <v>2959</v>
      </c>
      <c r="L401" s="46">
        <v>4.0</v>
      </c>
      <c r="M401" s="13">
        <v>4.0</v>
      </c>
      <c r="N401" s="13" t="s">
        <v>2960</v>
      </c>
      <c r="O401" s="13"/>
      <c r="P401" s="13" t="s">
        <v>2961</v>
      </c>
      <c r="Q401" s="18" t="s">
        <v>2962</v>
      </c>
      <c r="R401" s="13" t="s">
        <v>2963</v>
      </c>
      <c r="S401" s="46" t="s">
        <v>45</v>
      </c>
      <c r="T401" s="46" t="s">
        <v>46</v>
      </c>
      <c r="U401" s="9" t="s">
        <v>2964</v>
      </c>
      <c r="V401" s="9" t="s">
        <v>2964</v>
      </c>
      <c r="W401" s="13"/>
      <c r="X401" s="13"/>
      <c r="Y401" s="13"/>
      <c r="Z401" s="13"/>
      <c r="AA401" s="13"/>
      <c r="AB401" s="13"/>
      <c r="AC401" s="14" t="s">
        <v>2965</v>
      </c>
      <c r="AD401" s="13"/>
      <c r="AE401" s="13"/>
    </row>
    <row r="402">
      <c r="A402" s="9" t="s">
        <v>2306</v>
      </c>
      <c r="B402" s="9" t="s">
        <v>739</v>
      </c>
      <c r="C402" s="9" t="s">
        <v>2966</v>
      </c>
      <c r="D402" s="10" t="s">
        <v>2967</v>
      </c>
      <c r="E402" s="10" t="s">
        <v>31</v>
      </c>
      <c r="F402" s="10" t="s">
        <v>32</v>
      </c>
      <c r="G402" s="46" t="s">
        <v>1026</v>
      </c>
      <c r="H402" s="46"/>
      <c r="I402" s="46"/>
      <c r="J402" s="46">
        <v>523.0</v>
      </c>
      <c r="K402" s="9" t="s">
        <v>2968</v>
      </c>
      <c r="L402" s="46">
        <v>2.0</v>
      </c>
      <c r="M402" s="13">
        <v>2.0</v>
      </c>
      <c r="N402" s="13" t="s">
        <v>2888</v>
      </c>
      <c r="O402" s="13"/>
      <c r="P402" s="18" t="s">
        <v>1005</v>
      </c>
      <c r="Q402" s="18" t="s">
        <v>1005</v>
      </c>
      <c r="R402" s="18" t="s">
        <v>2969</v>
      </c>
      <c r="S402" s="46" t="s">
        <v>45</v>
      </c>
      <c r="T402" s="46" t="s">
        <v>46</v>
      </c>
      <c r="U402" s="9" t="s">
        <v>2332</v>
      </c>
      <c r="V402" s="9" t="s">
        <v>2332</v>
      </c>
      <c r="W402" s="13"/>
      <c r="X402" s="13"/>
      <c r="Y402" s="13"/>
      <c r="Z402" s="13"/>
      <c r="AA402" s="13"/>
      <c r="AB402" s="13"/>
      <c r="AC402" s="14" t="s">
        <v>2970</v>
      </c>
      <c r="AD402" s="13"/>
      <c r="AE402" s="13"/>
    </row>
    <row r="403">
      <c r="A403" s="9" t="s">
        <v>2306</v>
      </c>
      <c r="B403" s="9" t="s">
        <v>739</v>
      </c>
      <c r="C403" s="9" t="s">
        <v>2971</v>
      </c>
      <c r="D403" s="10" t="s">
        <v>2972</v>
      </c>
      <c r="E403" s="10" t="s">
        <v>31</v>
      </c>
      <c r="F403" s="10" t="s">
        <v>32</v>
      </c>
      <c r="G403" s="46" t="s">
        <v>1026</v>
      </c>
      <c r="H403" s="46"/>
      <c r="I403" s="46"/>
      <c r="J403" s="46">
        <v>524.0</v>
      </c>
      <c r="K403" s="9" t="s">
        <v>2973</v>
      </c>
      <c r="L403" s="46">
        <v>2.0</v>
      </c>
      <c r="M403" s="13">
        <v>2.0</v>
      </c>
      <c r="N403" s="13" t="s">
        <v>2888</v>
      </c>
      <c r="O403" s="13"/>
      <c r="P403" s="18" t="s">
        <v>1005</v>
      </c>
      <c r="Q403" s="18" t="s">
        <v>1005</v>
      </c>
      <c r="R403" s="18" t="s">
        <v>2974</v>
      </c>
      <c r="S403" s="46" t="s">
        <v>45</v>
      </c>
      <c r="T403" s="46" t="s">
        <v>46</v>
      </c>
      <c r="U403" s="9" t="s">
        <v>2332</v>
      </c>
      <c r="V403" s="9" t="s">
        <v>2332</v>
      </c>
      <c r="W403" s="13"/>
      <c r="X403" s="13"/>
      <c r="Y403" s="13"/>
      <c r="Z403" s="13"/>
      <c r="AA403" s="13"/>
      <c r="AB403" s="13"/>
      <c r="AC403" s="14" t="s">
        <v>2975</v>
      </c>
      <c r="AD403" s="13"/>
      <c r="AE403" s="13"/>
    </row>
    <row r="404">
      <c r="A404" s="9" t="s">
        <v>2306</v>
      </c>
      <c r="B404" s="9" t="s">
        <v>739</v>
      </c>
      <c r="C404" s="9" t="s">
        <v>2976</v>
      </c>
      <c r="D404" s="10" t="s">
        <v>2977</v>
      </c>
      <c r="E404" s="10" t="s">
        <v>31</v>
      </c>
      <c r="F404" s="10" t="s">
        <v>32</v>
      </c>
      <c r="G404" s="46" t="s">
        <v>1026</v>
      </c>
      <c r="H404" s="46"/>
      <c r="I404" s="46"/>
      <c r="J404" s="46">
        <v>525.0</v>
      </c>
      <c r="K404" s="9" t="s">
        <v>2978</v>
      </c>
      <c r="L404" s="46">
        <v>2.0</v>
      </c>
      <c r="M404" s="13">
        <v>2.0</v>
      </c>
      <c r="N404" s="13" t="s">
        <v>2888</v>
      </c>
      <c r="O404" s="13"/>
      <c r="P404" s="18" t="s">
        <v>1005</v>
      </c>
      <c r="Q404" s="18" t="s">
        <v>1005</v>
      </c>
      <c r="R404" s="18" t="s">
        <v>2979</v>
      </c>
      <c r="S404" s="46" t="s">
        <v>45</v>
      </c>
      <c r="T404" s="46" t="s">
        <v>46</v>
      </c>
      <c r="U404" s="9" t="s">
        <v>2332</v>
      </c>
      <c r="V404" s="9" t="s">
        <v>2332</v>
      </c>
      <c r="W404" s="13"/>
      <c r="X404" s="13"/>
      <c r="Y404" s="13"/>
      <c r="Z404" s="13"/>
      <c r="AA404" s="13"/>
      <c r="AB404" s="13"/>
      <c r="AC404" s="14" t="s">
        <v>2980</v>
      </c>
      <c r="AD404" s="13"/>
      <c r="AE404" s="13"/>
    </row>
    <row r="405">
      <c r="A405" s="9" t="s">
        <v>2306</v>
      </c>
      <c r="B405" s="9" t="s">
        <v>161</v>
      </c>
      <c r="C405" s="9" t="s">
        <v>2981</v>
      </c>
      <c r="D405" s="10" t="s">
        <v>2982</v>
      </c>
      <c r="E405" s="10" t="s">
        <v>31</v>
      </c>
      <c r="F405" s="10" t="s">
        <v>32</v>
      </c>
      <c r="G405" s="46" t="s">
        <v>1026</v>
      </c>
      <c r="H405" s="46"/>
      <c r="I405" s="46"/>
      <c r="J405" s="46">
        <v>527.0</v>
      </c>
      <c r="K405" s="9" t="s">
        <v>2983</v>
      </c>
      <c r="L405" s="46">
        <v>2.0</v>
      </c>
      <c r="M405" s="13">
        <v>2.0</v>
      </c>
      <c r="N405" s="13" t="s">
        <v>2888</v>
      </c>
      <c r="O405" s="13"/>
      <c r="P405" s="18" t="s">
        <v>1005</v>
      </c>
      <c r="Q405" s="18" t="s">
        <v>1005</v>
      </c>
      <c r="R405" s="18" t="s">
        <v>2984</v>
      </c>
      <c r="S405" s="46" t="s">
        <v>1615</v>
      </c>
      <c r="T405" s="46" t="s">
        <v>1616</v>
      </c>
      <c r="U405" s="9" t="s">
        <v>56</v>
      </c>
      <c r="V405" s="9" t="s">
        <v>56</v>
      </c>
      <c r="W405" s="13"/>
      <c r="X405" s="13"/>
      <c r="Y405" s="13"/>
      <c r="Z405" s="13"/>
      <c r="AA405" s="13"/>
      <c r="AB405" s="13"/>
      <c r="AC405" s="14" t="s">
        <v>2985</v>
      </c>
      <c r="AD405" s="13"/>
      <c r="AE405" s="13"/>
    </row>
    <row r="406">
      <c r="A406" s="9" t="s">
        <v>2306</v>
      </c>
      <c r="B406" s="9" t="s">
        <v>161</v>
      </c>
      <c r="C406" s="9" t="s">
        <v>2986</v>
      </c>
      <c r="D406" s="10" t="s">
        <v>2987</v>
      </c>
      <c r="E406" s="10" t="s">
        <v>31</v>
      </c>
      <c r="F406" s="10" t="s">
        <v>32</v>
      </c>
      <c r="G406" s="46" t="s">
        <v>1026</v>
      </c>
      <c r="H406" s="46"/>
      <c r="I406" s="46"/>
      <c r="J406" s="46">
        <v>526.0</v>
      </c>
      <c r="K406" s="9" t="s">
        <v>2988</v>
      </c>
      <c r="L406" s="46">
        <v>2.0</v>
      </c>
      <c r="M406" s="13">
        <v>2.0</v>
      </c>
      <c r="N406" s="13" t="s">
        <v>2888</v>
      </c>
      <c r="O406" s="13"/>
      <c r="P406" s="18" t="s">
        <v>1005</v>
      </c>
      <c r="Q406" s="18" t="s">
        <v>1005</v>
      </c>
      <c r="R406" s="18" t="s">
        <v>2989</v>
      </c>
      <c r="S406" s="46" t="s">
        <v>1615</v>
      </c>
      <c r="T406" s="46" t="s">
        <v>1616</v>
      </c>
      <c r="U406" s="9" t="s">
        <v>56</v>
      </c>
      <c r="V406" s="9" t="s">
        <v>56</v>
      </c>
      <c r="W406" s="13"/>
      <c r="X406" s="13"/>
      <c r="Y406" s="13"/>
      <c r="Z406" s="13"/>
      <c r="AA406" s="13"/>
      <c r="AB406" s="13"/>
      <c r="AC406" s="14" t="s">
        <v>2990</v>
      </c>
      <c r="AD406" s="13"/>
      <c r="AE406" s="13"/>
    </row>
    <row r="407">
      <c r="A407" s="9" t="s">
        <v>2306</v>
      </c>
      <c r="B407" s="9" t="s">
        <v>161</v>
      </c>
      <c r="C407" s="9" t="s">
        <v>2991</v>
      </c>
      <c r="D407" s="10" t="s">
        <v>2992</v>
      </c>
      <c r="E407" s="10" t="s">
        <v>31</v>
      </c>
      <c r="F407" s="10" t="s">
        <v>32</v>
      </c>
      <c r="G407" s="46" t="s">
        <v>2993</v>
      </c>
      <c r="H407" s="46"/>
      <c r="I407" s="46"/>
      <c r="J407" s="46" t="s">
        <v>2994</v>
      </c>
      <c r="K407" s="9" t="s">
        <v>2995</v>
      </c>
      <c r="L407" s="46">
        <v>6.0</v>
      </c>
      <c r="M407" s="13">
        <v>6.0</v>
      </c>
      <c r="N407" s="13"/>
      <c r="O407" s="13"/>
      <c r="P407" s="13" t="s">
        <v>2996</v>
      </c>
      <c r="Q407" s="18" t="s">
        <v>1429</v>
      </c>
      <c r="R407" s="18" t="s">
        <v>2997</v>
      </c>
      <c r="S407" s="46" t="s">
        <v>1615</v>
      </c>
      <c r="T407" s="46" t="s">
        <v>1616</v>
      </c>
      <c r="U407" s="9" t="s">
        <v>99</v>
      </c>
      <c r="V407" s="9" t="s">
        <v>99</v>
      </c>
      <c r="W407" s="13"/>
      <c r="X407" s="13"/>
      <c r="Y407" s="13"/>
      <c r="Z407" s="13"/>
      <c r="AA407" s="13"/>
      <c r="AB407" s="13"/>
      <c r="AC407" s="14" t="s">
        <v>2998</v>
      </c>
      <c r="AD407" s="13"/>
      <c r="AE407" s="13"/>
    </row>
    <row r="408">
      <c r="A408" s="9" t="s">
        <v>2306</v>
      </c>
      <c r="B408" s="9" t="s">
        <v>161</v>
      </c>
      <c r="C408" s="9" t="s">
        <v>2999</v>
      </c>
      <c r="D408" s="10" t="s">
        <v>3000</v>
      </c>
      <c r="E408" s="10" t="s">
        <v>31</v>
      </c>
      <c r="F408" s="10" t="s">
        <v>32</v>
      </c>
      <c r="G408" s="46" t="s">
        <v>1026</v>
      </c>
      <c r="H408" s="46"/>
      <c r="I408" s="46"/>
      <c r="J408" s="46">
        <v>531.0</v>
      </c>
      <c r="K408" s="9" t="s">
        <v>3001</v>
      </c>
      <c r="L408" s="46">
        <v>1.0</v>
      </c>
      <c r="M408" s="13">
        <v>2.0</v>
      </c>
      <c r="N408" s="13" t="s">
        <v>2888</v>
      </c>
      <c r="O408" s="13"/>
      <c r="P408" s="18" t="s">
        <v>1005</v>
      </c>
      <c r="Q408" s="18" t="s">
        <v>1429</v>
      </c>
      <c r="R408" s="18" t="s">
        <v>3002</v>
      </c>
      <c r="S408" s="46" t="s">
        <v>1615</v>
      </c>
      <c r="T408" s="46" t="s">
        <v>1616</v>
      </c>
      <c r="U408" s="9" t="s">
        <v>125</v>
      </c>
      <c r="V408" s="9" t="s">
        <v>125</v>
      </c>
      <c r="W408" s="13"/>
      <c r="X408" s="13"/>
      <c r="Y408" s="13"/>
      <c r="Z408" s="13"/>
      <c r="AA408" s="13"/>
      <c r="AB408" s="13"/>
      <c r="AC408" s="14" t="s">
        <v>3003</v>
      </c>
      <c r="AD408" s="13"/>
      <c r="AE408" s="13"/>
    </row>
    <row r="409">
      <c r="A409" s="9" t="s">
        <v>2306</v>
      </c>
      <c r="B409" s="9" t="s">
        <v>161</v>
      </c>
      <c r="C409" s="9" t="s">
        <v>3004</v>
      </c>
      <c r="D409" s="10" t="s">
        <v>3005</v>
      </c>
      <c r="E409" s="10" t="s">
        <v>31</v>
      </c>
      <c r="F409" s="10" t="s">
        <v>32</v>
      </c>
      <c r="G409" s="46" t="s">
        <v>1026</v>
      </c>
      <c r="H409" s="46"/>
      <c r="I409" s="46"/>
      <c r="J409" s="46" t="s">
        <v>3006</v>
      </c>
      <c r="K409" s="9" t="s">
        <v>3007</v>
      </c>
      <c r="L409" s="13">
        <v>14.0</v>
      </c>
      <c r="M409" s="46">
        <v>14.0</v>
      </c>
      <c r="N409" s="13"/>
      <c r="O409" s="13"/>
      <c r="P409" s="13" t="s">
        <v>3008</v>
      </c>
      <c r="Q409" s="18" t="s">
        <v>3009</v>
      </c>
      <c r="R409" s="18" t="s">
        <v>3010</v>
      </c>
      <c r="S409" s="46" t="s">
        <v>1615</v>
      </c>
      <c r="T409" s="46" t="s">
        <v>1616</v>
      </c>
      <c r="U409" s="9" t="s">
        <v>174</v>
      </c>
      <c r="V409" s="9" t="s">
        <v>174</v>
      </c>
      <c r="W409" s="13"/>
      <c r="X409" s="13"/>
      <c r="Y409" s="13"/>
      <c r="Z409" s="13"/>
      <c r="AA409" s="13"/>
      <c r="AB409" s="13"/>
      <c r="AC409" s="14" t="s">
        <v>3011</v>
      </c>
      <c r="AD409" s="13"/>
      <c r="AE409" s="13"/>
    </row>
    <row r="410">
      <c r="A410" s="9" t="s">
        <v>2306</v>
      </c>
      <c r="B410" s="9" t="s">
        <v>161</v>
      </c>
      <c r="C410" s="9" t="s">
        <v>3012</v>
      </c>
      <c r="D410" s="10" t="s">
        <v>3013</v>
      </c>
      <c r="E410" s="10" t="s">
        <v>31</v>
      </c>
      <c r="F410" s="10" t="s">
        <v>32</v>
      </c>
      <c r="G410" s="46" t="s">
        <v>905</v>
      </c>
      <c r="H410" s="10" t="s">
        <v>34</v>
      </c>
      <c r="I410" s="10" t="s">
        <v>35</v>
      </c>
      <c r="J410" s="46" t="s">
        <v>3014</v>
      </c>
      <c r="K410" s="9" t="s">
        <v>3015</v>
      </c>
      <c r="L410" s="46">
        <v>6.0</v>
      </c>
      <c r="M410" s="13">
        <v>4.0</v>
      </c>
      <c r="N410" s="13"/>
      <c r="O410" s="13"/>
      <c r="P410" s="13" t="s">
        <v>3016</v>
      </c>
      <c r="Q410" s="18" t="s">
        <v>1429</v>
      </c>
      <c r="R410" s="13" t="s">
        <v>3017</v>
      </c>
      <c r="S410" s="46" t="s">
        <v>1615</v>
      </c>
      <c r="T410" s="46" t="s">
        <v>1616</v>
      </c>
      <c r="U410" s="9" t="s">
        <v>201</v>
      </c>
      <c r="V410" s="9" t="s">
        <v>201</v>
      </c>
      <c r="W410" s="18" t="s">
        <v>551</v>
      </c>
      <c r="X410" s="18" t="s">
        <v>552</v>
      </c>
      <c r="Y410" s="62">
        <v>44783.0</v>
      </c>
      <c r="Z410" s="62">
        <v>44783.0</v>
      </c>
      <c r="AA410" s="13"/>
      <c r="AB410" s="13"/>
      <c r="AC410" s="14" t="s">
        <v>3018</v>
      </c>
      <c r="AD410" s="13"/>
      <c r="AE410" s="13"/>
    </row>
    <row r="411">
      <c r="A411" s="9" t="s">
        <v>2306</v>
      </c>
      <c r="B411" s="9" t="s">
        <v>473</v>
      </c>
      <c r="C411" s="9" t="s">
        <v>3019</v>
      </c>
      <c r="D411" s="11" t="s">
        <v>3020</v>
      </c>
      <c r="E411" s="10" t="s">
        <v>31</v>
      </c>
      <c r="F411" s="10" t="s">
        <v>32</v>
      </c>
      <c r="G411" s="46" t="s">
        <v>1026</v>
      </c>
      <c r="H411" s="46"/>
      <c r="I411" s="46"/>
      <c r="J411" s="46">
        <v>541.0</v>
      </c>
      <c r="K411" s="9" t="s">
        <v>3021</v>
      </c>
      <c r="L411" s="46">
        <v>1.0</v>
      </c>
      <c r="M411" s="13">
        <v>2.0</v>
      </c>
      <c r="N411" s="13" t="s">
        <v>2888</v>
      </c>
      <c r="O411" s="13"/>
      <c r="P411" s="18" t="s">
        <v>1005</v>
      </c>
      <c r="Q411" s="18" t="s">
        <v>1429</v>
      </c>
      <c r="R411" s="13" t="s">
        <v>3022</v>
      </c>
      <c r="S411" s="46" t="s">
        <v>1615</v>
      </c>
      <c r="T411" s="46" t="s">
        <v>1616</v>
      </c>
      <c r="U411" s="9" t="s">
        <v>3023</v>
      </c>
      <c r="V411" s="9" t="s">
        <v>3023</v>
      </c>
      <c r="W411" s="13"/>
      <c r="X411" s="13"/>
      <c r="Y411" s="13"/>
      <c r="Z411" s="13"/>
      <c r="AA411" s="13"/>
      <c r="AB411" s="13"/>
      <c r="AC411" s="14" t="s">
        <v>3024</v>
      </c>
      <c r="AD411" s="13"/>
      <c r="AE411" s="13"/>
    </row>
    <row r="412">
      <c r="A412" s="9" t="s">
        <v>2306</v>
      </c>
      <c r="B412" s="9" t="s">
        <v>473</v>
      </c>
      <c r="C412" s="10" t="s">
        <v>3025</v>
      </c>
      <c r="D412" s="10" t="s">
        <v>3026</v>
      </c>
      <c r="E412" s="10" t="s">
        <v>31</v>
      </c>
      <c r="F412" s="10" t="s">
        <v>32</v>
      </c>
      <c r="G412" s="46" t="s">
        <v>1026</v>
      </c>
      <c r="H412" s="46"/>
      <c r="I412" s="46"/>
      <c r="J412" s="46" t="s">
        <v>3027</v>
      </c>
      <c r="K412" s="9" t="s">
        <v>3028</v>
      </c>
      <c r="L412" s="13">
        <v>10.0</v>
      </c>
      <c r="M412" s="46">
        <v>10.0</v>
      </c>
      <c r="N412" s="13"/>
      <c r="O412" s="13"/>
      <c r="P412" s="13" t="s">
        <v>3029</v>
      </c>
      <c r="Q412" s="18" t="s">
        <v>1862</v>
      </c>
      <c r="R412" s="13" t="s">
        <v>3030</v>
      </c>
      <c r="S412" s="46" t="s">
        <v>1615</v>
      </c>
      <c r="T412" s="46" t="s">
        <v>1616</v>
      </c>
      <c r="U412" s="9" t="s">
        <v>3023</v>
      </c>
      <c r="V412" s="9" t="s">
        <v>3023</v>
      </c>
      <c r="W412" s="13"/>
      <c r="X412" s="13"/>
      <c r="Y412" s="13"/>
      <c r="Z412" s="13"/>
      <c r="AA412" s="13"/>
      <c r="AB412" s="13"/>
      <c r="AC412" s="14" t="s">
        <v>3031</v>
      </c>
      <c r="AD412" s="13"/>
      <c r="AE412" s="13"/>
    </row>
    <row r="413">
      <c r="A413" s="9" t="s">
        <v>2306</v>
      </c>
      <c r="B413" s="9" t="s">
        <v>473</v>
      </c>
      <c r="C413" s="9" t="s">
        <v>3032</v>
      </c>
      <c r="D413" s="10" t="s">
        <v>3033</v>
      </c>
      <c r="E413" s="10" t="s">
        <v>31</v>
      </c>
      <c r="F413" s="10" t="s">
        <v>32</v>
      </c>
      <c r="G413" s="46" t="s">
        <v>1026</v>
      </c>
      <c r="H413" s="46"/>
      <c r="I413" s="46"/>
      <c r="J413" s="46">
        <v>547.0</v>
      </c>
      <c r="K413" s="9" t="s">
        <v>3034</v>
      </c>
      <c r="L413" s="46">
        <v>1.0</v>
      </c>
      <c r="M413" s="13">
        <v>2.0</v>
      </c>
      <c r="N413" s="13" t="s">
        <v>2888</v>
      </c>
      <c r="O413" s="13"/>
      <c r="P413" s="18" t="s">
        <v>1005</v>
      </c>
      <c r="Q413" s="18" t="s">
        <v>1429</v>
      </c>
      <c r="R413" s="13" t="s">
        <v>3035</v>
      </c>
      <c r="S413" s="46" t="s">
        <v>1615</v>
      </c>
      <c r="T413" s="46" t="s">
        <v>1616</v>
      </c>
      <c r="U413" s="9" t="s">
        <v>3036</v>
      </c>
      <c r="V413" s="9" t="s">
        <v>3036</v>
      </c>
      <c r="W413" s="13"/>
      <c r="X413" s="13"/>
      <c r="Y413" s="13"/>
      <c r="Z413" s="13"/>
      <c r="AA413" s="13"/>
      <c r="AB413" s="13"/>
      <c r="AC413" s="14" t="s">
        <v>3037</v>
      </c>
      <c r="AD413" s="13"/>
      <c r="AE413" s="13"/>
    </row>
    <row r="414">
      <c r="A414" s="9" t="s">
        <v>2306</v>
      </c>
      <c r="B414" s="9" t="s">
        <v>473</v>
      </c>
      <c r="C414" s="10" t="s">
        <v>3038</v>
      </c>
      <c r="D414" s="10" t="s">
        <v>3039</v>
      </c>
      <c r="E414" s="10" t="s">
        <v>31</v>
      </c>
      <c r="F414" s="10" t="s">
        <v>32</v>
      </c>
      <c r="G414" s="46" t="s">
        <v>3040</v>
      </c>
      <c r="H414" s="29" t="s">
        <v>769</v>
      </c>
      <c r="I414" s="29" t="s">
        <v>770</v>
      </c>
      <c r="J414" s="46" t="s">
        <v>3041</v>
      </c>
      <c r="K414" s="9" t="s">
        <v>3042</v>
      </c>
      <c r="L414" s="46">
        <v>6.0</v>
      </c>
      <c r="M414" s="13">
        <v>4.0</v>
      </c>
      <c r="N414" s="13"/>
      <c r="O414" s="13"/>
      <c r="P414" s="13" t="s">
        <v>3043</v>
      </c>
      <c r="Q414" s="18" t="s">
        <v>1429</v>
      </c>
      <c r="R414" s="13" t="s">
        <v>3044</v>
      </c>
      <c r="S414" s="46" t="s">
        <v>1615</v>
      </c>
      <c r="T414" s="46" t="s">
        <v>1616</v>
      </c>
      <c r="U414" s="9" t="s">
        <v>3036</v>
      </c>
      <c r="V414" s="9" t="s">
        <v>3036</v>
      </c>
      <c r="W414" s="13"/>
      <c r="X414" s="13"/>
      <c r="Y414" s="13"/>
      <c r="Z414" s="13"/>
      <c r="AA414" s="13"/>
      <c r="AB414" s="13"/>
      <c r="AC414" s="14" t="s">
        <v>3045</v>
      </c>
      <c r="AD414" s="13"/>
      <c r="AE414" s="13"/>
    </row>
    <row r="415">
      <c r="A415" s="9" t="s">
        <v>2306</v>
      </c>
      <c r="B415" s="9" t="s">
        <v>473</v>
      </c>
      <c r="C415" s="10" t="s">
        <v>3038</v>
      </c>
      <c r="D415" s="10" t="s">
        <v>3046</v>
      </c>
      <c r="E415" s="10" t="s">
        <v>31</v>
      </c>
      <c r="F415" s="10" t="s">
        <v>32</v>
      </c>
      <c r="G415" s="46" t="s">
        <v>1026</v>
      </c>
      <c r="H415" s="46"/>
      <c r="I415" s="46"/>
      <c r="J415" s="46">
        <v>552.0</v>
      </c>
      <c r="K415" s="9" t="s">
        <v>3047</v>
      </c>
      <c r="L415" s="46">
        <v>1.0</v>
      </c>
      <c r="M415" s="13">
        <v>2.0</v>
      </c>
      <c r="N415" s="13" t="s">
        <v>2888</v>
      </c>
      <c r="O415" s="13"/>
      <c r="P415" s="18" t="s">
        <v>1005</v>
      </c>
      <c r="Q415" s="18" t="s">
        <v>1429</v>
      </c>
      <c r="R415" s="13" t="s">
        <v>3048</v>
      </c>
      <c r="S415" s="46" t="s">
        <v>1615</v>
      </c>
      <c r="T415" s="46" t="s">
        <v>1616</v>
      </c>
      <c r="U415" s="9" t="s">
        <v>3036</v>
      </c>
      <c r="V415" s="9" t="s">
        <v>3036</v>
      </c>
      <c r="W415" s="13"/>
      <c r="X415" s="13"/>
      <c r="Y415" s="13"/>
      <c r="Z415" s="13"/>
      <c r="AA415" s="13"/>
      <c r="AB415" s="13"/>
      <c r="AC415" s="14" t="s">
        <v>3049</v>
      </c>
      <c r="AD415" s="13"/>
      <c r="AE415" s="13"/>
    </row>
    <row r="416">
      <c r="A416" s="9" t="s">
        <v>2306</v>
      </c>
      <c r="B416" s="9" t="s">
        <v>473</v>
      </c>
      <c r="C416" s="9" t="s">
        <v>3050</v>
      </c>
      <c r="D416" s="63" t="s">
        <v>3051</v>
      </c>
      <c r="E416" s="10" t="s">
        <v>31</v>
      </c>
      <c r="F416" s="10" t="s">
        <v>32</v>
      </c>
      <c r="G416" s="46" t="s">
        <v>3040</v>
      </c>
      <c r="H416" s="29" t="s">
        <v>769</v>
      </c>
      <c r="I416" s="29" t="s">
        <v>770</v>
      </c>
      <c r="J416" s="46" t="s">
        <v>3052</v>
      </c>
      <c r="K416" s="9" t="s">
        <v>3053</v>
      </c>
      <c r="L416" s="46">
        <v>6.0</v>
      </c>
      <c r="M416" s="13">
        <v>4.0</v>
      </c>
      <c r="N416" s="13"/>
      <c r="O416" s="13"/>
      <c r="P416" s="13" t="s">
        <v>3054</v>
      </c>
      <c r="Q416" s="18" t="s">
        <v>1429</v>
      </c>
      <c r="R416" s="13" t="s">
        <v>3055</v>
      </c>
      <c r="S416" s="46" t="s">
        <v>2374</v>
      </c>
      <c r="T416" s="46" t="s">
        <v>2375</v>
      </c>
      <c r="U416" s="9" t="s">
        <v>3056</v>
      </c>
      <c r="V416" s="9" t="s">
        <v>3056</v>
      </c>
      <c r="W416" s="13"/>
      <c r="X416" s="13"/>
      <c r="Y416" s="13"/>
      <c r="Z416" s="13"/>
      <c r="AA416" s="13"/>
      <c r="AB416" s="13"/>
      <c r="AC416" s="14" t="s">
        <v>3057</v>
      </c>
      <c r="AD416" s="13"/>
      <c r="AE416" s="13"/>
    </row>
    <row r="417">
      <c r="A417" s="9" t="s">
        <v>2306</v>
      </c>
      <c r="B417" s="9" t="s">
        <v>473</v>
      </c>
      <c r="C417" s="9" t="s">
        <v>3058</v>
      </c>
      <c r="D417" s="14" t="s">
        <v>3059</v>
      </c>
      <c r="E417" s="10" t="s">
        <v>31</v>
      </c>
      <c r="F417" s="10" t="s">
        <v>32</v>
      </c>
      <c r="G417" s="46" t="s">
        <v>1026</v>
      </c>
      <c r="H417" s="46"/>
      <c r="I417" s="46"/>
      <c r="J417" s="46">
        <v>553.0</v>
      </c>
      <c r="K417" s="9" t="s">
        <v>3060</v>
      </c>
      <c r="L417" s="46">
        <v>1.0</v>
      </c>
      <c r="M417" s="13">
        <v>2.0</v>
      </c>
      <c r="N417" s="13" t="s">
        <v>2888</v>
      </c>
      <c r="O417" s="13"/>
      <c r="P417" s="18" t="s">
        <v>1005</v>
      </c>
      <c r="Q417" s="18" t="s">
        <v>1429</v>
      </c>
      <c r="R417" s="13" t="s">
        <v>3061</v>
      </c>
      <c r="S417" s="46" t="s">
        <v>2374</v>
      </c>
      <c r="T417" s="46" t="s">
        <v>2375</v>
      </c>
      <c r="U417" s="9" t="s">
        <v>3056</v>
      </c>
      <c r="V417" s="9" t="s">
        <v>3056</v>
      </c>
      <c r="W417" s="13"/>
      <c r="X417" s="13"/>
      <c r="Y417" s="13"/>
      <c r="Z417" s="13"/>
      <c r="AA417" s="13"/>
      <c r="AB417" s="13"/>
      <c r="AC417" s="14" t="s">
        <v>3062</v>
      </c>
      <c r="AD417" s="13"/>
      <c r="AE417" s="13"/>
    </row>
    <row r="418">
      <c r="A418" s="9" t="s">
        <v>2306</v>
      </c>
      <c r="B418" s="9" t="s">
        <v>473</v>
      </c>
      <c r="C418" s="9" t="s">
        <v>3063</v>
      </c>
      <c r="D418" s="48" t="s">
        <v>3064</v>
      </c>
      <c r="E418" s="10" t="s">
        <v>31</v>
      </c>
      <c r="F418" s="10" t="s">
        <v>32</v>
      </c>
      <c r="G418" s="46" t="s">
        <v>1026</v>
      </c>
      <c r="H418" s="46"/>
      <c r="I418" s="46"/>
      <c r="J418" s="46">
        <v>554.0</v>
      </c>
      <c r="K418" s="9" t="s">
        <v>3065</v>
      </c>
      <c r="L418" s="46">
        <v>1.0</v>
      </c>
      <c r="M418" s="13">
        <v>2.0</v>
      </c>
      <c r="N418" s="13" t="s">
        <v>2888</v>
      </c>
      <c r="O418" s="13"/>
      <c r="P418" s="13"/>
      <c r="Q418" s="64" t="s">
        <v>1429</v>
      </c>
      <c r="R418" s="13" t="s">
        <v>3066</v>
      </c>
      <c r="S418" s="46" t="s">
        <v>2374</v>
      </c>
      <c r="T418" s="46" t="s">
        <v>2375</v>
      </c>
      <c r="U418" s="9" t="s">
        <v>3056</v>
      </c>
      <c r="V418" s="9" t="s">
        <v>3056</v>
      </c>
      <c r="W418" s="13"/>
      <c r="X418" s="13"/>
      <c r="Y418" s="13"/>
      <c r="Z418" s="13"/>
      <c r="AA418" s="13"/>
      <c r="AB418" s="13"/>
      <c r="AC418" s="14" t="s">
        <v>3067</v>
      </c>
      <c r="AD418" s="13"/>
      <c r="AE418" s="13"/>
    </row>
    <row r="419">
      <c r="A419" s="9" t="s">
        <v>2306</v>
      </c>
      <c r="B419" s="9" t="s">
        <v>473</v>
      </c>
      <c r="C419" s="9" t="s">
        <v>3068</v>
      </c>
      <c r="D419" s="10" t="s">
        <v>3069</v>
      </c>
      <c r="E419" s="10" t="s">
        <v>31</v>
      </c>
      <c r="F419" s="10" t="s">
        <v>32</v>
      </c>
      <c r="G419" s="46" t="s">
        <v>3040</v>
      </c>
      <c r="H419" s="29" t="s">
        <v>769</v>
      </c>
      <c r="I419" s="29" t="s">
        <v>770</v>
      </c>
      <c r="J419" s="46">
        <v>555.0</v>
      </c>
      <c r="K419" s="9" t="s">
        <v>3070</v>
      </c>
      <c r="L419" s="46">
        <v>3.0</v>
      </c>
      <c r="M419" s="13">
        <v>2.0</v>
      </c>
      <c r="N419" s="13"/>
      <c r="O419" s="13"/>
      <c r="P419" s="13" t="s">
        <v>3054</v>
      </c>
      <c r="Q419" s="18" t="s">
        <v>1429</v>
      </c>
      <c r="R419" s="18" t="s">
        <v>3071</v>
      </c>
      <c r="S419" s="46" t="s">
        <v>1615</v>
      </c>
      <c r="T419" s="46" t="s">
        <v>1616</v>
      </c>
      <c r="U419" s="9" t="s">
        <v>3056</v>
      </c>
      <c r="V419" s="9" t="s">
        <v>3056</v>
      </c>
      <c r="W419" s="13"/>
      <c r="X419" s="13"/>
      <c r="Y419" s="13"/>
      <c r="Z419" s="13"/>
      <c r="AA419" s="13"/>
      <c r="AB419" s="13"/>
      <c r="AC419" s="14" t="s">
        <v>3072</v>
      </c>
      <c r="AD419" s="13"/>
      <c r="AE419" s="13"/>
    </row>
    <row r="420">
      <c r="A420" s="9" t="s">
        <v>2306</v>
      </c>
      <c r="B420" s="9" t="s">
        <v>297</v>
      </c>
      <c r="C420" s="9" t="s">
        <v>3073</v>
      </c>
      <c r="D420" s="10" t="s">
        <v>3074</v>
      </c>
      <c r="E420" s="10" t="s">
        <v>31</v>
      </c>
      <c r="F420" s="10" t="s">
        <v>32</v>
      </c>
      <c r="G420" s="46" t="s">
        <v>3075</v>
      </c>
      <c r="H420" s="29" t="s">
        <v>3076</v>
      </c>
      <c r="I420" s="29" t="s">
        <v>770</v>
      </c>
      <c r="J420" s="46" t="s">
        <v>3077</v>
      </c>
      <c r="K420" s="9" t="s">
        <v>3078</v>
      </c>
      <c r="L420" s="46">
        <v>6.0</v>
      </c>
      <c r="M420" s="13">
        <v>5.0</v>
      </c>
      <c r="N420" s="13"/>
      <c r="O420" s="13"/>
      <c r="P420" s="13" t="s">
        <v>3079</v>
      </c>
      <c r="Q420" s="18" t="s">
        <v>1429</v>
      </c>
      <c r="R420" s="18" t="s">
        <v>3080</v>
      </c>
      <c r="S420" s="46" t="s">
        <v>312</v>
      </c>
      <c r="T420" s="46" t="s">
        <v>313</v>
      </c>
      <c r="U420" s="9" t="s">
        <v>3081</v>
      </c>
      <c r="V420" s="9" t="s">
        <v>2954</v>
      </c>
      <c r="W420" s="13"/>
      <c r="X420" s="13"/>
      <c r="Y420" s="13"/>
      <c r="Z420" s="13"/>
      <c r="AA420" s="13"/>
      <c r="AB420" s="13"/>
      <c r="AC420" s="14" t="s">
        <v>3082</v>
      </c>
      <c r="AD420" s="13"/>
      <c r="AE420" s="13"/>
    </row>
    <row r="421">
      <c r="A421" s="9" t="s">
        <v>2306</v>
      </c>
      <c r="B421" s="9" t="s">
        <v>297</v>
      </c>
      <c r="C421" s="9" t="s">
        <v>3083</v>
      </c>
      <c r="D421" s="10" t="s">
        <v>3084</v>
      </c>
      <c r="E421" s="10" t="s">
        <v>31</v>
      </c>
      <c r="F421" s="10" t="s">
        <v>32</v>
      </c>
      <c r="G421" s="46" t="s">
        <v>3085</v>
      </c>
      <c r="H421" s="29" t="s">
        <v>769</v>
      </c>
      <c r="I421" s="29" t="s">
        <v>770</v>
      </c>
      <c r="J421" s="46" t="s">
        <v>3086</v>
      </c>
      <c r="K421" s="9" t="s">
        <v>3087</v>
      </c>
      <c r="L421" s="46">
        <v>12.0</v>
      </c>
      <c r="M421" s="13">
        <v>8.0</v>
      </c>
      <c r="N421" s="6" t="s">
        <v>3088</v>
      </c>
      <c r="O421" s="13"/>
      <c r="P421" s="13" t="s">
        <v>3089</v>
      </c>
      <c r="Q421" s="13"/>
      <c r="R421" s="13" t="s">
        <v>3090</v>
      </c>
      <c r="S421" s="46" t="s">
        <v>312</v>
      </c>
      <c r="T421" s="46" t="s">
        <v>313</v>
      </c>
      <c r="U421" s="9" t="s">
        <v>2954</v>
      </c>
      <c r="V421" s="9"/>
      <c r="W421" s="13"/>
      <c r="X421" s="13"/>
      <c r="Y421" s="13"/>
      <c r="Z421" s="13"/>
      <c r="AA421" s="13"/>
      <c r="AB421" s="13"/>
      <c r="AC421" s="14" t="s">
        <v>3091</v>
      </c>
      <c r="AD421" s="13"/>
      <c r="AE421" s="13"/>
    </row>
    <row r="422">
      <c r="A422" s="9" t="s">
        <v>2306</v>
      </c>
      <c r="B422" s="9" t="s">
        <v>297</v>
      </c>
      <c r="C422" s="9" t="s">
        <v>3092</v>
      </c>
      <c r="D422" s="17" t="s">
        <v>3093</v>
      </c>
      <c r="E422" s="10" t="s">
        <v>31</v>
      </c>
      <c r="F422" s="10" t="s">
        <v>32</v>
      </c>
      <c r="G422" s="46" t="s">
        <v>3085</v>
      </c>
      <c r="H422" s="29" t="s">
        <v>769</v>
      </c>
      <c r="I422" s="29" t="s">
        <v>770</v>
      </c>
      <c r="J422" s="46" t="s">
        <v>3094</v>
      </c>
      <c r="K422" s="9" t="s">
        <v>3095</v>
      </c>
      <c r="L422" s="46">
        <v>6.0</v>
      </c>
      <c r="M422" s="13">
        <v>4.0</v>
      </c>
      <c r="N422" s="13"/>
      <c r="O422" s="13"/>
      <c r="P422" s="65" t="s">
        <v>3096</v>
      </c>
      <c r="Q422" s="18" t="s">
        <v>1862</v>
      </c>
      <c r="R422" s="13" t="s">
        <v>3097</v>
      </c>
      <c r="S422" s="46" t="s">
        <v>312</v>
      </c>
      <c r="T422" s="46" t="s">
        <v>313</v>
      </c>
      <c r="U422" s="9" t="s">
        <v>3098</v>
      </c>
      <c r="V422" s="9" t="s">
        <v>3099</v>
      </c>
      <c r="W422" s="13"/>
      <c r="X422" s="13"/>
      <c r="Y422" s="13"/>
      <c r="Z422" s="13"/>
      <c r="AA422" s="13"/>
      <c r="AB422" s="13"/>
      <c r="AC422" s="14" t="s">
        <v>3100</v>
      </c>
      <c r="AD422" s="13"/>
      <c r="AE422" s="13"/>
    </row>
    <row r="423">
      <c r="A423" s="9" t="s">
        <v>2306</v>
      </c>
      <c r="B423" s="9" t="s">
        <v>297</v>
      </c>
      <c r="C423" s="9" t="s">
        <v>3101</v>
      </c>
      <c r="D423" s="17" t="s">
        <v>3102</v>
      </c>
      <c r="E423" s="10" t="s">
        <v>31</v>
      </c>
      <c r="F423" s="10" t="s">
        <v>32</v>
      </c>
      <c r="G423" s="46" t="s">
        <v>3085</v>
      </c>
      <c r="H423" s="29" t="s">
        <v>769</v>
      </c>
      <c r="I423" s="29" t="s">
        <v>770</v>
      </c>
      <c r="J423" s="46">
        <v>565.0</v>
      </c>
      <c r="K423" s="9" t="s">
        <v>3103</v>
      </c>
      <c r="L423" s="46">
        <v>2.0</v>
      </c>
      <c r="M423" s="13">
        <v>2.0</v>
      </c>
      <c r="N423" s="13"/>
      <c r="O423" s="13"/>
      <c r="P423" s="13" t="s">
        <v>3104</v>
      </c>
      <c r="Q423" s="18" t="s">
        <v>1862</v>
      </c>
      <c r="R423" s="13" t="s">
        <v>3105</v>
      </c>
      <c r="S423" s="46" t="s">
        <v>312</v>
      </c>
      <c r="T423" s="46" t="s">
        <v>313</v>
      </c>
      <c r="U423" s="9" t="s">
        <v>3099</v>
      </c>
      <c r="V423" s="9" t="s">
        <v>3106</v>
      </c>
      <c r="W423" s="13"/>
      <c r="X423" s="13"/>
      <c r="Y423" s="13"/>
      <c r="Z423" s="13"/>
      <c r="AA423" s="13"/>
      <c r="AB423" s="13"/>
      <c r="AC423" s="14" t="s">
        <v>3107</v>
      </c>
      <c r="AD423" s="13"/>
      <c r="AE423" s="13"/>
    </row>
    <row r="424">
      <c r="A424" s="9" t="s">
        <v>2306</v>
      </c>
      <c r="B424" s="9" t="s">
        <v>297</v>
      </c>
      <c r="C424" s="10" t="s">
        <v>3101</v>
      </c>
      <c r="D424" s="17" t="s">
        <v>3108</v>
      </c>
      <c r="E424" s="10" t="s">
        <v>31</v>
      </c>
      <c r="F424" s="10" t="s">
        <v>32</v>
      </c>
      <c r="G424" s="46" t="s">
        <v>3109</v>
      </c>
      <c r="H424" s="46"/>
      <c r="I424" s="46"/>
      <c r="J424" s="46">
        <v>566.0</v>
      </c>
      <c r="K424" s="9" t="s">
        <v>3110</v>
      </c>
      <c r="L424" s="46">
        <v>2.0</v>
      </c>
      <c r="M424" s="13">
        <v>2.0</v>
      </c>
      <c r="N424" s="13" t="s">
        <v>874</v>
      </c>
      <c r="O424" s="13"/>
      <c r="P424" s="13" t="s">
        <v>3104</v>
      </c>
      <c r="Q424" s="18" t="s">
        <v>1429</v>
      </c>
      <c r="R424" s="18" t="s">
        <v>3111</v>
      </c>
      <c r="S424" s="46" t="s">
        <v>312</v>
      </c>
      <c r="T424" s="46" t="s">
        <v>313</v>
      </c>
      <c r="U424" s="9" t="s">
        <v>3106</v>
      </c>
      <c r="V424" s="9" t="s">
        <v>3106</v>
      </c>
      <c r="W424" s="13"/>
      <c r="X424" s="13"/>
      <c r="Y424" s="13"/>
      <c r="Z424" s="13"/>
      <c r="AA424" s="13"/>
      <c r="AB424" s="13"/>
      <c r="AC424" s="14" t="s">
        <v>3112</v>
      </c>
      <c r="AD424" s="13"/>
      <c r="AE424" s="13"/>
    </row>
    <row r="425">
      <c r="A425" s="9" t="s">
        <v>2306</v>
      </c>
      <c r="B425" s="9" t="s">
        <v>297</v>
      </c>
      <c r="C425" s="9" t="s">
        <v>3113</v>
      </c>
      <c r="D425" s="17" t="s">
        <v>3114</v>
      </c>
      <c r="E425" s="10" t="s">
        <v>31</v>
      </c>
      <c r="F425" s="10" t="s">
        <v>32</v>
      </c>
      <c r="G425" s="66" t="s">
        <v>3085</v>
      </c>
      <c r="H425" s="29" t="s">
        <v>769</v>
      </c>
      <c r="I425" s="29" t="s">
        <v>770</v>
      </c>
      <c r="J425" s="46" t="s">
        <v>3115</v>
      </c>
      <c r="K425" s="9" t="s">
        <v>3116</v>
      </c>
      <c r="L425" s="46">
        <v>16.0</v>
      </c>
      <c r="M425" s="13">
        <v>10.0</v>
      </c>
      <c r="N425" s="13" t="s">
        <v>3117</v>
      </c>
      <c r="O425" s="13"/>
      <c r="P425" s="13" t="s">
        <v>3118</v>
      </c>
      <c r="Q425" s="18" t="s">
        <v>3119</v>
      </c>
      <c r="R425" s="13" t="s">
        <v>3120</v>
      </c>
      <c r="S425" s="46" t="s">
        <v>312</v>
      </c>
      <c r="T425" s="46" t="s">
        <v>313</v>
      </c>
      <c r="U425" s="9" t="s">
        <v>3121</v>
      </c>
      <c r="V425" s="9" t="s">
        <v>3122</v>
      </c>
      <c r="W425" s="13"/>
      <c r="X425" s="13"/>
      <c r="Y425" s="13"/>
      <c r="Z425" s="13"/>
      <c r="AA425" s="13"/>
      <c r="AB425" s="13"/>
      <c r="AC425" s="14" t="s">
        <v>3123</v>
      </c>
      <c r="AD425" s="13"/>
      <c r="AE425" s="13"/>
    </row>
    <row r="426">
      <c r="A426" s="9" t="s">
        <v>2306</v>
      </c>
      <c r="B426" s="9" t="s">
        <v>297</v>
      </c>
      <c r="C426" s="9" t="s">
        <v>3124</v>
      </c>
      <c r="D426" s="14" t="s">
        <v>3125</v>
      </c>
      <c r="E426" s="10" t="s">
        <v>31</v>
      </c>
      <c r="F426" s="10" t="s">
        <v>32</v>
      </c>
      <c r="G426" s="66" t="s">
        <v>3085</v>
      </c>
      <c r="H426" s="29" t="s">
        <v>769</v>
      </c>
      <c r="I426" s="29" t="s">
        <v>770</v>
      </c>
      <c r="J426" s="46" t="s">
        <v>3126</v>
      </c>
      <c r="K426" s="9" t="s">
        <v>3127</v>
      </c>
      <c r="L426" s="46">
        <v>9.0</v>
      </c>
      <c r="M426" s="13">
        <v>6.0</v>
      </c>
      <c r="N426" s="13"/>
      <c r="O426" s="13"/>
      <c r="P426" s="18" t="s">
        <v>3128</v>
      </c>
      <c r="Q426" s="18" t="s">
        <v>3129</v>
      </c>
      <c r="R426" s="18" t="s">
        <v>3130</v>
      </c>
      <c r="S426" s="29" t="s">
        <v>551</v>
      </c>
      <c r="T426" s="29" t="s">
        <v>552</v>
      </c>
      <c r="U426" s="10" t="s">
        <v>3131</v>
      </c>
      <c r="V426" s="10" t="s">
        <v>3131</v>
      </c>
      <c r="W426" s="13"/>
      <c r="X426" s="13"/>
      <c r="Y426" s="13"/>
      <c r="Z426" s="13"/>
      <c r="AA426" s="13"/>
      <c r="AB426" s="13"/>
      <c r="AC426" s="14" t="s">
        <v>3132</v>
      </c>
      <c r="AD426" s="13"/>
      <c r="AE426" s="13"/>
    </row>
    <row r="427">
      <c r="A427" s="9" t="s">
        <v>2306</v>
      </c>
      <c r="B427" s="9" t="s">
        <v>297</v>
      </c>
      <c r="C427" s="9" t="s">
        <v>3133</v>
      </c>
      <c r="D427" s="48" t="s">
        <v>3134</v>
      </c>
      <c r="E427" s="10" t="s">
        <v>31</v>
      </c>
      <c r="F427" s="10" t="s">
        <v>32</v>
      </c>
      <c r="G427" s="66" t="s">
        <v>3085</v>
      </c>
      <c r="H427" s="29" t="s">
        <v>769</v>
      </c>
      <c r="I427" s="29" t="s">
        <v>770</v>
      </c>
      <c r="J427" s="46">
        <v>576.0</v>
      </c>
      <c r="K427" s="9" t="s">
        <v>3135</v>
      </c>
      <c r="L427" s="46">
        <v>3.0</v>
      </c>
      <c r="M427" s="13">
        <v>2.0</v>
      </c>
      <c r="N427" s="13"/>
      <c r="O427" s="13"/>
      <c r="P427" s="13" t="s">
        <v>3136</v>
      </c>
      <c r="Q427" s="18" t="s">
        <v>3137</v>
      </c>
      <c r="R427" s="18" t="s">
        <v>3138</v>
      </c>
      <c r="S427" s="46" t="s">
        <v>2374</v>
      </c>
      <c r="T427" s="46" t="s">
        <v>2375</v>
      </c>
      <c r="U427" s="9" t="s">
        <v>3139</v>
      </c>
      <c r="V427" s="9" t="s">
        <v>3139</v>
      </c>
      <c r="W427" s="13"/>
      <c r="X427" s="13"/>
      <c r="Y427" s="13"/>
      <c r="Z427" s="13"/>
      <c r="AA427" s="13"/>
      <c r="AB427" s="13"/>
      <c r="AC427" s="14" t="s">
        <v>3140</v>
      </c>
      <c r="AD427" s="13"/>
      <c r="AE427" s="13"/>
    </row>
    <row r="428">
      <c r="A428" s="9" t="s">
        <v>2306</v>
      </c>
      <c r="B428" s="9" t="s">
        <v>297</v>
      </c>
      <c r="C428" s="9" t="s">
        <v>3141</v>
      </c>
      <c r="D428" s="48" t="s">
        <v>3142</v>
      </c>
      <c r="E428" s="10" t="s">
        <v>31</v>
      </c>
      <c r="F428" s="10" t="s">
        <v>32</v>
      </c>
      <c r="G428" s="66" t="s">
        <v>3085</v>
      </c>
      <c r="H428" s="29" t="s">
        <v>769</v>
      </c>
      <c r="I428" s="29" t="s">
        <v>770</v>
      </c>
      <c r="J428" s="46" t="s">
        <v>3143</v>
      </c>
      <c r="K428" s="9" t="s">
        <v>3144</v>
      </c>
      <c r="L428" s="46">
        <v>9.0</v>
      </c>
      <c r="M428" s="13">
        <v>6.0</v>
      </c>
      <c r="N428" s="13"/>
      <c r="O428" s="13"/>
      <c r="P428" s="18" t="s">
        <v>3145</v>
      </c>
      <c r="Q428" s="18" t="s">
        <v>3146</v>
      </c>
      <c r="R428" s="18" t="s">
        <v>3147</v>
      </c>
      <c r="S428" s="46" t="s">
        <v>2374</v>
      </c>
      <c r="T428" s="46" t="s">
        <v>2375</v>
      </c>
      <c r="U428" s="9" t="s">
        <v>3139</v>
      </c>
      <c r="V428" s="9" t="s">
        <v>3148</v>
      </c>
      <c r="W428" s="18" t="s">
        <v>551</v>
      </c>
      <c r="X428" s="18" t="s">
        <v>552</v>
      </c>
      <c r="Y428" s="31">
        <v>44775.0</v>
      </c>
      <c r="Z428" s="31">
        <v>44775.0</v>
      </c>
      <c r="AA428" s="13"/>
      <c r="AB428" s="13"/>
      <c r="AC428" s="14" t="s">
        <v>3149</v>
      </c>
      <c r="AD428" s="13"/>
      <c r="AE428" s="13"/>
    </row>
    <row r="429">
      <c r="A429" s="9" t="s">
        <v>2306</v>
      </c>
      <c r="B429" s="9" t="s">
        <v>297</v>
      </c>
      <c r="C429" s="9" t="s">
        <v>3150</v>
      </c>
      <c r="D429" s="48" t="s">
        <v>3151</v>
      </c>
      <c r="E429" s="10" t="s">
        <v>31</v>
      </c>
      <c r="F429" s="10" t="s">
        <v>32</v>
      </c>
      <c r="G429" s="66" t="s">
        <v>3085</v>
      </c>
      <c r="H429" s="29" t="s">
        <v>769</v>
      </c>
      <c r="I429" s="29" t="s">
        <v>770</v>
      </c>
      <c r="J429" s="46" t="s">
        <v>3152</v>
      </c>
      <c r="K429" s="9" t="s">
        <v>3153</v>
      </c>
      <c r="L429" s="46">
        <v>6.0</v>
      </c>
      <c r="M429" s="13">
        <v>4.0</v>
      </c>
      <c r="N429" s="13"/>
      <c r="O429" s="13"/>
      <c r="P429" s="18" t="s">
        <v>3154</v>
      </c>
      <c r="Q429" s="18" t="s">
        <v>3155</v>
      </c>
      <c r="R429" s="18" t="s">
        <v>3156</v>
      </c>
      <c r="S429" s="46" t="s">
        <v>2374</v>
      </c>
      <c r="T429" s="46" t="s">
        <v>2375</v>
      </c>
      <c r="U429" s="9" t="s">
        <v>3148</v>
      </c>
      <c r="V429" s="9" t="s">
        <v>1674</v>
      </c>
      <c r="W429" s="18" t="s">
        <v>551</v>
      </c>
      <c r="X429" s="18" t="s">
        <v>552</v>
      </c>
      <c r="Y429" s="31">
        <v>44775.0</v>
      </c>
      <c r="Z429" s="31">
        <v>44775.0</v>
      </c>
      <c r="AA429" s="13"/>
      <c r="AB429" s="13"/>
      <c r="AC429" s="14" t="s">
        <v>3157</v>
      </c>
      <c r="AD429" s="13"/>
      <c r="AE429" s="13"/>
    </row>
    <row r="430">
      <c r="A430" s="9" t="s">
        <v>2306</v>
      </c>
      <c r="B430" s="9" t="s">
        <v>297</v>
      </c>
      <c r="C430" s="9" t="s">
        <v>3158</v>
      </c>
      <c r="D430" s="48" t="s">
        <v>3159</v>
      </c>
      <c r="E430" s="10" t="s">
        <v>31</v>
      </c>
      <c r="F430" s="10" t="s">
        <v>32</v>
      </c>
      <c r="G430" s="66" t="s">
        <v>3085</v>
      </c>
      <c r="H430" s="29" t="s">
        <v>769</v>
      </c>
      <c r="I430" s="29" t="s">
        <v>770</v>
      </c>
      <c r="J430" s="46">
        <v>583.0</v>
      </c>
      <c r="K430" s="9" t="s">
        <v>3160</v>
      </c>
      <c r="L430" s="46">
        <v>3.0</v>
      </c>
      <c r="M430" s="13">
        <v>2.0</v>
      </c>
      <c r="N430" s="13"/>
      <c r="O430" s="13"/>
      <c r="P430" s="46" t="s">
        <v>3161</v>
      </c>
      <c r="Q430" s="18" t="s">
        <v>1862</v>
      </c>
      <c r="R430" s="13" t="s">
        <v>3162</v>
      </c>
      <c r="S430" s="46" t="s">
        <v>2374</v>
      </c>
      <c r="T430" s="46" t="s">
        <v>2375</v>
      </c>
      <c r="U430" s="9" t="s">
        <v>1674</v>
      </c>
      <c r="V430" s="9" t="s">
        <v>1674</v>
      </c>
      <c r="W430" s="13"/>
      <c r="X430" s="13"/>
      <c r="Y430" s="13"/>
      <c r="Z430" s="13"/>
      <c r="AA430" s="13"/>
      <c r="AB430" s="13"/>
      <c r="AC430" s="14" t="s">
        <v>3163</v>
      </c>
      <c r="AD430" s="13"/>
      <c r="AE430" s="13"/>
    </row>
    <row r="431">
      <c r="A431" s="9" t="s">
        <v>2306</v>
      </c>
      <c r="B431" s="9" t="s">
        <v>297</v>
      </c>
      <c r="C431" s="10" t="s">
        <v>3164</v>
      </c>
      <c r="D431" s="63" t="s">
        <v>3165</v>
      </c>
      <c r="E431" s="10" t="s">
        <v>31</v>
      </c>
      <c r="F431" s="10" t="s">
        <v>32</v>
      </c>
      <c r="G431" s="46" t="s">
        <v>3166</v>
      </c>
      <c r="H431" s="29" t="s">
        <v>3167</v>
      </c>
      <c r="I431" s="29" t="s">
        <v>770</v>
      </c>
      <c r="J431" s="46">
        <v>582.0</v>
      </c>
      <c r="K431" s="9" t="s">
        <v>3168</v>
      </c>
      <c r="L431" s="46">
        <v>2.0</v>
      </c>
      <c r="M431" s="13">
        <v>1.0</v>
      </c>
      <c r="N431" s="13"/>
      <c r="O431" s="13"/>
      <c r="P431" s="13" t="s">
        <v>3169</v>
      </c>
      <c r="Q431" s="18" t="s">
        <v>1862</v>
      </c>
      <c r="R431" s="13" t="s">
        <v>3170</v>
      </c>
      <c r="S431" s="46" t="s">
        <v>2374</v>
      </c>
      <c r="T431" s="46" t="s">
        <v>2375</v>
      </c>
      <c r="U431" s="9" t="s">
        <v>2376</v>
      </c>
      <c r="V431" s="9" t="s">
        <v>2376</v>
      </c>
      <c r="W431" s="13"/>
      <c r="X431" s="13"/>
      <c r="Y431" s="13"/>
      <c r="Z431" s="13"/>
      <c r="AA431" s="13"/>
      <c r="AB431" s="13"/>
      <c r="AC431" s="14" t="s">
        <v>3171</v>
      </c>
      <c r="AD431" s="13"/>
      <c r="AE431" s="13"/>
    </row>
    <row r="432">
      <c r="A432" s="9" t="s">
        <v>2306</v>
      </c>
      <c r="B432" s="9" t="s">
        <v>366</v>
      </c>
      <c r="C432" s="9" t="s">
        <v>3172</v>
      </c>
      <c r="D432" s="10" t="s">
        <v>3173</v>
      </c>
      <c r="E432" s="10" t="s">
        <v>31</v>
      </c>
      <c r="F432" s="10" t="s">
        <v>32</v>
      </c>
      <c r="G432" s="46" t="s">
        <v>3174</v>
      </c>
      <c r="H432" s="46"/>
      <c r="I432" s="29" t="s">
        <v>3175</v>
      </c>
      <c r="J432" s="46" t="s">
        <v>3176</v>
      </c>
      <c r="K432" s="9" t="s">
        <v>3177</v>
      </c>
      <c r="L432" s="46">
        <v>14.0</v>
      </c>
      <c r="M432" s="13">
        <v>7.0</v>
      </c>
      <c r="N432" s="13"/>
      <c r="O432" s="13"/>
      <c r="P432" s="13" t="s">
        <v>3178</v>
      </c>
      <c r="Q432" s="18" t="s">
        <v>1862</v>
      </c>
      <c r="R432" s="13" t="s">
        <v>3179</v>
      </c>
      <c r="S432" s="46" t="s">
        <v>312</v>
      </c>
      <c r="T432" s="46" t="s">
        <v>313</v>
      </c>
      <c r="U432" s="9" t="s">
        <v>2902</v>
      </c>
      <c r="V432" s="9" t="s">
        <v>3081</v>
      </c>
      <c r="W432" s="18" t="s">
        <v>551</v>
      </c>
      <c r="X432" s="18" t="s">
        <v>552</v>
      </c>
      <c r="Y432" s="31">
        <v>44767.0</v>
      </c>
      <c r="Z432" s="13"/>
      <c r="AA432" s="13"/>
      <c r="AB432" s="13"/>
      <c r="AC432" s="14" t="s">
        <v>3180</v>
      </c>
      <c r="AD432" s="13"/>
      <c r="AE432" s="13"/>
    </row>
    <row r="433">
      <c r="A433" s="9" t="s">
        <v>2306</v>
      </c>
      <c r="B433" s="9" t="s">
        <v>366</v>
      </c>
      <c r="C433" s="9" t="s">
        <v>3181</v>
      </c>
      <c r="D433" s="10" t="s">
        <v>3182</v>
      </c>
      <c r="E433" s="10" t="s">
        <v>31</v>
      </c>
      <c r="F433" s="10" t="s">
        <v>32</v>
      </c>
      <c r="G433" s="46"/>
      <c r="H433" s="46"/>
      <c r="I433" s="46"/>
      <c r="J433" s="46" t="s">
        <v>3183</v>
      </c>
      <c r="K433" s="9" t="s">
        <v>3184</v>
      </c>
      <c r="L433" s="46">
        <v>3.0</v>
      </c>
      <c r="M433" s="13">
        <v>3.0</v>
      </c>
      <c r="N433" s="13" t="s">
        <v>2678</v>
      </c>
      <c r="O433" s="13"/>
      <c r="P433" s="13" t="s">
        <v>3185</v>
      </c>
      <c r="Q433" s="18" t="s">
        <v>1087</v>
      </c>
      <c r="R433" s="18" t="s">
        <v>3186</v>
      </c>
      <c r="S433" s="46" t="s">
        <v>312</v>
      </c>
      <c r="T433" s="46" t="s">
        <v>313</v>
      </c>
      <c r="U433" s="9" t="s">
        <v>2902</v>
      </c>
      <c r="V433" s="9" t="s">
        <v>2902</v>
      </c>
      <c r="W433" s="13" t="s">
        <v>41</v>
      </c>
      <c r="X433" s="13" t="s">
        <v>42</v>
      </c>
      <c r="Y433" s="51">
        <v>44097.0</v>
      </c>
      <c r="Z433" s="51">
        <v>44098.0</v>
      </c>
      <c r="AA433" s="13"/>
      <c r="AB433" s="13"/>
      <c r="AC433" s="14" t="s">
        <v>3187</v>
      </c>
      <c r="AD433" s="13"/>
      <c r="AE433" s="13"/>
    </row>
    <row r="434">
      <c r="A434" s="9" t="s">
        <v>3188</v>
      </c>
      <c r="B434" s="9" t="s">
        <v>28</v>
      </c>
      <c r="C434" s="9" t="s">
        <v>3189</v>
      </c>
      <c r="D434" s="10" t="s">
        <v>3190</v>
      </c>
      <c r="E434" s="10" t="s">
        <v>31</v>
      </c>
      <c r="F434" s="10" t="s">
        <v>32</v>
      </c>
      <c r="G434" s="46" t="s">
        <v>3191</v>
      </c>
      <c r="H434" s="67"/>
      <c r="I434" s="67"/>
      <c r="J434" s="67">
        <v>43832.0</v>
      </c>
      <c r="K434" s="9" t="s">
        <v>3192</v>
      </c>
      <c r="L434" s="46">
        <v>4.0</v>
      </c>
      <c r="M434" s="46">
        <v>4.0</v>
      </c>
      <c r="N434" s="46" t="s">
        <v>3193</v>
      </c>
      <c r="O434" s="13"/>
      <c r="P434" s="18" t="s">
        <v>1005</v>
      </c>
      <c r="Q434" s="18" t="s">
        <v>1005</v>
      </c>
      <c r="R434" s="18" t="s">
        <v>3194</v>
      </c>
      <c r="S434" s="46" t="s">
        <v>45</v>
      </c>
      <c r="T434" s="46" t="s">
        <v>46</v>
      </c>
      <c r="U434" s="9" t="s">
        <v>248</v>
      </c>
      <c r="V434" s="9" t="s">
        <v>248</v>
      </c>
      <c r="W434" s="13"/>
      <c r="X434" s="13"/>
      <c r="Y434" s="13"/>
      <c r="Z434" s="13"/>
      <c r="AA434" s="13"/>
      <c r="AB434" s="13"/>
      <c r="AC434" s="14" t="s">
        <v>3195</v>
      </c>
      <c r="AD434" s="13"/>
      <c r="AE434" s="13"/>
    </row>
    <row r="435">
      <c r="A435" s="9" t="s">
        <v>3188</v>
      </c>
      <c r="B435" s="9" t="s">
        <v>28</v>
      </c>
      <c r="C435" s="9" t="s">
        <v>3196</v>
      </c>
      <c r="D435" s="10" t="s">
        <v>3197</v>
      </c>
      <c r="E435" s="10" t="s">
        <v>31</v>
      </c>
      <c r="F435" s="10" t="s">
        <v>32</v>
      </c>
      <c r="G435" s="66" t="s">
        <v>2931</v>
      </c>
      <c r="H435" s="29" t="s">
        <v>34</v>
      </c>
      <c r="I435" s="10" t="s">
        <v>35</v>
      </c>
      <c r="J435" s="67">
        <v>43896.0</v>
      </c>
      <c r="K435" s="9" t="s">
        <v>3198</v>
      </c>
      <c r="L435" s="46">
        <v>8.0</v>
      </c>
      <c r="M435" s="46">
        <v>8.0</v>
      </c>
      <c r="N435" s="13"/>
      <c r="O435" s="13"/>
      <c r="P435" s="46" t="s">
        <v>3199</v>
      </c>
      <c r="Q435" s="29" t="s">
        <v>3200</v>
      </c>
      <c r="R435" s="46" t="s">
        <v>3201</v>
      </c>
      <c r="S435" s="46" t="s">
        <v>45</v>
      </c>
      <c r="T435" s="46" t="s">
        <v>46</v>
      </c>
      <c r="U435" s="9" t="s">
        <v>248</v>
      </c>
      <c r="V435" s="9" t="s">
        <v>3202</v>
      </c>
      <c r="W435" s="13"/>
      <c r="X435" s="13"/>
      <c r="Y435" s="13"/>
      <c r="Z435" s="13"/>
      <c r="AA435" s="13"/>
      <c r="AB435" s="13"/>
      <c r="AC435" s="14" t="s">
        <v>3203</v>
      </c>
      <c r="AD435" s="13"/>
      <c r="AE435" s="13"/>
    </row>
    <row r="436">
      <c r="A436" s="9" t="s">
        <v>3188</v>
      </c>
      <c r="B436" s="9" t="s">
        <v>116</v>
      </c>
      <c r="C436" s="9" t="s">
        <v>3204</v>
      </c>
      <c r="D436" s="10" t="s">
        <v>3205</v>
      </c>
      <c r="E436" s="10" t="s">
        <v>31</v>
      </c>
      <c r="F436" s="10" t="s">
        <v>32</v>
      </c>
      <c r="G436" s="29" t="s">
        <v>3206</v>
      </c>
      <c r="H436" s="28" t="s">
        <v>34</v>
      </c>
      <c r="I436" s="10" t="s">
        <v>35</v>
      </c>
      <c r="J436" s="67">
        <v>44025.0</v>
      </c>
      <c r="K436" s="9" t="s">
        <v>3207</v>
      </c>
      <c r="L436" s="46">
        <v>14.0</v>
      </c>
      <c r="M436" s="46">
        <v>14.0</v>
      </c>
      <c r="N436" s="13"/>
      <c r="O436" s="13"/>
      <c r="P436" s="46" t="s">
        <v>3208</v>
      </c>
      <c r="Q436" s="29" t="s">
        <v>3209</v>
      </c>
      <c r="R436" s="46" t="s">
        <v>3210</v>
      </c>
      <c r="S436" s="46" t="s">
        <v>45</v>
      </c>
      <c r="T436" s="46" t="s">
        <v>46</v>
      </c>
      <c r="U436" s="9" t="s">
        <v>3202</v>
      </c>
      <c r="V436" s="9" t="s">
        <v>249</v>
      </c>
      <c r="W436" s="13"/>
      <c r="X436" s="13"/>
      <c r="Y436" s="13"/>
      <c r="Z436" s="13"/>
      <c r="AA436" s="13"/>
      <c r="AB436" s="13"/>
      <c r="AC436" s="14" t="s">
        <v>3211</v>
      </c>
      <c r="AD436" s="13"/>
      <c r="AE436" s="13"/>
    </row>
    <row r="437">
      <c r="A437" s="9" t="s">
        <v>3188</v>
      </c>
      <c r="B437" s="9" t="s">
        <v>116</v>
      </c>
      <c r="C437" s="9" t="s">
        <v>3212</v>
      </c>
      <c r="D437" s="10" t="s">
        <v>3213</v>
      </c>
      <c r="E437" s="10" t="s">
        <v>31</v>
      </c>
      <c r="F437" s="10" t="s">
        <v>32</v>
      </c>
      <c r="G437" s="29" t="s">
        <v>3206</v>
      </c>
      <c r="H437" s="28" t="s">
        <v>34</v>
      </c>
      <c r="I437" s="10" t="s">
        <v>35</v>
      </c>
      <c r="J437" s="46" t="s">
        <v>3214</v>
      </c>
      <c r="K437" s="9" t="s">
        <v>3215</v>
      </c>
      <c r="L437" s="46">
        <v>8.0</v>
      </c>
      <c r="M437" s="46">
        <v>8.0</v>
      </c>
      <c r="N437" s="13"/>
      <c r="O437" s="13"/>
      <c r="P437" s="46" t="s">
        <v>3216</v>
      </c>
      <c r="Q437" s="29" t="s">
        <v>3217</v>
      </c>
      <c r="R437" s="46" t="s">
        <v>3218</v>
      </c>
      <c r="S437" s="46" t="s">
        <v>45</v>
      </c>
      <c r="T437" s="46" t="s">
        <v>46</v>
      </c>
      <c r="U437" s="9" t="s">
        <v>249</v>
      </c>
      <c r="V437" s="9" t="s">
        <v>3219</v>
      </c>
      <c r="W437" s="13"/>
      <c r="X437" s="13"/>
      <c r="Y437" s="13"/>
      <c r="Z437" s="13"/>
      <c r="AA437" s="13"/>
      <c r="AB437" s="13"/>
      <c r="AC437" s="14" t="s">
        <v>3220</v>
      </c>
      <c r="AD437" s="13"/>
      <c r="AE437" s="13"/>
    </row>
    <row r="438">
      <c r="A438" s="9" t="s">
        <v>3188</v>
      </c>
      <c r="B438" s="9" t="s">
        <v>116</v>
      </c>
      <c r="C438" s="9" t="s">
        <v>3221</v>
      </c>
      <c r="D438" s="10" t="s">
        <v>3222</v>
      </c>
      <c r="E438" s="10" t="s">
        <v>31</v>
      </c>
      <c r="F438" s="10" t="s">
        <v>32</v>
      </c>
      <c r="G438" s="46" t="s">
        <v>905</v>
      </c>
      <c r="H438" s="28" t="s">
        <v>34</v>
      </c>
      <c r="I438" s="10" t="s">
        <v>35</v>
      </c>
      <c r="J438" s="46">
        <v>18.0</v>
      </c>
      <c r="K438" s="9" t="s">
        <v>3223</v>
      </c>
      <c r="L438" s="46">
        <v>3.0</v>
      </c>
      <c r="M438" s="46">
        <v>2.0</v>
      </c>
      <c r="N438" s="13"/>
      <c r="O438" s="13"/>
      <c r="P438" s="46" t="s">
        <v>386</v>
      </c>
      <c r="Q438" s="18" t="s">
        <v>1005</v>
      </c>
      <c r="R438" s="18" t="s">
        <v>3224</v>
      </c>
      <c r="S438" s="46" t="s">
        <v>45</v>
      </c>
      <c r="T438" s="46" t="s">
        <v>46</v>
      </c>
      <c r="U438" s="9" t="s">
        <v>3219</v>
      </c>
      <c r="V438" s="9" t="s">
        <v>3219</v>
      </c>
      <c r="W438" s="13"/>
      <c r="X438" s="13"/>
      <c r="Y438" s="13"/>
      <c r="Z438" s="13"/>
      <c r="AA438" s="13"/>
      <c r="AB438" s="13"/>
      <c r="AC438" s="14" t="s">
        <v>3225</v>
      </c>
      <c r="AD438" s="13"/>
      <c r="AE438" s="13"/>
    </row>
    <row r="439">
      <c r="A439" s="9" t="s">
        <v>3188</v>
      </c>
      <c r="B439" s="9" t="s">
        <v>116</v>
      </c>
      <c r="C439" s="9" t="s">
        <v>3226</v>
      </c>
      <c r="D439" s="10" t="s">
        <v>3227</v>
      </c>
      <c r="E439" s="10" t="s">
        <v>31</v>
      </c>
      <c r="F439" s="10" t="s">
        <v>32</v>
      </c>
      <c r="G439" s="46" t="s">
        <v>3228</v>
      </c>
      <c r="H439" s="28" t="s">
        <v>34</v>
      </c>
      <c r="I439" s="10" t="s">
        <v>35</v>
      </c>
      <c r="J439" s="46" t="s">
        <v>3229</v>
      </c>
      <c r="K439" s="9" t="s">
        <v>3230</v>
      </c>
      <c r="L439" s="46">
        <v>25.0</v>
      </c>
      <c r="M439" s="46">
        <v>25.0</v>
      </c>
      <c r="N439" s="46" t="s">
        <v>3231</v>
      </c>
      <c r="O439" s="18" t="s">
        <v>3232</v>
      </c>
      <c r="P439" s="46" t="s">
        <v>3233</v>
      </c>
      <c r="Q439" s="29" t="s">
        <v>3234</v>
      </c>
      <c r="R439" s="29" t="s">
        <v>3235</v>
      </c>
      <c r="S439" s="46" t="s">
        <v>45</v>
      </c>
      <c r="T439" s="46" t="s">
        <v>46</v>
      </c>
      <c r="U439" s="9" t="s">
        <v>3236</v>
      </c>
      <c r="V439" s="9" t="s">
        <v>3237</v>
      </c>
      <c r="W439" s="13"/>
      <c r="X439" s="13"/>
      <c r="Y439" s="13"/>
      <c r="Z439" s="13"/>
      <c r="AA439" s="13"/>
      <c r="AB439" s="13"/>
      <c r="AC439" s="14" t="s">
        <v>3238</v>
      </c>
      <c r="AD439" s="13"/>
      <c r="AE439" s="13"/>
    </row>
    <row r="440">
      <c r="A440" s="9" t="s">
        <v>3188</v>
      </c>
      <c r="B440" s="9" t="s">
        <v>192</v>
      </c>
      <c r="C440" s="9" t="s">
        <v>3239</v>
      </c>
      <c r="D440" s="10" t="s">
        <v>3240</v>
      </c>
      <c r="E440" s="10" t="s">
        <v>31</v>
      </c>
      <c r="F440" s="10" t="s">
        <v>32</v>
      </c>
      <c r="G440" s="46" t="s">
        <v>3241</v>
      </c>
      <c r="H440" s="28" t="s">
        <v>34</v>
      </c>
      <c r="I440" s="10" t="s">
        <v>35</v>
      </c>
      <c r="J440" s="46">
        <v>35.0</v>
      </c>
      <c r="K440" s="9" t="s">
        <v>3242</v>
      </c>
      <c r="L440" s="46">
        <v>2.0</v>
      </c>
      <c r="M440" s="46">
        <v>2.0</v>
      </c>
      <c r="N440" s="46" t="s">
        <v>3243</v>
      </c>
      <c r="O440" s="13"/>
      <c r="P440" s="46" t="s">
        <v>3244</v>
      </c>
      <c r="Q440" s="18" t="s">
        <v>3245</v>
      </c>
      <c r="R440" s="18" t="s">
        <v>3246</v>
      </c>
      <c r="S440" s="46" t="s">
        <v>2313</v>
      </c>
      <c r="T440" s="46" t="s">
        <v>2314</v>
      </c>
      <c r="U440" s="9" t="s">
        <v>3247</v>
      </c>
      <c r="V440" s="9" t="s">
        <v>3247</v>
      </c>
      <c r="W440" s="46" t="s">
        <v>45</v>
      </c>
      <c r="X440" s="46" t="s">
        <v>46</v>
      </c>
      <c r="Y440" s="50">
        <v>44039.0</v>
      </c>
      <c r="Z440" s="50">
        <v>44039.0</v>
      </c>
      <c r="AA440" s="13"/>
      <c r="AB440" s="13"/>
      <c r="AC440" s="14" t="s">
        <v>3248</v>
      </c>
      <c r="AD440" s="13"/>
      <c r="AE440" s="13"/>
    </row>
    <row r="441">
      <c r="A441" s="9" t="s">
        <v>3188</v>
      </c>
      <c r="B441" s="9" t="s">
        <v>192</v>
      </c>
      <c r="C441" s="9" t="s">
        <v>3249</v>
      </c>
      <c r="D441" s="10" t="s">
        <v>3250</v>
      </c>
      <c r="E441" s="10" t="s">
        <v>31</v>
      </c>
      <c r="F441" s="10" t="s">
        <v>32</v>
      </c>
      <c r="G441" s="46" t="s">
        <v>3251</v>
      </c>
      <c r="H441" s="28" t="s">
        <v>34</v>
      </c>
      <c r="I441" s="10" t="s">
        <v>35</v>
      </c>
      <c r="J441" s="46" t="s">
        <v>3252</v>
      </c>
      <c r="K441" s="9" t="s">
        <v>3253</v>
      </c>
      <c r="L441" s="46">
        <v>6.0</v>
      </c>
      <c r="M441" s="46">
        <v>6.0</v>
      </c>
      <c r="N441" s="13"/>
      <c r="O441" s="13"/>
      <c r="P441" s="46" t="s">
        <v>3254</v>
      </c>
      <c r="Q441" s="29" t="s">
        <v>3255</v>
      </c>
      <c r="R441" s="46" t="s">
        <v>3256</v>
      </c>
      <c r="S441" s="46" t="s">
        <v>2313</v>
      </c>
      <c r="T441" s="46" t="s">
        <v>2314</v>
      </c>
      <c r="U441" s="9" t="s">
        <v>3257</v>
      </c>
      <c r="V441" s="9" t="s">
        <v>3247</v>
      </c>
      <c r="W441" s="46" t="s">
        <v>45</v>
      </c>
      <c r="X441" s="46" t="s">
        <v>46</v>
      </c>
      <c r="Y441" s="50">
        <v>44039.0</v>
      </c>
      <c r="Z441" s="50">
        <v>44039.0</v>
      </c>
      <c r="AA441" s="13"/>
      <c r="AB441" s="13"/>
      <c r="AC441" s="14" t="s">
        <v>3258</v>
      </c>
      <c r="AD441" s="13"/>
      <c r="AE441" s="13"/>
    </row>
    <row r="442">
      <c r="A442" s="9" t="s">
        <v>3188</v>
      </c>
      <c r="B442" s="9" t="s">
        <v>192</v>
      </c>
      <c r="C442" s="9" t="s">
        <v>3259</v>
      </c>
      <c r="D442" s="10" t="s">
        <v>3260</v>
      </c>
      <c r="E442" s="10" t="s">
        <v>31</v>
      </c>
      <c r="F442" s="10" t="s">
        <v>32</v>
      </c>
      <c r="G442" s="46" t="s">
        <v>3251</v>
      </c>
      <c r="H442" s="68" t="s">
        <v>34</v>
      </c>
      <c r="I442" s="10" t="s">
        <v>35</v>
      </c>
      <c r="J442" s="46" t="s">
        <v>3261</v>
      </c>
      <c r="K442" s="9" t="s">
        <v>3262</v>
      </c>
      <c r="L442" s="46">
        <v>16.0</v>
      </c>
      <c r="M442" s="46">
        <v>16.0</v>
      </c>
      <c r="N442" s="13"/>
      <c r="O442" s="13"/>
      <c r="P442" s="29" t="s">
        <v>3263</v>
      </c>
      <c r="Q442" s="29" t="s">
        <v>3264</v>
      </c>
      <c r="R442" s="29" t="s">
        <v>3265</v>
      </c>
      <c r="S442" s="46" t="s">
        <v>2313</v>
      </c>
      <c r="T442" s="46" t="s">
        <v>2314</v>
      </c>
      <c r="U442" s="9" t="s">
        <v>3247</v>
      </c>
      <c r="V442" s="9" t="s">
        <v>3266</v>
      </c>
      <c r="W442" s="46" t="s">
        <v>45</v>
      </c>
      <c r="X442" s="46" t="s">
        <v>46</v>
      </c>
      <c r="Y442" s="50">
        <v>44039.0</v>
      </c>
      <c r="Z442" s="50">
        <v>44039.0</v>
      </c>
      <c r="AA442" s="13"/>
      <c r="AB442" s="13"/>
      <c r="AC442" s="14" t="s">
        <v>3267</v>
      </c>
      <c r="AD442" s="13"/>
      <c r="AE442" s="13"/>
    </row>
    <row r="443">
      <c r="A443" s="9" t="s">
        <v>3188</v>
      </c>
      <c r="B443" s="9" t="s">
        <v>192</v>
      </c>
      <c r="C443" s="9" t="s">
        <v>3268</v>
      </c>
      <c r="D443" s="10" t="s">
        <v>3269</v>
      </c>
      <c r="E443" s="10" t="s">
        <v>31</v>
      </c>
      <c r="F443" s="10" t="s">
        <v>32</v>
      </c>
      <c r="G443" s="46" t="s">
        <v>3251</v>
      </c>
      <c r="H443" s="28" t="s">
        <v>34</v>
      </c>
      <c r="I443" s="10" t="s">
        <v>35</v>
      </c>
      <c r="J443" s="46" t="s">
        <v>3270</v>
      </c>
      <c r="K443" s="9" t="s">
        <v>3271</v>
      </c>
      <c r="L443" s="46">
        <v>6.0</v>
      </c>
      <c r="M443" s="46">
        <v>6.0</v>
      </c>
      <c r="N443" s="46" t="s">
        <v>3272</v>
      </c>
      <c r="O443" s="13"/>
      <c r="P443" s="46" t="s">
        <v>3273</v>
      </c>
      <c r="Q443" s="29" t="s">
        <v>3274</v>
      </c>
      <c r="R443" s="46" t="s">
        <v>3275</v>
      </c>
      <c r="S443" s="46" t="s">
        <v>2313</v>
      </c>
      <c r="T443" s="46" t="s">
        <v>2314</v>
      </c>
      <c r="U443" s="9" t="s">
        <v>3266</v>
      </c>
      <c r="V443" s="9" t="s">
        <v>3276</v>
      </c>
      <c r="W443" s="46" t="s">
        <v>45</v>
      </c>
      <c r="X443" s="46" t="s">
        <v>46</v>
      </c>
      <c r="Y443" s="50">
        <v>44040.0</v>
      </c>
      <c r="Z443" s="50">
        <v>44040.0</v>
      </c>
      <c r="AA443" s="13"/>
      <c r="AB443" s="13"/>
      <c r="AC443" s="14" t="s">
        <v>3277</v>
      </c>
      <c r="AD443" s="13"/>
      <c r="AE443" s="13"/>
    </row>
    <row r="444">
      <c r="A444" s="9" t="s">
        <v>3188</v>
      </c>
      <c r="B444" s="9" t="s">
        <v>192</v>
      </c>
      <c r="C444" s="9" t="s">
        <v>3278</v>
      </c>
      <c r="D444" s="10" t="s">
        <v>3279</v>
      </c>
      <c r="E444" s="10" t="s">
        <v>31</v>
      </c>
      <c r="F444" s="10" t="s">
        <v>32</v>
      </c>
      <c r="G444" s="13"/>
      <c r="H444" s="28"/>
      <c r="I444" s="46"/>
      <c r="J444" s="46" t="s">
        <v>3280</v>
      </c>
      <c r="K444" s="9" t="s">
        <v>3281</v>
      </c>
      <c r="L444" s="46">
        <v>17.0</v>
      </c>
      <c r="M444" s="46">
        <v>17.0</v>
      </c>
      <c r="N444" s="46" t="s">
        <v>2678</v>
      </c>
      <c r="O444" s="13"/>
      <c r="P444" s="46" t="s">
        <v>3282</v>
      </c>
      <c r="Q444" s="18" t="s">
        <v>3283</v>
      </c>
      <c r="R444" s="18" t="s">
        <v>3284</v>
      </c>
      <c r="S444" s="46" t="s">
        <v>2313</v>
      </c>
      <c r="T444" s="46" t="s">
        <v>2314</v>
      </c>
      <c r="U444" s="9" t="s">
        <v>3266</v>
      </c>
      <c r="V444" s="9" t="s">
        <v>3285</v>
      </c>
      <c r="W444" s="46" t="s">
        <v>45</v>
      </c>
      <c r="X444" s="46" t="s">
        <v>46</v>
      </c>
      <c r="Y444" s="50">
        <v>44040.0</v>
      </c>
      <c r="Z444" s="50">
        <v>44041.0</v>
      </c>
      <c r="AA444" s="13"/>
      <c r="AB444" s="13"/>
      <c r="AC444" s="14" t="s">
        <v>3286</v>
      </c>
      <c r="AD444" s="13"/>
      <c r="AE444" s="13"/>
    </row>
    <row r="445">
      <c r="A445" s="9" t="s">
        <v>3188</v>
      </c>
      <c r="B445" s="9" t="s">
        <v>303</v>
      </c>
      <c r="C445" s="9" t="s">
        <v>3287</v>
      </c>
      <c r="D445" s="10" t="s">
        <v>3288</v>
      </c>
      <c r="E445" s="10" t="s">
        <v>31</v>
      </c>
      <c r="F445" s="10" t="s">
        <v>32</v>
      </c>
      <c r="G445" s="46" t="s">
        <v>3251</v>
      </c>
      <c r="H445" s="28" t="s">
        <v>34</v>
      </c>
      <c r="I445" s="10" t="s">
        <v>35</v>
      </c>
      <c r="J445" s="46" t="s">
        <v>3289</v>
      </c>
      <c r="K445" s="9" t="s">
        <v>3290</v>
      </c>
      <c r="L445" s="46">
        <v>13.0</v>
      </c>
      <c r="M445" s="46">
        <v>13.0</v>
      </c>
      <c r="N445" s="13"/>
      <c r="O445" s="13"/>
      <c r="P445" s="18" t="s">
        <v>3291</v>
      </c>
      <c r="Q445" s="18" t="s">
        <v>3292</v>
      </c>
      <c r="R445" s="18" t="s">
        <v>3293</v>
      </c>
      <c r="S445" s="46" t="s">
        <v>2313</v>
      </c>
      <c r="T445" s="46" t="s">
        <v>2314</v>
      </c>
      <c r="U445" s="9" t="s">
        <v>3285</v>
      </c>
      <c r="V445" s="9" t="s">
        <v>3294</v>
      </c>
      <c r="W445" s="46" t="s">
        <v>45</v>
      </c>
      <c r="X445" s="46" t="s">
        <v>46</v>
      </c>
      <c r="Y445" s="50">
        <v>44042.0</v>
      </c>
      <c r="Z445" s="50">
        <v>44042.0</v>
      </c>
      <c r="AA445" s="13"/>
      <c r="AB445" s="13"/>
      <c r="AC445" s="14" t="s">
        <v>3295</v>
      </c>
      <c r="AD445" s="13"/>
      <c r="AE445" s="13"/>
    </row>
    <row r="446">
      <c r="A446" s="9" t="s">
        <v>3188</v>
      </c>
      <c r="B446" s="9" t="s">
        <v>303</v>
      </c>
      <c r="C446" s="9" t="s">
        <v>3296</v>
      </c>
      <c r="D446" s="10" t="s">
        <v>3297</v>
      </c>
      <c r="E446" s="10" t="s">
        <v>31</v>
      </c>
      <c r="F446" s="10" t="s">
        <v>32</v>
      </c>
      <c r="G446" s="46" t="s">
        <v>3298</v>
      </c>
      <c r="H446" s="28" t="s">
        <v>34</v>
      </c>
      <c r="I446" s="10" t="s">
        <v>35</v>
      </c>
      <c r="J446" s="46" t="s">
        <v>3299</v>
      </c>
      <c r="K446" s="9" t="s">
        <v>3300</v>
      </c>
      <c r="L446" s="46">
        <v>10.0</v>
      </c>
      <c r="M446" s="46">
        <v>10.0</v>
      </c>
      <c r="N446" s="46" t="s">
        <v>3301</v>
      </c>
      <c r="O446" s="13"/>
      <c r="P446" s="18" t="s">
        <v>3302</v>
      </c>
      <c r="Q446" s="18" t="s">
        <v>3303</v>
      </c>
      <c r="R446" s="18" t="s">
        <v>3304</v>
      </c>
      <c r="S446" s="46" t="s">
        <v>2313</v>
      </c>
      <c r="T446" s="46" t="s">
        <v>2314</v>
      </c>
      <c r="U446" s="9" t="s">
        <v>3285</v>
      </c>
      <c r="V446" s="9" t="s">
        <v>3294</v>
      </c>
      <c r="W446" s="46" t="s">
        <v>45</v>
      </c>
      <c r="X446" s="46" t="s">
        <v>46</v>
      </c>
      <c r="Y446" s="50">
        <v>44042.0</v>
      </c>
      <c r="Z446" s="50">
        <v>44042.0</v>
      </c>
      <c r="AA446" s="13"/>
      <c r="AB446" s="13"/>
      <c r="AC446" s="14" t="s">
        <v>3305</v>
      </c>
      <c r="AD446" s="13"/>
      <c r="AE446" s="13"/>
    </row>
    <row r="447">
      <c r="A447" s="9" t="s">
        <v>3188</v>
      </c>
      <c r="B447" s="9" t="s">
        <v>303</v>
      </c>
      <c r="C447" s="9" t="s">
        <v>3306</v>
      </c>
      <c r="D447" s="10" t="s">
        <v>3307</v>
      </c>
      <c r="E447" s="10" t="s">
        <v>31</v>
      </c>
      <c r="F447" s="10" t="s">
        <v>32</v>
      </c>
      <c r="G447" s="46" t="s">
        <v>3308</v>
      </c>
      <c r="H447" s="29" t="s">
        <v>1756</v>
      </c>
      <c r="I447" s="29" t="s">
        <v>1757</v>
      </c>
      <c r="J447" s="46" t="s">
        <v>3309</v>
      </c>
      <c r="K447" s="9" t="s">
        <v>3310</v>
      </c>
      <c r="L447" s="46">
        <v>5.0</v>
      </c>
      <c r="M447" s="46">
        <v>5.0</v>
      </c>
      <c r="N447" s="13"/>
      <c r="O447" s="13"/>
      <c r="P447" s="18" t="s">
        <v>3311</v>
      </c>
      <c r="Q447" s="18" t="s">
        <v>3312</v>
      </c>
      <c r="R447" s="18" t="s">
        <v>3313</v>
      </c>
      <c r="S447" s="46" t="s">
        <v>2313</v>
      </c>
      <c r="T447" s="46" t="s">
        <v>2314</v>
      </c>
      <c r="U447" s="9" t="s">
        <v>3294</v>
      </c>
      <c r="V447" s="9" t="s">
        <v>3294</v>
      </c>
      <c r="W447" s="18" t="s">
        <v>1615</v>
      </c>
      <c r="X447" s="18" t="s">
        <v>1616</v>
      </c>
      <c r="Y447" s="31">
        <v>44334.0</v>
      </c>
      <c r="Z447" s="31">
        <v>44334.0</v>
      </c>
      <c r="AA447" s="13"/>
      <c r="AB447" s="13"/>
      <c r="AC447" s="14" t="s">
        <v>3314</v>
      </c>
      <c r="AD447" s="13"/>
      <c r="AE447" s="13"/>
    </row>
    <row r="448">
      <c r="A448" s="9" t="s">
        <v>3188</v>
      </c>
      <c r="B448" s="9" t="s">
        <v>303</v>
      </c>
      <c r="C448" s="9" t="s">
        <v>3315</v>
      </c>
      <c r="D448" s="10" t="s">
        <v>3316</v>
      </c>
      <c r="E448" s="10" t="s">
        <v>31</v>
      </c>
      <c r="F448" s="10" t="s">
        <v>32</v>
      </c>
      <c r="G448" s="46" t="s">
        <v>3317</v>
      </c>
      <c r="H448" s="29" t="s">
        <v>769</v>
      </c>
      <c r="I448" s="29" t="s">
        <v>770</v>
      </c>
      <c r="J448" s="46" t="s">
        <v>3318</v>
      </c>
      <c r="K448" s="9" t="s">
        <v>3319</v>
      </c>
      <c r="L448" s="46">
        <v>24.0</v>
      </c>
      <c r="M448" s="46">
        <v>16.0</v>
      </c>
      <c r="N448" s="13"/>
      <c r="O448" s="13"/>
      <c r="P448" s="18" t="s">
        <v>3320</v>
      </c>
      <c r="Q448" s="18" t="s">
        <v>3321</v>
      </c>
      <c r="R448" s="18" t="s">
        <v>3322</v>
      </c>
      <c r="S448" s="46" t="s">
        <v>2313</v>
      </c>
      <c r="T448" s="46" t="s">
        <v>2314</v>
      </c>
      <c r="U448" s="9" t="s">
        <v>3323</v>
      </c>
      <c r="V448" s="9" t="s">
        <v>3324</v>
      </c>
      <c r="W448" s="18" t="s">
        <v>1615</v>
      </c>
      <c r="X448" s="18" t="s">
        <v>1616</v>
      </c>
      <c r="Y448" s="31">
        <v>44334.0</v>
      </c>
      <c r="Z448" s="31">
        <v>44335.0</v>
      </c>
      <c r="AA448" s="13"/>
      <c r="AB448" s="13"/>
      <c r="AC448" s="14" t="s">
        <v>3325</v>
      </c>
      <c r="AD448" s="13"/>
      <c r="AE448" s="13"/>
    </row>
    <row r="449">
      <c r="A449" s="9" t="s">
        <v>3188</v>
      </c>
      <c r="B449" s="9" t="s">
        <v>303</v>
      </c>
      <c r="C449" s="9" t="s">
        <v>3326</v>
      </c>
      <c r="D449" s="10" t="s">
        <v>3327</v>
      </c>
      <c r="E449" s="10" t="s">
        <v>31</v>
      </c>
      <c r="F449" s="10" t="s">
        <v>32</v>
      </c>
      <c r="G449" s="46" t="s">
        <v>3317</v>
      </c>
      <c r="H449" s="29" t="s">
        <v>769</v>
      </c>
      <c r="I449" s="29" t="s">
        <v>770</v>
      </c>
      <c r="J449" s="46" t="s">
        <v>3328</v>
      </c>
      <c r="K449" s="9" t="s">
        <v>3329</v>
      </c>
      <c r="L449" s="46">
        <v>9.0</v>
      </c>
      <c r="M449" s="46">
        <v>6.0</v>
      </c>
      <c r="N449" s="13"/>
      <c r="O449" s="13"/>
      <c r="P449" s="18" t="s">
        <v>3330</v>
      </c>
      <c r="Q449" s="18" t="s">
        <v>3331</v>
      </c>
      <c r="R449" s="18" t="s">
        <v>3332</v>
      </c>
      <c r="S449" s="46" t="s">
        <v>2313</v>
      </c>
      <c r="T449" s="46" t="s">
        <v>2314</v>
      </c>
      <c r="U449" s="9" t="s">
        <v>3323</v>
      </c>
      <c r="V449" s="9" t="s">
        <v>3323</v>
      </c>
      <c r="W449" s="13"/>
      <c r="X449" s="13"/>
      <c r="Y449" s="13"/>
      <c r="Z449" s="13"/>
      <c r="AA449" s="13"/>
      <c r="AB449" s="13"/>
      <c r="AC449" s="14" t="s">
        <v>3333</v>
      </c>
      <c r="AD449" s="13"/>
      <c r="AE449" s="13"/>
    </row>
    <row r="450">
      <c r="A450" s="9" t="s">
        <v>3188</v>
      </c>
      <c r="B450" s="9" t="s">
        <v>303</v>
      </c>
      <c r="C450" s="9" t="s">
        <v>3334</v>
      </c>
      <c r="D450" s="10" t="s">
        <v>3335</v>
      </c>
      <c r="E450" s="10" t="s">
        <v>31</v>
      </c>
      <c r="F450" s="10" t="s">
        <v>32</v>
      </c>
      <c r="G450" s="46" t="s">
        <v>3336</v>
      </c>
      <c r="H450" s="29" t="s">
        <v>736</v>
      </c>
      <c r="I450" s="29" t="s">
        <v>737</v>
      </c>
      <c r="J450" s="46" t="s">
        <v>3337</v>
      </c>
      <c r="K450" s="9" t="s">
        <v>3338</v>
      </c>
      <c r="L450" s="46">
        <v>6.0</v>
      </c>
      <c r="M450" s="46">
        <v>3.0</v>
      </c>
      <c r="N450" s="13"/>
      <c r="O450" s="13"/>
      <c r="P450" s="18" t="s">
        <v>386</v>
      </c>
      <c r="Q450" s="18" t="s">
        <v>1429</v>
      </c>
      <c r="R450" s="18" t="s">
        <v>3339</v>
      </c>
      <c r="S450" s="46" t="s">
        <v>2313</v>
      </c>
      <c r="T450" s="46" t="s">
        <v>2314</v>
      </c>
      <c r="U450" s="9" t="s">
        <v>2392</v>
      </c>
      <c r="V450" s="9" t="s">
        <v>2392</v>
      </c>
      <c r="W450" s="13"/>
      <c r="X450" s="13"/>
      <c r="Y450" s="13"/>
      <c r="Z450" s="13"/>
      <c r="AA450" s="13"/>
      <c r="AB450" s="13"/>
      <c r="AC450" s="14" t="s">
        <v>3340</v>
      </c>
      <c r="AD450" s="13"/>
      <c r="AE450" s="13"/>
    </row>
    <row r="451">
      <c r="A451" s="9" t="s">
        <v>3188</v>
      </c>
      <c r="B451" s="9" t="s">
        <v>303</v>
      </c>
      <c r="C451" s="9" t="s">
        <v>3341</v>
      </c>
      <c r="D451" s="10" t="s">
        <v>3342</v>
      </c>
      <c r="E451" s="10" t="s">
        <v>31</v>
      </c>
      <c r="F451" s="10" t="s">
        <v>32</v>
      </c>
      <c r="G451" s="46" t="s">
        <v>3336</v>
      </c>
      <c r="H451" s="29" t="s">
        <v>736</v>
      </c>
      <c r="I451" s="29" t="s">
        <v>737</v>
      </c>
      <c r="J451" s="46" t="s">
        <v>3343</v>
      </c>
      <c r="K451" s="12"/>
      <c r="L451" s="46">
        <v>4.0</v>
      </c>
      <c r="M451" s="46">
        <v>2.0</v>
      </c>
      <c r="N451" s="13"/>
      <c r="O451" s="13"/>
      <c r="P451" s="18" t="s">
        <v>3344</v>
      </c>
      <c r="Q451" s="18" t="s">
        <v>1690</v>
      </c>
      <c r="R451" s="18" t="s">
        <v>3345</v>
      </c>
      <c r="S451" s="46" t="s">
        <v>2313</v>
      </c>
      <c r="T451" s="46" t="s">
        <v>2314</v>
      </c>
      <c r="U451" s="9" t="s">
        <v>3294</v>
      </c>
      <c r="V451" s="9" t="s">
        <v>3294</v>
      </c>
      <c r="W451" s="13"/>
      <c r="X451" s="13"/>
      <c r="Y451" s="13"/>
      <c r="Z451" s="13"/>
      <c r="AA451" s="13"/>
      <c r="AB451" s="13"/>
      <c r="AC451" s="14" t="s">
        <v>3346</v>
      </c>
      <c r="AD451" s="13"/>
      <c r="AE451" s="13"/>
    </row>
    <row r="452">
      <c r="A452" s="9" t="s">
        <v>3188</v>
      </c>
      <c r="B452" s="9" t="s">
        <v>303</v>
      </c>
      <c r="C452" s="10" t="s">
        <v>3347</v>
      </c>
      <c r="D452" s="12" t="s">
        <v>3348</v>
      </c>
      <c r="E452" s="10" t="s">
        <v>31</v>
      </c>
      <c r="F452" s="10" t="s">
        <v>32</v>
      </c>
      <c r="G452" s="13"/>
      <c r="H452" s="46"/>
      <c r="I452" s="46"/>
      <c r="J452" s="46">
        <v>94.0</v>
      </c>
      <c r="K452" s="9" t="s">
        <v>3349</v>
      </c>
      <c r="L452" s="46">
        <v>1.0</v>
      </c>
      <c r="M452" s="46">
        <v>1.0</v>
      </c>
      <c r="N452" s="13"/>
      <c r="O452" s="13"/>
      <c r="P452" s="18" t="s">
        <v>386</v>
      </c>
      <c r="Q452" s="18" t="s">
        <v>3350</v>
      </c>
      <c r="R452" s="18" t="s">
        <v>3351</v>
      </c>
      <c r="S452" s="46" t="s">
        <v>2313</v>
      </c>
      <c r="T452" s="46" t="s">
        <v>2314</v>
      </c>
      <c r="U452" s="9" t="s">
        <v>3294</v>
      </c>
      <c r="V452" s="9" t="s">
        <v>3294</v>
      </c>
      <c r="W452" s="13"/>
      <c r="X452" s="13"/>
      <c r="Y452" s="13"/>
      <c r="Z452" s="13"/>
      <c r="AA452" s="13"/>
      <c r="AB452" s="13"/>
      <c r="AC452" s="14" t="s">
        <v>3352</v>
      </c>
      <c r="AD452" s="13"/>
      <c r="AE452" s="13"/>
    </row>
    <row r="453">
      <c r="A453" s="9" t="s">
        <v>3188</v>
      </c>
      <c r="B453" s="9" t="s">
        <v>303</v>
      </c>
      <c r="C453" s="10" t="s">
        <v>3353</v>
      </c>
      <c r="D453" s="10" t="s">
        <v>3354</v>
      </c>
      <c r="E453" s="10" t="s">
        <v>31</v>
      </c>
      <c r="F453" s="10" t="s">
        <v>32</v>
      </c>
      <c r="G453" s="46" t="s">
        <v>3317</v>
      </c>
      <c r="H453" s="29" t="s">
        <v>769</v>
      </c>
      <c r="I453" s="29" t="s">
        <v>770</v>
      </c>
      <c r="J453" s="46">
        <v>85.0</v>
      </c>
      <c r="K453" s="9" t="s">
        <v>3355</v>
      </c>
      <c r="L453" s="46">
        <v>3.0</v>
      </c>
      <c r="M453" s="46">
        <v>2.0</v>
      </c>
      <c r="N453" s="69"/>
      <c r="O453" s="69"/>
      <c r="P453" s="18" t="s">
        <v>1005</v>
      </c>
      <c r="Q453" s="18" t="s">
        <v>1429</v>
      </c>
      <c r="R453" s="18" t="s">
        <v>3356</v>
      </c>
      <c r="S453" s="46" t="s">
        <v>2313</v>
      </c>
      <c r="T453" s="9" t="s">
        <v>2314</v>
      </c>
      <c r="U453" s="9" t="s">
        <v>3294</v>
      </c>
      <c r="V453" s="12" t="s">
        <v>3294</v>
      </c>
      <c r="W453" s="70"/>
      <c r="X453" s="46"/>
      <c r="Y453" s="46"/>
      <c r="Z453" s="69"/>
      <c r="AA453" s="69"/>
      <c r="AB453" s="46" t="s">
        <v>2313</v>
      </c>
      <c r="AC453" s="14" t="s">
        <v>3357</v>
      </c>
      <c r="AD453" s="9" t="s">
        <v>3294</v>
      </c>
      <c r="AE453" s="40"/>
    </row>
    <row r="454">
      <c r="A454" s="9" t="s">
        <v>3188</v>
      </c>
      <c r="B454" s="9" t="s">
        <v>400</v>
      </c>
      <c r="C454" s="9" t="s">
        <v>3358</v>
      </c>
      <c r="D454" s="10" t="s">
        <v>3359</v>
      </c>
      <c r="E454" s="10" t="s">
        <v>31</v>
      </c>
      <c r="F454" s="10" t="s">
        <v>32</v>
      </c>
      <c r="G454" s="46" t="s">
        <v>3336</v>
      </c>
      <c r="H454" s="29" t="s">
        <v>736</v>
      </c>
      <c r="I454" s="29" t="s">
        <v>737</v>
      </c>
      <c r="J454" s="46" t="s">
        <v>3360</v>
      </c>
      <c r="K454" s="9" t="s">
        <v>3361</v>
      </c>
      <c r="L454" s="46">
        <v>6.0</v>
      </c>
      <c r="M454" s="46">
        <v>4.0</v>
      </c>
      <c r="N454" s="46" t="s">
        <v>3362</v>
      </c>
      <c r="O454" s="13"/>
      <c r="P454" s="18" t="s">
        <v>3363</v>
      </c>
      <c r="Q454" s="18" t="s">
        <v>3364</v>
      </c>
      <c r="R454" s="18" t="s">
        <v>3365</v>
      </c>
      <c r="S454" s="46" t="s">
        <v>2526</v>
      </c>
      <c r="T454" s="46" t="s">
        <v>2527</v>
      </c>
      <c r="U454" s="9" t="s">
        <v>3236</v>
      </c>
      <c r="V454" s="9" t="s">
        <v>3236</v>
      </c>
      <c r="W454" s="46" t="s">
        <v>2313</v>
      </c>
      <c r="X454" s="46" t="s">
        <v>2314</v>
      </c>
      <c r="Y454" s="50">
        <v>44021.0</v>
      </c>
      <c r="Z454" s="50">
        <v>44022.0</v>
      </c>
      <c r="AA454" s="13"/>
      <c r="AB454" s="13"/>
      <c r="AC454" s="14" t="s">
        <v>3366</v>
      </c>
      <c r="AD454" s="13"/>
      <c r="AE454" s="13"/>
    </row>
    <row r="455">
      <c r="A455" s="9" t="s">
        <v>3188</v>
      </c>
      <c r="B455" s="9" t="s">
        <v>400</v>
      </c>
      <c r="C455" s="9" t="s">
        <v>3367</v>
      </c>
      <c r="D455" s="10" t="s">
        <v>3368</v>
      </c>
      <c r="E455" s="10" t="s">
        <v>31</v>
      </c>
      <c r="F455" s="10" t="s">
        <v>32</v>
      </c>
      <c r="G455" s="46" t="s">
        <v>3369</v>
      </c>
      <c r="H455" s="29" t="s">
        <v>1756</v>
      </c>
      <c r="I455" s="29" t="s">
        <v>1757</v>
      </c>
      <c r="J455" s="46" t="s">
        <v>3370</v>
      </c>
      <c r="K455" s="9" t="s">
        <v>3371</v>
      </c>
      <c r="L455" s="46">
        <v>9.0</v>
      </c>
      <c r="M455" s="46">
        <v>6.0</v>
      </c>
      <c r="N455" s="13"/>
      <c r="O455" s="13"/>
      <c r="P455" s="18" t="s">
        <v>3372</v>
      </c>
      <c r="Q455" s="18" t="s">
        <v>3373</v>
      </c>
      <c r="R455" s="71" t="s">
        <v>3374</v>
      </c>
      <c r="S455" s="46" t="s">
        <v>2526</v>
      </c>
      <c r="T455" s="46" t="s">
        <v>2527</v>
      </c>
      <c r="U455" s="9" t="s">
        <v>3294</v>
      </c>
      <c r="V455" s="9" t="s">
        <v>3294</v>
      </c>
      <c r="W455" s="46" t="s">
        <v>2313</v>
      </c>
      <c r="X455" s="46" t="s">
        <v>2314</v>
      </c>
      <c r="Y455" s="50">
        <v>44025.0</v>
      </c>
      <c r="Z455" s="50">
        <v>44025.0</v>
      </c>
      <c r="AA455" s="13"/>
      <c r="AB455" s="13"/>
      <c r="AC455" s="14" t="s">
        <v>3375</v>
      </c>
      <c r="AD455" s="13"/>
      <c r="AE455" s="13"/>
    </row>
    <row r="456">
      <c r="A456" s="9" t="s">
        <v>3188</v>
      </c>
      <c r="B456" s="9" t="s">
        <v>400</v>
      </c>
      <c r="C456" s="9" t="s">
        <v>3376</v>
      </c>
      <c r="D456" s="9" t="s">
        <v>3377</v>
      </c>
      <c r="E456" s="10" t="s">
        <v>31</v>
      </c>
      <c r="F456" s="10" t="s">
        <v>32</v>
      </c>
      <c r="G456" s="46" t="s">
        <v>3251</v>
      </c>
      <c r="H456" s="28" t="s">
        <v>34</v>
      </c>
      <c r="I456" s="10" t="s">
        <v>35</v>
      </c>
      <c r="J456" s="46">
        <v>100.0</v>
      </c>
      <c r="K456" s="9" t="s">
        <v>3378</v>
      </c>
      <c r="L456" s="46">
        <v>2.0</v>
      </c>
      <c r="M456" s="46">
        <v>2.0</v>
      </c>
      <c r="N456" s="13"/>
      <c r="O456" s="13"/>
      <c r="P456" s="18" t="s">
        <v>3379</v>
      </c>
      <c r="Q456" s="18" t="s">
        <v>3380</v>
      </c>
      <c r="R456" s="18" t="s">
        <v>3381</v>
      </c>
      <c r="S456" s="46" t="s">
        <v>2526</v>
      </c>
      <c r="T456" s="46" t="s">
        <v>2527</v>
      </c>
      <c r="U456" s="9" t="s">
        <v>3294</v>
      </c>
      <c r="V456" s="9" t="s">
        <v>3294</v>
      </c>
      <c r="W456" s="46" t="s">
        <v>2313</v>
      </c>
      <c r="X456" s="46" t="s">
        <v>2314</v>
      </c>
      <c r="Y456" s="50">
        <v>44025.0</v>
      </c>
      <c r="Z456" s="50">
        <v>44028.0</v>
      </c>
      <c r="AA456" s="13"/>
      <c r="AB456" s="13"/>
      <c r="AC456" s="14" t="s">
        <v>3382</v>
      </c>
      <c r="AD456" s="13"/>
      <c r="AE456" s="13"/>
    </row>
    <row r="457">
      <c r="A457" s="9" t="s">
        <v>3188</v>
      </c>
      <c r="B457" s="9" t="s">
        <v>400</v>
      </c>
      <c r="C457" s="9" t="s">
        <v>3383</v>
      </c>
      <c r="D457" s="9" t="s">
        <v>3384</v>
      </c>
      <c r="E457" s="10" t="s">
        <v>31</v>
      </c>
      <c r="F457" s="10" t="s">
        <v>32</v>
      </c>
      <c r="G457" s="66" t="s">
        <v>3251</v>
      </c>
      <c r="H457" s="28" t="s">
        <v>34</v>
      </c>
      <c r="I457" s="10" t="s">
        <v>35</v>
      </c>
      <c r="J457" s="46" t="s">
        <v>3385</v>
      </c>
      <c r="K457" s="9" t="s">
        <v>3386</v>
      </c>
      <c r="L457" s="46">
        <v>12.0</v>
      </c>
      <c r="M457" s="46">
        <v>12.0</v>
      </c>
      <c r="N457" s="13"/>
      <c r="O457" s="13"/>
      <c r="P457" s="18" t="s">
        <v>3387</v>
      </c>
      <c r="Q457" s="18" t="s">
        <v>3388</v>
      </c>
      <c r="R457" s="18" t="s">
        <v>3389</v>
      </c>
      <c r="S457" s="46" t="s">
        <v>2526</v>
      </c>
      <c r="T457" s="46" t="s">
        <v>2527</v>
      </c>
      <c r="U457" s="9" t="s">
        <v>3294</v>
      </c>
      <c r="V457" s="14" t="s">
        <v>3390</v>
      </c>
      <c r="W457" s="46" t="s">
        <v>2313</v>
      </c>
      <c r="X457" s="46" t="s">
        <v>2314</v>
      </c>
      <c r="Y457" s="50">
        <v>44027.0</v>
      </c>
      <c r="Z457" s="50">
        <v>44028.0</v>
      </c>
      <c r="AA457" s="13"/>
      <c r="AB457" s="13"/>
      <c r="AC457" s="14" t="s">
        <v>3391</v>
      </c>
      <c r="AD457" s="13"/>
      <c r="AE457" s="13"/>
    </row>
    <row r="458">
      <c r="A458" s="9" t="s">
        <v>3188</v>
      </c>
      <c r="B458" s="9" t="s">
        <v>400</v>
      </c>
      <c r="C458" s="9" t="s">
        <v>3392</v>
      </c>
      <c r="D458" s="10" t="s">
        <v>3393</v>
      </c>
      <c r="E458" s="10" t="s">
        <v>31</v>
      </c>
      <c r="F458" s="10" t="s">
        <v>32</v>
      </c>
      <c r="G458" s="46" t="s">
        <v>3394</v>
      </c>
      <c r="H458" s="28" t="s">
        <v>34</v>
      </c>
      <c r="I458" s="10" t="s">
        <v>35</v>
      </c>
      <c r="J458" s="46" t="s">
        <v>3395</v>
      </c>
      <c r="K458" s="9" t="s">
        <v>3396</v>
      </c>
      <c r="L458" s="46">
        <v>16.0</v>
      </c>
      <c r="M458" s="46">
        <v>16.0</v>
      </c>
      <c r="N458" s="13"/>
      <c r="O458" s="13"/>
      <c r="P458" s="18" t="s">
        <v>3397</v>
      </c>
      <c r="Q458" s="18" t="s">
        <v>3398</v>
      </c>
      <c r="R458" s="18" t="s">
        <v>3399</v>
      </c>
      <c r="S458" s="46" t="s">
        <v>2526</v>
      </c>
      <c r="T458" s="46" t="s">
        <v>2527</v>
      </c>
      <c r="U458" s="9" t="s">
        <v>3294</v>
      </c>
      <c r="V458" s="9" t="s">
        <v>2392</v>
      </c>
      <c r="W458" s="46" t="s">
        <v>2313</v>
      </c>
      <c r="X458" s="46" t="s">
        <v>2314</v>
      </c>
      <c r="Y458" s="50">
        <v>44028.0</v>
      </c>
      <c r="Z458" s="50">
        <v>44028.0</v>
      </c>
      <c r="AA458" s="13"/>
      <c r="AB458" s="13"/>
      <c r="AC458" s="14" t="s">
        <v>3400</v>
      </c>
      <c r="AD458" s="13"/>
      <c r="AE458" s="13"/>
    </row>
    <row r="459">
      <c r="A459" s="9" t="s">
        <v>3188</v>
      </c>
      <c r="B459" s="9" t="s">
        <v>490</v>
      </c>
      <c r="C459" s="9" t="s">
        <v>3401</v>
      </c>
      <c r="D459" s="10" t="s">
        <v>3402</v>
      </c>
      <c r="E459" s="10" t="s">
        <v>31</v>
      </c>
      <c r="F459" s="10" t="s">
        <v>32</v>
      </c>
      <c r="G459" s="46" t="s">
        <v>3298</v>
      </c>
      <c r="H459" s="68" t="s">
        <v>34</v>
      </c>
      <c r="I459" s="10" t="s">
        <v>35</v>
      </c>
      <c r="J459" s="46">
        <v>115.0</v>
      </c>
      <c r="K459" s="9" t="s">
        <v>3403</v>
      </c>
      <c r="L459" s="46">
        <v>2.0</v>
      </c>
      <c r="M459" s="46">
        <v>2.0</v>
      </c>
      <c r="N459" s="46" t="s">
        <v>3404</v>
      </c>
      <c r="O459" s="13"/>
      <c r="P459" s="18" t="s">
        <v>3405</v>
      </c>
      <c r="Q459" s="18" t="s">
        <v>3380</v>
      </c>
      <c r="R459" s="18" t="s">
        <v>3406</v>
      </c>
      <c r="S459" s="46" t="s">
        <v>2313</v>
      </c>
      <c r="T459" s="46" t="s">
        <v>2314</v>
      </c>
      <c r="U459" s="9" t="s">
        <v>3324</v>
      </c>
      <c r="V459" s="9" t="s">
        <v>2392</v>
      </c>
      <c r="W459" s="13"/>
      <c r="X459" s="13"/>
      <c r="Y459" s="13"/>
      <c r="Z459" s="13"/>
      <c r="AA459" s="13"/>
      <c r="AB459" s="13"/>
      <c r="AC459" s="14" t="s">
        <v>3407</v>
      </c>
      <c r="AD459" s="13"/>
      <c r="AE459" s="13"/>
    </row>
    <row r="460">
      <c r="A460" s="9" t="s">
        <v>3188</v>
      </c>
      <c r="B460" s="9" t="s">
        <v>490</v>
      </c>
      <c r="C460" s="9" t="s">
        <v>3408</v>
      </c>
      <c r="D460" s="10" t="s">
        <v>3409</v>
      </c>
      <c r="E460" s="10" t="s">
        <v>31</v>
      </c>
      <c r="F460" s="10" t="s">
        <v>32</v>
      </c>
      <c r="G460" s="13"/>
      <c r="H460" s="46"/>
      <c r="I460" s="46"/>
      <c r="J460" s="46" t="s">
        <v>3410</v>
      </c>
      <c r="K460" s="9" t="s">
        <v>3411</v>
      </c>
      <c r="L460" s="46">
        <v>6.0</v>
      </c>
      <c r="M460" s="46">
        <v>6.0</v>
      </c>
      <c r="N460" s="46" t="s">
        <v>2678</v>
      </c>
      <c r="O460" s="13"/>
      <c r="P460" s="18" t="s">
        <v>3412</v>
      </c>
      <c r="Q460" s="18" t="s">
        <v>3413</v>
      </c>
      <c r="R460" s="18" t="s">
        <v>3414</v>
      </c>
      <c r="S460" s="46" t="s">
        <v>2313</v>
      </c>
      <c r="T460" s="46" t="s">
        <v>2314</v>
      </c>
      <c r="U460" s="9" t="s">
        <v>3324</v>
      </c>
      <c r="V460" s="14" t="s">
        <v>3390</v>
      </c>
      <c r="W460" s="13"/>
      <c r="X460" s="13"/>
      <c r="Y460" s="13"/>
      <c r="Z460" s="13"/>
      <c r="AA460" s="13"/>
      <c r="AB460" s="13"/>
      <c r="AC460" s="14" t="s">
        <v>3415</v>
      </c>
      <c r="AD460" s="13"/>
      <c r="AE460" s="13"/>
    </row>
    <row r="461">
      <c r="A461" s="9" t="s">
        <v>3188</v>
      </c>
      <c r="B461" s="9" t="s">
        <v>490</v>
      </c>
      <c r="C461" s="9" t="s">
        <v>3416</v>
      </c>
      <c r="D461" s="10" t="s">
        <v>3417</v>
      </c>
      <c r="E461" s="10" t="s">
        <v>31</v>
      </c>
      <c r="F461" s="10" t="s">
        <v>32</v>
      </c>
      <c r="G461" s="46" t="s">
        <v>3418</v>
      </c>
      <c r="H461" s="28" t="s">
        <v>34</v>
      </c>
      <c r="I461" s="10" t="s">
        <v>35</v>
      </c>
      <c r="J461" s="46" t="s">
        <v>3419</v>
      </c>
      <c r="K461" s="9" t="s">
        <v>3420</v>
      </c>
      <c r="L461" s="46">
        <v>10.0</v>
      </c>
      <c r="M461" s="46">
        <v>10.0</v>
      </c>
      <c r="N461" s="13"/>
      <c r="O461" s="13"/>
      <c r="P461" s="18" t="s">
        <v>3421</v>
      </c>
      <c r="Q461" s="18" t="s">
        <v>3422</v>
      </c>
      <c r="R461" s="18" t="s">
        <v>3423</v>
      </c>
      <c r="S461" s="46" t="s">
        <v>2313</v>
      </c>
      <c r="T461" s="46" t="s">
        <v>2314</v>
      </c>
      <c r="U461" s="9" t="s">
        <v>3424</v>
      </c>
      <c r="V461" s="9" t="s">
        <v>3424</v>
      </c>
      <c r="W461" s="13"/>
      <c r="X461" s="13"/>
      <c r="Y461" s="13"/>
      <c r="Z461" s="13"/>
      <c r="AA461" s="13"/>
      <c r="AB461" s="13"/>
      <c r="AC461" s="14" t="s">
        <v>3425</v>
      </c>
      <c r="AD461" s="13"/>
      <c r="AE461" s="13"/>
    </row>
    <row r="462">
      <c r="A462" s="9" t="s">
        <v>3188</v>
      </c>
      <c r="B462" s="9" t="s">
        <v>615</v>
      </c>
      <c r="C462" s="9" t="s">
        <v>3426</v>
      </c>
      <c r="D462" s="10" t="s">
        <v>3427</v>
      </c>
      <c r="E462" s="10" t="s">
        <v>31</v>
      </c>
      <c r="F462" s="10" t="s">
        <v>32</v>
      </c>
      <c r="G462" s="46" t="s">
        <v>3418</v>
      </c>
      <c r="H462" s="28" t="s">
        <v>34</v>
      </c>
      <c r="I462" s="10" t="s">
        <v>35</v>
      </c>
      <c r="J462" s="46" t="s">
        <v>3428</v>
      </c>
      <c r="K462" s="9" t="s">
        <v>3429</v>
      </c>
      <c r="L462" s="46">
        <v>7.0</v>
      </c>
      <c r="M462" s="46">
        <v>7.0</v>
      </c>
      <c r="N462" s="29" t="s">
        <v>3430</v>
      </c>
      <c r="O462" s="13"/>
      <c r="P462" s="18" t="s">
        <v>3431</v>
      </c>
      <c r="Q462" s="18" t="s">
        <v>1005</v>
      </c>
      <c r="R462" s="18" t="s">
        <v>3432</v>
      </c>
      <c r="S462" s="46" t="s">
        <v>2313</v>
      </c>
      <c r="T462" s="46" t="s">
        <v>2314</v>
      </c>
      <c r="U462" s="9" t="s">
        <v>3424</v>
      </c>
      <c r="V462" s="9" t="s">
        <v>3424</v>
      </c>
      <c r="W462" s="13"/>
      <c r="X462" s="13"/>
      <c r="Y462" s="13"/>
      <c r="Z462" s="13"/>
      <c r="AA462" s="13"/>
      <c r="AB462" s="13"/>
      <c r="AC462" s="14" t="s">
        <v>3433</v>
      </c>
      <c r="AD462" s="13"/>
      <c r="AE462" s="13"/>
    </row>
    <row r="463">
      <c r="A463" s="9" t="s">
        <v>3188</v>
      </c>
      <c r="B463" s="9" t="s">
        <v>615</v>
      </c>
      <c r="C463" s="9" t="s">
        <v>3434</v>
      </c>
      <c r="D463" s="10" t="s">
        <v>3435</v>
      </c>
      <c r="E463" s="10" t="s">
        <v>31</v>
      </c>
      <c r="F463" s="10" t="s">
        <v>32</v>
      </c>
      <c r="G463" s="46" t="s">
        <v>3251</v>
      </c>
      <c r="H463" s="28" t="s">
        <v>34</v>
      </c>
      <c r="I463" s="10" t="s">
        <v>35</v>
      </c>
      <c r="J463" s="46">
        <v>128.0</v>
      </c>
      <c r="K463" s="9" t="s">
        <v>3436</v>
      </c>
      <c r="L463" s="46">
        <v>2.0</v>
      </c>
      <c r="M463" s="46">
        <v>2.0</v>
      </c>
      <c r="N463" s="13"/>
      <c r="O463" s="13"/>
      <c r="P463" s="18" t="s">
        <v>1005</v>
      </c>
      <c r="Q463" s="18" t="s">
        <v>1005</v>
      </c>
      <c r="R463" s="18" t="s">
        <v>3437</v>
      </c>
      <c r="S463" s="46" t="s">
        <v>2313</v>
      </c>
      <c r="T463" s="46" t="s">
        <v>2314</v>
      </c>
      <c r="U463" s="9" t="s">
        <v>3424</v>
      </c>
      <c r="V463" s="9" t="s">
        <v>3424</v>
      </c>
      <c r="W463" s="13"/>
      <c r="X463" s="13"/>
      <c r="Y463" s="13"/>
      <c r="Z463" s="13"/>
      <c r="AA463" s="13"/>
      <c r="AB463" s="13"/>
      <c r="AC463" s="14" t="s">
        <v>3438</v>
      </c>
      <c r="AD463" s="13"/>
      <c r="AE463" s="13"/>
    </row>
    <row r="464">
      <c r="A464" s="9" t="s">
        <v>3188</v>
      </c>
      <c r="B464" s="9" t="s">
        <v>615</v>
      </c>
      <c r="C464" s="9" t="s">
        <v>3439</v>
      </c>
      <c r="D464" s="10" t="s">
        <v>3440</v>
      </c>
      <c r="E464" s="10" t="s">
        <v>31</v>
      </c>
      <c r="F464" s="10" t="s">
        <v>32</v>
      </c>
      <c r="G464" s="46" t="s">
        <v>3418</v>
      </c>
      <c r="H464" s="28" t="s">
        <v>34</v>
      </c>
      <c r="I464" s="10" t="s">
        <v>35</v>
      </c>
      <c r="J464" s="46" t="s">
        <v>3441</v>
      </c>
      <c r="K464" s="9" t="s">
        <v>3442</v>
      </c>
      <c r="L464" s="46">
        <v>6.0</v>
      </c>
      <c r="M464" s="46">
        <v>6.0</v>
      </c>
      <c r="N464" s="13"/>
      <c r="O464" s="13"/>
      <c r="P464" s="18" t="s">
        <v>3443</v>
      </c>
      <c r="Q464" s="18" t="s">
        <v>3444</v>
      </c>
      <c r="R464" s="18" t="s">
        <v>3445</v>
      </c>
      <c r="S464" s="46" t="s">
        <v>2313</v>
      </c>
      <c r="T464" s="46" t="s">
        <v>2314</v>
      </c>
      <c r="U464" s="9" t="s">
        <v>3446</v>
      </c>
      <c r="V464" s="9" t="s">
        <v>3446</v>
      </c>
      <c r="W464" s="13"/>
      <c r="X464" s="13"/>
      <c r="Y464" s="13"/>
      <c r="Z464" s="13"/>
      <c r="AA464" s="13"/>
      <c r="AB464" s="13"/>
      <c r="AC464" s="14" t="s">
        <v>3447</v>
      </c>
      <c r="AD464" s="13"/>
      <c r="AE464" s="13"/>
    </row>
    <row r="465">
      <c r="A465" s="9" t="s">
        <v>3188</v>
      </c>
      <c r="B465" s="9" t="s">
        <v>615</v>
      </c>
      <c r="C465" s="10" t="s">
        <v>3448</v>
      </c>
      <c r="D465" s="10" t="s">
        <v>3449</v>
      </c>
      <c r="E465" s="10" t="s">
        <v>31</v>
      </c>
      <c r="F465" s="10" t="s">
        <v>32</v>
      </c>
      <c r="G465" s="46" t="s">
        <v>3418</v>
      </c>
      <c r="H465" s="28" t="s">
        <v>34</v>
      </c>
      <c r="I465" s="10" t="s">
        <v>35</v>
      </c>
      <c r="J465" s="46" t="s">
        <v>3450</v>
      </c>
      <c r="K465" s="9" t="s">
        <v>3451</v>
      </c>
      <c r="L465" s="46">
        <v>6.0</v>
      </c>
      <c r="M465" s="46">
        <v>6.0</v>
      </c>
      <c r="N465" s="18" t="s">
        <v>3452</v>
      </c>
      <c r="O465" s="13"/>
      <c r="P465" s="18" t="s">
        <v>3453</v>
      </c>
      <c r="Q465" s="18" t="s">
        <v>3454</v>
      </c>
      <c r="R465" s="18" t="s">
        <v>3455</v>
      </c>
      <c r="S465" s="46" t="s">
        <v>2313</v>
      </c>
      <c r="T465" s="46" t="s">
        <v>2314</v>
      </c>
      <c r="U465" s="9" t="s">
        <v>3446</v>
      </c>
      <c r="V465" s="9" t="s">
        <v>3446</v>
      </c>
      <c r="W465" s="13"/>
      <c r="X465" s="13"/>
      <c r="Y465" s="13"/>
      <c r="Z465" s="13"/>
      <c r="AA465" s="13"/>
      <c r="AB465" s="13"/>
      <c r="AC465" s="14" t="s">
        <v>3456</v>
      </c>
      <c r="AD465" s="13"/>
      <c r="AE465" s="13"/>
    </row>
    <row r="466">
      <c r="A466" s="9" t="s">
        <v>3188</v>
      </c>
      <c r="B466" s="9" t="s">
        <v>615</v>
      </c>
      <c r="C466" s="9" t="s">
        <v>3457</v>
      </c>
      <c r="D466" s="10" t="s">
        <v>3458</v>
      </c>
      <c r="E466" s="10" t="s">
        <v>31</v>
      </c>
      <c r="F466" s="10" t="s">
        <v>32</v>
      </c>
      <c r="G466" s="46" t="s">
        <v>3418</v>
      </c>
      <c r="H466" s="28" t="s">
        <v>34</v>
      </c>
      <c r="I466" s="10" t="s">
        <v>35</v>
      </c>
      <c r="J466" s="46" t="s">
        <v>3459</v>
      </c>
      <c r="K466" s="9" t="s">
        <v>3460</v>
      </c>
      <c r="L466" s="46">
        <v>10.0</v>
      </c>
      <c r="M466" s="46">
        <v>10.0</v>
      </c>
      <c r="N466" s="13"/>
      <c r="O466" s="13"/>
      <c r="P466" s="18" t="s">
        <v>3461</v>
      </c>
      <c r="Q466" s="18" t="s">
        <v>3462</v>
      </c>
      <c r="R466" s="18" t="s">
        <v>3463</v>
      </c>
      <c r="S466" s="46" t="s">
        <v>2313</v>
      </c>
      <c r="T466" s="46" t="s">
        <v>2314</v>
      </c>
      <c r="U466" s="9" t="s">
        <v>3446</v>
      </c>
      <c r="V466" s="9" t="s">
        <v>3464</v>
      </c>
      <c r="W466" s="13"/>
      <c r="X466" s="13"/>
      <c r="Y466" s="13"/>
      <c r="Z466" s="13"/>
      <c r="AA466" s="13"/>
      <c r="AB466" s="13"/>
      <c r="AC466" s="14" t="s">
        <v>3465</v>
      </c>
      <c r="AD466" s="13"/>
      <c r="AE466" s="13"/>
    </row>
    <row r="467">
      <c r="A467" s="9" t="s">
        <v>3188</v>
      </c>
      <c r="B467" s="9" t="s">
        <v>680</v>
      </c>
      <c r="C467" s="10" t="s">
        <v>3466</v>
      </c>
      <c r="D467" s="10" t="s">
        <v>3467</v>
      </c>
      <c r="E467" s="10" t="s">
        <v>31</v>
      </c>
      <c r="F467" s="10" t="s">
        <v>32</v>
      </c>
      <c r="G467" s="46" t="s">
        <v>3418</v>
      </c>
      <c r="H467" s="68" t="s">
        <v>34</v>
      </c>
      <c r="I467" s="10" t="s">
        <v>35</v>
      </c>
      <c r="J467" s="46" t="s">
        <v>3468</v>
      </c>
      <c r="K467" s="9" t="s">
        <v>3469</v>
      </c>
      <c r="L467" s="46">
        <v>5.0</v>
      </c>
      <c r="M467" s="46">
        <v>5.0</v>
      </c>
      <c r="N467" s="18" t="s">
        <v>3470</v>
      </c>
      <c r="O467" s="13"/>
      <c r="P467" s="29" t="s">
        <v>3471</v>
      </c>
      <c r="Q467" s="18" t="s">
        <v>3472</v>
      </c>
      <c r="R467" s="18" t="s">
        <v>3473</v>
      </c>
      <c r="S467" s="46" t="s">
        <v>2313</v>
      </c>
      <c r="T467" s="46" t="s">
        <v>2314</v>
      </c>
      <c r="U467" s="9" t="s">
        <v>3446</v>
      </c>
      <c r="V467" s="9" t="s">
        <v>3464</v>
      </c>
      <c r="W467" s="46" t="s">
        <v>45</v>
      </c>
      <c r="X467" s="46" t="s">
        <v>46</v>
      </c>
      <c r="Y467" s="50">
        <v>44034.0</v>
      </c>
      <c r="Z467" s="50">
        <v>44034.0</v>
      </c>
      <c r="AA467" s="13"/>
      <c r="AB467" s="13"/>
      <c r="AC467" s="14" t="s">
        <v>3474</v>
      </c>
      <c r="AD467" s="13"/>
      <c r="AE467" s="13"/>
    </row>
    <row r="468">
      <c r="A468" s="9" t="s">
        <v>3188</v>
      </c>
      <c r="B468" s="9" t="s">
        <v>680</v>
      </c>
      <c r="C468" s="9" t="s">
        <v>3475</v>
      </c>
      <c r="D468" s="10" t="s">
        <v>3476</v>
      </c>
      <c r="E468" s="10" t="s">
        <v>31</v>
      </c>
      <c r="F468" s="10" t="s">
        <v>32</v>
      </c>
      <c r="G468" s="46" t="s">
        <v>3418</v>
      </c>
      <c r="H468" s="28" t="s">
        <v>34</v>
      </c>
      <c r="I468" s="10" t="s">
        <v>35</v>
      </c>
      <c r="J468" s="46" t="s">
        <v>3477</v>
      </c>
      <c r="K468" s="9" t="s">
        <v>3478</v>
      </c>
      <c r="L468" s="46">
        <v>8.0</v>
      </c>
      <c r="M468" s="46">
        <v>8.0</v>
      </c>
      <c r="N468" s="13"/>
      <c r="O468" s="13"/>
      <c r="P468" s="18" t="s">
        <v>3479</v>
      </c>
      <c r="Q468" s="72" t="s">
        <v>1005</v>
      </c>
      <c r="R468" s="29" t="s">
        <v>3480</v>
      </c>
      <c r="S468" s="46" t="s">
        <v>2313</v>
      </c>
      <c r="T468" s="46" t="s">
        <v>2314</v>
      </c>
      <c r="U468" s="9" t="s">
        <v>3464</v>
      </c>
      <c r="V468" s="9" t="s">
        <v>3464</v>
      </c>
      <c r="W468" s="13"/>
      <c r="X468" s="13"/>
      <c r="Y468" s="13"/>
      <c r="Z468" s="13"/>
      <c r="AA468" s="13"/>
      <c r="AB468" s="13"/>
      <c r="AC468" s="14" t="s">
        <v>3481</v>
      </c>
      <c r="AD468" s="13"/>
      <c r="AE468" s="13"/>
    </row>
    <row r="469">
      <c r="A469" s="9" t="s">
        <v>3188</v>
      </c>
      <c r="B469" s="9" t="s">
        <v>680</v>
      </c>
      <c r="C469" s="9" t="s">
        <v>3482</v>
      </c>
      <c r="D469" s="10" t="s">
        <v>3483</v>
      </c>
      <c r="E469" s="10" t="s">
        <v>31</v>
      </c>
      <c r="F469" s="10" t="s">
        <v>32</v>
      </c>
      <c r="G469" s="46" t="s">
        <v>3394</v>
      </c>
      <c r="H469" s="28" t="s">
        <v>34</v>
      </c>
      <c r="I469" s="10" t="s">
        <v>35</v>
      </c>
      <c r="J469" s="46" t="s">
        <v>3484</v>
      </c>
      <c r="K469" s="9" t="s">
        <v>3485</v>
      </c>
      <c r="L469" s="46">
        <v>4.0</v>
      </c>
      <c r="M469" s="46">
        <v>4.0</v>
      </c>
      <c r="N469" s="13"/>
      <c r="O469" s="13"/>
      <c r="P469" s="18" t="s">
        <v>3486</v>
      </c>
      <c r="Q469" s="18" t="s">
        <v>1429</v>
      </c>
      <c r="R469" s="18" t="s">
        <v>3487</v>
      </c>
      <c r="S469" s="46" t="s">
        <v>2313</v>
      </c>
      <c r="T469" s="46" t="s">
        <v>2314</v>
      </c>
      <c r="U469" s="9" t="s">
        <v>3464</v>
      </c>
      <c r="V469" s="9" t="s">
        <v>3464</v>
      </c>
      <c r="W469" s="13"/>
      <c r="X469" s="13"/>
      <c r="Y469" s="13"/>
      <c r="Z469" s="13"/>
      <c r="AA469" s="13"/>
      <c r="AB469" s="13"/>
      <c r="AC469" s="14" t="s">
        <v>3488</v>
      </c>
      <c r="AD469" s="13"/>
      <c r="AE469" s="13"/>
    </row>
    <row r="470">
      <c r="A470" s="9" t="s">
        <v>3188</v>
      </c>
      <c r="B470" s="9" t="s">
        <v>680</v>
      </c>
      <c r="C470" s="10" t="s">
        <v>3489</v>
      </c>
      <c r="D470" s="10" t="s">
        <v>3490</v>
      </c>
      <c r="E470" s="10" t="s">
        <v>31</v>
      </c>
      <c r="F470" s="10" t="s">
        <v>32</v>
      </c>
      <c r="G470" s="46" t="s">
        <v>3251</v>
      </c>
      <c r="H470" s="28" t="s">
        <v>34</v>
      </c>
      <c r="I470" s="10" t="s">
        <v>35</v>
      </c>
      <c r="J470" s="46" t="s">
        <v>3491</v>
      </c>
      <c r="K470" s="9" t="s">
        <v>3492</v>
      </c>
      <c r="L470" s="46">
        <v>8.0</v>
      </c>
      <c r="M470" s="46">
        <v>8.0</v>
      </c>
      <c r="N470" s="18" t="s">
        <v>2112</v>
      </c>
      <c r="O470" s="13"/>
      <c r="P470" s="18" t="s">
        <v>3493</v>
      </c>
      <c r="Q470" s="18" t="s">
        <v>3494</v>
      </c>
      <c r="R470" s="18" t="s">
        <v>3495</v>
      </c>
      <c r="S470" s="46" t="s">
        <v>2313</v>
      </c>
      <c r="T470" s="46" t="s">
        <v>2314</v>
      </c>
      <c r="U470" s="9" t="s">
        <v>3464</v>
      </c>
      <c r="V470" s="9" t="s">
        <v>3464</v>
      </c>
      <c r="W470" s="13"/>
      <c r="X470" s="13"/>
      <c r="Y470" s="13"/>
      <c r="Z470" s="13"/>
      <c r="AA470" s="13"/>
      <c r="AB470" s="13"/>
      <c r="AC470" s="14" t="s">
        <v>3496</v>
      </c>
      <c r="AD470" s="13"/>
      <c r="AE470" s="13"/>
    </row>
    <row r="471">
      <c r="A471" s="9" t="s">
        <v>3188</v>
      </c>
      <c r="B471" s="9" t="s">
        <v>765</v>
      </c>
      <c r="C471" s="9" t="s">
        <v>3497</v>
      </c>
      <c r="D471" s="10" t="s">
        <v>3498</v>
      </c>
      <c r="E471" s="10" t="s">
        <v>31</v>
      </c>
      <c r="F471" s="10" t="s">
        <v>32</v>
      </c>
      <c r="G471" s="46" t="s">
        <v>3499</v>
      </c>
      <c r="H471" s="29" t="s">
        <v>3500</v>
      </c>
      <c r="I471" s="10" t="s">
        <v>35</v>
      </c>
      <c r="J471" s="46">
        <v>159.0</v>
      </c>
      <c r="K471" s="9" t="s">
        <v>3501</v>
      </c>
      <c r="L471" s="46">
        <v>3.0</v>
      </c>
      <c r="M471" s="46">
        <v>2.0</v>
      </c>
      <c r="N471" s="13"/>
      <c r="O471" s="13"/>
      <c r="P471" s="18" t="s">
        <v>1005</v>
      </c>
      <c r="Q471" s="18" t="s">
        <v>1429</v>
      </c>
      <c r="R471" s="18" t="s">
        <v>3502</v>
      </c>
      <c r="S471" s="46" t="s">
        <v>2313</v>
      </c>
      <c r="T471" s="46" t="s">
        <v>2314</v>
      </c>
      <c r="U471" s="9" t="s">
        <v>3464</v>
      </c>
      <c r="V471" s="9" t="s">
        <v>3464</v>
      </c>
      <c r="W471" s="13"/>
      <c r="X471" s="13"/>
      <c r="Y471" s="13"/>
      <c r="Z471" s="13"/>
      <c r="AA471" s="13"/>
      <c r="AB471" s="13"/>
      <c r="AC471" s="14" t="s">
        <v>3503</v>
      </c>
      <c r="AD471" s="13"/>
      <c r="AE471" s="13"/>
    </row>
    <row r="472">
      <c r="A472" s="9" t="s">
        <v>3188</v>
      </c>
      <c r="B472" s="9" t="s">
        <v>765</v>
      </c>
      <c r="C472" s="9" t="s">
        <v>3504</v>
      </c>
      <c r="D472" s="10" t="s">
        <v>3505</v>
      </c>
      <c r="E472" s="10" t="s">
        <v>31</v>
      </c>
      <c r="F472" s="10" t="s">
        <v>32</v>
      </c>
      <c r="G472" s="13"/>
      <c r="H472" s="46"/>
      <c r="I472" s="46"/>
      <c r="J472" s="46" t="s">
        <v>3506</v>
      </c>
      <c r="K472" s="9" t="s">
        <v>3507</v>
      </c>
      <c r="L472" s="46">
        <v>4.0</v>
      </c>
      <c r="M472" s="46">
        <v>4.0</v>
      </c>
      <c r="N472" s="13"/>
      <c r="O472" s="13"/>
      <c r="P472" s="18" t="s">
        <v>3508</v>
      </c>
      <c r="Q472" s="18" t="s">
        <v>3509</v>
      </c>
      <c r="R472" s="18" t="s">
        <v>3510</v>
      </c>
      <c r="S472" s="46" t="s">
        <v>2313</v>
      </c>
      <c r="T472" s="46" t="s">
        <v>2314</v>
      </c>
      <c r="U472" s="9" t="s">
        <v>3446</v>
      </c>
      <c r="V472" s="9" t="s">
        <v>3446</v>
      </c>
      <c r="W472" s="13"/>
      <c r="X472" s="13"/>
      <c r="Y472" s="13"/>
      <c r="Z472" s="13"/>
      <c r="AA472" s="13"/>
      <c r="AB472" s="13"/>
      <c r="AC472" s="14" t="s">
        <v>3511</v>
      </c>
      <c r="AD472" s="13"/>
      <c r="AE472" s="13"/>
    </row>
    <row r="473">
      <c r="A473" s="9" t="s">
        <v>3188</v>
      </c>
      <c r="B473" s="9" t="s">
        <v>765</v>
      </c>
      <c r="C473" s="9" t="s">
        <v>3512</v>
      </c>
      <c r="D473" s="10" t="s">
        <v>3513</v>
      </c>
      <c r="E473" s="10" t="s">
        <v>31</v>
      </c>
      <c r="F473" s="10" t="s">
        <v>32</v>
      </c>
      <c r="G473" s="46" t="s">
        <v>3499</v>
      </c>
      <c r="H473" s="29" t="s">
        <v>3500</v>
      </c>
      <c r="I473" s="10" t="s">
        <v>35</v>
      </c>
      <c r="J473" s="46" t="s">
        <v>3514</v>
      </c>
      <c r="K473" s="9" t="s">
        <v>3515</v>
      </c>
      <c r="L473" s="46">
        <v>6.0</v>
      </c>
      <c r="M473" s="46">
        <v>3.0</v>
      </c>
      <c r="N473" s="13"/>
      <c r="O473" s="13"/>
      <c r="P473" s="18" t="s">
        <v>1005</v>
      </c>
      <c r="Q473" s="18" t="s">
        <v>3516</v>
      </c>
      <c r="R473" s="18" t="s">
        <v>3517</v>
      </c>
      <c r="S473" s="46" t="s">
        <v>2313</v>
      </c>
      <c r="T473" s="46" t="s">
        <v>2314</v>
      </c>
      <c r="U473" s="9" t="s">
        <v>3464</v>
      </c>
      <c r="V473" s="9" t="s">
        <v>3464</v>
      </c>
      <c r="W473" s="13"/>
      <c r="X473" s="13"/>
      <c r="Y473" s="13"/>
      <c r="Z473" s="13"/>
      <c r="AA473" s="13"/>
      <c r="AB473" s="13"/>
      <c r="AC473" s="14" t="s">
        <v>3518</v>
      </c>
      <c r="AD473" s="13"/>
      <c r="AE473" s="13"/>
    </row>
    <row r="474">
      <c r="A474" s="9" t="s">
        <v>3188</v>
      </c>
      <c r="B474" s="9" t="s">
        <v>765</v>
      </c>
      <c r="C474" s="9" t="s">
        <v>3519</v>
      </c>
      <c r="D474" s="10" t="s">
        <v>3520</v>
      </c>
      <c r="E474" s="10" t="s">
        <v>31</v>
      </c>
      <c r="F474" s="10" t="s">
        <v>32</v>
      </c>
      <c r="G474" s="46" t="s">
        <v>3418</v>
      </c>
      <c r="H474" s="28" t="s">
        <v>34</v>
      </c>
      <c r="I474" s="10" t="s">
        <v>35</v>
      </c>
      <c r="J474" s="46" t="s">
        <v>3521</v>
      </c>
      <c r="K474" s="9" t="s">
        <v>3522</v>
      </c>
      <c r="L474" s="46">
        <v>2.0</v>
      </c>
      <c r="M474" s="46">
        <v>2.0</v>
      </c>
      <c r="N474" s="13"/>
      <c r="O474" s="13"/>
      <c r="P474" s="18" t="s">
        <v>1005</v>
      </c>
      <c r="Q474" s="18" t="s">
        <v>1005</v>
      </c>
      <c r="R474" s="18" t="s">
        <v>3523</v>
      </c>
      <c r="S474" s="46" t="s">
        <v>2313</v>
      </c>
      <c r="T474" s="46" t="s">
        <v>2314</v>
      </c>
      <c r="U474" s="9" t="s">
        <v>3464</v>
      </c>
      <c r="V474" s="9" t="s">
        <v>3237</v>
      </c>
      <c r="W474" s="13"/>
      <c r="X474" s="13"/>
      <c r="Y474" s="13"/>
      <c r="Z474" s="13"/>
      <c r="AA474" s="13"/>
      <c r="AB474" s="13"/>
      <c r="AC474" s="14" t="s">
        <v>3524</v>
      </c>
      <c r="AD474" s="13"/>
      <c r="AE474" s="13"/>
    </row>
    <row r="475">
      <c r="A475" s="9" t="s">
        <v>3188</v>
      </c>
      <c r="B475" s="9" t="s">
        <v>765</v>
      </c>
      <c r="C475" s="9" t="s">
        <v>3525</v>
      </c>
      <c r="D475" s="10" t="s">
        <v>3526</v>
      </c>
      <c r="E475" s="10" t="s">
        <v>31</v>
      </c>
      <c r="F475" s="10" t="s">
        <v>32</v>
      </c>
      <c r="G475" s="46" t="s">
        <v>3418</v>
      </c>
      <c r="H475" s="28" t="s">
        <v>34</v>
      </c>
      <c r="I475" s="10" t="s">
        <v>35</v>
      </c>
      <c r="J475" s="46" t="s">
        <v>3527</v>
      </c>
      <c r="K475" s="9" t="s">
        <v>3528</v>
      </c>
      <c r="L475" s="46">
        <v>10.0</v>
      </c>
      <c r="M475" s="46">
        <v>10.0</v>
      </c>
      <c r="N475" s="13"/>
      <c r="O475" s="13"/>
      <c r="P475" s="18" t="s">
        <v>3529</v>
      </c>
      <c r="Q475" s="18" t="s">
        <v>3530</v>
      </c>
      <c r="R475" s="18" t="s">
        <v>3531</v>
      </c>
      <c r="S475" s="46" t="s">
        <v>2313</v>
      </c>
      <c r="T475" s="46" t="s">
        <v>2314</v>
      </c>
      <c r="U475" s="9" t="s">
        <v>3237</v>
      </c>
      <c r="V475" s="9" t="s">
        <v>3532</v>
      </c>
      <c r="W475" s="13"/>
      <c r="X475" s="13"/>
      <c r="Y475" s="13"/>
      <c r="Z475" s="13"/>
      <c r="AA475" s="13"/>
      <c r="AB475" s="13"/>
      <c r="AC475" s="14" t="s">
        <v>3533</v>
      </c>
      <c r="AD475" s="13"/>
      <c r="AE475" s="13"/>
    </row>
    <row r="476">
      <c r="A476" s="9" t="s">
        <v>3188</v>
      </c>
      <c r="B476" s="9" t="s">
        <v>765</v>
      </c>
      <c r="C476" s="9" t="s">
        <v>3534</v>
      </c>
      <c r="D476" s="10" t="s">
        <v>3535</v>
      </c>
      <c r="E476" s="10" t="s">
        <v>31</v>
      </c>
      <c r="F476" s="10" t="s">
        <v>32</v>
      </c>
      <c r="G476" s="46" t="s">
        <v>3418</v>
      </c>
      <c r="H476" s="28" t="s">
        <v>34</v>
      </c>
      <c r="I476" s="10" t="s">
        <v>35</v>
      </c>
      <c r="J476" s="46" t="s">
        <v>3536</v>
      </c>
      <c r="K476" s="9" t="s">
        <v>3537</v>
      </c>
      <c r="L476" s="46">
        <v>16.0</v>
      </c>
      <c r="M476" s="46">
        <v>16.0</v>
      </c>
      <c r="N476" s="13"/>
      <c r="O476" s="13"/>
      <c r="P476" s="18" t="s">
        <v>3538</v>
      </c>
      <c r="Q476" s="18" t="s">
        <v>3539</v>
      </c>
      <c r="R476" s="18" t="s">
        <v>3540</v>
      </c>
      <c r="S476" s="46" t="s">
        <v>2313</v>
      </c>
      <c r="T476" s="46" t="s">
        <v>2314</v>
      </c>
      <c r="U476" s="9" t="s">
        <v>3237</v>
      </c>
      <c r="V476" s="9" t="s">
        <v>3532</v>
      </c>
      <c r="W476" s="13"/>
      <c r="X476" s="13"/>
      <c r="Y476" s="13"/>
      <c r="Z476" s="13"/>
      <c r="AA476" s="13"/>
      <c r="AB476" s="13"/>
      <c r="AC476" s="14" t="s">
        <v>3541</v>
      </c>
      <c r="AD476" s="13"/>
      <c r="AE476" s="13"/>
    </row>
    <row r="477">
      <c r="A477" s="9" t="s">
        <v>3188</v>
      </c>
      <c r="B477" s="9" t="s">
        <v>765</v>
      </c>
      <c r="C477" s="10" t="s">
        <v>3542</v>
      </c>
      <c r="D477" s="10" t="s">
        <v>3543</v>
      </c>
      <c r="E477" s="10" t="s">
        <v>31</v>
      </c>
      <c r="F477" s="10" t="s">
        <v>32</v>
      </c>
      <c r="G477" s="13"/>
      <c r="H477" s="46"/>
      <c r="I477" s="46"/>
      <c r="J477" s="46" t="s">
        <v>3544</v>
      </c>
      <c r="K477" s="9" t="s">
        <v>3501</v>
      </c>
      <c r="L477" s="46">
        <v>5.0</v>
      </c>
      <c r="M477" s="46">
        <v>5.0</v>
      </c>
      <c r="N477" s="13"/>
      <c r="O477" s="13"/>
      <c r="P477" s="18" t="s">
        <v>3545</v>
      </c>
      <c r="Q477" s="18" t="s">
        <v>3546</v>
      </c>
      <c r="R477" s="18" t="s">
        <v>3547</v>
      </c>
      <c r="S477" s="46" t="s">
        <v>2313</v>
      </c>
      <c r="T477" s="46" t="s">
        <v>2314</v>
      </c>
      <c r="U477" s="9" t="s">
        <v>3446</v>
      </c>
      <c r="V477" s="9" t="s">
        <v>3464</v>
      </c>
      <c r="W477" s="13"/>
      <c r="X477" s="13"/>
      <c r="Y477" s="13"/>
      <c r="Z477" s="13"/>
      <c r="AA477" s="13"/>
      <c r="AB477" s="13"/>
      <c r="AC477" s="14" t="s">
        <v>3548</v>
      </c>
      <c r="AD477" s="13"/>
      <c r="AE477" s="13"/>
    </row>
    <row r="478">
      <c r="A478" s="9" t="s">
        <v>3188</v>
      </c>
      <c r="B478" s="9" t="s">
        <v>226</v>
      </c>
      <c r="C478" s="9" t="s">
        <v>3549</v>
      </c>
      <c r="D478" s="10" t="s">
        <v>3550</v>
      </c>
      <c r="E478" s="10" t="s">
        <v>31</v>
      </c>
      <c r="F478" s="10" t="s">
        <v>32</v>
      </c>
      <c r="G478" s="46" t="s">
        <v>3418</v>
      </c>
      <c r="H478" s="68" t="s">
        <v>34</v>
      </c>
      <c r="I478" s="10" t="s">
        <v>35</v>
      </c>
      <c r="J478" s="46" t="s">
        <v>3551</v>
      </c>
      <c r="K478" s="9" t="s">
        <v>3552</v>
      </c>
      <c r="L478" s="46">
        <v>6.0</v>
      </c>
      <c r="M478" s="46">
        <v>6.0</v>
      </c>
      <c r="N478" s="13"/>
      <c r="O478" s="13"/>
      <c r="P478" s="18" t="s">
        <v>1005</v>
      </c>
      <c r="Q478" s="18" t="s">
        <v>3553</v>
      </c>
      <c r="R478" s="18" t="s">
        <v>3554</v>
      </c>
      <c r="S478" s="46" t="s">
        <v>2313</v>
      </c>
      <c r="T478" s="46" t="s">
        <v>2314</v>
      </c>
      <c r="U478" s="9" t="s">
        <v>3532</v>
      </c>
      <c r="V478" s="9" t="s">
        <v>3532</v>
      </c>
      <c r="W478" s="13"/>
      <c r="X478" s="13"/>
      <c r="Y478" s="13"/>
      <c r="Z478" s="13"/>
      <c r="AA478" s="13"/>
      <c r="AB478" s="13"/>
      <c r="AC478" s="14" t="s">
        <v>3555</v>
      </c>
      <c r="AD478" s="13"/>
      <c r="AE478" s="13"/>
    </row>
    <row r="479">
      <c r="A479" s="9" t="s">
        <v>3188</v>
      </c>
      <c r="B479" s="9" t="s">
        <v>226</v>
      </c>
      <c r="C479" s="9" t="s">
        <v>3556</v>
      </c>
      <c r="D479" s="10" t="s">
        <v>3557</v>
      </c>
      <c r="E479" s="10" t="s">
        <v>31</v>
      </c>
      <c r="F479" s="10" t="s">
        <v>32</v>
      </c>
      <c r="G479" s="46" t="s">
        <v>3251</v>
      </c>
      <c r="H479" s="28" t="s">
        <v>34</v>
      </c>
      <c r="I479" s="10" t="s">
        <v>35</v>
      </c>
      <c r="J479" s="46" t="s">
        <v>3558</v>
      </c>
      <c r="K479" s="9" t="s">
        <v>3559</v>
      </c>
      <c r="L479" s="46">
        <v>8.0</v>
      </c>
      <c r="M479" s="46">
        <v>8.0</v>
      </c>
      <c r="N479" s="13"/>
      <c r="O479" s="13"/>
      <c r="P479" s="18" t="s">
        <v>3560</v>
      </c>
      <c r="Q479" s="18" t="s">
        <v>3561</v>
      </c>
      <c r="R479" s="18" t="s">
        <v>3562</v>
      </c>
      <c r="S479" s="46" t="s">
        <v>2313</v>
      </c>
      <c r="T479" s="46" t="s">
        <v>2314</v>
      </c>
      <c r="U479" s="9" t="s">
        <v>3532</v>
      </c>
      <c r="V479" s="9" t="s">
        <v>3532</v>
      </c>
      <c r="W479" s="13"/>
      <c r="X479" s="13"/>
      <c r="Y479" s="13"/>
      <c r="Z479" s="13"/>
      <c r="AA479" s="13"/>
      <c r="AB479" s="13"/>
      <c r="AC479" s="14" t="s">
        <v>3563</v>
      </c>
      <c r="AD479" s="13"/>
      <c r="AE479" s="13"/>
    </row>
    <row r="480">
      <c r="A480" s="9" t="s">
        <v>3188</v>
      </c>
      <c r="B480" s="9" t="s">
        <v>226</v>
      </c>
      <c r="C480" s="9" t="s">
        <v>3564</v>
      </c>
      <c r="D480" s="10" t="s">
        <v>3565</v>
      </c>
      <c r="E480" s="10" t="s">
        <v>31</v>
      </c>
      <c r="F480" s="10" t="s">
        <v>32</v>
      </c>
      <c r="G480" s="46" t="s">
        <v>3418</v>
      </c>
      <c r="H480" s="28" t="s">
        <v>34</v>
      </c>
      <c r="I480" s="10" t="s">
        <v>35</v>
      </c>
      <c r="J480" s="46" t="s">
        <v>3566</v>
      </c>
      <c r="K480" s="9" t="s">
        <v>3567</v>
      </c>
      <c r="L480" s="46">
        <v>20.0</v>
      </c>
      <c r="M480" s="46">
        <v>20.0</v>
      </c>
      <c r="N480" s="13"/>
      <c r="O480" s="13"/>
      <c r="P480" s="18" t="s">
        <v>3568</v>
      </c>
      <c r="Q480" s="73" t="s">
        <v>3569</v>
      </c>
      <c r="R480" s="18" t="s">
        <v>3570</v>
      </c>
      <c r="S480" s="46" t="s">
        <v>2313</v>
      </c>
      <c r="T480" s="46" t="s">
        <v>2314</v>
      </c>
      <c r="U480" s="9" t="s">
        <v>3532</v>
      </c>
      <c r="V480" s="9" t="s">
        <v>2315</v>
      </c>
      <c r="W480" s="13"/>
      <c r="X480" s="13"/>
      <c r="Y480" s="13"/>
      <c r="Z480" s="13"/>
      <c r="AA480" s="13"/>
      <c r="AB480" s="13"/>
      <c r="AC480" s="14" t="s">
        <v>3571</v>
      </c>
      <c r="AD480" s="13"/>
      <c r="AE480" s="13"/>
    </row>
    <row r="481">
      <c r="A481" s="9" t="s">
        <v>3188</v>
      </c>
      <c r="B481" s="9" t="s">
        <v>226</v>
      </c>
      <c r="C481" s="9" t="s">
        <v>3572</v>
      </c>
      <c r="D481" s="12" t="s">
        <v>3573</v>
      </c>
      <c r="E481" s="10" t="s">
        <v>31</v>
      </c>
      <c r="F481" s="10" t="s">
        <v>32</v>
      </c>
      <c r="G481" s="46" t="s">
        <v>3418</v>
      </c>
      <c r="H481" s="28" t="s">
        <v>34</v>
      </c>
      <c r="I481" s="10" t="s">
        <v>35</v>
      </c>
      <c r="J481" s="13" t="s">
        <v>3574</v>
      </c>
      <c r="K481" s="12" t="s">
        <v>3575</v>
      </c>
      <c r="L481" s="13">
        <v>20.0</v>
      </c>
      <c r="M481" s="13">
        <v>20.0</v>
      </c>
      <c r="N481" s="13"/>
      <c r="O481" s="13"/>
      <c r="P481" s="18" t="s">
        <v>3576</v>
      </c>
      <c r="Q481" s="18" t="s">
        <v>3577</v>
      </c>
      <c r="R481" s="18" t="s">
        <v>3578</v>
      </c>
      <c r="S481" s="13" t="s">
        <v>2361</v>
      </c>
      <c r="T481" s="13" t="s">
        <v>2362</v>
      </c>
      <c r="U481" s="12" t="s">
        <v>1291</v>
      </c>
      <c r="V481" s="12" t="s">
        <v>3579</v>
      </c>
      <c r="W481" s="13"/>
      <c r="X481" s="13"/>
      <c r="Y481" s="13"/>
      <c r="Z481" s="13"/>
      <c r="AA481" s="13"/>
      <c r="AB481" s="13"/>
      <c r="AC481" s="14" t="s">
        <v>3580</v>
      </c>
      <c r="AD481" s="13"/>
      <c r="AE481" s="13"/>
    </row>
    <row r="482">
      <c r="A482" s="9" t="s">
        <v>3188</v>
      </c>
      <c r="B482" s="9" t="s">
        <v>226</v>
      </c>
      <c r="C482" s="9" t="s">
        <v>3581</v>
      </c>
      <c r="D482" s="10" t="s">
        <v>3582</v>
      </c>
      <c r="E482" s="10" t="s">
        <v>31</v>
      </c>
      <c r="F482" s="10" t="s">
        <v>32</v>
      </c>
      <c r="G482" s="46" t="s">
        <v>3583</v>
      </c>
      <c r="H482" s="28" t="s">
        <v>34</v>
      </c>
      <c r="I482" s="10" t="s">
        <v>35</v>
      </c>
      <c r="J482" s="46">
        <v>210.0</v>
      </c>
      <c r="K482" s="9" t="s">
        <v>3584</v>
      </c>
      <c r="L482" s="46">
        <v>2.0</v>
      </c>
      <c r="M482" s="46">
        <v>2.0</v>
      </c>
      <c r="N482" s="46" t="s">
        <v>2745</v>
      </c>
      <c r="O482" s="13"/>
      <c r="P482" s="18" t="s">
        <v>1005</v>
      </c>
      <c r="Q482" s="18" t="s">
        <v>3585</v>
      </c>
      <c r="R482" s="18" t="s">
        <v>3586</v>
      </c>
      <c r="S482" s="46" t="s">
        <v>2313</v>
      </c>
      <c r="T482" s="46" t="s">
        <v>2314</v>
      </c>
      <c r="U482" s="9" t="s">
        <v>3532</v>
      </c>
      <c r="V482" s="14" t="s">
        <v>3390</v>
      </c>
      <c r="W482" s="13"/>
      <c r="X482" s="13"/>
      <c r="Y482" s="13"/>
      <c r="Z482" s="13"/>
      <c r="AA482" s="13"/>
      <c r="AB482" s="13"/>
      <c r="AC482" s="14" t="s">
        <v>3587</v>
      </c>
      <c r="AD482" s="13"/>
      <c r="AE482" s="13"/>
    </row>
    <row r="483">
      <c r="A483" s="9" t="s">
        <v>3188</v>
      </c>
      <c r="B483" s="9" t="s">
        <v>226</v>
      </c>
      <c r="C483" s="9" t="s">
        <v>3588</v>
      </c>
      <c r="D483" s="10" t="s">
        <v>3589</v>
      </c>
      <c r="E483" s="10" t="s">
        <v>31</v>
      </c>
      <c r="F483" s="10" t="s">
        <v>32</v>
      </c>
      <c r="G483" s="12" t="s">
        <v>3418</v>
      </c>
      <c r="H483" s="28" t="s">
        <v>34</v>
      </c>
      <c r="I483" s="10" t="s">
        <v>35</v>
      </c>
      <c r="J483" s="46" t="s">
        <v>3590</v>
      </c>
      <c r="K483" s="9" t="s">
        <v>3591</v>
      </c>
      <c r="L483" s="46">
        <v>16.0</v>
      </c>
      <c r="M483" s="46">
        <v>16.0</v>
      </c>
      <c r="N483" s="13"/>
      <c r="O483" s="13"/>
      <c r="P483" s="46" t="s">
        <v>3592</v>
      </c>
      <c r="Q483" s="29" t="s">
        <v>3593</v>
      </c>
      <c r="R483" s="29" t="s">
        <v>3594</v>
      </c>
      <c r="S483" s="46" t="s">
        <v>41</v>
      </c>
      <c r="T483" s="46" t="s">
        <v>42</v>
      </c>
      <c r="U483" s="9" t="s">
        <v>371</v>
      </c>
      <c r="V483" s="9" t="s">
        <v>372</v>
      </c>
      <c r="W483" s="13"/>
      <c r="X483" s="13"/>
      <c r="Y483" s="13"/>
      <c r="Z483" s="13"/>
      <c r="AA483" s="13"/>
      <c r="AB483" s="13"/>
      <c r="AC483" s="14" t="s">
        <v>3595</v>
      </c>
      <c r="AD483" s="13"/>
      <c r="AE483" s="13"/>
    </row>
    <row r="484">
      <c r="A484" s="9" t="s">
        <v>3188</v>
      </c>
      <c r="B484" s="9" t="s">
        <v>226</v>
      </c>
      <c r="C484" s="9" t="s">
        <v>3596</v>
      </c>
      <c r="D484" s="12" t="s">
        <v>3597</v>
      </c>
      <c r="E484" s="10" t="s">
        <v>31</v>
      </c>
      <c r="F484" s="10" t="s">
        <v>32</v>
      </c>
      <c r="G484" s="12" t="s">
        <v>3418</v>
      </c>
      <c r="H484" s="28" t="s">
        <v>34</v>
      </c>
      <c r="I484" s="10" t="s">
        <v>35</v>
      </c>
      <c r="J484" s="13" t="s">
        <v>3598</v>
      </c>
      <c r="K484" s="12" t="s">
        <v>3599</v>
      </c>
      <c r="L484" s="13">
        <v>11.0</v>
      </c>
      <c r="M484" s="13">
        <v>11.0</v>
      </c>
      <c r="N484" s="13"/>
      <c r="O484" s="13"/>
      <c r="P484" s="18" t="s">
        <v>3600</v>
      </c>
      <c r="Q484" s="18" t="s">
        <v>3601</v>
      </c>
      <c r="R484" s="18" t="s">
        <v>3602</v>
      </c>
      <c r="S484" s="13" t="s">
        <v>2361</v>
      </c>
      <c r="T484" s="13" t="s">
        <v>2362</v>
      </c>
      <c r="U484" s="12" t="s">
        <v>3603</v>
      </c>
      <c r="V484" s="12" t="s">
        <v>2528</v>
      </c>
      <c r="W484" s="18" t="s">
        <v>551</v>
      </c>
      <c r="X484" s="18" t="s">
        <v>552</v>
      </c>
      <c r="Y484" s="31">
        <v>44734.0</v>
      </c>
      <c r="Z484" s="31">
        <v>44735.0</v>
      </c>
      <c r="AA484" s="13"/>
      <c r="AB484" s="13"/>
      <c r="AC484" s="14" t="s">
        <v>3604</v>
      </c>
      <c r="AD484" s="13"/>
      <c r="AE484" s="13"/>
    </row>
    <row r="485">
      <c r="A485" s="9" t="s">
        <v>3188</v>
      </c>
      <c r="B485" s="9" t="s">
        <v>226</v>
      </c>
      <c r="C485" s="9" t="s">
        <v>3605</v>
      </c>
      <c r="D485" s="12" t="s">
        <v>3606</v>
      </c>
      <c r="E485" s="10" t="s">
        <v>31</v>
      </c>
      <c r="F485" s="10" t="s">
        <v>32</v>
      </c>
      <c r="G485" s="13"/>
      <c r="H485" s="28" t="s">
        <v>34</v>
      </c>
      <c r="I485" s="10" t="s">
        <v>35</v>
      </c>
      <c r="J485" s="13">
        <v>225.0</v>
      </c>
      <c r="K485" s="12" t="s">
        <v>3607</v>
      </c>
      <c r="L485" s="13">
        <v>2.0</v>
      </c>
      <c r="M485" s="13">
        <v>2.0</v>
      </c>
      <c r="N485" s="13" t="s">
        <v>3608</v>
      </c>
      <c r="O485" s="13"/>
      <c r="P485" s="18" t="s">
        <v>1005</v>
      </c>
      <c r="Q485" s="18" t="s">
        <v>3609</v>
      </c>
      <c r="R485" s="18" t="s">
        <v>3610</v>
      </c>
      <c r="S485" s="13" t="s">
        <v>2361</v>
      </c>
      <c r="T485" s="13" t="s">
        <v>2362</v>
      </c>
      <c r="U485" s="12" t="s">
        <v>3603</v>
      </c>
      <c r="V485" s="12" t="s">
        <v>3603</v>
      </c>
      <c r="W485" s="46" t="s">
        <v>2313</v>
      </c>
      <c r="X485" s="46" t="s">
        <v>2314</v>
      </c>
      <c r="Y485" s="50">
        <v>44043.0</v>
      </c>
      <c r="Z485" s="50">
        <v>44043.0</v>
      </c>
      <c r="AA485" s="13"/>
      <c r="AB485" s="13"/>
      <c r="AC485" s="14" t="s">
        <v>3611</v>
      </c>
      <c r="AD485" s="13"/>
      <c r="AE485" s="13"/>
    </row>
    <row r="486">
      <c r="A486" s="9" t="s">
        <v>3188</v>
      </c>
      <c r="B486" s="9" t="s">
        <v>226</v>
      </c>
      <c r="C486" s="9" t="s">
        <v>3612</v>
      </c>
      <c r="D486" s="12" t="s">
        <v>3613</v>
      </c>
      <c r="E486" s="10" t="s">
        <v>31</v>
      </c>
      <c r="F486" s="10" t="s">
        <v>32</v>
      </c>
      <c r="G486" s="12" t="s">
        <v>3418</v>
      </c>
      <c r="H486" s="28" t="s">
        <v>34</v>
      </c>
      <c r="I486" s="10" t="s">
        <v>35</v>
      </c>
      <c r="J486" s="13">
        <v>226.0</v>
      </c>
      <c r="K486" s="12"/>
      <c r="L486" s="13">
        <v>2.0</v>
      </c>
      <c r="M486" s="13">
        <v>2.0</v>
      </c>
      <c r="N486" s="46" t="s">
        <v>3614</v>
      </c>
      <c r="O486" s="13"/>
      <c r="P486" s="18" t="s">
        <v>3405</v>
      </c>
      <c r="Q486" s="18" t="s">
        <v>1005</v>
      </c>
      <c r="R486" s="18" t="s">
        <v>3615</v>
      </c>
      <c r="S486" s="13" t="s">
        <v>2361</v>
      </c>
      <c r="T486" s="13" t="s">
        <v>2362</v>
      </c>
      <c r="U486" s="12" t="s">
        <v>3603</v>
      </c>
      <c r="V486" s="12" t="s">
        <v>3603</v>
      </c>
      <c r="W486" s="46" t="s">
        <v>2313</v>
      </c>
      <c r="X486" s="46" t="s">
        <v>2314</v>
      </c>
      <c r="Y486" s="50">
        <v>44040.0</v>
      </c>
      <c r="Z486" s="50">
        <v>44040.0</v>
      </c>
      <c r="AA486" s="13"/>
      <c r="AB486" s="13"/>
      <c r="AC486" s="14" t="s">
        <v>3616</v>
      </c>
      <c r="AD486" s="13"/>
      <c r="AE486" s="13"/>
    </row>
    <row r="487">
      <c r="A487" s="41" t="s">
        <v>3188</v>
      </c>
      <c r="B487" s="41" t="s">
        <v>367</v>
      </c>
      <c r="C487" s="41" t="s">
        <v>3617</v>
      </c>
      <c r="D487" s="44" t="s">
        <v>3618</v>
      </c>
      <c r="E487" s="43" t="s">
        <v>31</v>
      </c>
      <c r="F487" s="43" t="s">
        <v>32</v>
      </c>
      <c r="G487" s="74" t="s">
        <v>50</v>
      </c>
      <c r="H487" s="45"/>
      <c r="I487" s="45"/>
      <c r="J487" s="45" t="s">
        <v>3619</v>
      </c>
      <c r="K487" s="44" t="s">
        <v>3620</v>
      </c>
      <c r="L487" s="45">
        <v>12.0</v>
      </c>
      <c r="M487" s="45">
        <v>8.0</v>
      </c>
      <c r="N487" s="45"/>
      <c r="O487" s="45"/>
      <c r="P487" s="45"/>
      <c r="Q487" s="45"/>
      <c r="R487" s="45"/>
      <c r="S487" s="45" t="s">
        <v>2361</v>
      </c>
      <c r="T487" s="45" t="s">
        <v>2362</v>
      </c>
      <c r="U487" s="44" t="s">
        <v>2528</v>
      </c>
      <c r="V487" s="44" t="s">
        <v>2528</v>
      </c>
      <c r="W487" s="45"/>
      <c r="X487" s="45"/>
      <c r="Y487" s="45"/>
      <c r="Z487" s="45"/>
      <c r="AA487" s="45"/>
      <c r="AB487" s="45"/>
      <c r="AC487" s="42" t="s">
        <v>3621</v>
      </c>
      <c r="AD487" s="45"/>
      <c r="AE487" s="45"/>
    </row>
    <row r="488">
      <c r="A488" s="9" t="s">
        <v>3188</v>
      </c>
      <c r="B488" s="9" t="s">
        <v>367</v>
      </c>
      <c r="C488" s="9" t="s">
        <v>3622</v>
      </c>
      <c r="D488" s="12" t="s">
        <v>3623</v>
      </c>
      <c r="E488" s="10" t="s">
        <v>31</v>
      </c>
      <c r="F488" s="10" t="s">
        <v>32</v>
      </c>
      <c r="G488" s="46" t="s">
        <v>3251</v>
      </c>
      <c r="H488" s="28" t="s">
        <v>34</v>
      </c>
      <c r="I488" s="10" t="s">
        <v>35</v>
      </c>
      <c r="J488" s="13" t="s">
        <v>1973</v>
      </c>
      <c r="K488" s="12" t="s">
        <v>3624</v>
      </c>
      <c r="L488" s="13">
        <v>4.0</v>
      </c>
      <c r="M488" s="13">
        <v>4.0</v>
      </c>
      <c r="N488" s="13"/>
      <c r="O488" s="13"/>
      <c r="P488" s="13"/>
      <c r="Q488" s="13"/>
      <c r="R488" s="13"/>
      <c r="S488" s="13" t="s">
        <v>2361</v>
      </c>
      <c r="T488" s="13" t="s">
        <v>2362</v>
      </c>
      <c r="U488" s="12" t="s">
        <v>2528</v>
      </c>
      <c r="V488" s="12" t="s">
        <v>2528</v>
      </c>
      <c r="W488" s="13"/>
      <c r="X488" s="13"/>
      <c r="Y488" s="13"/>
      <c r="Z488" s="13"/>
      <c r="AA488" s="13"/>
      <c r="AB488" s="13"/>
      <c r="AC488" s="14" t="s">
        <v>3625</v>
      </c>
      <c r="AD488" s="13"/>
      <c r="AE488" s="13"/>
    </row>
    <row r="489">
      <c r="A489" s="9" t="s">
        <v>3188</v>
      </c>
      <c r="B489" s="9" t="s">
        <v>367</v>
      </c>
      <c r="C489" s="9" t="s">
        <v>3626</v>
      </c>
      <c r="D489" s="12" t="s">
        <v>3627</v>
      </c>
      <c r="E489" s="10" t="s">
        <v>31</v>
      </c>
      <c r="F489" s="10" t="s">
        <v>32</v>
      </c>
      <c r="G489" s="46" t="s">
        <v>3628</v>
      </c>
      <c r="H489" s="28" t="s">
        <v>34</v>
      </c>
      <c r="I489" s="10" t="s">
        <v>35</v>
      </c>
      <c r="J489" s="13" t="s">
        <v>3629</v>
      </c>
      <c r="K489" s="12" t="s">
        <v>3630</v>
      </c>
      <c r="L489" s="13">
        <v>36.0</v>
      </c>
      <c r="M489" s="13">
        <v>31.0</v>
      </c>
      <c r="N489" s="13"/>
      <c r="O489" s="13"/>
      <c r="P489" s="13"/>
      <c r="Q489" s="13"/>
      <c r="R489" s="13"/>
      <c r="S489" s="13" t="s">
        <v>2361</v>
      </c>
      <c r="T489" s="13" t="s">
        <v>2362</v>
      </c>
      <c r="U489" s="12" t="s">
        <v>2528</v>
      </c>
      <c r="V489" s="12" t="s">
        <v>1291</v>
      </c>
      <c r="W489" s="13"/>
      <c r="X489" s="13"/>
      <c r="Y489" s="13"/>
      <c r="Z489" s="13"/>
      <c r="AA489" s="13"/>
      <c r="AB489" s="13"/>
      <c r="AC489" s="14" t="s">
        <v>3631</v>
      </c>
      <c r="AD489" s="13"/>
      <c r="AE489" s="13"/>
    </row>
    <row r="490">
      <c r="A490" s="9" t="s">
        <v>3188</v>
      </c>
      <c r="B490" s="9" t="s">
        <v>577</v>
      </c>
      <c r="C490" s="9" t="s">
        <v>3632</v>
      </c>
      <c r="D490" s="9" t="s">
        <v>3633</v>
      </c>
      <c r="E490" s="10" t="s">
        <v>31</v>
      </c>
      <c r="F490" s="10" t="s">
        <v>32</v>
      </c>
      <c r="G490" s="46" t="s">
        <v>3251</v>
      </c>
      <c r="H490" s="46"/>
      <c r="I490" s="46"/>
      <c r="J490" s="46" t="s">
        <v>3634</v>
      </c>
      <c r="K490" s="9" t="s">
        <v>3635</v>
      </c>
      <c r="L490" s="46">
        <v>4.0</v>
      </c>
      <c r="M490" s="46">
        <v>4.0</v>
      </c>
      <c r="N490" s="13"/>
      <c r="O490" s="13"/>
      <c r="P490" s="13"/>
      <c r="Q490" s="13"/>
      <c r="R490" s="13"/>
      <c r="S490" s="46" t="s">
        <v>2526</v>
      </c>
      <c r="T490" s="46" t="s">
        <v>2527</v>
      </c>
      <c r="U490" s="9" t="s">
        <v>3237</v>
      </c>
      <c r="V490" s="14" t="s">
        <v>3390</v>
      </c>
      <c r="W490" s="46" t="s">
        <v>2313</v>
      </c>
      <c r="X490" s="46" t="s">
        <v>2314</v>
      </c>
      <c r="Y490" s="50">
        <v>44035.0</v>
      </c>
      <c r="Z490" s="13"/>
      <c r="AA490" s="13"/>
      <c r="AB490" s="13"/>
      <c r="AC490" s="14" t="s">
        <v>3636</v>
      </c>
      <c r="AD490" s="13"/>
      <c r="AE490" s="13"/>
    </row>
    <row r="491">
      <c r="A491" s="9" t="s">
        <v>3188</v>
      </c>
      <c r="B491" s="9" t="s">
        <v>577</v>
      </c>
      <c r="C491" s="9" t="s">
        <v>3637</v>
      </c>
      <c r="D491" s="10" t="s">
        <v>3638</v>
      </c>
      <c r="E491" s="10" t="s">
        <v>31</v>
      </c>
      <c r="F491" s="10" t="s">
        <v>32</v>
      </c>
      <c r="G491" s="18" t="s">
        <v>50</v>
      </c>
      <c r="H491" s="29"/>
      <c r="I491" s="29"/>
      <c r="J491" s="29" t="s">
        <v>3639</v>
      </c>
      <c r="K491" s="9" t="s">
        <v>3640</v>
      </c>
      <c r="L491" s="18">
        <v>45.0</v>
      </c>
      <c r="M491" s="18">
        <v>30.0</v>
      </c>
      <c r="N491" s="13"/>
      <c r="O491" s="13"/>
      <c r="P491" s="18" t="s">
        <v>3641</v>
      </c>
      <c r="Q491" s="18"/>
      <c r="R491" s="18" t="s">
        <v>3642</v>
      </c>
      <c r="S491" s="29" t="s">
        <v>41</v>
      </c>
      <c r="T491" s="29" t="s">
        <v>42</v>
      </c>
      <c r="U491" s="10" t="s">
        <v>2483</v>
      </c>
      <c r="V491" s="10" t="s">
        <v>3643</v>
      </c>
      <c r="W491" s="13"/>
      <c r="X491" s="13"/>
      <c r="Y491" s="13"/>
      <c r="Z491" s="13"/>
      <c r="AA491" s="13"/>
      <c r="AB491" s="13"/>
      <c r="AC491" s="14" t="s">
        <v>3644</v>
      </c>
      <c r="AD491" s="13"/>
      <c r="AE491" s="13"/>
    </row>
    <row r="492">
      <c r="A492" s="9" t="s">
        <v>3188</v>
      </c>
      <c r="B492" s="9" t="s">
        <v>577</v>
      </c>
      <c r="C492" s="9" t="s">
        <v>3645</v>
      </c>
      <c r="D492" s="12" t="s">
        <v>3646</v>
      </c>
      <c r="E492" s="10" t="s">
        <v>31</v>
      </c>
      <c r="F492" s="10" t="s">
        <v>32</v>
      </c>
      <c r="G492" s="13"/>
      <c r="H492" s="13"/>
      <c r="I492" s="13"/>
      <c r="J492" s="13">
        <v>266.0</v>
      </c>
      <c r="K492" s="12" t="s">
        <v>3647</v>
      </c>
      <c r="L492" s="13">
        <v>2.0</v>
      </c>
      <c r="M492" s="13">
        <v>2.0</v>
      </c>
      <c r="N492" s="13" t="s">
        <v>3608</v>
      </c>
      <c r="O492" s="13"/>
      <c r="P492" s="13"/>
      <c r="Q492" s="13"/>
      <c r="R492" s="13"/>
      <c r="S492" s="13" t="s">
        <v>2361</v>
      </c>
      <c r="T492" s="13" t="s">
        <v>2362</v>
      </c>
      <c r="U492" s="12" t="s">
        <v>3603</v>
      </c>
      <c r="V492" s="12" t="s">
        <v>3603</v>
      </c>
      <c r="W492" s="13"/>
      <c r="X492" s="13"/>
      <c r="Y492" s="13"/>
      <c r="Z492" s="13"/>
      <c r="AA492" s="13"/>
      <c r="AB492" s="13"/>
      <c r="AC492" s="14" t="s">
        <v>3648</v>
      </c>
      <c r="AD492" s="13"/>
      <c r="AE492" s="13"/>
    </row>
    <row r="493">
      <c r="A493" s="9" t="s">
        <v>3188</v>
      </c>
      <c r="B493" s="9" t="s">
        <v>577</v>
      </c>
      <c r="C493" s="9" t="s">
        <v>3649</v>
      </c>
      <c r="D493" s="12" t="s">
        <v>3650</v>
      </c>
      <c r="E493" s="10" t="s">
        <v>31</v>
      </c>
      <c r="F493" s="10" t="s">
        <v>32</v>
      </c>
      <c r="G493" s="46" t="s">
        <v>3251</v>
      </c>
      <c r="H493" s="28" t="s">
        <v>34</v>
      </c>
      <c r="I493" s="10" t="s">
        <v>35</v>
      </c>
      <c r="J493" s="13" t="s">
        <v>3651</v>
      </c>
      <c r="K493" s="12" t="s">
        <v>3652</v>
      </c>
      <c r="L493" s="13">
        <v>13.0</v>
      </c>
      <c r="M493" s="13">
        <v>13.0</v>
      </c>
      <c r="N493" s="46" t="s">
        <v>3653</v>
      </c>
      <c r="O493" s="13"/>
      <c r="P493" s="13"/>
      <c r="Q493" s="13"/>
      <c r="R493" s="13"/>
      <c r="S493" s="13" t="s">
        <v>2361</v>
      </c>
      <c r="T493" s="13" t="s">
        <v>2362</v>
      </c>
      <c r="U493" s="12" t="s">
        <v>3603</v>
      </c>
      <c r="V493" s="12" t="s">
        <v>3603</v>
      </c>
      <c r="W493" s="46" t="s">
        <v>2313</v>
      </c>
      <c r="X493" s="46" t="s">
        <v>2314</v>
      </c>
      <c r="Y493" s="50">
        <v>44041.0</v>
      </c>
      <c r="Z493" s="50">
        <v>44041.0</v>
      </c>
      <c r="AA493" s="13"/>
      <c r="AB493" s="13"/>
      <c r="AC493" s="14" t="s">
        <v>3654</v>
      </c>
      <c r="AD493" s="13"/>
      <c r="AE493" s="13"/>
    </row>
    <row r="494">
      <c r="A494" s="9" t="s">
        <v>3188</v>
      </c>
      <c r="B494" s="9" t="s">
        <v>430</v>
      </c>
      <c r="C494" s="9" t="s">
        <v>3655</v>
      </c>
      <c r="D494" s="12" t="s">
        <v>3656</v>
      </c>
      <c r="E494" s="10" t="s">
        <v>31</v>
      </c>
      <c r="F494" s="10" t="s">
        <v>32</v>
      </c>
      <c r="G494" s="46" t="s">
        <v>3251</v>
      </c>
      <c r="H494" s="28" t="s">
        <v>34</v>
      </c>
      <c r="I494" s="10" t="s">
        <v>35</v>
      </c>
      <c r="J494" s="13" t="s">
        <v>3657</v>
      </c>
      <c r="K494" s="12" t="s">
        <v>3658</v>
      </c>
      <c r="L494" s="13">
        <v>4.0</v>
      </c>
      <c r="M494" s="13">
        <v>4.0</v>
      </c>
      <c r="N494" s="13"/>
      <c r="O494" s="13"/>
      <c r="P494" s="13"/>
      <c r="Q494" s="13"/>
      <c r="R494" s="13"/>
      <c r="S494" s="13" t="s">
        <v>2361</v>
      </c>
      <c r="T494" s="13" t="s">
        <v>2362</v>
      </c>
      <c r="U494" s="12" t="s">
        <v>3532</v>
      </c>
      <c r="V494" s="12" t="s">
        <v>3532</v>
      </c>
      <c r="W494" s="46" t="s">
        <v>2313</v>
      </c>
      <c r="X494" s="46" t="s">
        <v>2314</v>
      </c>
      <c r="Y494" s="50">
        <v>44041.0</v>
      </c>
      <c r="Z494" s="50">
        <v>44041.0</v>
      </c>
      <c r="AA494" s="13"/>
      <c r="AB494" s="13"/>
      <c r="AC494" s="14" t="s">
        <v>3659</v>
      </c>
      <c r="AD494" s="13"/>
      <c r="AE494" s="13"/>
    </row>
    <row r="495">
      <c r="A495" s="9" t="s">
        <v>3188</v>
      </c>
      <c r="B495" s="9" t="s">
        <v>430</v>
      </c>
      <c r="C495" s="9" t="s">
        <v>3660</v>
      </c>
      <c r="D495" s="12" t="s">
        <v>3661</v>
      </c>
      <c r="E495" s="10" t="s">
        <v>31</v>
      </c>
      <c r="F495" s="10" t="s">
        <v>32</v>
      </c>
      <c r="G495" s="12" t="s">
        <v>3418</v>
      </c>
      <c r="H495" s="28" t="s">
        <v>34</v>
      </c>
      <c r="I495" s="10" t="s">
        <v>35</v>
      </c>
      <c r="J495" s="13" t="s">
        <v>3662</v>
      </c>
      <c r="K495" s="12" t="s">
        <v>3663</v>
      </c>
      <c r="L495" s="13">
        <v>4.0</v>
      </c>
      <c r="M495" s="13">
        <v>4.0</v>
      </c>
      <c r="N495" s="13"/>
      <c r="O495" s="13"/>
      <c r="P495" s="13"/>
      <c r="Q495" s="13"/>
      <c r="R495" s="13"/>
      <c r="S495" s="13" t="s">
        <v>2361</v>
      </c>
      <c r="T495" s="13" t="s">
        <v>2362</v>
      </c>
      <c r="U495" s="12" t="s">
        <v>3532</v>
      </c>
      <c r="V495" s="12" t="s">
        <v>3532</v>
      </c>
      <c r="W495" s="46" t="s">
        <v>2313</v>
      </c>
      <c r="X495" s="46" t="s">
        <v>2314</v>
      </c>
      <c r="Y495" s="50">
        <v>44041.0</v>
      </c>
      <c r="Z495" s="50">
        <v>44041.0</v>
      </c>
      <c r="AA495" s="13"/>
      <c r="AB495" s="13"/>
      <c r="AC495" s="14" t="s">
        <v>3664</v>
      </c>
      <c r="AD495" s="13"/>
      <c r="AE495" s="13"/>
    </row>
    <row r="496">
      <c r="A496" s="9" t="s">
        <v>3188</v>
      </c>
      <c r="B496" s="9" t="s">
        <v>430</v>
      </c>
      <c r="C496" s="9" t="s">
        <v>3665</v>
      </c>
      <c r="D496" s="12" t="s">
        <v>3666</v>
      </c>
      <c r="E496" s="10" t="s">
        <v>31</v>
      </c>
      <c r="F496" s="10" t="s">
        <v>32</v>
      </c>
      <c r="G496" s="12" t="s">
        <v>3418</v>
      </c>
      <c r="H496" s="28" t="s">
        <v>34</v>
      </c>
      <c r="I496" s="10" t="s">
        <v>35</v>
      </c>
      <c r="J496" s="13" t="s">
        <v>3667</v>
      </c>
      <c r="K496" s="12" t="s">
        <v>3668</v>
      </c>
      <c r="L496" s="13">
        <v>8.0</v>
      </c>
      <c r="M496" s="13">
        <v>8.0</v>
      </c>
      <c r="N496" s="13"/>
      <c r="O496" s="13"/>
      <c r="P496" s="13"/>
      <c r="Q496" s="13"/>
      <c r="R496" s="13"/>
      <c r="S496" s="13" t="s">
        <v>2361</v>
      </c>
      <c r="T496" s="13" t="s">
        <v>2362</v>
      </c>
      <c r="U496" s="12" t="s">
        <v>3532</v>
      </c>
      <c r="V496" s="12" t="s">
        <v>3603</v>
      </c>
      <c r="W496" s="46" t="s">
        <v>2313</v>
      </c>
      <c r="X496" s="46" t="s">
        <v>2314</v>
      </c>
      <c r="Y496" s="50">
        <v>44041.0</v>
      </c>
      <c r="Z496" s="50">
        <v>44041.0</v>
      </c>
      <c r="AA496" s="13"/>
      <c r="AB496" s="13"/>
      <c r="AC496" s="14" t="s">
        <v>3669</v>
      </c>
      <c r="AD496" s="13"/>
      <c r="AE496" s="13"/>
    </row>
    <row r="497">
      <c r="A497" s="9" t="s">
        <v>3188</v>
      </c>
      <c r="B497" s="9" t="s">
        <v>430</v>
      </c>
      <c r="C497" s="9" t="s">
        <v>3670</v>
      </c>
      <c r="D497" s="9" t="s">
        <v>3671</v>
      </c>
      <c r="E497" s="10" t="s">
        <v>31</v>
      </c>
      <c r="F497" s="10" t="s">
        <v>32</v>
      </c>
      <c r="G497" s="46" t="s">
        <v>3672</v>
      </c>
      <c r="H497" s="46"/>
      <c r="I497" s="46"/>
      <c r="J497" s="46" t="s">
        <v>3673</v>
      </c>
      <c r="K497" s="9" t="s">
        <v>3674</v>
      </c>
      <c r="L497" s="46">
        <v>21.0</v>
      </c>
      <c r="M497" s="46">
        <v>14.0</v>
      </c>
      <c r="N497" s="13"/>
      <c r="O497" s="13"/>
      <c r="P497" s="13"/>
      <c r="Q497" s="13"/>
      <c r="R497" s="13"/>
      <c r="S497" s="46" t="s">
        <v>3675</v>
      </c>
      <c r="T497" s="46" t="s">
        <v>3676</v>
      </c>
      <c r="U497" s="9" t="s">
        <v>2714</v>
      </c>
      <c r="V497" s="12"/>
      <c r="W497" s="13"/>
      <c r="X497" s="13"/>
      <c r="Y497" s="13"/>
      <c r="Z497" s="13"/>
      <c r="AA497" s="13"/>
      <c r="AB497" s="13"/>
      <c r="AC497" s="14" t="s">
        <v>3677</v>
      </c>
      <c r="AD497" s="13"/>
      <c r="AE497" s="13"/>
    </row>
    <row r="498">
      <c r="A498" s="9" t="s">
        <v>3188</v>
      </c>
      <c r="B498" s="9" t="s">
        <v>430</v>
      </c>
      <c r="C498" s="9" t="s">
        <v>3678</v>
      </c>
      <c r="D498" s="9" t="s">
        <v>3679</v>
      </c>
      <c r="E498" s="10" t="s">
        <v>31</v>
      </c>
      <c r="F498" s="10" t="s">
        <v>32</v>
      </c>
      <c r="G498" s="46" t="s">
        <v>3418</v>
      </c>
      <c r="H498" s="28" t="s">
        <v>34</v>
      </c>
      <c r="I498" s="10" t="s">
        <v>35</v>
      </c>
      <c r="J498" s="46" t="s">
        <v>3680</v>
      </c>
      <c r="K498" s="9" t="s">
        <v>3681</v>
      </c>
      <c r="L498" s="46">
        <v>17.0</v>
      </c>
      <c r="M498" s="46">
        <v>17.0</v>
      </c>
      <c r="N498" s="13"/>
      <c r="O498" s="13"/>
      <c r="P498" s="13"/>
      <c r="Q498" s="13"/>
      <c r="R498" s="13"/>
      <c r="S498" s="46" t="s">
        <v>3675</v>
      </c>
      <c r="T498" s="46" t="s">
        <v>3676</v>
      </c>
      <c r="U498" s="9" t="s">
        <v>2714</v>
      </c>
      <c r="V498" s="12"/>
      <c r="W498" s="13"/>
      <c r="X498" s="13"/>
      <c r="Y498" s="13"/>
      <c r="Z498" s="13"/>
      <c r="AA498" s="13"/>
      <c r="AB498" s="13"/>
      <c r="AC498" s="14" t="s">
        <v>3682</v>
      </c>
      <c r="AD498" s="13"/>
      <c r="AE498" s="13"/>
    </row>
    <row r="499">
      <c r="A499" s="9" t="s">
        <v>3188</v>
      </c>
      <c r="B499" s="9" t="s">
        <v>430</v>
      </c>
      <c r="C499" s="9" t="s">
        <v>3683</v>
      </c>
      <c r="D499" s="9" t="s">
        <v>3684</v>
      </c>
      <c r="E499" s="10" t="s">
        <v>31</v>
      </c>
      <c r="F499" s="10" t="s">
        <v>32</v>
      </c>
      <c r="G499" s="46" t="s">
        <v>3418</v>
      </c>
      <c r="H499" s="28" t="s">
        <v>34</v>
      </c>
      <c r="I499" s="10" t="s">
        <v>35</v>
      </c>
      <c r="J499" s="46" t="s">
        <v>3685</v>
      </c>
      <c r="K499" s="9" t="s">
        <v>3686</v>
      </c>
      <c r="L499" s="46">
        <v>18.0</v>
      </c>
      <c r="M499" s="46">
        <v>18.0</v>
      </c>
      <c r="N499" s="13"/>
      <c r="O499" s="13"/>
      <c r="P499" s="13"/>
      <c r="Q499" s="13"/>
      <c r="R499" s="13"/>
      <c r="S499" s="46" t="s">
        <v>3675</v>
      </c>
      <c r="T499" s="46" t="s">
        <v>3676</v>
      </c>
      <c r="U499" s="9" t="s">
        <v>2714</v>
      </c>
      <c r="V499" s="12"/>
      <c r="W499" s="13"/>
      <c r="X499" s="13"/>
      <c r="Y499" s="13"/>
      <c r="Z499" s="13"/>
      <c r="AA499" s="13"/>
      <c r="AB499" s="13"/>
      <c r="AC499" s="14" t="s">
        <v>3687</v>
      </c>
      <c r="AD499" s="13"/>
      <c r="AE499" s="13"/>
    </row>
    <row r="500">
      <c r="A500" s="9" t="s">
        <v>3188</v>
      </c>
      <c r="B500" s="9" t="s">
        <v>430</v>
      </c>
      <c r="C500" s="10" t="s">
        <v>3688</v>
      </c>
      <c r="D500" s="9" t="s">
        <v>3689</v>
      </c>
      <c r="E500" s="10" t="s">
        <v>31</v>
      </c>
      <c r="F500" s="10" t="s">
        <v>32</v>
      </c>
      <c r="G500" s="46" t="s">
        <v>3690</v>
      </c>
      <c r="H500" s="28" t="s">
        <v>34</v>
      </c>
      <c r="I500" s="10" t="s">
        <v>35</v>
      </c>
      <c r="J500" s="46" t="s">
        <v>3691</v>
      </c>
      <c r="K500" s="9" t="s">
        <v>3692</v>
      </c>
      <c r="L500" s="46">
        <v>6.0</v>
      </c>
      <c r="M500" s="46">
        <v>6.0</v>
      </c>
      <c r="N500" s="46" t="s">
        <v>3693</v>
      </c>
      <c r="O500" s="13"/>
      <c r="P500" s="13"/>
      <c r="Q500" s="13"/>
      <c r="R500" s="13"/>
      <c r="S500" s="46" t="s">
        <v>2720</v>
      </c>
      <c r="T500" s="46" t="s">
        <v>2673</v>
      </c>
      <c r="U500" s="9" t="s">
        <v>3532</v>
      </c>
      <c r="V500" s="9" t="s">
        <v>3532</v>
      </c>
      <c r="W500" s="46" t="s">
        <v>2313</v>
      </c>
      <c r="X500" s="46" t="s">
        <v>2314</v>
      </c>
      <c r="Y500" s="50">
        <v>44041.0</v>
      </c>
      <c r="Z500" s="50">
        <v>44041.0</v>
      </c>
      <c r="AA500" s="13"/>
      <c r="AB500" s="13"/>
      <c r="AC500" s="14" t="s">
        <v>3694</v>
      </c>
      <c r="AD500" s="13"/>
      <c r="AE500" s="13"/>
    </row>
    <row r="501">
      <c r="A501" s="9" t="s">
        <v>3188</v>
      </c>
      <c r="B501" s="9" t="s">
        <v>130</v>
      </c>
      <c r="C501" s="10" t="s">
        <v>3695</v>
      </c>
      <c r="D501" s="9" t="s">
        <v>3696</v>
      </c>
      <c r="E501" s="10" t="s">
        <v>31</v>
      </c>
      <c r="F501" s="10" t="s">
        <v>32</v>
      </c>
      <c r="G501" s="46" t="s">
        <v>3697</v>
      </c>
      <c r="H501" s="28" t="s">
        <v>34</v>
      </c>
      <c r="I501" s="10" t="s">
        <v>35</v>
      </c>
      <c r="J501" s="46" t="s">
        <v>3698</v>
      </c>
      <c r="K501" s="9" t="s">
        <v>3699</v>
      </c>
      <c r="L501" s="46">
        <v>2.0</v>
      </c>
      <c r="M501" s="46">
        <v>2.0</v>
      </c>
      <c r="N501" s="46" t="s">
        <v>3700</v>
      </c>
      <c r="O501" s="13"/>
      <c r="P501" s="46" t="s">
        <v>3701</v>
      </c>
      <c r="Q501" s="13"/>
      <c r="R501" s="13" t="s">
        <v>3702</v>
      </c>
      <c r="S501" s="46" t="s">
        <v>2569</v>
      </c>
      <c r="T501" s="46" t="s">
        <v>2570</v>
      </c>
      <c r="U501" s="9" t="s">
        <v>3237</v>
      </c>
      <c r="V501" s="9" t="s">
        <v>3237</v>
      </c>
      <c r="W501" s="46" t="s">
        <v>2313</v>
      </c>
      <c r="X501" s="46" t="s">
        <v>2314</v>
      </c>
      <c r="Y501" s="50">
        <v>44047.0</v>
      </c>
      <c r="Z501" s="50">
        <v>44047.0</v>
      </c>
      <c r="AA501" s="13"/>
      <c r="AB501" s="13"/>
      <c r="AC501" s="14" t="s">
        <v>3703</v>
      </c>
      <c r="AD501" s="13"/>
      <c r="AE501" s="13"/>
    </row>
    <row r="502">
      <c r="A502" s="9" t="s">
        <v>3188</v>
      </c>
      <c r="B502" s="9" t="s">
        <v>130</v>
      </c>
      <c r="C502" s="10" t="s">
        <v>3695</v>
      </c>
      <c r="D502" s="48" t="s">
        <v>3704</v>
      </c>
      <c r="E502" s="10" t="s">
        <v>31</v>
      </c>
      <c r="F502" s="10" t="s">
        <v>32</v>
      </c>
      <c r="G502" s="46" t="s">
        <v>3705</v>
      </c>
      <c r="H502" s="28" t="s">
        <v>34</v>
      </c>
      <c r="I502" s="10" t="s">
        <v>35</v>
      </c>
      <c r="J502" s="13" t="s">
        <v>3706</v>
      </c>
      <c r="K502" s="12" t="s">
        <v>3707</v>
      </c>
      <c r="L502" s="13">
        <v>18.0</v>
      </c>
      <c r="M502" s="13">
        <v>18.0</v>
      </c>
      <c r="N502" s="13"/>
      <c r="O502" s="13"/>
      <c r="P502" s="13" t="s">
        <v>3708</v>
      </c>
      <c r="Q502" s="13"/>
      <c r="R502" s="13"/>
      <c r="S502" s="46" t="s">
        <v>2374</v>
      </c>
      <c r="T502" s="46" t="s">
        <v>2375</v>
      </c>
      <c r="U502" s="9" t="s">
        <v>2422</v>
      </c>
      <c r="V502" s="12" t="s">
        <v>3709</v>
      </c>
      <c r="W502" s="13"/>
      <c r="X502" s="13"/>
      <c r="Y502" s="13"/>
      <c r="Z502" s="13"/>
      <c r="AA502" s="13"/>
      <c r="AB502" s="13"/>
      <c r="AC502" s="14" t="s">
        <v>3710</v>
      </c>
      <c r="AD502" s="13"/>
      <c r="AE502" s="13"/>
    </row>
    <row r="503">
      <c r="A503" s="9" t="s">
        <v>3188</v>
      </c>
      <c r="B503" s="9" t="s">
        <v>130</v>
      </c>
      <c r="C503" s="9" t="s">
        <v>3711</v>
      </c>
      <c r="D503" s="12" t="s">
        <v>3712</v>
      </c>
      <c r="E503" s="10" t="s">
        <v>31</v>
      </c>
      <c r="F503" s="10" t="s">
        <v>32</v>
      </c>
      <c r="G503" s="13" t="s">
        <v>3713</v>
      </c>
      <c r="H503" s="28" t="s">
        <v>34</v>
      </c>
      <c r="I503" s="10" t="s">
        <v>35</v>
      </c>
      <c r="J503" s="13" t="s">
        <v>3714</v>
      </c>
      <c r="K503" s="12" t="s">
        <v>3715</v>
      </c>
      <c r="L503" s="13">
        <v>3.0</v>
      </c>
      <c r="M503" s="13">
        <v>3.0</v>
      </c>
      <c r="N503" s="46" t="s">
        <v>2525</v>
      </c>
      <c r="O503" s="13"/>
      <c r="P503" s="13"/>
      <c r="Q503" s="13"/>
      <c r="R503" s="13"/>
      <c r="S503" s="13" t="s">
        <v>2361</v>
      </c>
      <c r="T503" s="13" t="s">
        <v>2362</v>
      </c>
      <c r="U503" s="12" t="s">
        <v>3532</v>
      </c>
      <c r="V503" s="12" t="s">
        <v>3532</v>
      </c>
      <c r="W503" s="46" t="s">
        <v>2313</v>
      </c>
      <c r="X503" s="46" t="s">
        <v>2314</v>
      </c>
      <c r="Y503" s="50">
        <v>44047.0</v>
      </c>
      <c r="Z503" s="50">
        <v>44047.0</v>
      </c>
      <c r="AA503" s="13"/>
      <c r="AB503" s="13"/>
      <c r="AC503" s="14" t="s">
        <v>3716</v>
      </c>
      <c r="AD503" s="13"/>
      <c r="AE503" s="13"/>
    </row>
    <row r="504">
      <c r="A504" s="9" t="s">
        <v>3188</v>
      </c>
      <c r="B504" s="9" t="s">
        <v>951</v>
      </c>
      <c r="C504" s="9" t="s">
        <v>3717</v>
      </c>
      <c r="D504" s="9" t="s">
        <v>3718</v>
      </c>
      <c r="E504" s="10" t="s">
        <v>31</v>
      </c>
      <c r="F504" s="10" t="s">
        <v>32</v>
      </c>
      <c r="G504" s="46" t="s">
        <v>3719</v>
      </c>
      <c r="H504" s="46"/>
      <c r="I504" s="46"/>
      <c r="J504" s="46" t="s">
        <v>3720</v>
      </c>
      <c r="K504" s="9" t="s">
        <v>3721</v>
      </c>
      <c r="L504" s="46">
        <v>7.0</v>
      </c>
      <c r="M504" s="46">
        <v>5.0</v>
      </c>
      <c r="N504" s="13"/>
      <c r="O504" s="13"/>
      <c r="P504" s="13"/>
      <c r="Q504" s="13"/>
      <c r="R504" s="13"/>
      <c r="S504" s="46" t="s">
        <v>2569</v>
      </c>
      <c r="T504" s="46" t="s">
        <v>2570</v>
      </c>
      <c r="U504" s="9" t="s">
        <v>2392</v>
      </c>
      <c r="V504" s="9" t="s">
        <v>2392</v>
      </c>
      <c r="W504" s="46" t="s">
        <v>2313</v>
      </c>
      <c r="X504" s="46" t="s">
        <v>2314</v>
      </c>
      <c r="Y504" s="50">
        <v>44043.0</v>
      </c>
      <c r="Z504" s="50">
        <v>44043.0</v>
      </c>
      <c r="AA504" s="13"/>
      <c r="AB504" s="13"/>
      <c r="AC504" s="14" t="s">
        <v>3722</v>
      </c>
      <c r="AD504" s="13"/>
      <c r="AE504" s="13"/>
    </row>
    <row r="505">
      <c r="A505" s="9" t="s">
        <v>3188</v>
      </c>
      <c r="B505" s="9" t="s">
        <v>951</v>
      </c>
      <c r="C505" s="9" t="s">
        <v>3723</v>
      </c>
      <c r="D505" s="10" t="s">
        <v>3724</v>
      </c>
      <c r="E505" s="10" t="s">
        <v>31</v>
      </c>
      <c r="F505" s="10" t="s">
        <v>32</v>
      </c>
      <c r="G505" s="46" t="s">
        <v>3705</v>
      </c>
      <c r="H505" s="28" t="s">
        <v>34</v>
      </c>
      <c r="I505" s="10" t="s">
        <v>35</v>
      </c>
      <c r="J505" s="46" t="s">
        <v>3725</v>
      </c>
      <c r="K505" s="9" t="s">
        <v>3726</v>
      </c>
      <c r="L505" s="46">
        <v>7.0</v>
      </c>
      <c r="M505" s="46">
        <v>7.0</v>
      </c>
      <c r="N505" s="13"/>
      <c r="O505" s="13"/>
      <c r="P505" s="13"/>
      <c r="Q505" s="13"/>
      <c r="R505" s="13"/>
      <c r="S505" s="46" t="s">
        <v>3727</v>
      </c>
      <c r="T505" s="46" t="s">
        <v>3728</v>
      </c>
      <c r="U505" s="9" t="s">
        <v>2714</v>
      </c>
      <c r="V505" s="12"/>
      <c r="W505" s="13"/>
      <c r="X505" s="13"/>
      <c r="Y505" s="13"/>
      <c r="Z505" s="13"/>
      <c r="AA505" s="13"/>
      <c r="AB505" s="13"/>
      <c r="AC505" s="14" t="s">
        <v>3729</v>
      </c>
      <c r="AD505" s="13"/>
      <c r="AE505" s="13"/>
    </row>
    <row r="506">
      <c r="A506" s="9" t="s">
        <v>3188</v>
      </c>
      <c r="B506" s="9" t="s">
        <v>141</v>
      </c>
      <c r="C506" s="9" t="s">
        <v>3730</v>
      </c>
      <c r="D506" s="10" t="s">
        <v>3731</v>
      </c>
      <c r="E506" s="10" t="s">
        <v>31</v>
      </c>
      <c r="F506" s="10" t="s">
        <v>32</v>
      </c>
      <c r="G506" s="46" t="s">
        <v>3705</v>
      </c>
      <c r="H506" s="28" t="s">
        <v>34</v>
      </c>
      <c r="I506" s="10" t="s">
        <v>35</v>
      </c>
      <c r="J506" s="46" t="s">
        <v>3732</v>
      </c>
      <c r="K506" s="9" t="s">
        <v>3733</v>
      </c>
      <c r="L506" s="46">
        <v>8.0</v>
      </c>
      <c r="M506" s="46">
        <v>8.0</v>
      </c>
      <c r="N506" s="13"/>
      <c r="O506" s="13"/>
      <c r="P506" s="46" t="s">
        <v>3734</v>
      </c>
      <c r="Q506" s="46"/>
      <c r="R506" s="46" t="s">
        <v>3735</v>
      </c>
      <c r="S506" s="46" t="s">
        <v>2313</v>
      </c>
      <c r="T506" s="46" t="s">
        <v>2314</v>
      </c>
      <c r="U506" s="9" t="s">
        <v>3736</v>
      </c>
      <c r="V506" s="9" t="s">
        <v>3737</v>
      </c>
      <c r="W506" s="13"/>
      <c r="X506" s="13"/>
      <c r="Y506" s="13"/>
      <c r="Z506" s="13"/>
      <c r="AA506" s="13"/>
      <c r="AB506" s="13"/>
      <c r="AC506" s="14" t="s">
        <v>3738</v>
      </c>
      <c r="AD506" s="13"/>
      <c r="AE506" s="13"/>
    </row>
    <row r="507">
      <c r="A507" s="9" t="s">
        <v>3188</v>
      </c>
      <c r="B507" s="9" t="s">
        <v>141</v>
      </c>
      <c r="C507" s="9" t="s">
        <v>3739</v>
      </c>
      <c r="D507" s="10" t="s">
        <v>3740</v>
      </c>
      <c r="E507" s="10" t="s">
        <v>31</v>
      </c>
      <c r="F507" s="10" t="s">
        <v>32</v>
      </c>
      <c r="G507" s="46" t="s">
        <v>3741</v>
      </c>
      <c r="H507" s="28" t="s">
        <v>34</v>
      </c>
      <c r="I507" s="10" t="s">
        <v>35</v>
      </c>
      <c r="J507" s="46" t="s">
        <v>3742</v>
      </c>
      <c r="K507" s="9" t="s">
        <v>3743</v>
      </c>
      <c r="L507" s="46">
        <v>6.0</v>
      </c>
      <c r="M507" s="46">
        <v>4.0</v>
      </c>
      <c r="N507" s="13"/>
      <c r="O507" s="13"/>
      <c r="P507" s="46" t="s">
        <v>3744</v>
      </c>
      <c r="Q507" s="46"/>
      <c r="R507" s="46" t="s">
        <v>3745</v>
      </c>
      <c r="S507" s="46" t="s">
        <v>2313</v>
      </c>
      <c r="T507" s="46" t="s">
        <v>2314</v>
      </c>
      <c r="U507" s="9" t="s">
        <v>248</v>
      </c>
      <c r="V507" s="9" t="s">
        <v>3219</v>
      </c>
      <c r="W507" s="46" t="s">
        <v>3746</v>
      </c>
      <c r="X507" s="46" t="s">
        <v>42</v>
      </c>
      <c r="Y507" s="50">
        <v>44000.0</v>
      </c>
      <c r="Z507" s="50">
        <v>44001.0</v>
      </c>
      <c r="AA507" s="13"/>
      <c r="AB507" s="13"/>
      <c r="AC507" s="14" t="s">
        <v>3747</v>
      </c>
      <c r="AD507" s="13"/>
      <c r="AE507" s="13"/>
    </row>
    <row r="508">
      <c r="A508" s="9" t="s">
        <v>3188</v>
      </c>
      <c r="B508" s="9" t="s">
        <v>141</v>
      </c>
      <c r="C508" s="9" t="s">
        <v>3748</v>
      </c>
      <c r="D508" s="10" t="s">
        <v>3749</v>
      </c>
      <c r="E508" s="10" t="s">
        <v>31</v>
      </c>
      <c r="F508" s="10" t="s">
        <v>32</v>
      </c>
      <c r="G508" s="46" t="s">
        <v>3697</v>
      </c>
      <c r="H508" s="28" t="s">
        <v>34</v>
      </c>
      <c r="I508" s="10" t="s">
        <v>35</v>
      </c>
      <c r="J508" s="46">
        <v>336.0</v>
      </c>
      <c r="K508" s="9" t="s">
        <v>3750</v>
      </c>
      <c r="L508" s="46">
        <v>2.0</v>
      </c>
      <c r="M508" s="46">
        <v>2.0</v>
      </c>
      <c r="N508" s="13"/>
      <c r="O508" s="13"/>
      <c r="P508" s="46" t="s">
        <v>3751</v>
      </c>
      <c r="Q508" s="46"/>
      <c r="R508" s="46" t="s">
        <v>3752</v>
      </c>
      <c r="S508" s="46" t="s">
        <v>2313</v>
      </c>
      <c r="T508" s="46" t="s">
        <v>2314</v>
      </c>
      <c r="U508" s="9" t="s">
        <v>3737</v>
      </c>
      <c r="V508" s="9" t="s">
        <v>3753</v>
      </c>
      <c r="W508" s="13"/>
      <c r="X508" s="13"/>
      <c r="Y508" s="13"/>
      <c r="Z508" s="13"/>
      <c r="AA508" s="13"/>
      <c r="AB508" s="13"/>
      <c r="AC508" s="14" t="s">
        <v>3754</v>
      </c>
      <c r="AD508" s="13"/>
      <c r="AE508" s="13"/>
    </row>
    <row r="509">
      <c r="A509" s="9" t="s">
        <v>3188</v>
      </c>
      <c r="B509" s="9" t="s">
        <v>141</v>
      </c>
      <c r="C509" s="9" t="s">
        <v>3755</v>
      </c>
      <c r="D509" s="10" t="s">
        <v>3756</v>
      </c>
      <c r="E509" s="10" t="s">
        <v>31</v>
      </c>
      <c r="F509" s="10" t="s">
        <v>32</v>
      </c>
      <c r="G509" s="13"/>
      <c r="H509" s="46"/>
      <c r="I509" s="46"/>
      <c r="J509" s="46" t="s">
        <v>3757</v>
      </c>
      <c r="K509" s="9" t="s">
        <v>3758</v>
      </c>
      <c r="L509" s="46">
        <v>5.0</v>
      </c>
      <c r="M509" s="46">
        <v>5.0</v>
      </c>
      <c r="N509" s="46" t="s">
        <v>2678</v>
      </c>
      <c r="O509" s="13"/>
      <c r="P509" s="46" t="s">
        <v>3759</v>
      </c>
      <c r="Q509" s="46"/>
      <c r="R509" s="46" t="s">
        <v>3760</v>
      </c>
      <c r="S509" s="46" t="s">
        <v>2313</v>
      </c>
      <c r="T509" s="46" t="s">
        <v>2314</v>
      </c>
      <c r="U509" s="9" t="s">
        <v>3761</v>
      </c>
      <c r="V509" s="9" t="s">
        <v>3257</v>
      </c>
      <c r="W509" s="13"/>
      <c r="X509" s="13"/>
      <c r="Y509" s="13"/>
      <c r="Z509" s="13"/>
      <c r="AA509" s="13"/>
      <c r="AB509" s="13"/>
      <c r="AC509" s="14" t="s">
        <v>3762</v>
      </c>
      <c r="AD509" s="13"/>
      <c r="AE509" s="13"/>
    </row>
    <row r="510">
      <c r="A510" s="9" t="s">
        <v>3188</v>
      </c>
      <c r="B510" s="9" t="s">
        <v>141</v>
      </c>
      <c r="C510" s="9" t="s">
        <v>3763</v>
      </c>
      <c r="D510" s="10" t="s">
        <v>3764</v>
      </c>
      <c r="E510" s="10" t="s">
        <v>31</v>
      </c>
      <c r="F510" s="10" t="s">
        <v>32</v>
      </c>
      <c r="G510" s="46" t="s">
        <v>3697</v>
      </c>
      <c r="H510" s="28" t="s">
        <v>34</v>
      </c>
      <c r="I510" s="10" t="s">
        <v>35</v>
      </c>
      <c r="J510" s="46" t="s">
        <v>3765</v>
      </c>
      <c r="K510" s="9" t="s">
        <v>3766</v>
      </c>
      <c r="L510" s="46">
        <v>3.0</v>
      </c>
      <c r="M510" s="46">
        <v>3.0</v>
      </c>
      <c r="N510" s="13"/>
      <c r="O510" s="13"/>
      <c r="P510" s="13"/>
      <c r="Q510" s="46"/>
      <c r="R510" s="46" t="s">
        <v>3767</v>
      </c>
      <c r="S510" s="46" t="s">
        <v>2313</v>
      </c>
      <c r="T510" s="46" t="s">
        <v>2314</v>
      </c>
      <c r="U510" s="9" t="s">
        <v>248</v>
      </c>
      <c r="V510" s="9" t="s">
        <v>3202</v>
      </c>
      <c r="W510" s="46" t="s">
        <v>3746</v>
      </c>
      <c r="X510" s="46" t="s">
        <v>42</v>
      </c>
      <c r="Y510" s="50">
        <v>44000.0</v>
      </c>
      <c r="Z510" s="50">
        <v>44001.0</v>
      </c>
      <c r="AA510" s="13"/>
      <c r="AB510" s="13"/>
      <c r="AC510" s="14" t="s">
        <v>3768</v>
      </c>
      <c r="AD510" s="13"/>
      <c r="AE510" s="13"/>
    </row>
    <row r="511">
      <c r="A511" s="9" t="s">
        <v>3188</v>
      </c>
      <c r="B511" s="9" t="s">
        <v>739</v>
      </c>
      <c r="C511" s="9" t="s">
        <v>3769</v>
      </c>
      <c r="D511" s="12" t="s">
        <v>3770</v>
      </c>
      <c r="E511" s="10" t="s">
        <v>31</v>
      </c>
      <c r="F511" s="10" t="s">
        <v>32</v>
      </c>
      <c r="G511" s="13" t="s">
        <v>3771</v>
      </c>
      <c r="H511" s="28" t="s">
        <v>34</v>
      </c>
      <c r="I511" s="10" t="s">
        <v>35</v>
      </c>
      <c r="J511" s="13" t="s">
        <v>3772</v>
      </c>
      <c r="K511" s="12" t="s">
        <v>3773</v>
      </c>
      <c r="L511" s="13">
        <v>6.0</v>
      </c>
      <c r="M511" s="13">
        <v>6.0</v>
      </c>
      <c r="N511" s="13"/>
      <c r="O511" s="13"/>
      <c r="P511" s="46" t="s">
        <v>3774</v>
      </c>
      <c r="Q511" s="46"/>
      <c r="R511" s="46" t="s">
        <v>3775</v>
      </c>
      <c r="S511" s="13" t="s">
        <v>2361</v>
      </c>
      <c r="T511" s="13" t="s">
        <v>2362</v>
      </c>
      <c r="U511" s="12" t="s">
        <v>3247</v>
      </c>
      <c r="V511" s="12" t="s">
        <v>3247</v>
      </c>
      <c r="W511" s="46" t="s">
        <v>2313</v>
      </c>
      <c r="X511" s="46" t="s">
        <v>2314</v>
      </c>
      <c r="Y511" s="50">
        <v>44013.0</v>
      </c>
      <c r="Z511" s="50">
        <v>44014.0</v>
      </c>
      <c r="AA511" s="13"/>
      <c r="AB511" s="13"/>
      <c r="AC511" s="14" t="s">
        <v>3776</v>
      </c>
      <c r="AD511" s="13"/>
      <c r="AE511" s="13"/>
    </row>
    <row r="512">
      <c r="A512" s="9" t="s">
        <v>3188</v>
      </c>
      <c r="B512" s="9" t="s">
        <v>739</v>
      </c>
      <c r="C512" s="9" t="s">
        <v>3777</v>
      </c>
      <c r="D512" s="12" t="s">
        <v>3778</v>
      </c>
      <c r="E512" s="10" t="s">
        <v>31</v>
      </c>
      <c r="F512" s="10" t="s">
        <v>32</v>
      </c>
      <c r="G512" s="13" t="s">
        <v>3771</v>
      </c>
      <c r="H512" s="28" t="s">
        <v>34</v>
      </c>
      <c r="I512" s="10" t="s">
        <v>35</v>
      </c>
      <c r="J512" s="13" t="s">
        <v>3779</v>
      </c>
      <c r="K512" s="12" t="s">
        <v>3780</v>
      </c>
      <c r="L512" s="13">
        <v>5.0</v>
      </c>
      <c r="M512" s="13">
        <v>5.0</v>
      </c>
      <c r="N512" s="13"/>
      <c r="O512" s="13"/>
      <c r="P512" s="46" t="s">
        <v>3781</v>
      </c>
      <c r="Q512" s="46"/>
      <c r="R512" s="46" t="s">
        <v>3782</v>
      </c>
      <c r="S512" s="13" t="s">
        <v>2361</v>
      </c>
      <c r="T512" s="13" t="s">
        <v>2362</v>
      </c>
      <c r="U512" s="12" t="s">
        <v>3247</v>
      </c>
      <c r="V512" s="12" t="s">
        <v>3247</v>
      </c>
      <c r="W512" s="46" t="s">
        <v>2313</v>
      </c>
      <c r="X512" s="46" t="s">
        <v>2314</v>
      </c>
      <c r="Y512" s="50">
        <v>44013.0</v>
      </c>
      <c r="Z512" s="50">
        <v>44014.0</v>
      </c>
      <c r="AA512" s="13"/>
      <c r="AB512" s="13"/>
      <c r="AC512" s="14" t="s">
        <v>3783</v>
      </c>
      <c r="AD512" s="13"/>
      <c r="AE512" s="13"/>
    </row>
    <row r="513">
      <c r="A513" s="9" t="s">
        <v>3188</v>
      </c>
      <c r="B513" s="9" t="s">
        <v>739</v>
      </c>
      <c r="C513" s="9" t="s">
        <v>3784</v>
      </c>
      <c r="D513" s="12" t="s">
        <v>3785</v>
      </c>
      <c r="E513" s="10" t="s">
        <v>31</v>
      </c>
      <c r="F513" s="10" t="s">
        <v>32</v>
      </c>
      <c r="G513" s="13" t="s">
        <v>3786</v>
      </c>
      <c r="H513" s="28" t="s">
        <v>34</v>
      </c>
      <c r="I513" s="10" t="s">
        <v>35</v>
      </c>
      <c r="J513" s="13">
        <v>354.0</v>
      </c>
      <c r="K513" s="12" t="s">
        <v>3787</v>
      </c>
      <c r="L513" s="13">
        <v>3.0</v>
      </c>
      <c r="M513" s="13">
        <v>2.0</v>
      </c>
      <c r="N513" s="13"/>
      <c r="O513" s="13"/>
      <c r="P513" s="46" t="s">
        <v>3788</v>
      </c>
      <c r="Q513" s="13"/>
      <c r="R513" s="13"/>
      <c r="S513" s="13" t="s">
        <v>2361</v>
      </c>
      <c r="T513" s="13" t="s">
        <v>2362</v>
      </c>
      <c r="U513" s="12" t="s">
        <v>3247</v>
      </c>
      <c r="V513" s="12" t="s">
        <v>3247</v>
      </c>
      <c r="W513" s="46" t="s">
        <v>2313</v>
      </c>
      <c r="X513" s="46" t="s">
        <v>2314</v>
      </c>
      <c r="Y513" s="50">
        <v>44013.0</v>
      </c>
      <c r="Z513" s="50">
        <v>44014.0</v>
      </c>
      <c r="AA513" s="13"/>
      <c r="AB513" s="13"/>
      <c r="AC513" s="14" t="s">
        <v>3789</v>
      </c>
      <c r="AD513" s="13"/>
      <c r="AE513" s="13"/>
    </row>
    <row r="514">
      <c r="A514" s="9" t="s">
        <v>3188</v>
      </c>
      <c r="B514" s="9" t="s">
        <v>739</v>
      </c>
      <c r="C514" s="9" t="s">
        <v>3790</v>
      </c>
      <c r="D514" s="12" t="s">
        <v>3791</v>
      </c>
      <c r="E514" s="10" t="s">
        <v>31</v>
      </c>
      <c r="F514" s="10" t="s">
        <v>32</v>
      </c>
      <c r="G514" s="13" t="s">
        <v>3771</v>
      </c>
      <c r="H514" s="28" t="s">
        <v>34</v>
      </c>
      <c r="I514" s="10" t="s">
        <v>35</v>
      </c>
      <c r="J514" s="13" t="s">
        <v>3792</v>
      </c>
      <c r="K514" s="12" t="s">
        <v>3793</v>
      </c>
      <c r="L514" s="13">
        <v>4.0</v>
      </c>
      <c r="M514" s="13">
        <v>4.0</v>
      </c>
      <c r="N514" s="13"/>
      <c r="O514" s="13"/>
      <c r="P514" s="46" t="s">
        <v>3794</v>
      </c>
      <c r="Q514" s="13"/>
      <c r="R514" s="13"/>
      <c r="S514" s="13" t="s">
        <v>2361</v>
      </c>
      <c r="T514" s="13" t="s">
        <v>2362</v>
      </c>
      <c r="U514" s="12" t="s">
        <v>3247</v>
      </c>
      <c r="V514" s="12" t="s">
        <v>3276</v>
      </c>
      <c r="W514" s="46" t="s">
        <v>2313</v>
      </c>
      <c r="X514" s="46" t="s">
        <v>2314</v>
      </c>
      <c r="Y514" s="50">
        <v>44014.0</v>
      </c>
      <c r="Z514" s="50">
        <v>44014.0</v>
      </c>
      <c r="AA514" s="50">
        <v>44034.0</v>
      </c>
      <c r="AB514" s="13"/>
      <c r="AC514" s="14" t="s">
        <v>3795</v>
      </c>
      <c r="AD514" s="13"/>
      <c r="AE514" s="13"/>
    </row>
    <row r="515">
      <c r="A515" s="9" t="s">
        <v>3188</v>
      </c>
      <c r="B515" s="9" t="s">
        <v>739</v>
      </c>
      <c r="C515" s="10" t="s">
        <v>3796</v>
      </c>
      <c r="D515" s="12" t="s">
        <v>3797</v>
      </c>
      <c r="E515" s="10" t="s">
        <v>31</v>
      </c>
      <c r="F515" s="10" t="s">
        <v>32</v>
      </c>
      <c r="G515" s="13" t="s">
        <v>3771</v>
      </c>
      <c r="H515" s="28" t="s">
        <v>34</v>
      </c>
      <c r="I515" s="10" t="s">
        <v>35</v>
      </c>
      <c r="J515" s="13" t="s">
        <v>3798</v>
      </c>
      <c r="K515" s="12" t="s">
        <v>3799</v>
      </c>
      <c r="L515" s="13">
        <v>6.0</v>
      </c>
      <c r="M515" s="13">
        <v>6.0</v>
      </c>
      <c r="N515" s="13"/>
      <c r="O515" s="13"/>
      <c r="P515" s="13"/>
      <c r="Q515" s="13"/>
      <c r="R515" s="13"/>
      <c r="S515" s="13" t="s">
        <v>2361</v>
      </c>
      <c r="T515" s="13" t="s">
        <v>2362</v>
      </c>
      <c r="U515" s="12" t="s">
        <v>3276</v>
      </c>
      <c r="V515" s="12" t="s">
        <v>3800</v>
      </c>
      <c r="W515" s="46" t="s">
        <v>2313</v>
      </c>
      <c r="X515" s="46" t="s">
        <v>2314</v>
      </c>
      <c r="Y515" s="50">
        <v>44020.0</v>
      </c>
      <c r="Z515" s="50">
        <v>44020.0</v>
      </c>
      <c r="AA515" s="13"/>
      <c r="AB515" s="13"/>
      <c r="AC515" s="14" t="s">
        <v>3801</v>
      </c>
      <c r="AD515" s="13"/>
      <c r="AE515" s="13"/>
    </row>
    <row r="516">
      <c r="A516" s="9" t="s">
        <v>3188</v>
      </c>
      <c r="B516" s="9" t="s">
        <v>161</v>
      </c>
      <c r="C516" s="9" t="s">
        <v>3802</v>
      </c>
      <c r="D516" s="9" t="s">
        <v>3803</v>
      </c>
      <c r="E516" s="10" t="s">
        <v>31</v>
      </c>
      <c r="F516" s="10" t="s">
        <v>32</v>
      </c>
      <c r="G516" s="13"/>
      <c r="H516" s="46"/>
      <c r="I516" s="46"/>
      <c r="J516" s="46" t="s">
        <v>3804</v>
      </c>
      <c r="K516" s="9" t="s">
        <v>3805</v>
      </c>
      <c r="L516" s="46">
        <v>4.0</v>
      </c>
      <c r="M516" s="18">
        <v>4.0</v>
      </c>
      <c r="N516" s="46" t="s">
        <v>2678</v>
      </c>
      <c r="O516" s="13"/>
      <c r="P516" s="13"/>
      <c r="Q516" s="13"/>
      <c r="R516" s="13"/>
      <c r="S516" s="46" t="s">
        <v>2569</v>
      </c>
      <c r="T516" s="46" t="s">
        <v>2570</v>
      </c>
      <c r="U516" s="9" t="s">
        <v>43</v>
      </c>
      <c r="V516" s="9" t="s">
        <v>43</v>
      </c>
      <c r="W516" s="46" t="s">
        <v>2313</v>
      </c>
      <c r="X516" s="46" t="s">
        <v>2314</v>
      </c>
      <c r="Y516" s="50">
        <v>44022.0</v>
      </c>
      <c r="Z516" s="50">
        <v>44022.0</v>
      </c>
      <c r="AA516" s="13"/>
      <c r="AB516" s="13"/>
      <c r="AC516" s="14" t="s">
        <v>3806</v>
      </c>
      <c r="AD516" s="13"/>
      <c r="AE516" s="13"/>
    </row>
    <row r="517">
      <c r="A517" s="9" t="s">
        <v>3188</v>
      </c>
      <c r="B517" s="9" t="s">
        <v>161</v>
      </c>
      <c r="C517" s="9" t="s">
        <v>3807</v>
      </c>
      <c r="D517" s="12" t="s">
        <v>3808</v>
      </c>
      <c r="E517" s="10" t="s">
        <v>31</v>
      </c>
      <c r="F517" s="10" t="s">
        <v>32</v>
      </c>
      <c r="G517" s="13" t="s">
        <v>3771</v>
      </c>
      <c r="H517" s="28" t="s">
        <v>34</v>
      </c>
      <c r="I517" s="10" t="s">
        <v>35</v>
      </c>
      <c r="J517" s="13" t="s">
        <v>3809</v>
      </c>
      <c r="K517" s="12" t="s">
        <v>3810</v>
      </c>
      <c r="L517" s="13">
        <v>6.0</v>
      </c>
      <c r="M517" s="13">
        <v>6.0</v>
      </c>
      <c r="N517" s="13"/>
      <c r="O517" s="13"/>
      <c r="P517" s="13"/>
      <c r="Q517" s="13"/>
      <c r="R517" s="13"/>
      <c r="S517" s="13" t="s">
        <v>2361</v>
      </c>
      <c r="T517" s="13" t="s">
        <v>2362</v>
      </c>
      <c r="U517" s="12" t="s">
        <v>3800</v>
      </c>
      <c r="V517" s="12" t="s">
        <v>3811</v>
      </c>
      <c r="W517" s="46" t="s">
        <v>2313</v>
      </c>
      <c r="X517" s="46" t="s">
        <v>2314</v>
      </c>
      <c r="Y517" s="50">
        <v>44025.0</v>
      </c>
      <c r="Z517" s="50">
        <v>44025.0</v>
      </c>
      <c r="AA517" s="13"/>
      <c r="AB517" s="13"/>
      <c r="AC517" s="14" t="s">
        <v>3812</v>
      </c>
      <c r="AD517" s="13"/>
      <c r="AE517" s="13"/>
    </row>
    <row r="518">
      <c r="A518" s="9" t="s">
        <v>3188</v>
      </c>
      <c r="B518" s="9" t="s">
        <v>161</v>
      </c>
      <c r="C518" s="10" t="s">
        <v>3813</v>
      </c>
      <c r="D518" s="12" t="s">
        <v>3814</v>
      </c>
      <c r="E518" s="10" t="s">
        <v>31</v>
      </c>
      <c r="F518" s="10" t="s">
        <v>32</v>
      </c>
      <c r="G518" s="13"/>
      <c r="H518" s="13"/>
      <c r="I518" s="13"/>
      <c r="J518" s="13">
        <v>366.0</v>
      </c>
      <c r="K518" s="12" t="s">
        <v>3815</v>
      </c>
      <c r="L518" s="13">
        <v>2.0</v>
      </c>
      <c r="M518" s="13">
        <v>2.0</v>
      </c>
      <c r="N518" s="13"/>
      <c r="O518" s="13"/>
      <c r="P518" s="13"/>
      <c r="Q518" s="13"/>
      <c r="R518" s="13"/>
      <c r="S518" s="13" t="s">
        <v>2361</v>
      </c>
      <c r="T518" s="13" t="s">
        <v>2362</v>
      </c>
      <c r="U518" s="12" t="s">
        <v>3811</v>
      </c>
      <c r="V518" s="12" t="s">
        <v>3811</v>
      </c>
      <c r="W518" s="46" t="s">
        <v>2313</v>
      </c>
      <c r="X518" s="46" t="s">
        <v>2314</v>
      </c>
      <c r="Y518" s="50">
        <v>44025.0</v>
      </c>
      <c r="Z518" s="50">
        <v>44025.0</v>
      </c>
      <c r="AA518" s="13"/>
      <c r="AB518" s="13"/>
      <c r="AC518" s="14" t="s">
        <v>3816</v>
      </c>
      <c r="AD518" s="13"/>
      <c r="AE518" s="13"/>
    </row>
    <row r="519">
      <c r="A519" s="9" t="s">
        <v>3188</v>
      </c>
      <c r="B519" s="9" t="s">
        <v>161</v>
      </c>
      <c r="C519" s="10" t="s">
        <v>3813</v>
      </c>
      <c r="D519" s="12" t="s">
        <v>3817</v>
      </c>
      <c r="E519" s="10" t="s">
        <v>31</v>
      </c>
      <c r="F519" s="10" t="s">
        <v>32</v>
      </c>
      <c r="G519" s="13" t="s">
        <v>3818</v>
      </c>
      <c r="H519" s="18" t="s">
        <v>736</v>
      </c>
      <c r="I519" s="18" t="s">
        <v>737</v>
      </c>
      <c r="J519" s="13" t="s">
        <v>3819</v>
      </c>
      <c r="K519" s="12" t="s">
        <v>3820</v>
      </c>
      <c r="L519" s="13">
        <v>6.0</v>
      </c>
      <c r="M519" s="13">
        <v>4.0</v>
      </c>
      <c r="N519" s="13"/>
      <c r="O519" s="13"/>
      <c r="P519" s="13"/>
      <c r="Q519" s="13"/>
      <c r="R519" s="13"/>
      <c r="S519" s="13" t="s">
        <v>2361</v>
      </c>
      <c r="T519" s="13" t="s">
        <v>2362</v>
      </c>
      <c r="U519" s="12" t="s">
        <v>3811</v>
      </c>
      <c r="V519" s="12" t="s">
        <v>3811</v>
      </c>
      <c r="W519" s="46" t="s">
        <v>2313</v>
      </c>
      <c r="X519" s="46" t="s">
        <v>2314</v>
      </c>
      <c r="Y519" s="50">
        <v>44025.0</v>
      </c>
      <c r="Z519" s="50">
        <v>44025.0</v>
      </c>
      <c r="AA519" s="13"/>
      <c r="AB519" s="13"/>
      <c r="AC519" s="14" t="s">
        <v>3821</v>
      </c>
      <c r="AD519" s="13"/>
      <c r="AE519" s="13"/>
    </row>
    <row r="520">
      <c r="A520" s="9" t="s">
        <v>3188</v>
      </c>
      <c r="B520" s="9" t="s">
        <v>161</v>
      </c>
      <c r="C520" s="9" t="s">
        <v>3822</v>
      </c>
      <c r="D520" s="12" t="s">
        <v>3823</v>
      </c>
      <c r="E520" s="10" t="s">
        <v>31</v>
      </c>
      <c r="F520" s="10" t="s">
        <v>32</v>
      </c>
      <c r="G520" s="13" t="s">
        <v>3824</v>
      </c>
      <c r="H520" s="18" t="s">
        <v>3825</v>
      </c>
      <c r="I520" s="18" t="s">
        <v>737</v>
      </c>
      <c r="J520" s="13" t="s">
        <v>3826</v>
      </c>
      <c r="K520" s="12" t="s">
        <v>3827</v>
      </c>
      <c r="L520" s="13">
        <v>6.0</v>
      </c>
      <c r="M520" s="13">
        <v>5.0</v>
      </c>
      <c r="N520" s="13"/>
      <c r="O520" s="13"/>
      <c r="P520" s="13"/>
      <c r="Q520" s="13"/>
      <c r="R520" s="13"/>
      <c r="S520" s="13" t="s">
        <v>2361</v>
      </c>
      <c r="T520" s="13" t="s">
        <v>2362</v>
      </c>
      <c r="U520" s="12" t="s">
        <v>3811</v>
      </c>
      <c r="V520" s="12" t="s">
        <v>3811</v>
      </c>
      <c r="W520" s="46" t="s">
        <v>2313</v>
      </c>
      <c r="X520" s="46" t="s">
        <v>2314</v>
      </c>
      <c r="Y520" s="50">
        <v>44040.0</v>
      </c>
      <c r="Z520" s="50">
        <v>44040.0</v>
      </c>
      <c r="AA520" s="13"/>
      <c r="AB520" s="13"/>
      <c r="AC520" s="14" t="s">
        <v>3828</v>
      </c>
      <c r="AD520" s="13"/>
      <c r="AE520" s="13"/>
    </row>
    <row r="521">
      <c r="A521" s="9" t="s">
        <v>3188</v>
      </c>
      <c r="B521" s="9" t="s">
        <v>161</v>
      </c>
      <c r="C521" s="9" t="s">
        <v>3829</v>
      </c>
      <c r="D521" s="12" t="s">
        <v>3830</v>
      </c>
      <c r="E521" s="10" t="s">
        <v>31</v>
      </c>
      <c r="F521" s="10" t="s">
        <v>32</v>
      </c>
      <c r="G521" s="13"/>
      <c r="H521" s="13"/>
      <c r="I521" s="13"/>
      <c r="J521" s="13">
        <v>370.0</v>
      </c>
      <c r="K521" s="12"/>
      <c r="L521" s="13">
        <v>1.0</v>
      </c>
      <c r="M521" s="13">
        <v>1.0</v>
      </c>
      <c r="N521" s="13" t="s">
        <v>2678</v>
      </c>
      <c r="O521" s="13"/>
      <c r="P521" s="13"/>
      <c r="Q521" s="13"/>
      <c r="R521" s="13"/>
      <c r="S521" s="13" t="s">
        <v>2361</v>
      </c>
      <c r="T521" s="13" t="s">
        <v>2362</v>
      </c>
      <c r="U521" s="12" t="s">
        <v>3811</v>
      </c>
      <c r="V521" s="12" t="s">
        <v>3811</v>
      </c>
      <c r="W521" s="46" t="s">
        <v>2313</v>
      </c>
      <c r="X521" s="46" t="s">
        <v>2314</v>
      </c>
      <c r="Y521" s="50">
        <v>44040.0</v>
      </c>
      <c r="Z521" s="50">
        <v>44040.0</v>
      </c>
      <c r="AA521" s="13"/>
      <c r="AB521" s="13"/>
      <c r="AC521" s="14" t="s">
        <v>3831</v>
      </c>
      <c r="AD521" s="13"/>
      <c r="AE521" s="13"/>
    </row>
    <row r="522">
      <c r="A522" s="9" t="s">
        <v>3188</v>
      </c>
      <c r="B522" s="9" t="s">
        <v>473</v>
      </c>
      <c r="C522" s="9" t="s">
        <v>3832</v>
      </c>
      <c r="D522" s="11" t="s">
        <v>3833</v>
      </c>
      <c r="E522" s="10" t="s">
        <v>31</v>
      </c>
      <c r="F522" s="10" t="s">
        <v>32</v>
      </c>
      <c r="G522" s="46" t="s">
        <v>3834</v>
      </c>
      <c r="H522" s="29" t="s">
        <v>1756</v>
      </c>
      <c r="I522" s="29" t="s">
        <v>1757</v>
      </c>
      <c r="J522" s="46" t="s">
        <v>3835</v>
      </c>
      <c r="K522" s="9" t="s">
        <v>3836</v>
      </c>
      <c r="L522" s="46">
        <v>16.0</v>
      </c>
      <c r="M522" s="46">
        <v>10.0</v>
      </c>
      <c r="N522" s="18" t="s">
        <v>3837</v>
      </c>
      <c r="O522" s="46" t="s">
        <v>3838</v>
      </c>
      <c r="P522" s="29" t="s">
        <v>3839</v>
      </c>
      <c r="Q522" s="46"/>
      <c r="R522" s="46" t="s">
        <v>3840</v>
      </c>
      <c r="S522" s="46" t="s">
        <v>2526</v>
      </c>
      <c r="T522" s="46" t="s">
        <v>2527</v>
      </c>
      <c r="U522" s="9" t="s">
        <v>3247</v>
      </c>
      <c r="V522" s="9" t="s">
        <v>3247</v>
      </c>
      <c r="W522" s="46" t="s">
        <v>2313</v>
      </c>
      <c r="X522" s="46" t="s">
        <v>2314</v>
      </c>
      <c r="Y522" s="50">
        <v>44014.0</v>
      </c>
      <c r="Z522" s="50">
        <v>44014.0</v>
      </c>
      <c r="AA522" s="13"/>
      <c r="AB522" s="13"/>
      <c r="AC522" s="14" t="s">
        <v>3841</v>
      </c>
      <c r="AD522" s="13"/>
      <c r="AE522" s="13"/>
    </row>
    <row r="523">
      <c r="A523" s="9" t="s">
        <v>3188</v>
      </c>
      <c r="B523" s="9" t="s">
        <v>473</v>
      </c>
      <c r="C523" s="9" t="s">
        <v>3842</v>
      </c>
      <c r="D523" s="16" t="s">
        <v>3843</v>
      </c>
      <c r="E523" s="10" t="s">
        <v>31</v>
      </c>
      <c r="F523" s="10" t="s">
        <v>32</v>
      </c>
      <c r="G523" s="46" t="s">
        <v>3844</v>
      </c>
      <c r="H523" s="46"/>
      <c r="I523" s="29" t="s">
        <v>3175</v>
      </c>
      <c r="J523" s="46" t="s">
        <v>3845</v>
      </c>
      <c r="K523" s="9" t="s">
        <v>3846</v>
      </c>
      <c r="L523" s="46">
        <v>12.0</v>
      </c>
      <c r="M523" s="46">
        <v>8.0</v>
      </c>
      <c r="N523" s="13"/>
      <c r="O523" s="13"/>
      <c r="P523" s="65" t="s">
        <v>3847</v>
      </c>
      <c r="Q523" s="46"/>
      <c r="R523" s="46" t="s">
        <v>3848</v>
      </c>
      <c r="S523" s="46" t="s">
        <v>2526</v>
      </c>
      <c r="T523" s="46" t="s">
        <v>2527</v>
      </c>
      <c r="U523" s="9" t="s">
        <v>3247</v>
      </c>
      <c r="V523" s="9" t="s">
        <v>3266</v>
      </c>
      <c r="W523" s="46" t="s">
        <v>2313</v>
      </c>
      <c r="X523" s="46" t="s">
        <v>2314</v>
      </c>
      <c r="Y523" s="50">
        <v>44014.0</v>
      </c>
      <c r="Z523" s="50">
        <v>44014.0</v>
      </c>
      <c r="AA523" s="13"/>
      <c r="AB523" s="13"/>
      <c r="AC523" s="14" t="s">
        <v>3849</v>
      </c>
      <c r="AD523" s="13"/>
      <c r="AE523" s="13"/>
    </row>
    <row r="524">
      <c r="A524" s="9" t="s">
        <v>3188</v>
      </c>
      <c r="B524" s="9" t="s">
        <v>473</v>
      </c>
      <c r="C524" s="9" t="s">
        <v>3850</v>
      </c>
      <c r="D524" s="15" t="s">
        <v>3851</v>
      </c>
      <c r="E524" s="10" t="s">
        <v>31</v>
      </c>
      <c r="F524" s="10" t="s">
        <v>32</v>
      </c>
      <c r="G524" s="46" t="s">
        <v>3852</v>
      </c>
      <c r="H524" s="28" t="s">
        <v>34</v>
      </c>
      <c r="I524" s="10" t="s">
        <v>35</v>
      </c>
      <c r="J524" s="46" t="s">
        <v>3853</v>
      </c>
      <c r="K524" s="9" t="s">
        <v>3854</v>
      </c>
      <c r="L524" s="46">
        <v>13.0</v>
      </c>
      <c r="M524" s="46">
        <v>13.0</v>
      </c>
      <c r="N524" s="46" t="s">
        <v>3855</v>
      </c>
      <c r="O524" s="13"/>
      <c r="P524" s="46" t="s">
        <v>3856</v>
      </c>
      <c r="Q524" s="46"/>
      <c r="R524" s="46" t="s">
        <v>3857</v>
      </c>
      <c r="S524" s="46" t="s">
        <v>2526</v>
      </c>
      <c r="T524" s="46" t="s">
        <v>2527</v>
      </c>
      <c r="U524" s="9" t="s">
        <v>3266</v>
      </c>
      <c r="V524" s="9" t="s">
        <v>3858</v>
      </c>
      <c r="W524" s="46" t="s">
        <v>2313</v>
      </c>
      <c r="X524" s="46" t="s">
        <v>2314</v>
      </c>
      <c r="Y524" s="50">
        <v>44018.0</v>
      </c>
      <c r="Z524" s="50">
        <v>44019.0</v>
      </c>
      <c r="AA524" s="13"/>
      <c r="AB524" s="13"/>
      <c r="AC524" s="14" t="s">
        <v>3859</v>
      </c>
      <c r="AD524" s="13"/>
      <c r="AE524" s="13"/>
    </row>
    <row r="525">
      <c r="A525" s="9" t="s">
        <v>3188</v>
      </c>
      <c r="B525" s="9" t="s">
        <v>473</v>
      </c>
      <c r="C525" s="9" t="s">
        <v>3860</v>
      </c>
      <c r="D525" s="11" t="s">
        <v>3861</v>
      </c>
      <c r="E525" s="10" t="s">
        <v>31</v>
      </c>
      <c r="F525" s="10" t="s">
        <v>32</v>
      </c>
      <c r="G525" s="46" t="s">
        <v>3672</v>
      </c>
      <c r="H525" s="46"/>
      <c r="I525" s="46"/>
      <c r="J525" s="46" t="s">
        <v>3862</v>
      </c>
      <c r="K525" s="9" t="s">
        <v>3863</v>
      </c>
      <c r="L525" s="46">
        <v>7.0</v>
      </c>
      <c r="M525" s="46">
        <v>4.0</v>
      </c>
      <c r="N525" s="46" t="s">
        <v>3864</v>
      </c>
      <c r="O525" s="13"/>
      <c r="P525" s="13"/>
      <c r="Q525" s="13"/>
      <c r="R525" s="13"/>
      <c r="S525" s="46" t="s">
        <v>2526</v>
      </c>
      <c r="T525" s="46" t="s">
        <v>2527</v>
      </c>
      <c r="U525" s="9" t="s">
        <v>3236</v>
      </c>
      <c r="V525" s="9" t="s">
        <v>3236</v>
      </c>
      <c r="W525" s="46" t="s">
        <v>2313</v>
      </c>
      <c r="X525" s="46" t="s">
        <v>2314</v>
      </c>
      <c r="Y525" s="50">
        <v>44020.0</v>
      </c>
      <c r="Z525" s="50">
        <v>44021.0</v>
      </c>
      <c r="AA525" s="13"/>
      <c r="AB525" s="13"/>
      <c r="AC525" s="14" t="s">
        <v>3865</v>
      </c>
      <c r="AD525" s="13"/>
      <c r="AE525" s="13"/>
    </row>
    <row r="526">
      <c r="A526" s="9" t="s">
        <v>3188</v>
      </c>
      <c r="B526" s="9" t="s">
        <v>473</v>
      </c>
      <c r="C526" s="9" t="s">
        <v>3866</v>
      </c>
      <c r="D526" s="9" t="s">
        <v>3867</v>
      </c>
      <c r="E526" s="10" t="s">
        <v>31</v>
      </c>
      <c r="F526" s="10" t="s">
        <v>32</v>
      </c>
      <c r="G526" s="46" t="s">
        <v>3868</v>
      </c>
      <c r="H526" s="28" t="s">
        <v>34</v>
      </c>
      <c r="I526" s="10" t="s">
        <v>35</v>
      </c>
      <c r="J526" s="46">
        <v>389.0</v>
      </c>
      <c r="K526" s="9" t="s">
        <v>3869</v>
      </c>
      <c r="L526" s="13"/>
      <c r="M526" s="13"/>
      <c r="N526" s="13"/>
      <c r="O526" s="13"/>
      <c r="P526" s="13"/>
      <c r="Q526" s="13"/>
      <c r="R526" s="13"/>
      <c r="S526" s="46" t="s">
        <v>2526</v>
      </c>
      <c r="T526" s="46" t="s">
        <v>2527</v>
      </c>
      <c r="U526" s="9" t="s">
        <v>3870</v>
      </c>
      <c r="V526" s="9" t="s">
        <v>3236</v>
      </c>
      <c r="W526" s="46" t="s">
        <v>45</v>
      </c>
      <c r="X526" s="46" t="s">
        <v>46</v>
      </c>
      <c r="Y526" s="50">
        <v>44020.0</v>
      </c>
      <c r="Z526" s="50">
        <v>44020.0</v>
      </c>
      <c r="AA526" s="50">
        <v>44034.0</v>
      </c>
      <c r="AB526" s="13"/>
      <c r="AC526" s="14" t="s">
        <v>3871</v>
      </c>
      <c r="AD526" s="13"/>
      <c r="AE526" s="13"/>
    </row>
    <row r="527">
      <c r="A527" s="9" t="s">
        <v>3188</v>
      </c>
      <c r="B527" s="9" t="s">
        <v>297</v>
      </c>
      <c r="C527" s="9" t="s">
        <v>3872</v>
      </c>
      <c r="D527" s="9" t="s">
        <v>3873</v>
      </c>
      <c r="E527" s="10" t="s">
        <v>31</v>
      </c>
      <c r="F527" s="10" t="s">
        <v>32</v>
      </c>
      <c r="G527" s="46"/>
      <c r="H527" s="46"/>
      <c r="I527" s="46"/>
      <c r="J527" s="46">
        <v>396.0</v>
      </c>
      <c r="K527" s="9" t="s">
        <v>3874</v>
      </c>
      <c r="L527" s="46">
        <v>6.0</v>
      </c>
      <c r="M527" s="46">
        <v>6.0</v>
      </c>
      <c r="N527" s="46" t="s">
        <v>3875</v>
      </c>
      <c r="O527" s="13"/>
      <c r="P527" s="13"/>
      <c r="Q527" s="13"/>
      <c r="R527" s="13"/>
      <c r="S527" s="46" t="s">
        <v>2569</v>
      </c>
      <c r="T527" s="46" t="s">
        <v>2570</v>
      </c>
      <c r="U527" s="10" t="s">
        <v>3876</v>
      </c>
      <c r="V527" s="9" t="s">
        <v>3247</v>
      </c>
      <c r="W527" s="46" t="s">
        <v>2313</v>
      </c>
      <c r="X527" s="46" t="s">
        <v>2314</v>
      </c>
      <c r="Y527" s="50">
        <v>44040.0</v>
      </c>
      <c r="Z527" s="50">
        <v>44040.0</v>
      </c>
      <c r="AA527" s="13"/>
      <c r="AB527" s="13"/>
      <c r="AC527" s="14" t="s">
        <v>3877</v>
      </c>
      <c r="AD527" s="13"/>
      <c r="AE527" s="13"/>
    </row>
    <row r="528">
      <c r="A528" s="9" t="s">
        <v>3188</v>
      </c>
      <c r="B528" s="9" t="s">
        <v>297</v>
      </c>
      <c r="C528" s="9" t="s">
        <v>3878</v>
      </c>
      <c r="D528" s="9" t="s">
        <v>3879</v>
      </c>
      <c r="E528" s="10" t="s">
        <v>31</v>
      </c>
      <c r="F528" s="10" t="s">
        <v>32</v>
      </c>
      <c r="G528" s="46"/>
      <c r="H528" s="46"/>
      <c r="I528" s="46"/>
      <c r="J528" s="46" t="s">
        <v>3880</v>
      </c>
      <c r="K528" s="9" t="s">
        <v>3881</v>
      </c>
      <c r="L528" s="46">
        <v>6.0</v>
      </c>
      <c r="M528" s="13">
        <v>4.0</v>
      </c>
      <c r="N528" s="13"/>
      <c r="O528" s="13"/>
      <c r="P528" s="13"/>
      <c r="Q528" s="13"/>
      <c r="R528" s="13"/>
      <c r="S528" s="46" t="s">
        <v>2569</v>
      </c>
      <c r="T528" s="46" t="s">
        <v>2570</v>
      </c>
      <c r="U528" s="9" t="s">
        <v>3247</v>
      </c>
      <c r="V528" s="9" t="s">
        <v>3247</v>
      </c>
      <c r="W528" s="46" t="s">
        <v>2313</v>
      </c>
      <c r="X528" s="46" t="s">
        <v>2314</v>
      </c>
      <c r="Y528" s="50">
        <v>44036.0</v>
      </c>
      <c r="Z528" s="50">
        <v>44036.0</v>
      </c>
      <c r="AA528" s="13"/>
      <c r="AB528" s="13"/>
      <c r="AC528" s="14" t="s">
        <v>3882</v>
      </c>
      <c r="AD528" s="13"/>
      <c r="AE528" s="13"/>
    </row>
    <row r="529">
      <c r="A529" s="9" t="s">
        <v>3188</v>
      </c>
      <c r="B529" s="9" t="s">
        <v>297</v>
      </c>
      <c r="C529" s="9" t="s">
        <v>3883</v>
      </c>
      <c r="D529" s="10" t="s">
        <v>3884</v>
      </c>
      <c r="E529" s="10" t="s">
        <v>31</v>
      </c>
      <c r="F529" s="10" t="s">
        <v>32</v>
      </c>
      <c r="G529" s="46" t="s">
        <v>3885</v>
      </c>
      <c r="H529" s="28" t="s">
        <v>34</v>
      </c>
      <c r="I529" s="10" t="s">
        <v>35</v>
      </c>
      <c r="J529" s="46">
        <v>399.0</v>
      </c>
      <c r="K529" s="9" t="s">
        <v>3886</v>
      </c>
      <c r="L529" s="46">
        <v>12.0</v>
      </c>
      <c r="M529" s="13">
        <v>12.0</v>
      </c>
      <c r="N529" s="13"/>
      <c r="O529" s="13"/>
      <c r="P529" s="13"/>
      <c r="Q529" s="13"/>
      <c r="R529" s="13"/>
      <c r="S529" s="46" t="s">
        <v>2569</v>
      </c>
      <c r="T529" s="46" t="s">
        <v>2570</v>
      </c>
      <c r="U529" s="9" t="s">
        <v>3266</v>
      </c>
      <c r="V529" s="9" t="s">
        <v>3266</v>
      </c>
      <c r="W529" s="46" t="s">
        <v>2313</v>
      </c>
      <c r="X529" s="46" t="s">
        <v>2314</v>
      </c>
      <c r="Y529" s="50">
        <v>44036.0</v>
      </c>
      <c r="Z529" s="50">
        <v>44036.0</v>
      </c>
      <c r="AA529" s="13"/>
      <c r="AB529" s="13"/>
      <c r="AC529" s="14" t="s">
        <v>3887</v>
      </c>
      <c r="AD529" s="13"/>
      <c r="AE529" s="13"/>
    </row>
    <row r="530">
      <c r="A530" s="9" t="s">
        <v>3188</v>
      </c>
      <c r="B530" s="9" t="s">
        <v>297</v>
      </c>
      <c r="C530" s="9" t="s">
        <v>3888</v>
      </c>
      <c r="D530" s="9" t="s">
        <v>3889</v>
      </c>
      <c r="E530" s="10" t="s">
        <v>31</v>
      </c>
      <c r="F530" s="10" t="s">
        <v>32</v>
      </c>
      <c r="G530" s="46" t="s">
        <v>3885</v>
      </c>
      <c r="H530" s="28" t="s">
        <v>34</v>
      </c>
      <c r="I530" s="10" t="s">
        <v>35</v>
      </c>
      <c r="J530" s="46">
        <v>405.0</v>
      </c>
      <c r="K530" s="9" t="s">
        <v>3890</v>
      </c>
      <c r="L530" s="46">
        <v>2.0</v>
      </c>
      <c r="M530" s="13">
        <v>2.0</v>
      </c>
      <c r="N530" s="13"/>
      <c r="O530" s="13"/>
      <c r="P530" s="13"/>
      <c r="Q530" s="13"/>
      <c r="R530" s="13"/>
      <c r="S530" s="46" t="s">
        <v>2569</v>
      </c>
      <c r="T530" s="46" t="s">
        <v>2570</v>
      </c>
      <c r="U530" s="9" t="s">
        <v>3266</v>
      </c>
      <c r="V530" s="9" t="s">
        <v>3266</v>
      </c>
      <c r="W530" s="46" t="s">
        <v>2313</v>
      </c>
      <c r="X530" s="46" t="s">
        <v>2314</v>
      </c>
      <c r="Y530" s="50">
        <v>44025.0</v>
      </c>
      <c r="Z530" s="50">
        <v>44025.0</v>
      </c>
      <c r="AA530" s="13"/>
      <c r="AB530" s="13"/>
      <c r="AC530" s="14" t="s">
        <v>3891</v>
      </c>
      <c r="AD530" s="13"/>
      <c r="AE530" s="13"/>
    </row>
    <row r="531">
      <c r="A531" s="9" t="s">
        <v>3188</v>
      </c>
      <c r="B531" s="9" t="s">
        <v>366</v>
      </c>
      <c r="C531" s="9" t="s">
        <v>3892</v>
      </c>
      <c r="D531" s="9" t="s">
        <v>3893</v>
      </c>
      <c r="E531" s="10" t="s">
        <v>31</v>
      </c>
      <c r="F531" s="10" t="s">
        <v>32</v>
      </c>
      <c r="G531" s="46" t="s">
        <v>50</v>
      </c>
      <c r="H531" s="46"/>
      <c r="I531" s="46"/>
      <c r="J531" s="46" t="s">
        <v>3894</v>
      </c>
      <c r="K531" s="9" t="s">
        <v>3895</v>
      </c>
      <c r="L531" s="46">
        <v>6.0</v>
      </c>
      <c r="M531" s="13">
        <v>4.0</v>
      </c>
      <c r="N531" s="13"/>
      <c r="O531" s="13"/>
      <c r="P531" s="66" t="s">
        <v>3896</v>
      </c>
      <c r="Q531" s="13"/>
      <c r="R531" s="13"/>
      <c r="S531" s="46" t="s">
        <v>2672</v>
      </c>
      <c r="T531" s="46" t="s">
        <v>2673</v>
      </c>
      <c r="U531" s="9" t="s">
        <v>3276</v>
      </c>
      <c r="V531" s="9" t="s">
        <v>3800</v>
      </c>
      <c r="W531" s="46" t="s">
        <v>2313</v>
      </c>
      <c r="X531" s="46" t="s">
        <v>2314</v>
      </c>
      <c r="Y531" s="50">
        <v>44019.0</v>
      </c>
      <c r="Z531" s="50">
        <v>44019.0</v>
      </c>
      <c r="AA531" s="13"/>
      <c r="AB531" s="13"/>
      <c r="AC531" s="14" t="s">
        <v>3897</v>
      </c>
      <c r="AD531" s="13"/>
      <c r="AE531" s="13"/>
    </row>
    <row r="532">
      <c r="A532" s="9" t="s">
        <v>3188</v>
      </c>
      <c r="B532" s="9" t="s">
        <v>366</v>
      </c>
      <c r="C532" s="9" t="s">
        <v>3898</v>
      </c>
      <c r="D532" s="9" t="s">
        <v>3899</v>
      </c>
      <c r="E532" s="10" t="s">
        <v>31</v>
      </c>
      <c r="F532" s="10" t="s">
        <v>32</v>
      </c>
      <c r="G532" s="46" t="s">
        <v>50</v>
      </c>
      <c r="H532" s="46"/>
      <c r="I532" s="46"/>
      <c r="J532" s="46" t="s">
        <v>3900</v>
      </c>
      <c r="K532" s="9" t="s">
        <v>3901</v>
      </c>
      <c r="L532" s="46">
        <v>11.0</v>
      </c>
      <c r="M532" s="46">
        <v>7.0</v>
      </c>
      <c r="N532" s="13"/>
      <c r="O532" s="13"/>
      <c r="P532" s="13"/>
      <c r="Q532" s="13"/>
      <c r="R532" s="13"/>
      <c r="S532" s="46" t="s">
        <v>2672</v>
      </c>
      <c r="T532" s="46" t="s">
        <v>2673</v>
      </c>
      <c r="U532" s="9" t="s">
        <v>3276</v>
      </c>
      <c r="V532" s="9" t="s">
        <v>3294</v>
      </c>
      <c r="W532" s="46" t="s">
        <v>2313</v>
      </c>
      <c r="X532" s="46" t="s">
        <v>2314</v>
      </c>
      <c r="Y532" s="50">
        <v>44036.0</v>
      </c>
      <c r="Z532" s="50">
        <v>44039.0</v>
      </c>
      <c r="AA532" s="13"/>
      <c r="AB532" s="13"/>
      <c r="AC532" s="14" t="s">
        <v>3902</v>
      </c>
      <c r="AD532" s="13"/>
      <c r="AE532" s="13"/>
    </row>
    <row r="533">
      <c r="A533" s="9" t="s">
        <v>3188</v>
      </c>
      <c r="B533" s="9" t="s">
        <v>366</v>
      </c>
      <c r="C533" s="9" t="s">
        <v>3903</v>
      </c>
      <c r="D533" s="10" t="s">
        <v>3904</v>
      </c>
      <c r="E533" s="10" t="s">
        <v>31</v>
      </c>
      <c r="F533" s="10" t="s">
        <v>32</v>
      </c>
      <c r="G533" s="46" t="s">
        <v>3905</v>
      </c>
      <c r="H533" s="28" t="s">
        <v>34</v>
      </c>
      <c r="I533" s="10" t="s">
        <v>35</v>
      </c>
      <c r="J533" s="46">
        <v>412.0</v>
      </c>
      <c r="K533" s="9" t="s">
        <v>3906</v>
      </c>
      <c r="L533" s="46">
        <v>2.0</v>
      </c>
      <c r="M533" s="13">
        <v>2.0</v>
      </c>
      <c r="N533" s="46" t="s">
        <v>3907</v>
      </c>
      <c r="O533" s="13"/>
      <c r="P533" s="13"/>
      <c r="Q533" s="13"/>
      <c r="R533" s="13"/>
      <c r="S533" s="46" t="s">
        <v>2569</v>
      </c>
      <c r="T533" s="46" t="s">
        <v>2570</v>
      </c>
      <c r="U533" s="9" t="s">
        <v>3236</v>
      </c>
      <c r="V533" s="9" t="s">
        <v>3236</v>
      </c>
      <c r="W533" s="46" t="s">
        <v>2313</v>
      </c>
      <c r="X533" s="46" t="s">
        <v>2314</v>
      </c>
      <c r="Y533" s="50">
        <v>44043.0</v>
      </c>
      <c r="Z533" s="50">
        <v>44043.0</v>
      </c>
      <c r="AA533" s="13"/>
      <c r="AB533" s="13"/>
      <c r="AC533" s="14" t="s">
        <v>3908</v>
      </c>
      <c r="AD533" s="13"/>
      <c r="AE533" s="13"/>
    </row>
    <row r="534">
      <c r="A534" s="9" t="s">
        <v>3188</v>
      </c>
      <c r="B534" s="9" t="s">
        <v>366</v>
      </c>
      <c r="C534" s="9" t="s">
        <v>3909</v>
      </c>
      <c r="D534" s="9" t="s">
        <v>3910</v>
      </c>
      <c r="E534" s="10" t="s">
        <v>31</v>
      </c>
      <c r="F534" s="10" t="s">
        <v>32</v>
      </c>
      <c r="G534" s="13"/>
      <c r="H534" s="46"/>
      <c r="I534" s="46"/>
      <c r="J534" s="46">
        <v>413.0</v>
      </c>
      <c r="K534" s="9" t="s">
        <v>3911</v>
      </c>
      <c r="L534" s="46">
        <v>3.0</v>
      </c>
      <c r="M534" s="46">
        <v>2.0</v>
      </c>
      <c r="N534" s="46" t="s">
        <v>2678</v>
      </c>
      <c r="O534" s="13"/>
      <c r="P534" s="13"/>
      <c r="Q534" s="13"/>
      <c r="R534" s="13"/>
      <c r="S534" s="46" t="s">
        <v>2569</v>
      </c>
      <c r="T534" s="46" t="s">
        <v>2570</v>
      </c>
      <c r="U534" s="9" t="s">
        <v>3236</v>
      </c>
      <c r="V534" s="9" t="s">
        <v>3236</v>
      </c>
      <c r="W534" s="46" t="s">
        <v>2313</v>
      </c>
      <c r="X534" s="46" t="s">
        <v>2314</v>
      </c>
      <c r="Y534" s="50">
        <v>44039.0</v>
      </c>
      <c r="Z534" s="50">
        <v>44039.0</v>
      </c>
      <c r="AA534" s="13"/>
      <c r="AB534" s="13"/>
      <c r="AC534" s="14" t="s">
        <v>3912</v>
      </c>
      <c r="AD534" s="13"/>
      <c r="AE534" s="13"/>
    </row>
    <row r="535">
      <c r="A535" s="9" t="s">
        <v>3188</v>
      </c>
      <c r="B535" s="9" t="s">
        <v>366</v>
      </c>
      <c r="C535" s="9" t="s">
        <v>3913</v>
      </c>
      <c r="D535" s="10" t="s">
        <v>3914</v>
      </c>
      <c r="E535" s="10" t="s">
        <v>31</v>
      </c>
      <c r="F535" s="10" t="s">
        <v>32</v>
      </c>
      <c r="G535" s="46" t="s">
        <v>50</v>
      </c>
      <c r="H535" s="46"/>
      <c r="I535" s="46"/>
      <c r="J535" s="46" t="s">
        <v>3915</v>
      </c>
      <c r="K535" s="9" t="s">
        <v>3916</v>
      </c>
      <c r="L535" s="46">
        <v>5.0</v>
      </c>
      <c r="M535" s="46">
        <v>3.0</v>
      </c>
      <c r="N535" s="13"/>
      <c r="O535" s="13"/>
      <c r="P535" s="13"/>
      <c r="Q535" s="13"/>
      <c r="R535" s="13"/>
      <c r="S535" s="46" t="s">
        <v>2569</v>
      </c>
      <c r="T535" s="46" t="s">
        <v>2570</v>
      </c>
      <c r="U535" s="9" t="s">
        <v>3236</v>
      </c>
      <c r="V535" s="9" t="s">
        <v>3236</v>
      </c>
      <c r="W535" s="46" t="s">
        <v>2313</v>
      </c>
      <c r="X535" s="46" t="s">
        <v>2314</v>
      </c>
      <c r="Y535" s="50">
        <v>44039.0</v>
      </c>
      <c r="Z535" s="50">
        <v>44039.0</v>
      </c>
      <c r="AA535" s="13"/>
      <c r="AB535" s="13"/>
      <c r="AC535" s="14" t="s">
        <v>3917</v>
      </c>
      <c r="AD535" s="13"/>
      <c r="AE535" s="13"/>
    </row>
    <row r="536">
      <c r="A536" s="9" t="s">
        <v>3188</v>
      </c>
      <c r="B536" s="9" t="s">
        <v>366</v>
      </c>
      <c r="C536" s="10" t="s">
        <v>3918</v>
      </c>
      <c r="D536" s="14" t="s">
        <v>3919</v>
      </c>
      <c r="E536" s="10" t="s">
        <v>31</v>
      </c>
      <c r="F536" s="10" t="s">
        <v>32</v>
      </c>
      <c r="G536" s="13"/>
      <c r="H536" s="46"/>
      <c r="I536" s="46"/>
      <c r="J536" s="46">
        <v>416.0</v>
      </c>
      <c r="K536" s="9" t="s">
        <v>3920</v>
      </c>
      <c r="L536" s="46">
        <v>1.0</v>
      </c>
      <c r="M536" s="13">
        <v>1.0</v>
      </c>
      <c r="N536" s="46" t="s">
        <v>2678</v>
      </c>
      <c r="O536" s="13"/>
      <c r="P536" s="13"/>
      <c r="Q536" s="13"/>
      <c r="R536" s="13"/>
      <c r="S536" s="46" t="s">
        <v>2569</v>
      </c>
      <c r="T536" s="46" t="s">
        <v>2570</v>
      </c>
      <c r="U536" s="9" t="s">
        <v>3236</v>
      </c>
      <c r="V536" s="9" t="s">
        <v>3236</v>
      </c>
      <c r="W536" s="46" t="s">
        <v>2313</v>
      </c>
      <c r="X536" s="46" t="s">
        <v>2314</v>
      </c>
      <c r="Y536" s="50">
        <v>44047.0</v>
      </c>
      <c r="Z536" s="13"/>
      <c r="AA536" s="13"/>
      <c r="AB536" s="13"/>
      <c r="AC536" s="14" t="s">
        <v>3921</v>
      </c>
      <c r="AD536" s="13"/>
      <c r="AE536" s="13"/>
    </row>
    <row r="537">
      <c r="A537" s="9" t="s">
        <v>3188</v>
      </c>
      <c r="B537" s="9" t="s">
        <v>711</v>
      </c>
      <c r="C537" s="9" t="s">
        <v>3922</v>
      </c>
      <c r="D537" s="9" t="s">
        <v>3923</v>
      </c>
      <c r="E537" s="10" t="s">
        <v>31</v>
      </c>
      <c r="F537" s="10" t="s">
        <v>32</v>
      </c>
      <c r="G537" s="13"/>
      <c r="H537" s="46"/>
      <c r="I537" s="46"/>
      <c r="J537" s="46" t="s">
        <v>3924</v>
      </c>
      <c r="K537" s="9" t="s">
        <v>3925</v>
      </c>
      <c r="L537" s="46">
        <v>4.0</v>
      </c>
      <c r="M537" s="46">
        <v>6.0</v>
      </c>
      <c r="N537" s="46" t="s">
        <v>2678</v>
      </c>
      <c r="O537" s="13"/>
      <c r="P537" s="13"/>
      <c r="Q537" s="13"/>
      <c r="R537" s="13"/>
      <c r="S537" s="46" t="s">
        <v>2569</v>
      </c>
      <c r="T537" s="46" t="s">
        <v>2570</v>
      </c>
      <c r="U537" s="9" t="s">
        <v>43</v>
      </c>
      <c r="V537" s="9" t="s">
        <v>43</v>
      </c>
      <c r="W537" s="46" t="s">
        <v>2313</v>
      </c>
      <c r="X537" s="46" t="s">
        <v>2314</v>
      </c>
      <c r="Y537" s="50">
        <v>44039.0</v>
      </c>
      <c r="Z537" s="50">
        <v>44039.0</v>
      </c>
      <c r="AA537" s="13"/>
      <c r="AB537" s="13"/>
      <c r="AC537" s="14" t="s">
        <v>3926</v>
      </c>
      <c r="AD537" s="13"/>
      <c r="AE537" s="13"/>
    </row>
    <row r="538">
      <c r="A538" s="9" t="s">
        <v>3188</v>
      </c>
      <c r="B538" s="9" t="s">
        <v>711</v>
      </c>
      <c r="C538" s="9" t="s">
        <v>3927</v>
      </c>
      <c r="D538" s="10" t="s">
        <v>3928</v>
      </c>
      <c r="E538" s="10" t="s">
        <v>31</v>
      </c>
      <c r="F538" s="10" t="s">
        <v>32</v>
      </c>
      <c r="G538" s="46" t="s">
        <v>3929</v>
      </c>
      <c r="H538" s="29" t="s">
        <v>3930</v>
      </c>
      <c r="I538" s="29" t="s">
        <v>737</v>
      </c>
      <c r="J538" s="46" t="s">
        <v>3931</v>
      </c>
      <c r="K538" s="9" t="s">
        <v>3932</v>
      </c>
      <c r="L538" s="46">
        <v>4.0</v>
      </c>
      <c r="M538" s="46">
        <v>3.0</v>
      </c>
      <c r="N538" s="46" t="s">
        <v>3933</v>
      </c>
      <c r="O538" s="13"/>
      <c r="P538" s="13"/>
      <c r="Q538" s="13"/>
      <c r="R538" s="13"/>
      <c r="S538" s="46" t="s">
        <v>2569</v>
      </c>
      <c r="T538" s="46" t="s">
        <v>2570</v>
      </c>
      <c r="U538" s="9" t="s">
        <v>3811</v>
      </c>
      <c r="V538" s="9" t="s">
        <v>3811</v>
      </c>
      <c r="W538" s="46" t="s">
        <v>2313</v>
      </c>
      <c r="X538" s="46" t="s">
        <v>2314</v>
      </c>
      <c r="Y538" s="50">
        <v>44043.0</v>
      </c>
      <c r="Z538" s="50">
        <v>44043.0</v>
      </c>
      <c r="AA538" s="13"/>
      <c r="AB538" s="13"/>
      <c r="AC538" s="14" t="s">
        <v>3934</v>
      </c>
      <c r="AD538" s="13"/>
      <c r="AE538" s="13"/>
    </row>
    <row r="539">
      <c r="A539" s="9" t="s">
        <v>3188</v>
      </c>
      <c r="B539" s="9" t="s">
        <v>711</v>
      </c>
      <c r="C539" s="9" t="s">
        <v>3935</v>
      </c>
      <c r="D539" s="10" t="s">
        <v>3936</v>
      </c>
      <c r="E539" s="10" t="s">
        <v>31</v>
      </c>
      <c r="F539" s="10" t="s">
        <v>32</v>
      </c>
      <c r="G539" s="46" t="s">
        <v>3937</v>
      </c>
      <c r="H539" s="29" t="s">
        <v>3938</v>
      </c>
      <c r="I539" s="29" t="s">
        <v>737</v>
      </c>
      <c r="J539" s="46" t="s">
        <v>3939</v>
      </c>
      <c r="K539" s="9" t="s">
        <v>3940</v>
      </c>
      <c r="L539" s="46">
        <v>6.0</v>
      </c>
      <c r="M539" s="46">
        <v>4.0</v>
      </c>
      <c r="N539" s="13"/>
      <c r="O539" s="13"/>
      <c r="P539" s="13"/>
      <c r="Q539" s="13"/>
      <c r="R539" s="13"/>
      <c r="S539" s="46" t="s">
        <v>2569</v>
      </c>
      <c r="T539" s="46" t="s">
        <v>2570</v>
      </c>
      <c r="U539" s="9" t="s">
        <v>3811</v>
      </c>
      <c r="V539" s="9" t="s">
        <v>3811</v>
      </c>
      <c r="W539" s="46" t="s">
        <v>2313</v>
      </c>
      <c r="X539" s="46" t="s">
        <v>2314</v>
      </c>
      <c r="Y539" s="50">
        <v>44046.0</v>
      </c>
      <c r="Z539" s="50">
        <v>44046.0</v>
      </c>
      <c r="AA539" s="13"/>
      <c r="AB539" s="13"/>
      <c r="AC539" s="14" t="s">
        <v>3941</v>
      </c>
      <c r="AD539" s="13"/>
      <c r="AE539" s="13"/>
    </row>
    <row r="540">
      <c r="A540" s="9" t="s">
        <v>3188</v>
      </c>
      <c r="B540" s="9" t="s">
        <v>711</v>
      </c>
      <c r="C540" s="9" t="s">
        <v>3942</v>
      </c>
      <c r="D540" s="9" t="s">
        <v>3943</v>
      </c>
      <c r="E540" s="10" t="s">
        <v>31</v>
      </c>
      <c r="F540" s="10" t="s">
        <v>32</v>
      </c>
      <c r="G540" s="46" t="s">
        <v>3937</v>
      </c>
      <c r="H540" s="29" t="s">
        <v>3938</v>
      </c>
      <c r="I540" s="29" t="s">
        <v>737</v>
      </c>
      <c r="J540" s="46" t="s">
        <v>3944</v>
      </c>
      <c r="K540" s="9" t="s">
        <v>3945</v>
      </c>
      <c r="L540" s="46">
        <v>8.0</v>
      </c>
      <c r="M540" s="46">
        <v>6.0</v>
      </c>
      <c r="N540" s="13"/>
      <c r="O540" s="13"/>
      <c r="P540" s="13"/>
      <c r="Q540" s="13"/>
      <c r="R540" s="13"/>
      <c r="S540" s="46" t="s">
        <v>2569</v>
      </c>
      <c r="T540" s="46" t="s">
        <v>2570</v>
      </c>
      <c r="U540" s="9" t="s">
        <v>3285</v>
      </c>
      <c r="V540" s="9" t="s">
        <v>3285</v>
      </c>
      <c r="W540" s="46" t="s">
        <v>2313</v>
      </c>
      <c r="X540" s="46" t="s">
        <v>2314</v>
      </c>
      <c r="Y540" s="50">
        <v>44046.0</v>
      </c>
      <c r="Z540" s="50">
        <v>44046.0</v>
      </c>
      <c r="AA540" s="13"/>
      <c r="AB540" s="13"/>
      <c r="AC540" s="14" t="s">
        <v>3946</v>
      </c>
      <c r="AD540" s="13"/>
      <c r="AE540" s="13"/>
    </row>
    <row r="541">
      <c r="A541" s="9" t="s">
        <v>3188</v>
      </c>
      <c r="B541" s="9" t="s">
        <v>711</v>
      </c>
      <c r="C541" s="9" t="s">
        <v>3947</v>
      </c>
      <c r="D541" s="9" t="s">
        <v>3948</v>
      </c>
      <c r="E541" s="10" t="s">
        <v>31</v>
      </c>
      <c r="F541" s="10" t="s">
        <v>32</v>
      </c>
      <c r="G541" s="46" t="s">
        <v>3937</v>
      </c>
      <c r="H541" s="29" t="s">
        <v>3938</v>
      </c>
      <c r="I541" s="29" t="s">
        <v>737</v>
      </c>
      <c r="J541" s="46" t="s">
        <v>3949</v>
      </c>
      <c r="K541" s="9" t="s">
        <v>3950</v>
      </c>
      <c r="L541" s="46">
        <v>3.0</v>
      </c>
      <c r="M541" s="46">
        <v>2.0</v>
      </c>
      <c r="N541" s="13"/>
      <c r="O541" s="13"/>
      <c r="P541" s="46" t="s">
        <v>3951</v>
      </c>
      <c r="Q541" s="13"/>
      <c r="R541" s="13"/>
      <c r="S541" s="46" t="s">
        <v>2569</v>
      </c>
      <c r="T541" s="46" t="s">
        <v>2570</v>
      </c>
      <c r="U541" s="9" t="s">
        <v>3285</v>
      </c>
      <c r="V541" s="9" t="s">
        <v>3285</v>
      </c>
      <c r="W541" s="46" t="s">
        <v>2313</v>
      </c>
      <c r="X541" s="46" t="s">
        <v>2314</v>
      </c>
      <c r="Y541" s="50">
        <v>44046.0</v>
      </c>
      <c r="Z541" s="50">
        <v>44046.0</v>
      </c>
      <c r="AA541" s="13"/>
      <c r="AB541" s="13"/>
      <c r="AC541" s="14" t="s">
        <v>3952</v>
      </c>
      <c r="AD541" s="13"/>
      <c r="AE541" s="13"/>
    </row>
    <row r="542">
      <c r="A542" s="9" t="s">
        <v>3188</v>
      </c>
      <c r="B542" s="9" t="s">
        <v>711</v>
      </c>
      <c r="C542" s="9" t="s">
        <v>3953</v>
      </c>
      <c r="D542" s="9" t="s">
        <v>3954</v>
      </c>
      <c r="E542" s="10" t="s">
        <v>31</v>
      </c>
      <c r="F542" s="10" t="s">
        <v>32</v>
      </c>
      <c r="G542" s="46" t="s">
        <v>3937</v>
      </c>
      <c r="H542" s="29" t="s">
        <v>3938</v>
      </c>
      <c r="I542" s="29" t="s">
        <v>737</v>
      </c>
      <c r="J542" s="46">
        <v>427.0</v>
      </c>
      <c r="K542" s="9" t="s">
        <v>3955</v>
      </c>
      <c r="L542" s="46">
        <v>2.0</v>
      </c>
      <c r="M542" s="46">
        <v>3.0</v>
      </c>
      <c r="N542" s="13"/>
      <c r="O542" s="13"/>
      <c r="P542" s="46" t="s">
        <v>3956</v>
      </c>
      <c r="Q542" s="13"/>
      <c r="R542" s="13"/>
      <c r="S542" s="46" t="s">
        <v>2569</v>
      </c>
      <c r="T542" s="46" t="s">
        <v>2570</v>
      </c>
      <c r="U542" s="9" t="s">
        <v>3285</v>
      </c>
      <c r="V542" s="9" t="s">
        <v>3285</v>
      </c>
      <c r="W542" s="46" t="s">
        <v>2313</v>
      </c>
      <c r="X542" s="46" t="s">
        <v>2314</v>
      </c>
      <c r="Y542" s="50">
        <v>44046.0</v>
      </c>
      <c r="Z542" s="50">
        <v>44046.0</v>
      </c>
      <c r="AA542" s="13"/>
      <c r="AB542" s="13"/>
      <c r="AC542" s="14" t="s">
        <v>3957</v>
      </c>
      <c r="AD542" s="13"/>
      <c r="AE542" s="13"/>
    </row>
    <row r="543">
      <c r="A543" s="9" t="s">
        <v>3188</v>
      </c>
      <c r="B543" s="9" t="s">
        <v>711</v>
      </c>
      <c r="C543" s="9" t="s">
        <v>3958</v>
      </c>
      <c r="D543" s="9" t="s">
        <v>3959</v>
      </c>
      <c r="E543" s="10" t="s">
        <v>31</v>
      </c>
      <c r="F543" s="10" t="s">
        <v>32</v>
      </c>
      <c r="G543" s="46"/>
      <c r="H543" s="46"/>
      <c r="I543" s="46"/>
      <c r="J543" s="46">
        <v>428.0</v>
      </c>
      <c r="K543" s="9" t="s">
        <v>3960</v>
      </c>
      <c r="L543" s="46">
        <v>1.0</v>
      </c>
      <c r="M543" s="46">
        <v>2.0</v>
      </c>
      <c r="N543" s="46" t="s">
        <v>3961</v>
      </c>
      <c r="O543" s="13"/>
      <c r="P543" s="13"/>
      <c r="Q543" s="13"/>
      <c r="R543" s="13"/>
      <c r="S543" s="46" t="s">
        <v>2569</v>
      </c>
      <c r="T543" s="46" t="s">
        <v>2570</v>
      </c>
      <c r="U543" s="9" t="s">
        <v>3285</v>
      </c>
      <c r="V543" s="9" t="s">
        <v>3285</v>
      </c>
      <c r="W543" s="46" t="s">
        <v>2313</v>
      </c>
      <c r="X543" s="46" t="s">
        <v>2314</v>
      </c>
      <c r="Y543" s="50">
        <v>44046.0</v>
      </c>
      <c r="Z543" s="50">
        <v>44046.0</v>
      </c>
      <c r="AA543" s="13"/>
      <c r="AB543" s="13"/>
      <c r="AC543" s="14" t="s">
        <v>3962</v>
      </c>
      <c r="AD543" s="13"/>
      <c r="AE543" s="13"/>
    </row>
    <row r="544">
      <c r="A544" s="9" t="s">
        <v>3188</v>
      </c>
      <c r="B544" s="9" t="s">
        <v>711</v>
      </c>
      <c r="C544" s="10" t="s">
        <v>3963</v>
      </c>
      <c r="D544" s="10" t="s">
        <v>3964</v>
      </c>
      <c r="E544" s="10" t="s">
        <v>31</v>
      </c>
      <c r="F544" s="10" t="s">
        <v>32</v>
      </c>
      <c r="G544" s="46" t="s">
        <v>3965</v>
      </c>
      <c r="H544" s="29" t="s">
        <v>3938</v>
      </c>
      <c r="I544" s="29" t="s">
        <v>737</v>
      </c>
      <c r="J544" s="46" t="s">
        <v>3966</v>
      </c>
      <c r="K544" s="9"/>
      <c r="L544" s="46">
        <v>1.0</v>
      </c>
      <c r="M544" s="13"/>
      <c r="N544" s="29" t="s">
        <v>3967</v>
      </c>
      <c r="O544" s="13"/>
      <c r="P544" s="13"/>
      <c r="Q544" s="13"/>
      <c r="R544" s="13"/>
      <c r="S544" s="46" t="s">
        <v>2569</v>
      </c>
      <c r="T544" s="46" t="s">
        <v>2570</v>
      </c>
      <c r="U544" s="9" t="s">
        <v>3285</v>
      </c>
      <c r="V544" s="9" t="s">
        <v>3285</v>
      </c>
      <c r="W544" s="46" t="s">
        <v>2313</v>
      </c>
      <c r="X544" s="46" t="s">
        <v>2314</v>
      </c>
      <c r="Y544" s="50">
        <v>44046.0</v>
      </c>
      <c r="Z544" s="50">
        <v>44046.0</v>
      </c>
      <c r="AA544" s="13"/>
      <c r="AB544" s="13"/>
      <c r="AC544" s="14" t="s">
        <v>3968</v>
      </c>
      <c r="AD544" s="13"/>
      <c r="AE544" s="13"/>
    </row>
    <row r="545">
      <c r="A545" s="9" t="s">
        <v>3188</v>
      </c>
      <c r="B545" s="9" t="s">
        <v>1481</v>
      </c>
      <c r="C545" s="10" t="s">
        <v>3969</v>
      </c>
      <c r="D545" s="9" t="s">
        <v>3970</v>
      </c>
      <c r="E545" s="10" t="s">
        <v>31</v>
      </c>
      <c r="F545" s="10" t="s">
        <v>32</v>
      </c>
      <c r="G545" s="46" t="s">
        <v>3971</v>
      </c>
      <c r="H545" s="29" t="s">
        <v>736</v>
      </c>
      <c r="I545" s="29" t="s">
        <v>737</v>
      </c>
      <c r="J545" s="46">
        <v>433.0</v>
      </c>
      <c r="K545" s="9" t="s">
        <v>3972</v>
      </c>
      <c r="L545" s="46">
        <v>3.0</v>
      </c>
      <c r="M545" s="46">
        <v>2.0</v>
      </c>
      <c r="N545" s="28" t="s">
        <v>3973</v>
      </c>
      <c r="O545" s="13"/>
      <c r="P545" s="13"/>
      <c r="Q545" s="13"/>
      <c r="R545" s="13"/>
      <c r="S545" s="46"/>
      <c r="T545" s="46"/>
      <c r="U545" s="9"/>
      <c r="V545" s="12"/>
      <c r="W545" s="13"/>
      <c r="X545" s="13"/>
      <c r="Y545" s="13"/>
      <c r="Z545" s="13"/>
      <c r="AA545" s="13"/>
      <c r="AB545" s="13"/>
      <c r="AC545" s="14" t="s">
        <v>3974</v>
      </c>
      <c r="AD545" s="13"/>
      <c r="AE545" s="13"/>
    </row>
    <row r="546">
      <c r="A546" s="9" t="s">
        <v>3188</v>
      </c>
      <c r="B546" s="9" t="s">
        <v>1481</v>
      </c>
      <c r="C546" s="9" t="s">
        <v>3975</v>
      </c>
      <c r="D546" s="9" t="s">
        <v>3976</v>
      </c>
      <c r="E546" s="10" t="s">
        <v>31</v>
      </c>
      <c r="F546" s="10" t="s">
        <v>32</v>
      </c>
      <c r="G546" s="46" t="s">
        <v>50</v>
      </c>
      <c r="H546" s="46"/>
      <c r="I546" s="46"/>
      <c r="J546" s="46" t="s">
        <v>3977</v>
      </c>
      <c r="K546" s="9" t="s">
        <v>3978</v>
      </c>
      <c r="L546" s="46">
        <v>6.0</v>
      </c>
      <c r="M546" s="46">
        <v>4.0</v>
      </c>
      <c r="N546" s="13"/>
      <c r="O546" s="13"/>
      <c r="P546" s="46" t="s">
        <v>3979</v>
      </c>
      <c r="Q546" s="13"/>
      <c r="R546" s="13"/>
      <c r="S546" s="46" t="s">
        <v>2569</v>
      </c>
      <c r="T546" s="46" t="s">
        <v>2570</v>
      </c>
      <c r="U546" s="9" t="s">
        <v>3294</v>
      </c>
      <c r="V546" s="9" t="s">
        <v>3294</v>
      </c>
      <c r="W546" s="46" t="s">
        <v>2313</v>
      </c>
      <c r="X546" s="46" t="s">
        <v>2314</v>
      </c>
      <c r="Y546" s="50">
        <v>44046.0</v>
      </c>
      <c r="Z546" s="50">
        <v>44046.0</v>
      </c>
      <c r="AA546" s="13"/>
      <c r="AB546" s="13"/>
      <c r="AC546" s="14" t="s">
        <v>3980</v>
      </c>
      <c r="AD546" s="13"/>
      <c r="AE546" s="13"/>
    </row>
    <row r="547">
      <c r="A547" s="9" t="s">
        <v>3188</v>
      </c>
      <c r="B547" s="9" t="s">
        <v>1481</v>
      </c>
      <c r="C547" s="9" t="s">
        <v>3981</v>
      </c>
      <c r="D547" s="9" t="s">
        <v>3982</v>
      </c>
      <c r="E547" s="10" t="s">
        <v>31</v>
      </c>
      <c r="F547" s="10" t="s">
        <v>32</v>
      </c>
      <c r="G547" s="46" t="s">
        <v>3852</v>
      </c>
      <c r="H547" s="28" t="s">
        <v>34</v>
      </c>
      <c r="I547" s="10" t="s">
        <v>35</v>
      </c>
      <c r="J547" s="46" t="s">
        <v>3983</v>
      </c>
      <c r="K547" s="9" t="s">
        <v>3984</v>
      </c>
      <c r="L547" s="46">
        <v>11.0</v>
      </c>
      <c r="M547" s="46">
        <v>13.0</v>
      </c>
      <c r="N547" s="13"/>
      <c r="O547" s="46" t="s">
        <v>3985</v>
      </c>
      <c r="P547" s="46" t="s">
        <v>3986</v>
      </c>
      <c r="Q547" s="13"/>
      <c r="R547" s="13"/>
      <c r="S547" s="46" t="s">
        <v>2569</v>
      </c>
      <c r="T547" s="46" t="s">
        <v>2570</v>
      </c>
      <c r="U547" s="9" t="s">
        <v>3294</v>
      </c>
      <c r="V547" s="9" t="s">
        <v>3294</v>
      </c>
      <c r="W547" s="46" t="s">
        <v>2313</v>
      </c>
      <c r="X547" s="46" t="s">
        <v>2314</v>
      </c>
      <c r="Y547" s="50">
        <v>44046.0</v>
      </c>
      <c r="Z547" s="50">
        <v>44046.0</v>
      </c>
      <c r="AA547" s="13"/>
      <c r="AB547" s="13"/>
      <c r="AC547" s="14" t="s">
        <v>3987</v>
      </c>
      <c r="AD547" s="13"/>
      <c r="AE547" s="13"/>
    </row>
    <row r="548">
      <c r="A548" s="9" t="s">
        <v>3188</v>
      </c>
      <c r="B548" s="9" t="s">
        <v>1481</v>
      </c>
      <c r="C548" s="10" t="s">
        <v>3988</v>
      </c>
      <c r="D548" s="9" t="s">
        <v>3989</v>
      </c>
      <c r="E548" s="10" t="s">
        <v>31</v>
      </c>
      <c r="F548" s="10" t="s">
        <v>32</v>
      </c>
      <c r="G548" s="46" t="s">
        <v>3990</v>
      </c>
      <c r="H548" s="29" t="s">
        <v>3991</v>
      </c>
      <c r="I548" s="29" t="s">
        <v>737</v>
      </c>
      <c r="J548" s="46">
        <v>430.0</v>
      </c>
      <c r="K548" s="12"/>
      <c r="L548" s="46">
        <v>1.0</v>
      </c>
      <c r="M548" s="46">
        <v>2.0</v>
      </c>
      <c r="N548" s="46" t="s">
        <v>3992</v>
      </c>
      <c r="O548" s="13"/>
      <c r="P548" s="13"/>
      <c r="Q548" s="13"/>
      <c r="R548" s="13"/>
      <c r="S548" s="46" t="s">
        <v>2569</v>
      </c>
      <c r="T548" s="46" t="s">
        <v>2570</v>
      </c>
      <c r="U548" s="9" t="s">
        <v>3294</v>
      </c>
      <c r="V548" s="9" t="s">
        <v>3294</v>
      </c>
      <c r="W548" s="46" t="s">
        <v>2313</v>
      </c>
      <c r="X548" s="46" t="s">
        <v>2314</v>
      </c>
      <c r="Y548" s="50">
        <v>44047.0</v>
      </c>
      <c r="Z548" s="50">
        <v>44047.0</v>
      </c>
      <c r="AA548" s="13"/>
      <c r="AB548" s="13"/>
      <c r="AC548" s="14" t="s">
        <v>3993</v>
      </c>
      <c r="AD548" s="13"/>
      <c r="AE548" s="13"/>
    </row>
    <row r="549">
      <c r="A549" s="9" t="s">
        <v>3188</v>
      </c>
      <c r="B549" s="9" t="s">
        <v>1481</v>
      </c>
      <c r="C549" s="10" t="s">
        <v>3994</v>
      </c>
      <c r="D549" s="9" t="s">
        <v>3995</v>
      </c>
      <c r="E549" s="10" t="s">
        <v>31</v>
      </c>
      <c r="F549" s="10" t="s">
        <v>32</v>
      </c>
      <c r="G549" s="46" t="s">
        <v>3996</v>
      </c>
      <c r="H549" s="29" t="s">
        <v>3930</v>
      </c>
      <c r="I549" s="29" t="s">
        <v>737</v>
      </c>
      <c r="J549" s="46">
        <v>431.0</v>
      </c>
      <c r="K549" s="9" t="s">
        <v>3997</v>
      </c>
      <c r="L549" s="46">
        <v>1.0</v>
      </c>
      <c r="M549" s="46">
        <v>2.0</v>
      </c>
      <c r="N549" s="46" t="s">
        <v>3992</v>
      </c>
      <c r="O549" s="13"/>
      <c r="P549" s="13"/>
      <c r="Q549" s="13"/>
      <c r="R549" s="13"/>
      <c r="S549" s="46" t="s">
        <v>2569</v>
      </c>
      <c r="T549" s="46" t="s">
        <v>2570</v>
      </c>
      <c r="U549" s="9" t="s">
        <v>3294</v>
      </c>
      <c r="V549" s="9" t="s">
        <v>3294</v>
      </c>
      <c r="W549" s="46" t="s">
        <v>2313</v>
      </c>
      <c r="X549" s="46" t="s">
        <v>2314</v>
      </c>
      <c r="Y549" s="50">
        <v>44047.0</v>
      </c>
      <c r="Z549" s="50">
        <v>44047.0</v>
      </c>
      <c r="AA549" s="13"/>
      <c r="AB549" s="13"/>
      <c r="AC549" s="14" t="s">
        <v>3998</v>
      </c>
      <c r="AD549" s="13"/>
      <c r="AE549" s="13"/>
    </row>
    <row r="550">
      <c r="A550" s="9" t="s">
        <v>3188</v>
      </c>
      <c r="B550" s="9" t="s">
        <v>1481</v>
      </c>
      <c r="C550" s="10" t="s">
        <v>3999</v>
      </c>
      <c r="D550" s="9" t="s">
        <v>4000</v>
      </c>
      <c r="E550" s="10" t="s">
        <v>31</v>
      </c>
      <c r="F550" s="10" t="s">
        <v>32</v>
      </c>
      <c r="G550" s="46" t="s">
        <v>4001</v>
      </c>
      <c r="H550" s="29" t="s">
        <v>3930</v>
      </c>
      <c r="I550" s="29" t="s">
        <v>737</v>
      </c>
      <c r="J550" s="46">
        <v>432.0</v>
      </c>
      <c r="K550" s="9" t="s">
        <v>4002</v>
      </c>
      <c r="L550" s="46">
        <v>1.0</v>
      </c>
      <c r="M550" s="46">
        <v>2.0</v>
      </c>
      <c r="N550" s="46" t="s">
        <v>3992</v>
      </c>
      <c r="O550" s="13"/>
      <c r="P550" s="13"/>
      <c r="Q550" s="13"/>
      <c r="R550" s="13"/>
      <c r="S550" s="46" t="s">
        <v>2569</v>
      </c>
      <c r="T550" s="46" t="s">
        <v>2570</v>
      </c>
      <c r="U550" s="9" t="s">
        <v>3294</v>
      </c>
      <c r="V550" s="9" t="s">
        <v>3294</v>
      </c>
      <c r="W550" s="46" t="s">
        <v>2313</v>
      </c>
      <c r="X550" s="46" t="s">
        <v>2314</v>
      </c>
      <c r="Y550" s="50">
        <v>44047.0</v>
      </c>
      <c r="Z550" s="50">
        <v>44047.0</v>
      </c>
      <c r="AA550" s="13"/>
      <c r="AB550" s="13"/>
      <c r="AC550" s="14" t="s">
        <v>4003</v>
      </c>
      <c r="AD550" s="13"/>
      <c r="AE550" s="13"/>
    </row>
    <row r="551">
      <c r="A551" s="9" t="s">
        <v>3188</v>
      </c>
      <c r="B551" s="9" t="s">
        <v>1481</v>
      </c>
      <c r="C551" s="10" t="s">
        <v>4004</v>
      </c>
      <c r="D551" s="9" t="s">
        <v>4005</v>
      </c>
      <c r="E551" s="10" t="s">
        <v>31</v>
      </c>
      <c r="F551" s="10" t="s">
        <v>32</v>
      </c>
      <c r="G551" s="46" t="s">
        <v>4006</v>
      </c>
      <c r="H551" s="29" t="s">
        <v>3930</v>
      </c>
      <c r="I551" s="29" t="s">
        <v>737</v>
      </c>
      <c r="J551" s="46">
        <v>434.0</v>
      </c>
      <c r="K551" s="12"/>
      <c r="L551" s="46">
        <v>3.0</v>
      </c>
      <c r="M551" s="46">
        <v>2.0</v>
      </c>
      <c r="N551" s="13"/>
      <c r="O551" s="13"/>
      <c r="P551" s="13"/>
      <c r="Q551" s="13"/>
      <c r="R551" s="13"/>
      <c r="S551" s="46" t="s">
        <v>2569</v>
      </c>
      <c r="T551" s="46" t="s">
        <v>2570</v>
      </c>
      <c r="U551" s="9" t="s">
        <v>2392</v>
      </c>
      <c r="V551" s="9" t="s">
        <v>2392</v>
      </c>
      <c r="W551" s="46" t="s">
        <v>2313</v>
      </c>
      <c r="X551" s="46" t="s">
        <v>2314</v>
      </c>
      <c r="Y551" s="50">
        <v>44047.0</v>
      </c>
      <c r="Z551" s="50">
        <v>44047.0</v>
      </c>
      <c r="AA551" s="13"/>
      <c r="AB551" s="13"/>
      <c r="AC551" s="14" t="s">
        <v>4007</v>
      </c>
      <c r="AD551" s="13"/>
      <c r="AE551" s="13"/>
    </row>
    <row r="552">
      <c r="A552" s="9" t="s">
        <v>3188</v>
      </c>
      <c r="B552" s="9" t="s">
        <v>1481</v>
      </c>
      <c r="C552" s="10" t="s">
        <v>4008</v>
      </c>
      <c r="D552" s="9" t="s">
        <v>4009</v>
      </c>
      <c r="E552" s="10" t="s">
        <v>31</v>
      </c>
      <c r="F552" s="10" t="s">
        <v>32</v>
      </c>
      <c r="G552" s="46" t="s">
        <v>4010</v>
      </c>
      <c r="H552" s="29" t="s">
        <v>736</v>
      </c>
      <c r="I552" s="29" t="s">
        <v>737</v>
      </c>
      <c r="J552" s="46" t="s">
        <v>4011</v>
      </c>
      <c r="K552" s="9" t="s">
        <v>4012</v>
      </c>
      <c r="L552" s="46">
        <v>6.0</v>
      </c>
      <c r="M552" s="46">
        <v>4.0</v>
      </c>
      <c r="N552" s="46" t="s">
        <v>4013</v>
      </c>
      <c r="O552" s="13"/>
      <c r="P552" s="13"/>
      <c r="Q552" s="13"/>
      <c r="R552" s="13"/>
      <c r="S552" s="46" t="s">
        <v>2569</v>
      </c>
      <c r="T552" s="46" t="s">
        <v>2570</v>
      </c>
      <c r="U552" s="9" t="s">
        <v>2392</v>
      </c>
      <c r="V552" s="9" t="s">
        <v>2392</v>
      </c>
      <c r="W552" s="46" t="s">
        <v>2313</v>
      </c>
      <c r="X552" s="46" t="s">
        <v>2314</v>
      </c>
      <c r="Y552" s="50">
        <v>44047.0</v>
      </c>
      <c r="Z552" s="50">
        <v>44047.0</v>
      </c>
      <c r="AA552" s="13"/>
      <c r="AB552" s="13"/>
      <c r="AC552" s="14" t="s">
        <v>4014</v>
      </c>
      <c r="AD552" s="13"/>
      <c r="AE552" s="13"/>
    </row>
    <row r="553">
      <c r="A553" s="9" t="s">
        <v>3188</v>
      </c>
      <c r="B553" s="9" t="s">
        <v>1108</v>
      </c>
      <c r="C553" s="9" t="s">
        <v>4015</v>
      </c>
      <c r="D553" s="9" t="s">
        <v>4016</v>
      </c>
      <c r="E553" s="10" t="s">
        <v>31</v>
      </c>
      <c r="F553" s="10" t="s">
        <v>32</v>
      </c>
      <c r="G553" s="46" t="s">
        <v>3251</v>
      </c>
      <c r="H553" s="28" t="s">
        <v>34</v>
      </c>
      <c r="I553" s="10" t="s">
        <v>35</v>
      </c>
      <c r="J553" s="46" t="s">
        <v>4017</v>
      </c>
      <c r="K553" s="9" t="s">
        <v>4018</v>
      </c>
      <c r="L553" s="46">
        <v>14.0</v>
      </c>
      <c r="M553" s="13">
        <v>14.0</v>
      </c>
      <c r="N553" s="13"/>
      <c r="O553" s="13"/>
      <c r="P553" s="13"/>
      <c r="Q553" s="13"/>
      <c r="R553" s="13"/>
      <c r="S553" s="46" t="s">
        <v>3675</v>
      </c>
      <c r="T553" s="46" t="s">
        <v>3676</v>
      </c>
      <c r="U553" s="9" t="s">
        <v>3236</v>
      </c>
      <c r="V553" s="9" t="s">
        <v>3464</v>
      </c>
      <c r="W553" s="46" t="s">
        <v>2313</v>
      </c>
      <c r="X553" s="46" t="s">
        <v>2314</v>
      </c>
      <c r="Y553" s="50">
        <v>44036.0</v>
      </c>
      <c r="Z553" s="50">
        <v>44036.0</v>
      </c>
      <c r="AA553" s="13"/>
      <c r="AB553" s="13"/>
      <c r="AC553" s="14" t="s">
        <v>4019</v>
      </c>
      <c r="AD553" s="13"/>
      <c r="AE553" s="13"/>
    </row>
    <row r="554">
      <c r="A554" s="9" t="s">
        <v>3188</v>
      </c>
      <c r="B554" s="9" t="s">
        <v>1108</v>
      </c>
      <c r="C554" s="9" t="s">
        <v>4020</v>
      </c>
      <c r="D554" s="10" t="s">
        <v>4021</v>
      </c>
      <c r="E554" s="10" t="s">
        <v>31</v>
      </c>
      <c r="F554" s="10" t="s">
        <v>32</v>
      </c>
      <c r="G554" s="46" t="s">
        <v>4022</v>
      </c>
      <c r="H554" s="28" t="s">
        <v>34</v>
      </c>
      <c r="I554" s="10" t="s">
        <v>35</v>
      </c>
      <c r="J554" s="46" t="s">
        <v>4023</v>
      </c>
      <c r="K554" s="9" t="s">
        <v>4024</v>
      </c>
      <c r="L554" s="46">
        <v>14.0</v>
      </c>
      <c r="M554" s="13">
        <v>14.0</v>
      </c>
      <c r="N554" s="13"/>
      <c r="O554" s="13"/>
      <c r="P554" s="13"/>
      <c r="Q554" s="13"/>
      <c r="R554" s="13"/>
      <c r="S554" s="46" t="s">
        <v>3675</v>
      </c>
      <c r="T554" s="46" t="s">
        <v>3676</v>
      </c>
      <c r="U554" s="9" t="s">
        <v>4025</v>
      </c>
      <c r="V554" s="9" t="s">
        <v>4026</v>
      </c>
      <c r="W554" s="13"/>
      <c r="X554" s="13"/>
      <c r="Y554" s="13"/>
      <c r="Z554" s="13"/>
      <c r="AA554" s="13"/>
      <c r="AB554" s="13"/>
      <c r="AC554" s="14" t="s">
        <v>4027</v>
      </c>
      <c r="AD554" s="13"/>
      <c r="AE554" s="13"/>
    </row>
    <row r="555">
      <c r="A555" s="9" t="s">
        <v>3188</v>
      </c>
      <c r="B555" s="9" t="s">
        <v>1108</v>
      </c>
      <c r="C555" s="9" t="s">
        <v>4028</v>
      </c>
      <c r="D555" s="17" t="s">
        <v>4029</v>
      </c>
      <c r="E555" s="10" t="s">
        <v>31</v>
      </c>
      <c r="F555" s="10" t="s">
        <v>32</v>
      </c>
      <c r="G555" s="46" t="s">
        <v>3852</v>
      </c>
      <c r="H555" s="28" t="s">
        <v>34</v>
      </c>
      <c r="I555" s="10" t="s">
        <v>35</v>
      </c>
      <c r="J555" s="46">
        <v>459.0</v>
      </c>
      <c r="K555" s="9" t="s">
        <v>4030</v>
      </c>
      <c r="L555" s="46">
        <v>2.0</v>
      </c>
      <c r="M555" s="13">
        <v>2.0</v>
      </c>
      <c r="N555" s="13"/>
      <c r="O555" s="13"/>
      <c r="P555" s="13"/>
      <c r="Q555" s="13"/>
      <c r="R555" s="13"/>
      <c r="S555" s="46" t="s">
        <v>3675</v>
      </c>
      <c r="T555" s="46" t="s">
        <v>3676</v>
      </c>
      <c r="U555" s="9" t="s">
        <v>4025</v>
      </c>
      <c r="V555" s="9" t="s">
        <v>2696</v>
      </c>
      <c r="W555" s="46" t="s">
        <v>2313</v>
      </c>
      <c r="X555" s="46" t="s">
        <v>2314</v>
      </c>
      <c r="Y555" s="50">
        <v>44047.0</v>
      </c>
      <c r="Z555" s="50">
        <v>44047.0</v>
      </c>
      <c r="AA555" s="13"/>
      <c r="AB555" s="13"/>
      <c r="AC555" s="14" t="s">
        <v>4031</v>
      </c>
      <c r="AD555" s="13"/>
      <c r="AE555" s="13"/>
    </row>
    <row r="556">
      <c r="A556" s="9" t="s">
        <v>3188</v>
      </c>
      <c r="B556" s="9" t="s">
        <v>1108</v>
      </c>
      <c r="C556" s="9" t="s">
        <v>4032</v>
      </c>
      <c r="D556" s="10" t="s">
        <v>4033</v>
      </c>
      <c r="E556" s="10" t="s">
        <v>31</v>
      </c>
      <c r="F556" s="10" t="s">
        <v>32</v>
      </c>
      <c r="G556" s="46" t="s">
        <v>3852</v>
      </c>
      <c r="H556" s="28" t="s">
        <v>34</v>
      </c>
      <c r="I556" s="10" t="s">
        <v>35</v>
      </c>
      <c r="J556" s="46" t="s">
        <v>4034</v>
      </c>
      <c r="K556" s="9" t="s">
        <v>4035</v>
      </c>
      <c r="L556" s="46">
        <v>11.0</v>
      </c>
      <c r="M556" s="46">
        <v>11.0</v>
      </c>
      <c r="N556" s="13"/>
      <c r="O556" s="13"/>
      <c r="P556" s="13"/>
      <c r="Q556" s="13"/>
      <c r="R556" s="13"/>
      <c r="S556" s="46" t="s">
        <v>3675</v>
      </c>
      <c r="T556" s="46" t="s">
        <v>3676</v>
      </c>
      <c r="U556" s="9" t="s">
        <v>4025</v>
      </c>
      <c r="V556" s="9" t="s">
        <v>2315</v>
      </c>
      <c r="W556" s="46" t="s">
        <v>2313</v>
      </c>
      <c r="X556" s="46" t="s">
        <v>2314</v>
      </c>
      <c r="Y556" s="50">
        <v>44042.0</v>
      </c>
      <c r="Z556" s="50">
        <v>44042.0</v>
      </c>
      <c r="AA556" s="13"/>
      <c r="AB556" s="13"/>
      <c r="AC556" s="14" t="s">
        <v>4036</v>
      </c>
      <c r="AD556" s="13"/>
      <c r="AE556" s="13"/>
    </row>
    <row r="557">
      <c r="A557" s="9" t="s">
        <v>3188</v>
      </c>
      <c r="B557" s="9" t="s">
        <v>1108</v>
      </c>
      <c r="C557" s="9" t="s">
        <v>4037</v>
      </c>
      <c r="D557" s="10" t="s">
        <v>4038</v>
      </c>
      <c r="E557" s="10" t="s">
        <v>31</v>
      </c>
      <c r="F557" s="10" t="s">
        <v>32</v>
      </c>
      <c r="G557" s="46" t="s">
        <v>3905</v>
      </c>
      <c r="H557" s="28" t="s">
        <v>34</v>
      </c>
      <c r="I557" s="10" t="s">
        <v>35</v>
      </c>
      <c r="J557" s="46" t="s">
        <v>4039</v>
      </c>
      <c r="K557" s="9" t="s">
        <v>4040</v>
      </c>
      <c r="L557" s="46">
        <v>7.0</v>
      </c>
      <c r="M557" s="46">
        <v>7.0</v>
      </c>
      <c r="N557" s="13"/>
      <c r="O557" s="13"/>
      <c r="P557" s="13"/>
      <c r="Q557" s="13"/>
      <c r="R557" s="13"/>
      <c r="S557" s="46" t="s">
        <v>3675</v>
      </c>
      <c r="T557" s="46" t="s">
        <v>3676</v>
      </c>
      <c r="U557" s="9" t="s">
        <v>4025</v>
      </c>
      <c r="V557" s="9" t="s">
        <v>2315</v>
      </c>
      <c r="W557" s="46" t="s">
        <v>2313</v>
      </c>
      <c r="X557" s="46" t="s">
        <v>2314</v>
      </c>
      <c r="Y557" s="50">
        <v>44042.0</v>
      </c>
      <c r="Z557" s="50">
        <v>44042.0</v>
      </c>
      <c r="AA557" s="13"/>
      <c r="AB557" s="13"/>
      <c r="AC557" s="14" t="s">
        <v>4041</v>
      </c>
      <c r="AD557" s="13"/>
      <c r="AE557" s="13"/>
    </row>
    <row r="558">
      <c r="A558" s="9" t="s">
        <v>3188</v>
      </c>
      <c r="B558" s="9" t="s">
        <v>1108</v>
      </c>
      <c r="C558" s="9" t="s">
        <v>4042</v>
      </c>
      <c r="D558" s="12" t="s">
        <v>4043</v>
      </c>
      <c r="E558" s="10" t="s">
        <v>31</v>
      </c>
      <c r="F558" s="10" t="s">
        <v>32</v>
      </c>
      <c r="G558" s="13" t="s">
        <v>4044</v>
      </c>
      <c r="H558" s="13"/>
      <c r="I558" s="13"/>
      <c r="J558" s="13">
        <v>470.0</v>
      </c>
      <c r="K558" s="12"/>
      <c r="L558" s="13">
        <v>1.0</v>
      </c>
      <c r="M558" s="13">
        <v>1.0</v>
      </c>
      <c r="N558" s="13"/>
      <c r="O558" s="13"/>
      <c r="P558" s="46" t="s">
        <v>4045</v>
      </c>
      <c r="Q558" s="13"/>
      <c r="R558" s="13"/>
      <c r="S558" s="13" t="s">
        <v>2361</v>
      </c>
      <c r="T558" s="13" t="s">
        <v>2362</v>
      </c>
      <c r="U558" s="12" t="s">
        <v>3532</v>
      </c>
      <c r="V558" s="12" t="s">
        <v>3532</v>
      </c>
      <c r="W558" s="46"/>
      <c r="X558" s="46"/>
      <c r="Y558" s="50"/>
      <c r="Z558" s="50"/>
      <c r="AA558" s="13"/>
      <c r="AB558" s="13"/>
      <c r="AC558" s="14" t="s">
        <v>4046</v>
      </c>
      <c r="AD558" s="13"/>
      <c r="AE558" s="13"/>
    </row>
    <row r="559">
      <c r="A559" s="9" t="s">
        <v>3188</v>
      </c>
      <c r="B559" s="9" t="s">
        <v>1093</v>
      </c>
      <c r="C559" s="9" t="s">
        <v>4047</v>
      </c>
      <c r="D559" s="12" t="s">
        <v>4048</v>
      </c>
      <c r="E559" s="10" t="s">
        <v>31</v>
      </c>
      <c r="F559" s="10" t="s">
        <v>32</v>
      </c>
      <c r="G559" s="46" t="s">
        <v>4022</v>
      </c>
      <c r="H559" s="28" t="s">
        <v>34</v>
      </c>
      <c r="I559" s="10" t="s">
        <v>35</v>
      </c>
      <c r="J559" s="13" t="s">
        <v>4049</v>
      </c>
      <c r="K559" s="12" t="s">
        <v>4050</v>
      </c>
      <c r="L559" s="13">
        <v>9.0</v>
      </c>
      <c r="M559" s="13">
        <v>9.0</v>
      </c>
      <c r="N559" s="13"/>
      <c r="O559" s="13"/>
      <c r="P559" s="13"/>
      <c r="Q559" s="13"/>
      <c r="R559" s="13"/>
      <c r="S559" s="13" t="s">
        <v>2361</v>
      </c>
      <c r="T559" s="13" t="s">
        <v>2362</v>
      </c>
      <c r="U559" s="12" t="s">
        <v>3294</v>
      </c>
      <c r="V559" s="12" t="s">
        <v>3294</v>
      </c>
      <c r="W559" s="46" t="s">
        <v>2313</v>
      </c>
      <c r="X559" s="46" t="s">
        <v>2314</v>
      </c>
      <c r="Y559" s="50">
        <v>44047.0</v>
      </c>
      <c r="Z559" s="50">
        <v>44047.0</v>
      </c>
      <c r="AA559" s="13"/>
      <c r="AB559" s="13"/>
      <c r="AC559" s="14" t="s">
        <v>4051</v>
      </c>
      <c r="AD559" s="13"/>
      <c r="AE559" s="13"/>
    </row>
    <row r="560">
      <c r="A560" s="9" t="s">
        <v>3188</v>
      </c>
      <c r="B560" s="9" t="s">
        <v>1093</v>
      </c>
      <c r="C560" s="9" t="s">
        <v>4052</v>
      </c>
      <c r="D560" s="12" t="s">
        <v>4053</v>
      </c>
      <c r="E560" s="10" t="s">
        <v>31</v>
      </c>
      <c r="F560" s="10" t="s">
        <v>32</v>
      </c>
      <c r="G560" s="46" t="s">
        <v>3905</v>
      </c>
      <c r="H560" s="28" t="s">
        <v>34</v>
      </c>
      <c r="I560" s="10" t="s">
        <v>35</v>
      </c>
      <c r="J560" s="13">
        <v>476.0</v>
      </c>
      <c r="K560" s="12" t="s">
        <v>4054</v>
      </c>
      <c r="L560" s="13">
        <v>1.0</v>
      </c>
      <c r="M560" s="13">
        <v>1.0</v>
      </c>
      <c r="N560" s="13"/>
      <c r="O560" s="13"/>
      <c r="P560" s="13"/>
      <c r="Q560" s="13"/>
      <c r="R560" s="13"/>
      <c r="S560" s="13" t="s">
        <v>2361</v>
      </c>
      <c r="T560" s="13" t="s">
        <v>2362</v>
      </c>
      <c r="U560" s="12" t="s">
        <v>3294</v>
      </c>
      <c r="V560" s="12" t="s">
        <v>3294</v>
      </c>
      <c r="W560" s="13"/>
      <c r="X560" s="13"/>
      <c r="Y560" s="13"/>
      <c r="Z560" s="13"/>
      <c r="AA560" s="13"/>
      <c r="AB560" s="13"/>
      <c r="AC560" s="14" t="s">
        <v>4055</v>
      </c>
      <c r="AD560" s="13"/>
      <c r="AE560" s="13"/>
    </row>
    <row r="561">
      <c r="A561" s="9" t="s">
        <v>3188</v>
      </c>
      <c r="B561" s="9" t="s">
        <v>1093</v>
      </c>
      <c r="C561" s="9" t="s">
        <v>4056</v>
      </c>
      <c r="D561" s="9" t="s">
        <v>4057</v>
      </c>
      <c r="E561" s="10" t="s">
        <v>31</v>
      </c>
      <c r="F561" s="10" t="s">
        <v>32</v>
      </c>
      <c r="G561" s="13"/>
      <c r="H561" s="66"/>
      <c r="I561" s="66"/>
      <c r="J561" s="66" t="s">
        <v>4058</v>
      </c>
      <c r="K561" s="9" t="s">
        <v>4059</v>
      </c>
      <c r="L561" s="46">
        <v>11.0</v>
      </c>
      <c r="M561" s="46">
        <v>11.0</v>
      </c>
      <c r="N561" s="13"/>
      <c r="O561" s="13"/>
      <c r="P561" s="13"/>
      <c r="Q561" s="13"/>
      <c r="R561" s="13"/>
      <c r="S561" s="46" t="s">
        <v>4060</v>
      </c>
      <c r="T561" s="46" t="s">
        <v>2673</v>
      </c>
      <c r="U561" s="9" t="s">
        <v>3294</v>
      </c>
      <c r="V561" s="9" t="s">
        <v>3323</v>
      </c>
      <c r="W561" s="46" t="s">
        <v>2313</v>
      </c>
      <c r="X561" s="46" t="s">
        <v>2314</v>
      </c>
      <c r="Y561" s="50">
        <v>44035.0</v>
      </c>
      <c r="Z561" s="50">
        <v>44035.0</v>
      </c>
      <c r="AA561" s="13"/>
      <c r="AB561" s="13"/>
      <c r="AC561" s="14" t="s">
        <v>4061</v>
      </c>
      <c r="AD561" s="13"/>
      <c r="AE561" s="13"/>
    </row>
    <row r="562">
      <c r="A562" s="9" t="s">
        <v>3188</v>
      </c>
      <c r="B562" s="9" t="s">
        <v>1093</v>
      </c>
      <c r="C562" s="9" t="s">
        <v>4062</v>
      </c>
      <c r="D562" s="12" t="s">
        <v>4063</v>
      </c>
      <c r="E562" s="10" t="s">
        <v>31</v>
      </c>
      <c r="F562" s="10" t="s">
        <v>32</v>
      </c>
      <c r="G562" s="13"/>
      <c r="H562" s="66"/>
      <c r="I562" s="66"/>
      <c r="J562" s="66" t="s">
        <v>4064</v>
      </c>
      <c r="K562" s="9" t="s">
        <v>4065</v>
      </c>
      <c r="L562" s="13">
        <v>6.0</v>
      </c>
      <c r="M562" s="13">
        <v>6.0</v>
      </c>
      <c r="N562" s="13" t="s">
        <v>2678</v>
      </c>
      <c r="O562" s="13"/>
      <c r="P562" s="13"/>
      <c r="Q562" s="13"/>
      <c r="R562" s="13"/>
      <c r="S562" s="13" t="s">
        <v>2361</v>
      </c>
      <c r="T562" s="13" t="s">
        <v>2362</v>
      </c>
      <c r="U562" s="12" t="s">
        <v>3294</v>
      </c>
      <c r="V562" s="12" t="s">
        <v>3294</v>
      </c>
      <c r="W562" s="13"/>
      <c r="X562" s="13"/>
      <c r="Y562" s="13"/>
      <c r="Z562" s="13"/>
      <c r="AA562" s="13"/>
      <c r="AB562" s="13"/>
      <c r="AC562" s="14" t="s">
        <v>4066</v>
      </c>
      <c r="AD562" s="13"/>
      <c r="AE562" s="13"/>
    </row>
    <row r="563">
      <c r="A563" s="9" t="s">
        <v>3188</v>
      </c>
      <c r="B563" s="9" t="s">
        <v>1287</v>
      </c>
      <c r="C563" s="9" t="s">
        <v>4067</v>
      </c>
      <c r="D563" s="12" t="s">
        <v>4068</v>
      </c>
      <c r="E563" s="10" t="s">
        <v>31</v>
      </c>
      <c r="F563" s="10" t="s">
        <v>32</v>
      </c>
      <c r="G563" s="46" t="s">
        <v>4069</v>
      </c>
      <c r="H563" s="28" t="s">
        <v>34</v>
      </c>
      <c r="I563" s="10" t="s">
        <v>35</v>
      </c>
      <c r="J563" s="66" t="s">
        <v>4070</v>
      </c>
      <c r="K563" s="9" t="s">
        <v>4071</v>
      </c>
      <c r="L563" s="13">
        <v>5.0</v>
      </c>
      <c r="M563" s="13">
        <v>5.0</v>
      </c>
      <c r="N563" s="13"/>
      <c r="O563" s="13"/>
      <c r="P563" s="13"/>
      <c r="Q563" s="13"/>
      <c r="R563" s="13"/>
      <c r="S563" s="13" t="s">
        <v>2361</v>
      </c>
      <c r="T563" s="13" t="s">
        <v>2362</v>
      </c>
      <c r="U563" s="12" t="s">
        <v>3294</v>
      </c>
      <c r="V563" s="12" t="s">
        <v>3294</v>
      </c>
      <c r="W563" s="46" t="s">
        <v>2313</v>
      </c>
      <c r="X563" s="46" t="s">
        <v>2314</v>
      </c>
      <c r="Y563" s="50">
        <v>44036.0</v>
      </c>
      <c r="Z563" s="50">
        <v>44036.0</v>
      </c>
      <c r="AA563" s="13"/>
      <c r="AB563" s="13"/>
      <c r="AC563" s="14" t="s">
        <v>4072</v>
      </c>
      <c r="AD563" s="13"/>
      <c r="AE563" s="13"/>
    </row>
    <row r="564">
      <c r="A564" s="9" t="s">
        <v>3188</v>
      </c>
      <c r="B564" s="9" t="s">
        <v>896</v>
      </c>
      <c r="C564" s="9" t="s">
        <v>4073</v>
      </c>
      <c r="D564" s="12" t="s">
        <v>4074</v>
      </c>
      <c r="E564" s="10" t="s">
        <v>31</v>
      </c>
      <c r="F564" s="10" t="s">
        <v>32</v>
      </c>
      <c r="G564" s="46" t="s">
        <v>4069</v>
      </c>
      <c r="H564" s="28" t="s">
        <v>34</v>
      </c>
      <c r="I564" s="10" t="s">
        <v>35</v>
      </c>
      <c r="J564" s="66">
        <v>493.0</v>
      </c>
      <c r="K564" s="9" t="s">
        <v>4075</v>
      </c>
      <c r="L564" s="13">
        <v>1.0</v>
      </c>
      <c r="M564" s="13">
        <v>1.0</v>
      </c>
      <c r="N564" s="13"/>
      <c r="O564" s="13"/>
      <c r="P564" s="13"/>
      <c r="Q564" s="13"/>
      <c r="R564" s="13"/>
      <c r="S564" s="13" t="s">
        <v>2361</v>
      </c>
      <c r="T564" s="13" t="s">
        <v>2362</v>
      </c>
      <c r="U564" s="12" t="s">
        <v>3294</v>
      </c>
      <c r="V564" s="12" t="s">
        <v>3294</v>
      </c>
      <c r="W564" s="13"/>
      <c r="X564" s="13"/>
      <c r="Y564" s="13"/>
      <c r="Z564" s="13"/>
      <c r="AA564" s="13"/>
      <c r="AB564" s="13"/>
      <c r="AC564" s="14" t="s">
        <v>4076</v>
      </c>
      <c r="AD564" s="13"/>
      <c r="AE564" s="13"/>
    </row>
    <row r="565">
      <c r="A565" s="9" t="s">
        <v>3188</v>
      </c>
      <c r="B565" s="9" t="s">
        <v>896</v>
      </c>
      <c r="C565" s="9" t="s">
        <v>4077</v>
      </c>
      <c r="D565" s="12" t="s">
        <v>4078</v>
      </c>
      <c r="E565" s="10" t="s">
        <v>31</v>
      </c>
      <c r="F565" s="10" t="s">
        <v>32</v>
      </c>
      <c r="G565" s="13" t="s">
        <v>50</v>
      </c>
      <c r="H565" s="66"/>
      <c r="I565" s="66"/>
      <c r="J565" s="66" t="s">
        <v>4079</v>
      </c>
      <c r="K565" s="9" t="s">
        <v>4080</v>
      </c>
      <c r="L565" s="13">
        <v>6.0</v>
      </c>
      <c r="M565" s="13">
        <v>4.0</v>
      </c>
      <c r="N565" s="13"/>
      <c r="O565" s="13"/>
      <c r="P565" s="13"/>
      <c r="Q565" s="13"/>
      <c r="R565" s="13"/>
      <c r="S565" s="13" t="s">
        <v>2361</v>
      </c>
      <c r="T565" s="13" t="s">
        <v>2362</v>
      </c>
      <c r="U565" s="12" t="s">
        <v>3294</v>
      </c>
      <c r="V565" s="12" t="s">
        <v>2392</v>
      </c>
      <c r="W565" s="46" t="s">
        <v>2313</v>
      </c>
      <c r="X565" s="46" t="s">
        <v>2314</v>
      </c>
      <c r="Y565" s="50">
        <v>44047.0</v>
      </c>
      <c r="Z565" s="50">
        <v>44047.0</v>
      </c>
      <c r="AA565" s="13"/>
      <c r="AB565" s="13"/>
      <c r="AC565" s="14" t="s">
        <v>4081</v>
      </c>
      <c r="AD565" s="13"/>
      <c r="AE565" s="13"/>
    </row>
    <row r="566">
      <c r="A566" s="9" t="s">
        <v>3188</v>
      </c>
      <c r="B566" s="9" t="s">
        <v>896</v>
      </c>
      <c r="C566" s="9" t="s">
        <v>4082</v>
      </c>
      <c r="D566" s="12" t="s">
        <v>4083</v>
      </c>
      <c r="E566" s="10" t="s">
        <v>31</v>
      </c>
      <c r="F566" s="10" t="s">
        <v>32</v>
      </c>
      <c r="G566" s="46" t="s">
        <v>4069</v>
      </c>
      <c r="H566" s="28" t="s">
        <v>34</v>
      </c>
      <c r="I566" s="10" t="s">
        <v>35</v>
      </c>
      <c r="J566" s="46">
        <v>496.0</v>
      </c>
      <c r="K566" s="12" t="s">
        <v>4084</v>
      </c>
      <c r="L566" s="13">
        <v>1.0</v>
      </c>
      <c r="M566" s="13">
        <v>1.0</v>
      </c>
      <c r="N566" s="13"/>
      <c r="O566" s="13"/>
      <c r="P566" s="13"/>
      <c r="Q566" s="13"/>
      <c r="R566" s="13"/>
      <c r="S566" s="13" t="s">
        <v>2361</v>
      </c>
      <c r="T566" s="13" t="s">
        <v>2362</v>
      </c>
      <c r="U566" s="12" t="s">
        <v>2392</v>
      </c>
      <c r="V566" s="12" t="s">
        <v>2392</v>
      </c>
      <c r="W566" s="13"/>
      <c r="X566" s="13"/>
      <c r="Y566" s="13"/>
      <c r="Z566" s="13"/>
      <c r="AA566" s="13"/>
      <c r="AB566" s="13"/>
      <c r="AC566" s="14" t="s">
        <v>4085</v>
      </c>
      <c r="AD566" s="13"/>
      <c r="AE566" s="13"/>
    </row>
    <row r="567">
      <c r="A567" s="9" t="s">
        <v>3188</v>
      </c>
      <c r="B567" s="9" t="s">
        <v>896</v>
      </c>
      <c r="C567" s="9" t="s">
        <v>4086</v>
      </c>
      <c r="D567" s="12" t="s">
        <v>4087</v>
      </c>
      <c r="E567" s="10" t="s">
        <v>31</v>
      </c>
      <c r="F567" s="10" t="s">
        <v>32</v>
      </c>
      <c r="G567" s="46" t="s">
        <v>4022</v>
      </c>
      <c r="H567" s="28" t="s">
        <v>34</v>
      </c>
      <c r="I567" s="10" t="s">
        <v>35</v>
      </c>
      <c r="J567" s="66" t="s">
        <v>4088</v>
      </c>
      <c r="K567" s="9" t="s">
        <v>4089</v>
      </c>
      <c r="L567" s="13">
        <v>13.0</v>
      </c>
      <c r="M567" s="13">
        <v>13.0</v>
      </c>
      <c r="N567" s="13"/>
      <c r="O567" s="13"/>
      <c r="P567" s="46" t="s">
        <v>4090</v>
      </c>
      <c r="Q567" s="13"/>
      <c r="R567" s="13"/>
      <c r="S567" s="13" t="s">
        <v>2361</v>
      </c>
      <c r="T567" s="13" t="s">
        <v>2362</v>
      </c>
      <c r="U567" s="12" t="s">
        <v>2392</v>
      </c>
      <c r="V567" s="12" t="s">
        <v>2392</v>
      </c>
      <c r="W567" s="46" t="s">
        <v>2313</v>
      </c>
      <c r="X567" s="46" t="s">
        <v>2314</v>
      </c>
      <c r="Y567" s="50">
        <v>44047.0</v>
      </c>
      <c r="Z567" s="50">
        <v>44047.0</v>
      </c>
      <c r="AA567" s="13"/>
      <c r="AB567" s="13"/>
      <c r="AC567" s="14" t="s">
        <v>4091</v>
      </c>
      <c r="AD567" s="13"/>
      <c r="AE567" s="13"/>
    </row>
    <row r="568">
      <c r="A568" s="9" t="s">
        <v>3188</v>
      </c>
      <c r="B568" s="9" t="s">
        <v>4092</v>
      </c>
      <c r="C568" s="9" t="s">
        <v>4093</v>
      </c>
      <c r="D568" s="12" t="s">
        <v>4094</v>
      </c>
      <c r="E568" s="10" t="s">
        <v>31</v>
      </c>
      <c r="F568" s="10" t="s">
        <v>32</v>
      </c>
      <c r="G568" s="46" t="s">
        <v>4069</v>
      </c>
      <c r="H568" s="28" t="s">
        <v>34</v>
      </c>
      <c r="I568" s="10" t="s">
        <v>35</v>
      </c>
      <c r="J568" s="66">
        <v>504.0</v>
      </c>
      <c r="K568" s="9" t="s">
        <v>4095</v>
      </c>
      <c r="L568" s="13">
        <v>1.0</v>
      </c>
      <c r="M568" s="13">
        <v>1.0</v>
      </c>
      <c r="N568" s="13"/>
      <c r="O568" s="13"/>
      <c r="P568" s="13"/>
      <c r="Q568" s="13"/>
      <c r="R568" s="13"/>
      <c r="S568" s="13" t="s">
        <v>2361</v>
      </c>
      <c r="T568" s="13" t="s">
        <v>2362</v>
      </c>
      <c r="U568" s="12" t="s">
        <v>2392</v>
      </c>
      <c r="V568" s="12" t="s">
        <v>2392</v>
      </c>
      <c r="W568" s="13"/>
      <c r="X568" s="13"/>
      <c r="Y568" s="13"/>
      <c r="Z568" s="13"/>
      <c r="AA568" s="13"/>
      <c r="AB568" s="13"/>
      <c r="AC568" s="14" t="s">
        <v>4096</v>
      </c>
      <c r="AD568" s="13"/>
      <c r="AE568" s="13"/>
    </row>
    <row r="569">
      <c r="A569" s="9" t="s">
        <v>3188</v>
      </c>
      <c r="B569" s="9" t="s">
        <v>4092</v>
      </c>
      <c r="C569" s="9" t="s">
        <v>4097</v>
      </c>
      <c r="D569" s="12" t="s">
        <v>4098</v>
      </c>
      <c r="E569" s="10" t="s">
        <v>31</v>
      </c>
      <c r="F569" s="10" t="s">
        <v>32</v>
      </c>
      <c r="G569" s="46" t="s">
        <v>4069</v>
      </c>
      <c r="H569" s="28" t="s">
        <v>34</v>
      </c>
      <c r="I569" s="10" t="s">
        <v>35</v>
      </c>
      <c r="J569" s="66">
        <v>505.0</v>
      </c>
      <c r="K569" s="9" t="s">
        <v>4099</v>
      </c>
      <c r="L569" s="13">
        <v>2.0</v>
      </c>
      <c r="M569" s="13">
        <v>2.0</v>
      </c>
      <c r="N569" s="13"/>
      <c r="O569" s="13"/>
      <c r="P569" s="13"/>
      <c r="Q569" s="13"/>
      <c r="R569" s="13"/>
      <c r="S569" s="13" t="s">
        <v>2361</v>
      </c>
      <c r="T569" s="13" t="s">
        <v>2362</v>
      </c>
      <c r="U569" s="12" t="s">
        <v>2392</v>
      </c>
      <c r="V569" s="12" t="s">
        <v>2392</v>
      </c>
      <c r="W569" s="13"/>
      <c r="X569" s="13"/>
      <c r="Y569" s="13"/>
      <c r="Z569" s="13"/>
      <c r="AA569" s="13"/>
      <c r="AB569" s="13"/>
      <c r="AC569" s="14" t="s">
        <v>4100</v>
      </c>
      <c r="AD569" s="13"/>
      <c r="AE569" s="13"/>
    </row>
    <row r="570">
      <c r="A570" s="9" t="s">
        <v>3188</v>
      </c>
      <c r="B570" s="9" t="s">
        <v>4101</v>
      </c>
      <c r="C570" s="9" t="s">
        <v>4102</v>
      </c>
      <c r="D570" s="12" t="s">
        <v>4103</v>
      </c>
      <c r="E570" s="10" t="s">
        <v>31</v>
      </c>
      <c r="F570" s="10" t="s">
        <v>32</v>
      </c>
      <c r="G570" s="46" t="s">
        <v>4069</v>
      </c>
      <c r="H570" s="28" t="s">
        <v>34</v>
      </c>
      <c r="I570" s="10" t="s">
        <v>35</v>
      </c>
      <c r="J570" s="66">
        <v>506.0</v>
      </c>
      <c r="K570" s="9" t="s">
        <v>4104</v>
      </c>
      <c r="L570" s="13">
        <v>2.0</v>
      </c>
      <c r="M570" s="13">
        <v>2.0</v>
      </c>
      <c r="N570" s="46" t="s">
        <v>4105</v>
      </c>
      <c r="O570" s="13"/>
      <c r="P570" s="13"/>
      <c r="Q570" s="13"/>
      <c r="R570" s="13"/>
      <c r="S570" s="13" t="s">
        <v>2361</v>
      </c>
      <c r="T570" s="13" t="s">
        <v>2362</v>
      </c>
      <c r="U570" s="12" t="s">
        <v>2392</v>
      </c>
      <c r="V570" s="12" t="s">
        <v>3464</v>
      </c>
      <c r="W570" s="46" t="s">
        <v>2313</v>
      </c>
      <c r="X570" s="46" t="s">
        <v>2314</v>
      </c>
      <c r="Y570" s="50">
        <v>44047.0</v>
      </c>
      <c r="Z570" s="50">
        <v>44047.0</v>
      </c>
      <c r="AA570" s="13"/>
      <c r="AB570" s="13"/>
      <c r="AC570" s="14" t="s">
        <v>4106</v>
      </c>
      <c r="AD570" s="13"/>
      <c r="AE570" s="13"/>
    </row>
    <row r="571">
      <c r="A571" s="9" t="s">
        <v>3188</v>
      </c>
      <c r="B571" s="9" t="s">
        <v>4101</v>
      </c>
      <c r="C571" s="9" t="s">
        <v>4107</v>
      </c>
      <c r="D571" s="12" t="s">
        <v>4108</v>
      </c>
      <c r="E571" s="10" t="s">
        <v>31</v>
      </c>
      <c r="F571" s="10" t="s">
        <v>32</v>
      </c>
      <c r="G571" s="46" t="s">
        <v>4069</v>
      </c>
      <c r="H571" s="28" t="s">
        <v>34</v>
      </c>
      <c r="I571" s="10" t="s">
        <v>35</v>
      </c>
      <c r="J571" s="13">
        <v>507.0</v>
      </c>
      <c r="K571" s="12" t="s">
        <v>4109</v>
      </c>
      <c r="L571" s="13">
        <v>1.0</v>
      </c>
      <c r="M571" s="13">
        <v>1.0</v>
      </c>
      <c r="N571" s="13"/>
      <c r="O571" s="13"/>
      <c r="P571" s="13"/>
      <c r="Q571" s="13"/>
      <c r="R571" s="13"/>
      <c r="S571" s="13" t="s">
        <v>2361</v>
      </c>
      <c r="T571" s="13" t="s">
        <v>2362</v>
      </c>
      <c r="U571" s="12" t="s">
        <v>3464</v>
      </c>
      <c r="V571" s="12" t="s">
        <v>3464</v>
      </c>
      <c r="W571" s="13"/>
      <c r="X571" s="13"/>
      <c r="Y571" s="13"/>
      <c r="Z571" s="13"/>
      <c r="AA571" s="13"/>
      <c r="AB571" s="13"/>
      <c r="AC571" s="14" t="s">
        <v>4110</v>
      </c>
      <c r="AD571" s="13"/>
      <c r="AE571" s="13"/>
    </row>
    <row r="572">
      <c r="A572" s="9" t="s">
        <v>3188</v>
      </c>
      <c r="B572" s="9" t="s">
        <v>4101</v>
      </c>
      <c r="C572" s="9" t="s">
        <v>4111</v>
      </c>
      <c r="D572" s="12" t="s">
        <v>4112</v>
      </c>
      <c r="E572" s="10" t="s">
        <v>31</v>
      </c>
      <c r="F572" s="10" t="s">
        <v>32</v>
      </c>
      <c r="G572" s="46" t="s">
        <v>4069</v>
      </c>
      <c r="H572" s="28" t="s">
        <v>34</v>
      </c>
      <c r="I572" s="10" t="s">
        <v>35</v>
      </c>
      <c r="J572" s="13" t="s">
        <v>4113</v>
      </c>
      <c r="K572" s="12" t="s">
        <v>4114</v>
      </c>
      <c r="L572" s="13">
        <v>2.0</v>
      </c>
      <c r="M572" s="13">
        <v>2.0</v>
      </c>
      <c r="N572" s="13"/>
      <c r="O572" s="13"/>
      <c r="P572" s="13"/>
      <c r="Q572" s="13"/>
      <c r="R572" s="13"/>
      <c r="S572" s="13" t="s">
        <v>2361</v>
      </c>
      <c r="T572" s="13" t="s">
        <v>2362</v>
      </c>
      <c r="U572" s="12" t="s">
        <v>3464</v>
      </c>
      <c r="V572" s="12" t="s">
        <v>3464</v>
      </c>
      <c r="W572" s="46" t="s">
        <v>2313</v>
      </c>
      <c r="X572" s="46" t="s">
        <v>2314</v>
      </c>
      <c r="Y572" s="50">
        <v>44047.0</v>
      </c>
      <c r="Z572" s="50">
        <v>44047.0</v>
      </c>
      <c r="AA572" s="13"/>
      <c r="AB572" s="13"/>
      <c r="AC572" s="14" t="s">
        <v>4115</v>
      </c>
      <c r="AD572" s="13"/>
      <c r="AE572" s="13"/>
    </row>
    <row r="573">
      <c r="A573" s="9" t="s">
        <v>3188</v>
      </c>
      <c r="B573" s="9" t="s">
        <v>4101</v>
      </c>
      <c r="C573" s="9" t="s">
        <v>4116</v>
      </c>
      <c r="D573" s="12" t="s">
        <v>4117</v>
      </c>
      <c r="E573" s="10" t="s">
        <v>31</v>
      </c>
      <c r="F573" s="10" t="s">
        <v>32</v>
      </c>
      <c r="G573" s="13" t="s">
        <v>4118</v>
      </c>
      <c r="H573" s="13"/>
      <c r="I573" s="10"/>
      <c r="J573" s="13" t="s">
        <v>4119</v>
      </c>
      <c r="K573" s="12" t="s">
        <v>4120</v>
      </c>
      <c r="L573" s="13">
        <v>6.0</v>
      </c>
      <c r="M573" s="13">
        <v>4.0</v>
      </c>
      <c r="N573" s="13"/>
      <c r="O573" s="13"/>
      <c r="P573" s="13"/>
      <c r="Q573" s="13"/>
      <c r="R573" s="13"/>
      <c r="S573" s="13" t="s">
        <v>2361</v>
      </c>
      <c r="T573" s="13" t="s">
        <v>2362</v>
      </c>
      <c r="U573" s="12" t="s">
        <v>3464</v>
      </c>
      <c r="V573" s="12" t="s">
        <v>3464</v>
      </c>
      <c r="W573" s="46" t="s">
        <v>2313</v>
      </c>
      <c r="X573" s="46" t="s">
        <v>2314</v>
      </c>
      <c r="Y573" s="50">
        <v>44034.0</v>
      </c>
      <c r="Z573" s="50">
        <v>44034.0</v>
      </c>
      <c r="AA573" s="13"/>
      <c r="AB573" s="13"/>
      <c r="AC573" s="14" t="s">
        <v>4121</v>
      </c>
      <c r="AD573" s="13"/>
      <c r="AE573" s="13"/>
    </row>
    <row r="574">
      <c r="A574" s="9" t="s">
        <v>3188</v>
      </c>
      <c r="B574" s="9" t="s">
        <v>4101</v>
      </c>
      <c r="C574" s="10" t="s">
        <v>4122</v>
      </c>
      <c r="D574" s="12" t="s">
        <v>4123</v>
      </c>
      <c r="E574" s="10" t="s">
        <v>31</v>
      </c>
      <c r="F574" s="10" t="s">
        <v>32</v>
      </c>
      <c r="G574" s="13" t="s">
        <v>4124</v>
      </c>
      <c r="H574" s="18" t="s">
        <v>3938</v>
      </c>
      <c r="I574" s="18" t="s">
        <v>737</v>
      </c>
      <c r="J574" s="13" t="s">
        <v>4125</v>
      </c>
      <c r="K574" s="12" t="s">
        <v>4126</v>
      </c>
      <c r="L574" s="13">
        <v>6.0</v>
      </c>
      <c r="M574" s="13">
        <v>4.0</v>
      </c>
      <c r="N574" s="13"/>
      <c r="O574" s="13"/>
      <c r="P574" s="46" t="s">
        <v>1958</v>
      </c>
      <c r="Q574" s="46"/>
      <c r="R574" s="46" t="s">
        <v>4127</v>
      </c>
      <c r="S574" s="13" t="s">
        <v>2361</v>
      </c>
      <c r="T574" s="13" t="s">
        <v>2362</v>
      </c>
      <c r="U574" s="12" t="s">
        <v>3464</v>
      </c>
      <c r="V574" s="12" t="s">
        <v>3464</v>
      </c>
      <c r="W574" s="46" t="s">
        <v>2313</v>
      </c>
      <c r="X574" s="46" t="s">
        <v>2314</v>
      </c>
      <c r="Y574" s="50">
        <v>44047.0</v>
      </c>
      <c r="Z574" s="50">
        <v>44047.0</v>
      </c>
      <c r="AA574" s="13"/>
      <c r="AB574" s="13"/>
      <c r="AC574" s="14" t="s">
        <v>4128</v>
      </c>
      <c r="AD574" s="13"/>
      <c r="AE574" s="13"/>
    </row>
    <row r="575">
      <c r="A575" s="9" t="s">
        <v>3188</v>
      </c>
      <c r="B575" s="9" t="s">
        <v>4101</v>
      </c>
      <c r="C575" s="9" t="s">
        <v>4129</v>
      </c>
      <c r="D575" s="12" t="s">
        <v>4130</v>
      </c>
      <c r="E575" s="10" t="s">
        <v>31</v>
      </c>
      <c r="F575" s="10" t="s">
        <v>32</v>
      </c>
      <c r="G575" s="46" t="s">
        <v>4069</v>
      </c>
      <c r="H575" s="28" t="s">
        <v>34</v>
      </c>
      <c r="I575" s="10" t="s">
        <v>35</v>
      </c>
      <c r="J575" s="13"/>
      <c r="K575" s="12"/>
      <c r="L575" s="13">
        <v>2.0</v>
      </c>
      <c r="M575" s="13">
        <v>2.0</v>
      </c>
      <c r="N575" s="13"/>
      <c r="O575" s="13"/>
      <c r="P575" s="13"/>
      <c r="Q575" s="13"/>
      <c r="R575" s="13"/>
      <c r="S575" s="13" t="s">
        <v>2361</v>
      </c>
      <c r="T575" s="13" t="s">
        <v>2362</v>
      </c>
      <c r="U575" s="12" t="s">
        <v>3464</v>
      </c>
      <c r="V575" s="12" t="s">
        <v>3464</v>
      </c>
      <c r="W575" s="13"/>
      <c r="X575" s="13"/>
      <c r="Y575" s="13"/>
      <c r="Z575" s="13"/>
      <c r="AA575" s="13"/>
      <c r="AB575" s="13"/>
      <c r="AC575" s="14" t="s">
        <v>4131</v>
      </c>
      <c r="AD575" s="13"/>
      <c r="AE575" s="13"/>
    </row>
    <row r="576">
      <c r="A576" s="9" t="s">
        <v>3188</v>
      </c>
      <c r="B576" s="9" t="s">
        <v>950</v>
      </c>
      <c r="C576" s="9" t="s">
        <v>4132</v>
      </c>
      <c r="D576" s="9" t="s">
        <v>4133</v>
      </c>
      <c r="E576" s="10" t="s">
        <v>31</v>
      </c>
      <c r="F576" s="10" t="s">
        <v>32</v>
      </c>
      <c r="G576" s="46" t="s">
        <v>4134</v>
      </c>
      <c r="H576" s="28" t="s">
        <v>34</v>
      </c>
      <c r="I576" s="10" t="s">
        <v>35</v>
      </c>
      <c r="J576" s="66">
        <v>514.0</v>
      </c>
      <c r="K576" s="9" t="s">
        <v>4135</v>
      </c>
      <c r="L576" s="18">
        <v>1.0</v>
      </c>
      <c r="M576" s="18">
        <v>1.0</v>
      </c>
      <c r="N576" s="18" t="s">
        <v>4136</v>
      </c>
      <c r="O576" s="13"/>
      <c r="P576" s="18" t="s">
        <v>4137</v>
      </c>
      <c r="Q576" s="18" t="s">
        <v>4138</v>
      </c>
      <c r="R576" s="18" t="s">
        <v>4139</v>
      </c>
      <c r="S576" s="46" t="s">
        <v>2526</v>
      </c>
      <c r="T576" s="46" t="s">
        <v>2527</v>
      </c>
      <c r="U576" s="9" t="s">
        <v>2392</v>
      </c>
      <c r="V576" s="10" t="s">
        <v>4140</v>
      </c>
      <c r="W576" s="18" t="s">
        <v>4141</v>
      </c>
      <c r="X576" s="18" t="s">
        <v>4142</v>
      </c>
      <c r="Y576" s="31">
        <v>45111.0</v>
      </c>
      <c r="Z576" s="13"/>
      <c r="AA576" s="13"/>
      <c r="AB576" s="13"/>
      <c r="AC576" s="14" t="s">
        <v>4143</v>
      </c>
      <c r="AD576" s="13"/>
      <c r="AE576" s="13"/>
    </row>
    <row r="577">
      <c r="A577" s="9" t="s">
        <v>3188</v>
      </c>
      <c r="B577" s="9" t="s">
        <v>950</v>
      </c>
      <c r="C577" s="10" t="s">
        <v>4144</v>
      </c>
      <c r="D577" s="9" t="s">
        <v>4145</v>
      </c>
      <c r="E577" s="10" t="s">
        <v>31</v>
      </c>
      <c r="F577" s="10" t="s">
        <v>32</v>
      </c>
      <c r="G577" s="46" t="s">
        <v>4146</v>
      </c>
      <c r="H577" s="47" t="s">
        <v>4147</v>
      </c>
      <c r="I577" s="47" t="s">
        <v>1757</v>
      </c>
      <c r="J577" s="61">
        <v>515.0</v>
      </c>
      <c r="K577" s="9" t="s">
        <v>4148</v>
      </c>
      <c r="L577" s="46">
        <v>3.0</v>
      </c>
      <c r="M577" s="46">
        <v>2.0</v>
      </c>
      <c r="N577" s="13"/>
      <c r="O577" s="13"/>
      <c r="P577" s="18" t="s">
        <v>1026</v>
      </c>
      <c r="Q577" s="18" t="s">
        <v>1429</v>
      </c>
      <c r="R577" s="18" t="s">
        <v>4149</v>
      </c>
      <c r="S577" s="46" t="s">
        <v>2526</v>
      </c>
      <c r="T577" s="46" t="s">
        <v>2527</v>
      </c>
      <c r="U577" s="9" t="s">
        <v>2392</v>
      </c>
      <c r="V577" s="9" t="s">
        <v>3237</v>
      </c>
      <c r="W577" s="46" t="s">
        <v>2313</v>
      </c>
      <c r="X577" s="46" t="s">
        <v>2314</v>
      </c>
      <c r="Y577" s="50">
        <v>44029.0</v>
      </c>
      <c r="Z577" s="50">
        <v>44029.0</v>
      </c>
      <c r="AA577" s="13"/>
      <c r="AB577" s="13"/>
      <c r="AC577" s="14" t="s">
        <v>4150</v>
      </c>
      <c r="AD577" s="13"/>
      <c r="AE577" s="13"/>
    </row>
    <row r="578">
      <c r="A578" s="9" t="s">
        <v>3188</v>
      </c>
      <c r="B578" s="9" t="s">
        <v>950</v>
      </c>
      <c r="C578" s="10" t="s">
        <v>4151</v>
      </c>
      <c r="D578" s="10" t="s">
        <v>4152</v>
      </c>
      <c r="E578" s="10" t="s">
        <v>31</v>
      </c>
      <c r="F578" s="10" t="s">
        <v>32</v>
      </c>
      <c r="G578" s="46" t="s">
        <v>4153</v>
      </c>
      <c r="H578" s="29" t="s">
        <v>769</v>
      </c>
      <c r="I578" s="29" t="s">
        <v>770</v>
      </c>
      <c r="J578" s="46">
        <v>516.0</v>
      </c>
      <c r="K578" s="9" t="s">
        <v>4154</v>
      </c>
      <c r="L578" s="46">
        <v>3.0</v>
      </c>
      <c r="M578" s="46">
        <v>2.0</v>
      </c>
      <c r="N578" s="13"/>
      <c r="O578" s="13"/>
      <c r="P578" s="18" t="s">
        <v>1026</v>
      </c>
      <c r="Q578" s="18" t="s">
        <v>1429</v>
      </c>
      <c r="R578" s="18" t="s">
        <v>4155</v>
      </c>
      <c r="S578" s="46" t="s">
        <v>2526</v>
      </c>
      <c r="T578" s="46" t="s">
        <v>2527</v>
      </c>
      <c r="U578" s="9" t="s">
        <v>3237</v>
      </c>
      <c r="V578" s="9" t="s">
        <v>3237</v>
      </c>
      <c r="W578" s="46" t="s">
        <v>2313</v>
      </c>
      <c r="X578" s="46" t="s">
        <v>2314</v>
      </c>
      <c r="Y578" s="50">
        <v>44047.0</v>
      </c>
      <c r="Z578" s="50">
        <v>44047.0</v>
      </c>
      <c r="AA578" s="13"/>
      <c r="AB578" s="13"/>
      <c r="AC578" s="14" t="s">
        <v>4156</v>
      </c>
      <c r="AD578" s="13"/>
      <c r="AE578" s="13"/>
    </row>
    <row r="579">
      <c r="A579" s="9" t="s">
        <v>3188</v>
      </c>
      <c r="B579" s="9" t="s">
        <v>950</v>
      </c>
      <c r="C579" s="9" t="s">
        <v>4157</v>
      </c>
      <c r="D579" s="10" t="s">
        <v>4158</v>
      </c>
      <c r="E579" s="10" t="s">
        <v>31</v>
      </c>
      <c r="F579" s="10" t="s">
        <v>32</v>
      </c>
      <c r="G579" s="46" t="s">
        <v>4069</v>
      </c>
      <c r="H579" s="29" t="s">
        <v>34</v>
      </c>
      <c r="I579" s="10" t="s">
        <v>35</v>
      </c>
      <c r="J579" s="46">
        <v>517.0</v>
      </c>
      <c r="K579" s="9" t="s">
        <v>4159</v>
      </c>
      <c r="L579" s="18">
        <v>1.0</v>
      </c>
      <c r="M579" s="18">
        <v>1.0</v>
      </c>
      <c r="N579" s="13"/>
      <c r="O579" s="13"/>
      <c r="P579" s="18" t="s">
        <v>4160</v>
      </c>
      <c r="Q579" s="18" t="s">
        <v>4161</v>
      </c>
      <c r="R579" s="18" t="s">
        <v>4162</v>
      </c>
      <c r="S579" s="46" t="s">
        <v>2526</v>
      </c>
      <c r="T579" s="46" t="s">
        <v>2527</v>
      </c>
      <c r="U579" s="9" t="s">
        <v>3237</v>
      </c>
      <c r="V579" s="10" t="s">
        <v>4163</v>
      </c>
      <c r="W579" s="18" t="s">
        <v>4141</v>
      </c>
      <c r="X579" s="18" t="s">
        <v>4142</v>
      </c>
      <c r="Y579" s="31">
        <v>45111.0</v>
      </c>
      <c r="Z579" s="13"/>
      <c r="AA579" s="13"/>
      <c r="AB579" s="13"/>
      <c r="AC579" s="14" t="s">
        <v>4164</v>
      </c>
      <c r="AD579" s="13"/>
      <c r="AE579" s="13"/>
    </row>
    <row r="580">
      <c r="A580" s="9" t="s">
        <v>3188</v>
      </c>
      <c r="B580" s="9" t="s">
        <v>950</v>
      </c>
      <c r="C580" s="9" t="s">
        <v>4165</v>
      </c>
      <c r="D580" s="12" t="s">
        <v>4166</v>
      </c>
      <c r="E580" s="10" t="s">
        <v>31</v>
      </c>
      <c r="F580" s="10" t="s">
        <v>32</v>
      </c>
      <c r="G580" s="46" t="s">
        <v>4069</v>
      </c>
      <c r="H580" s="18" t="s">
        <v>34</v>
      </c>
      <c r="I580" s="10" t="s">
        <v>35</v>
      </c>
      <c r="J580" s="13" t="s">
        <v>4167</v>
      </c>
      <c r="K580" s="12" t="s">
        <v>4168</v>
      </c>
      <c r="L580" s="13">
        <v>3.0</v>
      </c>
      <c r="M580" s="13">
        <v>3.0</v>
      </c>
      <c r="N580" s="13"/>
      <c r="O580" s="18" t="s">
        <v>4169</v>
      </c>
      <c r="P580" s="18" t="s">
        <v>4170</v>
      </c>
      <c r="Q580" s="18" t="s">
        <v>4171</v>
      </c>
      <c r="R580" s="18" t="s">
        <v>4172</v>
      </c>
      <c r="S580" s="13" t="s">
        <v>2361</v>
      </c>
      <c r="T580" s="13" t="s">
        <v>2362</v>
      </c>
      <c r="U580" s="12" t="s">
        <v>3464</v>
      </c>
      <c r="V580" s="12" t="s">
        <v>3532</v>
      </c>
      <c r="W580" s="13"/>
      <c r="X580" s="13"/>
      <c r="Y580" s="13"/>
      <c r="Z580" s="13"/>
      <c r="AA580" s="13"/>
      <c r="AB580" s="13"/>
      <c r="AC580" s="14" t="s">
        <v>4173</v>
      </c>
      <c r="AD580" s="13"/>
      <c r="AE580" s="13"/>
    </row>
    <row r="581">
      <c r="A581" s="9" t="s">
        <v>3188</v>
      </c>
      <c r="B581" s="9" t="s">
        <v>4174</v>
      </c>
      <c r="C581" s="9" t="s">
        <v>4175</v>
      </c>
      <c r="D581" s="12" t="s">
        <v>4176</v>
      </c>
      <c r="E581" s="10" t="s">
        <v>31</v>
      </c>
      <c r="F581" s="10" t="s">
        <v>32</v>
      </c>
      <c r="G581" s="46" t="s">
        <v>4069</v>
      </c>
      <c r="H581" s="28" t="s">
        <v>34</v>
      </c>
      <c r="I581" s="10" t="s">
        <v>35</v>
      </c>
      <c r="J581" s="13">
        <v>521.0</v>
      </c>
      <c r="K581" s="12" t="s">
        <v>4177</v>
      </c>
      <c r="L581" s="13">
        <v>1.0</v>
      </c>
      <c r="M581" s="13">
        <v>1.0</v>
      </c>
      <c r="N581" s="46"/>
      <c r="O581" s="13"/>
      <c r="P581" s="13"/>
      <c r="Q581" s="13"/>
      <c r="R581" s="18" t="s">
        <v>4178</v>
      </c>
      <c r="S581" s="13" t="s">
        <v>2361</v>
      </c>
      <c r="T581" s="13" t="s">
        <v>2362</v>
      </c>
      <c r="U581" s="12" t="s">
        <v>3464</v>
      </c>
      <c r="V581" s="12" t="s">
        <v>3464</v>
      </c>
      <c r="W581" s="46"/>
      <c r="X581" s="46"/>
      <c r="Y581" s="50"/>
      <c r="Z581" s="13"/>
      <c r="AA581" s="13"/>
      <c r="AB581" s="13"/>
      <c r="AC581" s="14" t="s">
        <v>4179</v>
      </c>
      <c r="AD581" s="13"/>
      <c r="AE581" s="13"/>
    </row>
    <row r="582">
      <c r="A582" s="9" t="s">
        <v>3188</v>
      </c>
      <c r="B582" s="9" t="s">
        <v>4174</v>
      </c>
      <c r="C582" s="9" t="s">
        <v>4180</v>
      </c>
      <c r="D582" s="14" t="s">
        <v>4181</v>
      </c>
      <c r="E582" s="10" t="s">
        <v>31</v>
      </c>
      <c r="F582" s="10" t="s">
        <v>32</v>
      </c>
      <c r="G582" s="13" t="s">
        <v>4182</v>
      </c>
      <c r="H582" s="18" t="s">
        <v>4183</v>
      </c>
      <c r="I582" s="18" t="s">
        <v>770</v>
      </c>
      <c r="J582" s="13" t="s">
        <v>4184</v>
      </c>
      <c r="K582" s="12" t="s">
        <v>4185</v>
      </c>
      <c r="L582" s="13">
        <v>6.0</v>
      </c>
      <c r="M582" s="13">
        <v>6.0</v>
      </c>
      <c r="N582" s="46" t="s">
        <v>2525</v>
      </c>
      <c r="O582" s="13"/>
      <c r="P582" s="18" t="s">
        <v>4186</v>
      </c>
      <c r="Q582" s="18" t="s">
        <v>4187</v>
      </c>
      <c r="R582" s="18" t="s">
        <v>4188</v>
      </c>
      <c r="S582" s="13" t="s">
        <v>2361</v>
      </c>
      <c r="T582" s="13" t="s">
        <v>2362</v>
      </c>
      <c r="U582" s="12" t="s">
        <v>3464</v>
      </c>
      <c r="V582" s="12" t="s">
        <v>3464</v>
      </c>
      <c r="W582" s="46" t="s">
        <v>2313</v>
      </c>
      <c r="X582" s="46" t="s">
        <v>2314</v>
      </c>
      <c r="Y582" s="50">
        <v>44047.0</v>
      </c>
      <c r="Z582" s="50">
        <v>44047.0</v>
      </c>
      <c r="AA582" s="13"/>
      <c r="AB582" s="13"/>
      <c r="AC582" s="14" t="s">
        <v>4189</v>
      </c>
      <c r="AD582" s="13"/>
      <c r="AE582" s="13"/>
    </row>
    <row r="583">
      <c r="A583" s="9" t="s">
        <v>3188</v>
      </c>
      <c r="B583" s="9" t="s">
        <v>4174</v>
      </c>
      <c r="C583" s="9" t="s">
        <v>4190</v>
      </c>
      <c r="D583" s="12" t="s">
        <v>4191</v>
      </c>
      <c r="E583" s="10" t="s">
        <v>31</v>
      </c>
      <c r="F583" s="10" t="s">
        <v>32</v>
      </c>
      <c r="G583" s="46" t="s">
        <v>4069</v>
      </c>
      <c r="H583" s="28" t="s">
        <v>34</v>
      </c>
      <c r="I583" s="10" t="s">
        <v>35</v>
      </c>
      <c r="J583" s="13">
        <v>525.0</v>
      </c>
      <c r="K583" s="12" t="s">
        <v>4192</v>
      </c>
      <c r="L583" s="13">
        <v>1.0</v>
      </c>
      <c r="M583" s="13">
        <v>1.0</v>
      </c>
      <c r="N583" s="18" t="s">
        <v>4136</v>
      </c>
      <c r="O583" s="13"/>
      <c r="P583" s="13"/>
      <c r="Q583" s="18" t="s">
        <v>4193</v>
      </c>
      <c r="R583" s="18" t="s">
        <v>4194</v>
      </c>
      <c r="S583" s="13" t="s">
        <v>2361</v>
      </c>
      <c r="T583" s="13" t="s">
        <v>2362</v>
      </c>
      <c r="U583" s="12" t="s">
        <v>3464</v>
      </c>
      <c r="V583" s="12" t="s">
        <v>3464</v>
      </c>
      <c r="W583" s="13"/>
      <c r="X583" s="13"/>
      <c r="Y583" s="13"/>
      <c r="Z583" s="13"/>
      <c r="AA583" s="13"/>
      <c r="AB583" s="13"/>
      <c r="AC583" s="14" t="s">
        <v>4195</v>
      </c>
      <c r="AD583" s="13"/>
      <c r="AE583" s="13"/>
    </row>
    <row r="584">
      <c r="A584" s="9" t="s">
        <v>3188</v>
      </c>
      <c r="B584" s="9" t="s">
        <v>4174</v>
      </c>
      <c r="C584" s="9" t="s">
        <v>4196</v>
      </c>
      <c r="D584" s="12" t="s">
        <v>4197</v>
      </c>
      <c r="E584" s="10" t="s">
        <v>31</v>
      </c>
      <c r="F584" s="10" t="s">
        <v>32</v>
      </c>
      <c r="G584" s="46" t="s">
        <v>4069</v>
      </c>
      <c r="H584" s="28" t="s">
        <v>34</v>
      </c>
      <c r="I584" s="10" t="s">
        <v>35</v>
      </c>
      <c r="J584" s="13">
        <v>526.0</v>
      </c>
      <c r="K584" s="12" t="s">
        <v>4198</v>
      </c>
      <c r="L584" s="13">
        <v>1.0</v>
      </c>
      <c r="M584" s="13">
        <v>1.0</v>
      </c>
      <c r="N584" s="64" t="s">
        <v>4199</v>
      </c>
      <c r="O584" s="13"/>
      <c r="P584" s="18" t="s">
        <v>4200</v>
      </c>
      <c r="Q584" s="18" t="s">
        <v>4201</v>
      </c>
      <c r="R584" s="18" t="s">
        <v>4202</v>
      </c>
      <c r="S584" s="13" t="s">
        <v>2361</v>
      </c>
      <c r="T584" s="13" t="s">
        <v>2362</v>
      </c>
      <c r="U584" s="12" t="s">
        <v>3464</v>
      </c>
      <c r="V584" s="12" t="s">
        <v>3464</v>
      </c>
      <c r="W584" s="13"/>
      <c r="X584" s="13"/>
      <c r="Y584" s="13"/>
      <c r="Z584" s="13"/>
      <c r="AA584" s="13"/>
      <c r="AB584" s="13"/>
      <c r="AC584" s="14" t="s">
        <v>4203</v>
      </c>
      <c r="AD584" s="13"/>
      <c r="AE584" s="13"/>
    </row>
    <row r="585">
      <c r="A585" s="9" t="s">
        <v>3188</v>
      </c>
      <c r="B585" s="9" t="s">
        <v>1661</v>
      </c>
      <c r="C585" s="9" t="s">
        <v>4204</v>
      </c>
      <c r="D585" s="9" t="s">
        <v>4205</v>
      </c>
      <c r="E585" s="10" t="s">
        <v>31</v>
      </c>
      <c r="F585" s="10" t="s">
        <v>32</v>
      </c>
      <c r="G585" s="46" t="s">
        <v>4069</v>
      </c>
      <c r="H585" s="28" t="s">
        <v>34</v>
      </c>
      <c r="I585" s="10" t="s">
        <v>35</v>
      </c>
      <c r="J585" s="70">
        <v>13150.0</v>
      </c>
      <c r="K585" s="9" t="s">
        <v>4206</v>
      </c>
      <c r="L585" s="46">
        <v>2.0</v>
      </c>
      <c r="M585" s="46">
        <v>2.0</v>
      </c>
      <c r="N585" s="13"/>
      <c r="O585" s="13"/>
      <c r="P585" s="29" t="s">
        <v>4207</v>
      </c>
      <c r="Q585" s="18" t="s">
        <v>4208</v>
      </c>
      <c r="R585" s="75" t="s">
        <v>4209</v>
      </c>
      <c r="S585" s="46" t="s">
        <v>2569</v>
      </c>
      <c r="T585" s="46" t="s">
        <v>2570</v>
      </c>
      <c r="U585" s="9" t="s">
        <v>2392</v>
      </c>
      <c r="V585" s="9" t="s">
        <v>2392</v>
      </c>
      <c r="W585" s="46" t="s">
        <v>2313</v>
      </c>
      <c r="X585" s="46" t="s">
        <v>2314</v>
      </c>
      <c r="Y585" s="50">
        <v>44047.0</v>
      </c>
      <c r="Z585" s="50">
        <v>44047.0</v>
      </c>
      <c r="AA585" s="13"/>
      <c r="AB585" s="13"/>
      <c r="AC585" s="14" t="s">
        <v>4210</v>
      </c>
      <c r="AD585" s="13"/>
      <c r="AE585" s="13"/>
    </row>
    <row r="586">
      <c r="A586" s="9" t="s">
        <v>3188</v>
      </c>
      <c r="B586" s="9" t="s">
        <v>1661</v>
      </c>
      <c r="C586" s="9" t="s">
        <v>4211</v>
      </c>
      <c r="D586" s="9" t="s">
        <v>4212</v>
      </c>
      <c r="E586" s="10" t="s">
        <v>31</v>
      </c>
      <c r="F586" s="10" t="s">
        <v>32</v>
      </c>
      <c r="G586" s="46" t="s">
        <v>4069</v>
      </c>
      <c r="H586" s="28" t="s">
        <v>34</v>
      </c>
      <c r="I586" s="10" t="s">
        <v>35</v>
      </c>
      <c r="J586" s="70">
        <v>13181.0</v>
      </c>
      <c r="K586" s="9" t="s">
        <v>4213</v>
      </c>
      <c r="L586" s="46">
        <v>1.0</v>
      </c>
      <c r="M586" s="13">
        <v>1.0</v>
      </c>
      <c r="N586" s="13"/>
      <c r="O586" s="13"/>
      <c r="P586" s="18" t="s">
        <v>4214</v>
      </c>
      <c r="Q586" s="18" t="s">
        <v>4215</v>
      </c>
      <c r="R586" s="64" t="s">
        <v>4216</v>
      </c>
      <c r="S586" s="46" t="s">
        <v>2569</v>
      </c>
      <c r="T586" s="46" t="s">
        <v>2570</v>
      </c>
      <c r="U586" s="9" t="s">
        <v>3424</v>
      </c>
      <c r="V586" s="9" t="s">
        <v>3424</v>
      </c>
      <c r="W586" s="13"/>
      <c r="X586" s="13"/>
      <c r="Y586" s="13"/>
      <c r="Z586" s="13"/>
      <c r="AA586" s="13"/>
      <c r="AB586" s="13"/>
      <c r="AC586" s="14" t="s">
        <v>4217</v>
      </c>
      <c r="AD586" s="13"/>
      <c r="AE586" s="13"/>
    </row>
    <row r="587">
      <c r="A587" s="9" t="s">
        <v>3188</v>
      </c>
      <c r="B587" s="9" t="s">
        <v>1661</v>
      </c>
      <c r="C587" s="9" t="s">
        <v>4218</v>
      </c>
      <c r="D587" s="9" t="s">
        <v>4219</v>
      </c>
      <c r="E587" s="10" t="s">
        <v>31</v>
      </c>
      <c r="F587" s="10" t="s">
        <v>32</v>
      </c>
      <c r="G587" s="46" t="s">
        <v>4069</v>
      </c>
      <c r="H587" s="28" t="s">
        <v>34</v>
      </c>
      <c r="I587" s="10" t="s">
        <v>35</v>
      </c>
      <c r="J587" s="70">
        <v>13210.0</v>
      </c>
      <c r="K587" s="9" t="s">
        <v>4220</v>
      </c>
      <c r="L587" s="46">
        <v>1.0</v>
      </c>
      <c r="M587" s="13">
        <v>1.0</v>
      </c>
      <c r="N587" s="13"/>
      <c r="O587" s="13"/>
      <c r="P587" s="18" t="s">
        <v>4221</v>
      </c>
      <c r="Q587" s="18" t="s">
        <v>4222</v>
      </c>
      <c r="R587" s="18" t="s">
        <v>4223</v>
      </c>
      <c r="S587" s="46" t="s">
        <v>2569</v>
      </c>
      <c r="T587" s="46" t="s">
        <v>2570</v>
      </c>
      <c r="U587" s="9" t="s">
        <v>3424</v>
      </c>
      <c r="V587" s="9" t="s">
        <v>3424</v>
      </c>
      <c r="W587" s="13"/>
      <c r="X587" s="13"/>
      <c r="Y587" s="13"/>
      <c r="Z587" s="13"/>
      <c r="AA587" s="13"/>
      <c r="AB587" s="13"/>
      <c r="AC587" s="14" t="s">
        <v>4224</v>
      </c>
      <c r="AD587" s="13"/>
      <c r="AE587" s="13"/>
    </row>
    <row r="588">
      <c r="A588" s="9" t="s">
        <v>3188</v>
      </c>
      <c r="B588" s="9" t="s">
        <v>1661</v>
      </c>
      <c r="C588" s="9" t="s">
        <v>4225</v>
      </c>
      <c r="D588" s="9" t="s">
        <v>4226</v>
      </c>
      <c r="E588" s="10" t="s">
        <v>31</v>
      </c>
      <c r="F588" s="10" t="s">
        <v>32</v>
      </c>
      <c r="G588" s="46" t="s">
        <v>4069</v>
      </c>
      <c r="H588" s="28" t="s">
        <v>34</v>
      </c>
      <c r="I588" s="10" t="s">
        <v>35</v>
      </c>
      <c r="J588" s="70">
        <v>13241.0</v>
      </c>
      <c r="K588" s="9" t="s">
        <v>4227</v>
      </c>
      <c r="L588" s="46">
        <v>1.0</v>
      </c>
      <c r="M588" s="13">
        <v>1.0</v>
      </c>
      <c r="N588" s="13"/>
      <c r="O588" s="13"/>
      <c r="P588" s="18" t="s">
        <v>4228</v>
      </c>
      <c r="Q588" s="18" t="s">
        <v>4229</v>
      </c>
      <c r="R588" s="18" t="s">
        <v>4230</v>
      </c>
      <c r="S588" s="46" t="s">
        <v>2569</v>
      </c>
      <c r="T588" s="46" t="s">
        <v>2570</v>
      </c>
      <c r="U588" s="9" t="s">
        <v>3424</v>
      </c>
      <c r="V588" s="9" t="s">
        <v>3424</v>
      </c>
      <c r="W588" s="13"/>
      <c r="X588" s="13"/>
      <c r="Y588" s="13"/>
      <c r="Z588" s="13"/>
      <c r="AA588" s="13"/>
      <c r="AB588" s="13"/>
      <c r="AC588" s="14" t="s">
        <v>4231</v>
      </c>
      <c r="AD588" s="13"/>
      <c r="AE588" s="13"/>
    </row>
    <row r="589">
      <c r="A589" s="9" t="s">
        <v>3188</v>
      </c>
      <c r="B589" s="9" t="s">
        <v>1661</v>
      </c>
      <c r="C589" s="9" t="s">
        <v>4232</v>
      </c>
      <c r="D589" s="9" t="s">
        <v>4233</v>
      </c>
      <c r="E589" s="10" t="s">
        <v>31</v>
      </c>
      <c r="F589" s="10" t="s">
        <v>32</v>
      </c>
      <c r="G589" s="46" t="s">
        <v>4234</v>
      </c>
      <c r="H589" s="70"/>
      <c r="I589" s="70"/>
      <c r="J589" s="70">
        <v>13271.0</v>
      </c>
      <c r="K589" s="9" t="s">
        <v>4235</v>
      </c>
      <c r="L589" s="46">
        <v>4.0</v>
      </c>
      <c r="M589" s="46">
        <v>3.0</v>
      </c>
      <c r="N589" s="13"/>
      <c r="O589" s="13"/>
      <c r="P589" s="18" t="s">
        <v>4236</v>
      </c>
      <c r="Q589" s="18" t="s">
        <v>4237</v>
      </c>
      <c r="R589" s="18" t="s">
        <v>4238</v>
      </c>
      <c r="S589" s="46" t="s">
        <v>2569</v>
      </c>
      <c r="T589" s="46" t="s">
        <v>2570</v>
      </c>
      <c r="U589" s="9" t="s">
        <v>3424</v>
      </c>
      <c r="V589" s="9" t="s">
        <v>3424</v>
      </c>
      <c r="W589" s="46" t="s">
        <v>2313</v>
      </c>
      <c r="X589" s="46" t="s">
        <v>2314</v>
      </c>
      <c r="Y589" s="50">
        <v>44047.0</v>
      </c>
      <c r="Z589" s="50">
        <v>44047.0</v>
      </c>
      <c r="AA589" s="13"/>
      <c r="AB589" s="13"/>
      <c r="AC589" s="14" t="s">
        <v>4239</v>
      </c>
      <c r="AD589" s="13"/>
      <c r="AE589" s="13"/>
    </row>
    <row r="590">
      <c r="A590" s="9" t="s">
        <v>3188</v>
      </c>
      <c r="B590" s="9" t="s">
        <v>1661</v>
      </c>
      <c r="C590" s="9" t="s">
        <v>4240</v>
      </c>
      <c r="D590" s="9" t="s">
        <v>4241</v>
      </c>
      <c r="E590" s="10" t="s">
        <v>31</v>
      </c>
      <c r="F590" s="10" t="s">
        <v>32</v>
      </c>
      <c r="G590" s="13"/>
      <c r="H590" s="70"/>
      <c r="I590" s="70"/>
      <c r="J590" s="70">
        <v>13302.0</v>
      </c>
      <c r="K590" s="9" t="s">
        <v>4242</v>
      </c>
      <c r="L590" s="46">
        <v>2.0</v>
      </c>
      <c r="M590" s="46">
        <v>2.0</v>
      </c>
      <c r="N590" s="13"/>
      <c r="O590" s="13"/>
      <c r="P590" s="18" t="s">
        <v>1026</v>
      </c>
      <c r="Q590" s="18" t="s">
        <v>4243</v>
      </c>
      <c r="R590" s="18" t="s">
        <v>4244</v>
      </c>
      <c r="S590" s="46" t="s">
        <v>2569</v>
      </c>
      <c r="T590" s="46" t="s">
        <v>2570</v>
      </c>
      <c r="U590" s="9" t="s">
        <v>3424</v>
      </c>
      <c r="V590" s="9" t="s">
        <v>3424</v>
      </c>
      <c r="W590" s="46" t="s">
        <v>2313</v>
      </c>
      <c r="X590" s="46" t="s">
        <v>2314</v>
      </c>
      <c r="Y590" s="50">
        <v>44048.0</v>
      </c>
      <c r="Z590" s="50">
        <v>44048.0</v>
      </c>
      <c r="AA590" s="13"/>
      <c r="AB590" s="13"/>
      <c r="AC590" s="14" t="s">
        <v>4245</v>
      </c>
      <c r="AD590" s="13"/>
      <c r="AE590" s="13"/>
    </row>
    <row r="591">
      <c r="A591" s="9" t="s">
        <v>3188</v>
      </c>
      <c r="B591" s="9" t="s">
        <v>1661</v>
      </c>
      <c r="C591" s="9" t="s">
        <v>4246</v>
      </c>
      <c r="D591" s="9" t="s">
        <v>4247</v>
      </c>
      <c r="E591" s="10" t="s">
        <v>31</v>
      </c>
      <c r="F591" s="10" t="s">
        <v>32</v>
      </c>
      <c r="G591" s="46" t="s">
        <v>4248</v>
      </c>
      <c r="H591" s="29" t="s">
        <v>4249</v>
      </c>
      <c r="I591" s="29" t="s">
        <v>4250</v>
      </c>
      <c r="J591" s="70">
        <v>13363.0</v>
      </c>
      <c r="K591" s="9" t="s">
        <v>4251</v>
      </c>
      <c r="L591" s="46">
        <v>14.0</v>
      </c>
      <c r="M591" s="46">
        <v>10.0</v>
      </c>
      <c r="N591" s="13"/>
      <c r="O591" s="13"/>
      <c r="P591" s="64" t="s">
        <v>4252</v>
      </c>
      <c r="Q591" s="18" t="s">
        <v>4253</v>
      </c>
      <c r="R591" s="18" t="s">
        <v>4254</v>
      </c>
      <c r="S591" s="46" t="s">
        <v>2569</v>
      </c>
      <c r="T591" s="46" t="s">
        <v>2570</v>
      </c>
      <c r="U591" s="9" t="s">
        <v>3424</v>
      </c>
      <c r="V591" s="9" t="s">
        <v>3464</v>
      </c>
      <c r="W591" s="46" t="s">
        <v>2313</v>
      </c>
      <c r="X591" s="46" t="s">
        <v>2314</v>
      </c>
      <c r="Y591" s="50">
        <v>44048.0</v>
      </c>
      <c r="Z591" s="50">
        <v>44048.0</v>
      </c>
      <c r="AA591" s="13"/>
      <c r="AB591" s="13"/>
      <c r="AC591" s="14" t="s">
        <v>4255</v>
      </c>
      <c r="AD591" s="13"/>
      <c r="AE591" s="13"/>
    </row>
    <row r="592">
      <c r="A592" s="9" t="s">
        <v>3188</v>
      </c>
      <c r="B592" s="9" t="s">
        <v>1661</v>
      </c>
      <c r="C592" s="10" t="s">
        <v>4256</v>
      </c>
      <c r="D592" s="10" t="s">
        <v>4257</v>
      </c>
      <c r="E592" s="10" t="s">
        <v>31</v>
      </c>
      <c r="F592" s="10" t="s">
        <v>32</v>
      </c>
      <c r="G592" s="46" t="s">
        <v>4258</v>
      </c>
      <c r="H592" s="70"/>
      <c r="I592" s="29" t="s">
        <v>4259</v>
      </c>
      <c r="J592" s="70">
        <v>13332.0</v>
      </c>
      <c r="K592" s="9" t="s">
        <v>4260</v>
      </c>
      <c r="L592" s="46">
        <v>3.0</v>
      </c>
      <c r="M592" s="46">
        <v>2.0</v>
      </c>
      <c r="N592" s="13"/>
      <c r="O592" s="13"/>
      <c r="P592" s="13"/>
      <c r="Q592" s="13"/>
      <c r="R592" s="13"/>
      <c r="S592" s="46" t="s">
        <v>2672</v>
      </c>
      <c r="T592" s="46" t="s">
        <v>2673</v>
      </c>
      <c r="U592" s="9" t="s">
        <v>3464</v>
      </c>
      <c r="V592" s="9" t="s">
        <v>3464</v>
      </c>
      <c r="W592" s="46" t="s">
        <v>2313</v>
      </c>
      <c r="X592" s="46" t="s">
        <v>2314</v>
      </c>
      <c r="Y592" s="50">
        <v>44048.0</v>
      </c>
      <c r="Z592" s="50">
        <v>44048.0</v>
      </c>
      <c r="AA592" s="13"/>
      <c r="AB592" s="13"/>
      <c r="AC592" s="14" t="s">
        <v>4261</v>
      </c>
      <c r="AD592" s="13"/>
      <c r="AE592" s="13"/>
    </row>
    <row r="593">
      <c r="A593" s="9" t="s">
        <v>3188</v>
      </c>
      <c r="B593" s="9" t="s">
        <v>4262</v>
      </c>
      <c r="C593" s="9" t="s">
        <v>4263</v>
      </c>
      <c r="D593" s="9" t="s">
        <v>4264</v>
      </c>
      <c r="E593" s="10" t="s">
        <v>31</v>
      </c>
      <c r="F593" s="10" t="s">
        <v>32</v>
      </c>
      <c r="G593" s="46" t="s">
        <v>2153</v>
      </c>
      <c r="H593" s="28" t="s">
        <v>34</v>
      </c>
      <c r="I593" s="10" t="s">
        <v>35</v>
      </c>
      <c r="J593" s="70">
        <v>13516.0</v>
      </c>
      <c r="K593" s="9" t="s">
        <v>4265</v>
      </c>
      <c r="L593" s="46">
        <v>1.0</v>
      </c>
      <c r="M593" s="46">
        <v>1.0</v>
      </c>
      <c r="N593" s="13"/>
      <c r="O593" s="13"/>
      <c r="P593" s="18" t="s">
        <v>1026</v>
      </c>
      <c r="Q593" s="13"/>
      <c r="R593" s="18" t="s">
        <v>4266</v>
      </c>
      <c r="S593" s="46" t="s">
        <v>2569</v>
      </c>
      <c r="T593" s="46" t="s">
        <v>2570</v>
      </c>
      <c r="U593" s="9" t="s">
        <v>3464</v>
      </c>
      <c r="V593" s="9" t="s">
        <v>3464</v>
      </c>
      <c r="W593" s="46" t="s">
        <v>2313</v>
      </c>
      <c r="X593" s="46" t="s">
        <v>2314</v>
      </c>
      <c r="Y593" s="50">
        <v>44048.0</v>
      </c>
      <c r="Z593" s="50">
        <v>44048.0</v>
      </c>
      <c r="AA593" s="13"/>
      <c r="AB593" s="13"/>
      <c r="AC593" s="14" t="s">
        <v>4267</v>
      </c>
      <c r="AD593" s="13"/>
      <c r="AE593" s="13"/>
    </row>
    <row r="594">
      <c r="A594" s="9" t="s">
        <v>3188</v>
      </c>
      <c r="B594" s="9" t="s">
        <v>4262</v>
      </c>
      <c r="C594" s="9" t="s">
        <v>4268</v>
      </c>
      <c r="D594" s="9" t="s">
        <v>4269</v>
      </c>
      <c r="E594" s="10" t="s">
        <v>31</v>
      </c>
      <c r="F594" s="10" t="s">
        <v>32</v>
      </c>
      <c r="G594" s="46" t="s">
        <v>4069</v>
      </c>
      <c r="H594" s="28" t="s">
        <v>34</v>
      </c>
      <c r="I594" s="10" t="s">
        <v>35</v>
      </c>
      <c r="J594" s="70">
        <v>13881.0</v>
      </c>
      <c r="K594" s="9" t="s">
        <v>4270</v>
      </c>
      <c r="L594" s="46">
        <v>2.0</v>
      </c>
      <c r="M594" s="13">
        <v>2.0</v>
      </c>
      <c r="N594" s="13"/>
      <c r="O594" s="13"/>
      <c r="P594" s="18" t="s">
        <v>4271</v>
      </c>
      <c r="Q594" s="64" t="s">
        <v>4272</v>
      </c>
      <c r="R594" s="18" t="s">
        <v>4273</v>
      </c>
      <c r="S594" s="46" t="s">
        <v>2569</v>
      </c>
      <c r="T594" s="46" t="s">
        <v>2570</v>
      </c>
      <c r="U594" s="9" t="s">
        <v>3464</v>
      </c>
      <c r="V594" s="9" t="s">
        <v>3464</v>
      </c>
      <c r="W594" s="13"/>
      <c r="X594" s="13"/>
      <c r="Y594" s="13"/>
      <c r="Z594" s="13"/>
      <c r="AA594" s="13"/>
      <c r="AB594" s="13"/>
      <c r="AC594" s="14" t="s">
        <v>4274</v>
      </c>
      <c r="AD594" s="13"/>
      <c r="AE594" s="13"/>
    </row>
    <row r="595">
      <c r="A595" s="9" t="s">
        <v>3188</v>
      </c>
      <c r="B595" s="9" t="s">
        <v>4262</v>
      </c>
      <c r="C595" s="9" t="s">
        <v>4275</v>
      </c>
      <c r="D595" s="9" t="s">
        <v>4276</v>
      </c>
      <c r="E595" s="10" t="s">
        <v>31</v>
      </c>
      <c r="F595" s="10" t="s">
        <v>32</v>
      </c>
      <c r="G595" s="46" t="s">
        <v>4069</v>
      </c>
      <c r="H595" s="28" t="s">
        <v>34</v>
      </c>
      <c r="I595" s="10" t="s">
        <v>35</v>
      </c>
      <c r="J595" s="70">
        <v>14246.0</v>
      </c>
      <c r="K595" s="9" t="s">
        <v>4277</v>
      </c>
      <c r="L595" s="46">
        <v>1.0</v>
      </c>
      <c r="M595" s="13">
        <v>1.0</v>
      </c>
      <c r="N595" s="13"/>
      <c r="O595" s="13"/>
      <c r="P595" s="18" t="s">
        <v>4278</v>
      </c>
      <c r="Q595" s="64" t="s">
        <v>4279</v>
      </c>
      <c r="R595" s="18" t="s">
        <v>4280</v>
      </c>
      <c r="S595" s="46" t="s">
        <v>2672</v>
      </c>
      <c r="T595" s="46" t="s">
        <v>2673</v>
      </c>
      <c r="U595" s="9" t="s">
        <v>3464</v>
      </c>
      <c r="V595" s="9" t="s">
        <v>3464</v>
      </c>
      <c r="W595" s="13"/>
      <c r="X595" s="13"/>
      <c r="Y595" s="13"/>
      <c r="Z595" s="13"/>
      <c r="AA595" s="13"/>
      <c r="AB595" s="13"/>
      <c r="AC595" s="14" t="s">
        <v>4281</v>
      </c>
      <c r="AD595" s="13"/>
      <c r="AE595" s="13"/>
    </row>
    <row r="596">
      <c r="A596" s="9" t="s">
        <v>3188</v>
      </c>
      <c r="B596" s="9" t="s">
        <v>4282</v>
      </c>
      <c r="C596" s="9" t="s">
        <v>4283</v>
      </c>
      <c r="D596" s="9" t="s">
        <v>4284</v>
      </c>
      <c r="E596" s="10" t="s">
        <v>31</v>
      </c>
      <c r="F596" s="10" t="s">
        <v>32</v>
      </c>
      <c r="G596" s="46" t="s">
        <v>4285</v>
      </c>
      <c r="H596" s="28" t="s">
        <v>34</v>
      </c>
      <c r="I596" s="10" t="s">
        <v>35</v>
      </c>
      <c r="J596" s="70">
        <v>16438.0</v>
      </c>
      <c r="K596" s="9" t="s">
        <v>4286</v>
      </c>
      <c r="L596" s="46">
        <v>6.0</v>
      </c>
      <c r="M596" s="46">
        <v>6.0</v>
      </c>
      <c r="N596" s="13"/>
      <c r="O596" s="13"/>
      <c r="P596" s="18" t="s">
        <v>4287</v>
      </c>
      <c r="Q596" s="18" t="s">
        <v>4288</v>
      </c>
      <c r="R596" s="18" t="s">
        <v>4289</v>
      </c>
      <c r="S596" s="46" t="s">
        <v>2569</v>
      </c>
      <c r="T596" s="46" t="s">
        <v>2570</v>
      </c>
      <c r="U596" s="9" t="s">
        <v>3464</v>
      </c>
      <c r="V596" s="9" t="s">
        <v>3464</v>
      </c>
      <c r="W596" s="46" t="s">
        <v>2313</v>
      </c>
      <c r="X596" s="46" t="s">
        <v>2314</v>
      </c>
      <c r="Y596" s="50">
        <v>44069.0</v>
      </c>
      <c r="Z596" s="50">
        <v>44069.0</v>
      </c>
      <c r="AA596" s="13"/>
      <c r="AB596" s="13"/>
      <c r="AC596" s="14" t="s">
        <v>4290</v>
      </c>
      <c r="AD596" s="13"/>
      <c r="AE596" s="13"/>
    </row>
    <row r="597">
      <c r="A597" s="9" t="s">
        <v>3188</v>
      </c>
      <c r="B597" s="9" t="s">
        <v>4282</v>
      </c>
      <c r="C597" s="9" t="s">
        <v>4291</v>
      </c>
      <c r="D597" s="9" t="s">
        <v>4292</v>
      </c>
      <c r="E597" s="10" t="s">
        <v>31</v>
      </c>
      <c r="F597" s="10" t="s">
        <v>32</v>
      </c>
      <c r="G597" s="46" t="s">
        <v>4285</v>
      </c>
      <c r="H597" s="28" t="s">
        <v>34</v>
      </c>
      <c r="I597" s="10" t="s">
        <v>35</v>
      </c>
      <c r="J597" s="70">
        <v>16803.0</v>
      </c>
      <c r="K597" s="9" t="s">
        <v>4293</v>
      </c>
      <c r="L597" s="46">
        <v>1.0</v>
      </c>
      <c r="M597" s="13">
        <v>1.0</v>
      </c>
      <c r="N597" s="13"/>
      <c r="O597" s="13"/>
      <c r="P597" s="18" t="s">
        <v>4294</v>
      </c>
      <c r="Q597" s="18" t="s">
        <v>4295</v>
      </c>
      <c r="R597" s="18" t="s">
        <v>4296</v>
      </c>
      <c r="S597" s="46" t="s">
        <v>4297</v>
      </c>
      <c r="T597" s="46" t="s">
        <v>2673</v>
      </c>
      <c r="U597" s="9" t="s">
        <v>3464</v>
      </c>
      <c r="V597" s="9" t="s">
        <v>3464</v>
      </c>
      <c r="W597" s="13"/>
      <c r="X597" s="13"/>
      <c r="Y597" s="13"/>
      <c r="Z597" s="13"/>
      <c r="AA597" s="13"/>
      <c r="AB597" s="13"/>
      <c r="AC597" s="14" t="s">
        <v>4298</v>
      </c>
      <c r="AD597" s="13"/>
      <c r="AE597" s="13"/>
    </row>
    <row r="598">
      <c r="A598" s="9" t="s">
        <v>3188</v>
      </c>
      <c r="B598" s="9" t="s">
        <v>4282</v>
      </c>
      <c r="C598" s="9" t="s">
        <v>4299</v>
      </c>
      <c r="D598" s="9" t="s">
        <v>4300</v>
      </c>
      <c r="E598" s="10" t="s">
        <v>31</v>
      </c>
      <c r="F598" s="10" t="s">
        <v>4301</v>
      </c>
      <c r="G598" s="46" t="s">
        <v>4285</v>
      </c>
      <c r="H598" s="28" t="s">
        <v>34</v>
      </c>
      <c r="I598" s="10" t="s">
        <v>35</v>
      </c>
      <c r="J598" s="70">
        <v>17168.0</v>
      </c>
      <c r="K598" s="9" t="s">
        <v>4302</v>
      </c>
      <c r="L598" s="46">
        <v>1.0</v>
      </c>
      <c r="M598" s="46">
        <v>1.0</v>
      </c>
      <c r="N598" s="13"/>
      <c r="O598" s="13"/>
      <c r="P598" s="18" t="s">
        <v>4303</v>
      </c>
      <c r="Q598" s="18" t="s">
        <v>1515</v>
      </c>
      <c r="R598" s="18" t="s">
        <v>4304</v>
      </c>
      <c r="S598" s="46" t="s">
        <v>2720</v>
      </c>
      <c r="T598" s="46" t="s">
        <v>2673</v>
      </c>
      <c r="U598" s="9" t="s">
        <v>3464</v>
      </c>
      <c r="V598" s="9" t="s">
        <v>3464</v>
      </c>
      <c r="W598" s="46" t="s">
        <v>2313</v>
      </c>
      <c r="X598" s="46" t="s">
        <v>2314</v>
      </c>
      <c r="Y598" s="50">
        <v>44069.0</v>
      </c>
      <c r="Z598" s="50">
        <v>44069.0</v>
      </c>
      <c r="AA598" s="13"/>
      <c r="AB598" s="13"/>
      <c r="AC598" s="14" t="s">
        <v>4305</v>
      </c>
      <c r="AD598" s="13"/>
      <c r="AE598" s="13"/>
    </row>
    <row r="599">
      <c r="A599" s="9" t="s">
        <v>3188</v>
      </c>
      <c r="B599" s="9" t="s">
        <v>4282</v>
      </c>
      <c r="C599" s="9" t="s">
        <v>4306</v>
      </c>
      <c r="D599" s="9" t="s">
        <v>4307</v>
      </c>
      <c r="E599" s="10" t="s">
        <v>31</v>
      </c>
      <c r="F599" s="10" t="s">
        <v>32</v>
      </c>
      <c r="G599" s="46" t="s">
        <v>4285</v>
      </c>
      <c r="H599" s="28" t="s">
        <v>34</v>
      </c>
      <c r="I599" s="10" t="s">
        <v>35</v>
      </c>
      <c r="J599" s="70">
        <v>17199.0</v>
      </c>
      <c r="K599" s="9" t="s">
        <v>4308</v>
      </c>
      <c r="L599" s="46">
        <v>2.0</v>
      </c>
      <c r="M599" s="13">
        <v>2.0</v>
      </c>
      <c r="N599" s="13"/>
      <c r="O599" s="13"/>
      <c r="P599" s="18" t="s">
        <v>4309</v>
      </c>
      <c r="Q599" s="18" t="s">
        <v>4310</v>
      </c>
      <c r="R599" s="18" t="s">
        <v>4311</v>
      </c>
      <c r="S599" s="46" t="s">
        <v>2672</v>
      </c>
      <c r="T599" s="46" t="s">
        <v>2673</v>
      </c>
      <c r="U599" s="9" t="s">
        <v>3464</v>
      </c>
      <c r="V599" s="9" t="s">
        <v>3464</v>
      </c>
      <c r="W599" s="13"/>
      <c r="X599" s="13"/>
      <c r="Y599" s="13"/>
      <c r="Z599" s="13"/>
      <c r="AA599" s="13"/>
      <c r="AB599" s="13"/>
      <c r="AC599" s="14" t="s">
        <v>4312</v>
      </c>
      <c r="AD599" s="13"/>
      <c r="AE599" s="13"/>
    </row>
    <row r="600">
      <c r="A600" s="9" t="s">
        <v>3188</v>
      </c>
      <c r="B600" s="9" t="s">
        <v>4282</v>
      </c>
      <c r="C600" s="9" t="s">
        <v>4313</v>
      </c>
      <c r="D600" s="9" t="s">
        <v>4314</v>
      </c>
      <c r="E600" s="10" t="s">
        <v>31</v>
      </c>
      <c r="F600" s="10" t="s">
        <v>32</v>
      </c>
      <c r="G600" s="46" t="s">
        <v>4315</v>
      </c>
      <c r="H600" s="29" t="s">
        <v>4316</v>
      </c>
      <c r="I600" s="10" t="s">
        <v>35</v>
      </c>
      <c r="J600" s="70">
        <v>17227.0</v>
      </c>
      <c r="K600" s="9" t="s">
        <v>4317</v>
      </c>
      <c r="L600" s="46">
        <v>5.0</v>
      </c>
      <c r="M600" s="46">
        <v>5.0</v>
      </c>
      <c r="N600" s="13"/>
      <c r="O600" s="13"/>
      <c r="P600" s="29" t="s">
        <v>4318</v>
      </c>
      <c r="Q600" s="18" t="s">
        <v>4319</v>
      </c>
      <c r="R600" s="18" t="s">
        <v>4320</v>
      </c>
      <c r="S600" s="46" t="s">
        <v>2720</v>
      </c>
      <c r="T600" s="46" t="s">
        <v>2673</v>
      </c>
      <c r="U600" s="9" t="s">
        <v>3464</v>
      </c>
      <c r="V600" s="9" t="s">
        <v>3464</v>
      </c>
      <c r="W600" s="46" t="s">
        <v>2313</v>
      </c>
      <c r="X600" s="46" t="s">
        <v>2314</v>
      </c>
      <c r="Y600" s="50">
        <v>44069.0</v>
      </c>
      <c r="Z600" s="50">
        <v>44069.0</v>
      </c>
      <c r="AA600" s="13"/>
      <c r="AB600" s="13"/>
      <c r="AC600" s="14" t="s">
        <v>4321</v>
      </c>
      <c r="AD600" s="13"/>
      <c r="AE600" s="13"/>
    </row>
    <row r="601">
      <c r="A601" s="9" t="s">
        <v>3188</v>
      </c>
      <c r="B601" s="9" t="s">
        <v>4282</v>
      </c>
      <c r="C601" s="9" t="s">
        <v>4322</v>
      </c>
      <c r="D601" s="9" t="s">
        <v>4323</v>
      </c>
      <c r="E601" s="10" t="s">
        <v>31</v>
      </c>
      <c r="F601" s="10" t="s">
        <v>32</v>
      </c>
      <c r="G601" s="46" t="s">
        <v>4285</v>
      </c>
      <c r="H601" s="28" t="s">
        <v>34</v>
      </c>
      <c r="I601" s="10" t="s">
        <v>35</v>
      </c>
      <c r="J601" s="70">
        <v>17533.0</v>
      </c>
      <c r="K601" s="9" t="s">
        <v>4324</v>
      </c>
      <c r="L601" s="46">
        <v>1.0</v>
      </c>
      <c r="M601" s="13">
        <v>1.0</v>
      </c>
      <c r="N601" s="18" t="s">
        <v>4325</v>
      </c>
      <c r="O601" s="13"/>
      <c r="P601" s="18" t="s">
        <v>1005</v>
      </c>
      <c r="Q601" s="18" t="s">
        <v>4326</v>
      </c>
      <c r="R601" s="18" t="s">
        <v>4327</v>
      </c>
      <c r="S601" s="46" t="s">
        <v>2569</v>
      </c>
      <c r="T601" s="46" t="s">
        <v>2570</v>
      </c>
      <c r="U601" s="9" t="s">
        <v>3237</v>
      </c>
      <c r="V601" s="9" t="s">
        <v>3237</v>
      </c>
      <c r="W601" s="13"/>
      <c r="X601" s="13"/>
      <c r="Y601" s="13"/>
      <c r="Z601" s="13"/>
      <c r="AA601" s="13"/>
      <c r="AB601" s="13"/>
      <c r="AC601" s="14" t="s">
        <v>4328</v>
      </c>
      <c r="AD601" s="13"/>
      <c r="AE601" s="13"/>
    </row>
    <row r="602">
      <c r="A602" s="9" t="s">
        <v>3188</v>
      </c>
      <c r="B602" s="9" t="s">
        <v>4282</v>
      </c>
      <c r="C602" s="9" t="s">
        <v>4329</v>
      </c>
      <c r="D602" s="9" t="s">
        <v>4330</v>
      </c>
      <c r="E602" s="10" t="s">
        <v>31</v>
      </c>
      <c r="F602" s="10" t="s">
        <v>32</v>
      </c>
      <c r="G602" s="46" t="s">
        <v>4285</v>
      </c>
      <c r="H602" s="28" t="s">
        <v>34</v>
      </c>
      <c r="I602" s="10" t="s">
        <v>35</v>
      </c>
      <c r="J602" s="70">
        <v>17564.0</v>
      </c>
      <c r="K602" s="9" t="s">
        <v>4331</v>
      </c>
      <c r="L602" s="46">
        <v>2.0</v>
      </c>
      <c r="M602" s="46">
        <v>2.0</v>
      </c>
      <c r="N602" s="13"/>
      <c r="O602" s="13"/>
      <c r="P602" s="76" t="s">
        <v>1005</v>
      </c>
      <c r="Q602" s="18"/>
      <c r="R602" s="18" t="s">
        <v>4332</v>
      </c>
      <c r="S602" s="46" t="s">
        <v>2569</v>
      </c>
      <c r="T602" s="46" t="s">
        <v>2570</v>
      </c>
      <c r="U602" s="9" t="s">
        <v>3237</v>
      </c>
      <c r="V602" s="9" t="s">
        <v>3237</v>
      </c>
      <c r="W602" s="46" t="s">
        <v>2313</v>
      </c>
      <c r="X602" s="46" t="s">
        <v>2314</v>
      </c>
      <c r="Y602" s="50">
        <v>44069.0</v>
      </c>
      <c r="Z602" s="13"/>
      <c r="AA602" s="13"/>
      <c r="AB602" s="13"/>
      <c r="AC602" s="14" t="s">
        <v>4333</v>
      </c>
      <c r="AD602" s="13"/>
      <c r="AE602" s="13"/>
    </row>
    <row r="603">
      <c r="A603" s="9" t="s">
        <v>3188</v>
      </c>
      <c r="B603" s="9" t="s">
        <v>4282</v>
      </c>
      <c r="C603" s="9" t="s">
        <v>4334</v>
      </c>
      <c r="D603" s="9" t="s">
        <v>4335</v>
      </c>
      <c r="E603" s="10" t="s">
        <v>4336</v>
      </c>
      <c r="F603" s="10" t="s">
        <v>32</v>
      </c>
      <c r="G603" s="46" t="s">
        <v>4337</v>
      </c>
      <c r="H603" s="70"/>
      <c r="I603" s="70"/>
      <c r="J603" s="70">
        <v>17899.0</v>
      </c>
      <c r="K603" s="9" t="s">
        <v>4338</v>
      </c>
      <c r="L603" s="46">
        <v>1.0</v>
      </c>
      <c r="M603" s="13">
        <v>1.0</v>
      </c>
      <c r="N603" s="18" t="s">
        <v>4339</v>
      </c>
      <c r="O603" s="13"/>
      <c r="P603" s="64" t="s">
        <v>4340</v>
      </c>
      <c r="Q603" s="13"/>
      <c r="R603" s="18" t="s">
        <v>4341</v>
      </c>
      <c r="S603" s="46" t="s">
        <v>2569</v>
      </c>
      <c r="T603" s="46" t="s">
        <v>2570</v>
      </c>
      <c r="U603" s="9" t="s">
        <v>3237</v>
      </c>
      <c r="V603" s="9" t="s">
        <v>3237</v>
      </c>
      <c r="W603" s="13"/>
      <c r="X603" s="13"/>
      <c r="Y603" s="13"/>
      <c r="Z603" s="13"/>
      <c r="AA603" s="13"/>
      <c r="AB603" s="13"/>
      <c r="AC603" s="14" t="s">
        <v>4342</v>
      </c>
      <c r="AD603" s="13"/>
      <c r="AE603" s="13"/>
    </row>
    <row r="604">
      <c r="A604" s="9" t="s">
        <v>3188</v>
      </c>
      <c r="B604" s="9" t="s">
        <v>4343</v>
      </c>
      <c r="C604" s="10" t="s">
        <v>4344</v>
      </c>
      <c r="D604" s="12" t="s">
        <v>4345</v>
      </c>
      <c r="E604" s="10" t="s">
        <v>4346</v>
      </c>
      <c r="F604" s="10" t="s">
        <v>31</v>
      </c>
      <c r="G604" s="13"/>
      <c r="H604" s="13"/>
      <c r="I604" s="13"/>
      <c r="J604" s="13"/>
      <c r="K604" s="9" t="s">
        <v>4347</v>
      </c>
      <c r="L604" s="46">
        <v>1.0</v>
      </c>
      <c r="M604" s="13">
        <v>1.0</v>
      </c>
      <c r="N604" s="13"/>
      <c r="O604" s="13"/>
      <c r="P604" s="13"/>
      <c r="Q604" s="13"/>
      <c r="R604" s="13"/>
      <c r="S604" s="46" t="s">
        <v>2569</v>
      </c>
      <c r="T604" s="46" t="s">
        <v>2570</v>
      </c>
      <c r="U604" s="9" t="s">
        <v>3237</v>
      </c>
      <c r="V604" s="9" t="s">
        <v>3237</v>
      </c>
      <c r="W604" s="13"/>
      <c r="X604" s="13"/>
      <c r="Y604" s="13"/>
      <c r="Z604" s="13"/>
      <c r="AA604" s="13"/>
      <c r="AB604" s="13"/>
      <c r="AC604" s="14" t="s">
        <v>4348</v>
      </c>
      <c r="AD604" s="13"/>
      <c r="AE604" s="13"/>
    </row>
    <row r="605">
      <c r="A605" s="9" t="s">
        <v>3188</v>
      </c>
      <c r="B605" s="9" t="s">
        <v>4349</v>
      </c>
      <c r="C605" s="10" t="s">
        <v>1275</v>
      </c>
      <c r="D605" s="9" t="s">
        <v>4350</v>
      </c>
      <c r="E605" s="10" t="s">
        <v>31</v>
      </c>
      <c r="F605" s="10" t="s">
        <v>386</v>
      </c>
      <c r="G605" s="46" t="s">
        <v>1152</v>
      </c>
      <c r="H605" s="28" t="s">
        <v>34</v>
      </c>
      <c r="I605" s="10" t="s">
        <v>35</v>
      </c>
      <c r="J605" s="46">
        <v>1911.0</v>
      </c>
      <c r="K605" s="9" t="s">
        <v>4351</v>
      </c>
      <c r="L605" s="46">
        <v>7.0</v>
      </c>
      <c r="M605" s="13">
        <v>4.0</v>
      </c>
      <c r="N605" s="13"/>
      <c r="O605" s="13"/>
      <c r="P605" s="13"/>
      <c r="Q605" s="13"/>
      <c r="R605" s="13"/>
      <c r="S605" s="46" t="s">
        <v>2720</v>
      </c>
      <c r="T605" s="46" t="s">
        <v>2673</v>
      </c>
      <c r="U605" s="9" t="s">
        <v>2315</v>
      </c>
      <c r="V605" s="12"/>
      <c r="W605" s="46" t="s">
        <v>3727</v>
      </c>
      <c r="X605" s="46" t="s">
        <v>3728</v>
      </c>
      <c r="Y605" s="13"/>
      <c r="Z605" s="13"/>
      <c r="AA605" s="13"/>
      <c r="AB605" s="13"/>
      <c r="AC605" s="14" t="s">
        <v>4352</v>
      </c>
      <c r="AD605" s="13"/>
      <c r="AE605" s="13"/>
    </row>
    <row r="606">
      <c r="A606" s="9" t="s">
        <v>3188</v>
      </c>
      <c r="B606" s="9" t="s">
        <v>4349</v>
      </c>
      <c r="C606" s="10" t="s">
        <v>2703</v>
      </c>
      <c r="D606" s="12" t="s">
        <v>4353</v>
      </c>
      <c r="E606" s="10" t="s">
        <v>31</v>
      </c>
      <c r="F606" s="10" t="s">
        <v>386</v>
      </c>
      <c r="G606" s="13" t="s">
        <v>1704</v>
      </c>
      <c r="H606" s="21" t="s">
        <v>34</v>
      </c>
      <c r="I606" s="10" t="s">
        <v>35</v>
      </c>
      <c r="J606" s="9" t="s">
        <v>4354</v>
      </c>
      <c r="K606" s="13">
        <v>1914.0</v>
      </c>
      <c r="L606" s="46">
        <v>3.0</v>
      </c>
      <c r="M606" s="13">
        <v>2.0</v>
      </c>
      <c r="N606" s="13"/>
      <c r="O606" s="13"/>
      <c r="P606" s="13"/>
      <c r="Q606" s="13"/>
      <c r="R606" s="13"/>
      <c r="S606" s="13" t="s">
        <v>2361</v>
      </c>
      <c r="T606" s="13" t="s">
        <v>2362</v>
      </c>
      <c r="U606" s="9" t="s">
        <v>424</v>
      </c>
      <c r="V606" s="12" t="s">
        <v>424</v>
      </c>
      <c r="W606" s="46" t="s">
        <v>2313</v>
      </c>
      <c r="X606" s="46" t="s">
        <v>2314</v>
      </c>
      <c r="Y606" s="50">
        <v>44069.0</v>
      </c>
      <c r="Z606" s="50">
        <v>44069.0</v>
      </c>
      <c r="AA606" s="13"/>
      <c r="AB606" s="13"/>
      <c r="AC606" s="14" t="s">
        <v>4355</v>
      </c>
      <c r="AD606" s="13"/>
      <c r="AE606" s="13"/>
    </row>
    <row r="607">
      <c r="A607" s="9" t="s">
        <v>3188</v>
      </c>
      <c r="B607" s="9" t="s">
        <v>4356</v>
      </c>
      <c r="C607" s="10" t="s">
        <v>3918</v>
      </c>
      <c r="D607" s="9" t="s">
        <v>4357</v>
      </c>
      <c r="E607" s="10" t="s">
        <v>31</v>
      </c>
      <c r="F607" s="10" t="s">
        <v>4358</v>
      </c>
      <c r="G607" s="46" t="s">
        <v>4359</v>
      </c>
      <c r="H607" s="46"/>
      <c r="I607" s="46"/>
      <c r="J607" s="46" t="s">
        <v>4360</v>
      </c>
      <c r="K607" s="9" t="s">
        <v>4361</v>
      </c>
      <c r="L607" s="46">
        <v>2.0</v>
      </c>
      <c r="M607" s="46">
        <v>1.0</v>
      </c>
      <c r="N607" s="13"/>
      <c r="O607" s="13"/>
      <c r="P607" s="13"/>
      <c r="Q607" s="13"/>
      <c r="R607" s="13"/>
      <c r="S607" s="46" t="s">
        <v>2569</v>
      </c>
      <c r="T607" s="46" t="s">
        <v>2570</v>
      </c>
      <c r="U607" s="9" t="s">
        <v>3237</v>
      </c>
      <c r="V607" s="9" t="s">
        <v>3237</v>
      </c>
      <c r="W607" s="13"/>
      <c r="X607" s="13"/>
      <c r="Y607" s="13"/>
      <c r="Z607" s="13"/>
      <c r="AA607" s="13"/>
      <c r="AB607" s="13"/>
      <c r="AC607" s="14" t="s">
        <v>4362</v>
      </c>
      <c r="AD607" s="13"/>
      <c r="AE607" s="13"/>
    </row>
    <row r="608" ht="15.75" customHeight="1">
      <c r="A608" s="12"/>
      <c r="B608" s="12"/>
      <c r="C608" s="12"/>
      <c r="D608" s="12"/>
      <c r="E608" s="13"/>
      <c r="F608" s="13"/>
      <c r="G608" s="13"/>
      <c r="H608" s="77"/>
      <c r="I608" s="77"/>
      <c r="J608" s="77"/>
      <c r="K608" s="78"/>
      <c r="L608" s="13"/>
      <c r="M608" s="13"/>
      <c r="N608" s="13"/>
      <c r="O608" s="13"/>
      <c r="P608" s="13"/>
      <c r="Q608" s="13"/>
      <c r="R608" s="13"/>
      <c r="S608" s="13"/>
      <c r="T608" s="13"/>
      <c r="U608" s="12"/>
      <c r="V608" s="12"/>
      <c r="W608" s="13"/>
      <c r="X608" s="13"/>
      <c r="Y608" s="13"/>
      <c r="Z608" s="13"/>
      <c r="AA608" s="13"/>
      <c r="AB608" s="13"/>
      <c r="AC608" s="12"/>
      <c r="AD608" s="13"/>
      <c r="AE608" s="13"/>
    </row>
    <row r="609" ht="15.75" customHeight="1">
      <c r="A609" s="12"/>
      <c r="B609" s="12"/>
      <c r="C609" s="12"/>
      <c r="D609" s="12"/>
      <c r="E609" s="13"/>
      <c r="F609" s="13"/>
      <c r="G609" s="13"/>
      <c r="H609" s="13"/>
      <c r="I609" s="13"/>
      <c r="J609" s="13"/>
      <c r="K609" s="12"/>
      <c r="L609" s="13"/>
      <c r="M609" s="13"/>
      <c r="N609" s="13"/>
      <c r="O609" s="13"/>
      <c r="P609" s="13"/>
      <c r="Q609" s="13"/>
      <c r="R609" s="13"/>
      <c r="S609" s="13"/>
      <c r="T609" s="13"/>
      <c r="U609" s="12"/>
      <c r="V609" s="12"/>
      <c r="W609" s="13"/>
      <c r="X609" s="13"/>
      <c r="Y609" s="13"/>
      <c r="Z609" s="13"/>
      <c r="AA609" s="13"/>
      <c r="AB609" s="13"/>
      <c r="AC609" s="12"/>
      <c r="AD609" s="13"/>
      <c r="AE609" s="13"/>
    </row>
    <row r="610" ht="15.75" customHeight="1">
      <c r="A610" s="12"/>
      <c r="B610" s="12"/>
      <c r="C610" s="12"/>
      <c r="D610" s="12"/>
      <c r="E610" s="13"/>
      <c r="F610" s="13"/>
      <c r="G610" s="13"/>
      <c r="H610" s="13"/>
      <c r="I610" s="13"/>
      <c r="J610" s="13"/>
      <c r="K610" s="12"/>
      <c r="L610" s="13"/>
      <c r="M610" s="13"/>
      <c r="N610" s="13"/>
      <c r="O610" s="13"/>
      <c r="P610" s="13"/>
      <c r="Q610" s="13"/>
      <c r="R610" s="13"/>
      <c r="S610" s="13"/>
      <c r="T610" s="13"/>
      <c r="U610" s="12"/>
      <c r="V610" s="12"/>
      <c r="W610" s="13"/>
      <c r="X610" s="13"/>
      <c r="Y610" s="13"/>
      <c r="Z610" s="13"/>
      <c r="AA610" s="13"/>
      <c r="AB610" s="13"/>
      <c r="AC610" s="12"/>
      <c r="AD610" s="13"/>
      <c r="AE610" s="13"/>
    </row>
    <row r="611" ht="15.75" customHeight="1">
      <c r="A611" s="12"/>
      <c r="B611" s="12"/>
      <c r="C611" s="12"/>
      <c r="D611" s="12"/>
      <c r="E611" s="13"/>
      <c r="F611" s="13"/>
      <c r="G611" s="13"/>
      <c r="H611" s="13"/>
      <c r="I611" s="13"/>
      <c r="J611" s="13"/>
      <c r="K611" s="12"/>
      <c r="L611" s="13"/>
      <c r="M611" s="13"/>
      <c r="N611" s="13"/>
      <c r="O611" s="13"/>
      <c r="P611" s="13"/>
      <c r="Q611" s="13"/>
      <c r="R611" s="13"/>
      <c r="S611" s="13"/>
      <c r="T611" s="13"/>
      <c r="U611" s="12"/>
      <c r="V611" s="12"/>
      <c r="W611" s="13"/>
      <c r="X611" s="13"/>
      <c r="Y611" s="13"/>
      <c r="Z611" s="13"/>
      <c r="AA611" s="13"/>
      <c r="AB611" s="13"/>
      <c r="AC611" s="12"/>
      <c r="AD611" s="13"/>
      <c r="AE611" s="13"/>
    </row>
    <row r="612" ht="15.75" customHeight="1">
      <c r="A612" s="12"/>
      <c r="B612" s="12"/>
      <c r="C612" s="12"/>
      <c r="D612" s="12"/>
      <c r="E612" s="13"/>
      <c r="F612" s="13"/>
      <c r="G612" s="13"/>
      <c r="H612" s="13"/>
      <c r="I612" s="13"/>
      <c r="J612" s="13"/>
      <c r="K612" s="12"/>
      <c r="L612" s="13"/>
      <c r="M612" s="13"/>
      <c r="N612" s="13"/>
      <c r="O612" s="13"/>
      <c r="P612" s="13"/>
      <c r="Q612" s="13"/>
      <c r="R612" s="13"/>
      <c r="S612" s="13"/>
      <c r="T612" s="13"/>
      <c r="U612" s="12"/>
      <c r="V612" s="12"/>
      <c r="W612" s="13"/>
      <c r="X612" s="13"/>
      <c r="Y612" s="13"/>
      <c r="Z612" s="13"/>
      <c r="AA612" s="13"/>
      <c r="AB612" s="13"/>
      <c r="AC612" s="12"/>
      <c r="AD612" s="13"/>
      <c r="AE612" s="13"/>
    </row>
    <row r="613" ht="15.75" customHeight="1">
      <c r="A613" s="12"/>
      <c r="B613" s="12"/>
      <c r="C613" s="12"/>
      <c r="D613" s="12"/>
      <c r="E613" s="13"/>
      <c r="F613" s="13"/>
      <c r="G613" s="13"/>
      <c r="H613" s="13"/>
      <c r="I613" s="13"/>
      <c r="J613" s="13"/>
      <c r="K613" s="12"/>
      <c r="L613" s="13"/>
      <c r="M613" s="13"/>
      <c r="N613" s="13"/>
      <c r="O613" s="13"/>
      <c r="P613" s="13"/>
      <c r="Q613" s="13"/>
      <c r="R613" s="13"/>
      <c r="S613" s="13"/>
      <c r="T613" s="13"/>
      <c r="U613" s="12"/>
      <c r="V613" s="12"/>
      <c r="W613" s="13"/>
      <c r="X613" s="13"/>
      <c r="Y613" s="13"/>
      <c r="Z613" s="13"/>
      <c r="AA613" s="13"/>
      <c r="AB613" s="13"/>
      <c r="AC613" s="12"/>
      <c r="AD613" s="13"/>
      <c r="AE613" s="13"/>
    </row>
    <row r="614" ht="15.75" customHeight="1">
      <c r="A614" s="12"/>
      <c r="B614" s="12"/>
      <c r="C614" s="12"/>
      <c r="D614" s="12"/>
      <c r="E614" s="13"/>
      <c r="F614" s="13"/>
      <c r="G614" s="13"/>
      <c r="H614" s="13"/>
      <c r="I614" s="13"/>
      <c r="J614" s="13"/>
      <c r="K614" s="12"/>
      <c r="L614" s="13"/>
      <c r="M614" s="13"/>
      <c r="N614" s="13"/>
      <c r="O614" s="13"/>
      <c r="P614" s="13"/>
      <c r="Q614" s="13"/>
      <c r="R614" s="13"/>
      <c r="S614" s="13"/>
      <c r="T614" s="13"/>
      <c r="U614" s="12"/>
      <c r="V614" s="12"/>
      <c r="W614" s="13"/>
      <c r="X614" s="13"/>
      <c r="Y614" s="13"/>
      <c r="Z614" s="13"/>
      <c r="AA614" s="13"/>
      <c r="AB614" s="13"/>
      <c r="AC614" s="12"/>
      <c r="AD614" s="13"/>
      <c r="AE614" s="13"/>
    </row>
    <row r="615" ht="15.75" customHeight="1">
      <c r="A615" s="12"/>
      <c r="B615" s="12"/>
      <c r="C615" s="12"/>
      <c r="D615" s="12"/>
      <c r="E615" s="13"/>
      <c r="F615" s="13"/>
      <c r="G615" s="13"/>
      <c r="H615" s="13"/>
      <c r="I615" s="13"/>
      <c r="J615" s="13"/>
      <c r="K615" s="12"/>
      <c r="L615" s="13"/>
      <c r="M615" s="13"/>
      <c r="N615" s="13"/>
      <c r="O615" s="13"/>
      <c r="P615" s="13"/>
      <c r="Q615" s="13"/>
      <c r="R615" s="13"/>
      <c r="S615" s="13"/>
      <c r="T615" s="13"/>
      <c r="U615" s="12"/>
      <c r="V615" s="12"/>
      <c r="W615" s="13"/>
      <c r="X615" s="13"/>
      <c r="Y615" s="13"/>
      <c r="Z615" s="13"/>
      <c r="AA615" s="13"/>
      <c r="AB615" s="13"/>
      <c r="AC615" s="12"/>
      <c r="AD615" s="13"/>
      <c r="AE615" s="13"/>
    </row>
    <row r="616" ht="15.75" customHeight="1">
      <c r="A616" s="12"/>
      <c r="B616" s="12"/>
      <c r="C616" s="12"/>
      <c r="D616" s="12"/>
      <c r="E616" s="13"/>
      <c r="F616" s="13"/>
      <c r="G616" s="13"/>
      <c r="H616" s="13"/>
      <c r="I616" s="13"/>
      <c r="J616" s="13"/>
      <c r="K616" s="12"/>
      <c r="L616" s="13"/>
      <c r="M616" s="13"/>
      <c r="N616" s="13"/>
      <c r="O616" s="13"/>
      <c r="P616" s="13"/>
      <c r="Q616" s="13"/>
      <c r="R616" s="13"/>
      <c r="S616" s="13"/>
      <c r="T616" s="13"/>
      <c r="U616" s="12"/>
      <c r="V616" s="12"/>
      <c r="W616" s="13"/>
      <c r="X616" s="13"/>
      <c r="Y616" s="13"/>
      <c r="Z616" s="13"/>
      <c r="AA616" s="13"/>
      <c r="AB616" s="13"/>
      <c r="AC616" s="12"/>
      <c r="AD616" s="13"/>
      <c r="AE616" s="13"/>
    </row>
    <row r="617" ht="15.75" customHeight="1">
      <c r="A617" s="12"/>
      <c r="B617" s="12"/>
      <c r="C617" s="12"/>
      <c r="D617" s="12"/>
      <c r="E617" s="13"/>
      <c r="F617" s="13"/>
      <c r="G617" s="13"/>
      <c r="H617" s="13"/>
      <c r="I617" s="13"/>
      <c r="J617" s="13"/>
      <c r="K617" s="12"/>
      <c r="L617" s="13"/>
      <c r="M617" s="13"/>
      <c r="N617" s="13"/>
      <c r="O617" s="13"/>
      <c r="P617" s="13"/>
      <c r="Q617" s="13"/>
      <c r="R617" s="13"/>
      <c r="S617" s="13"/>
      <c r="T617" s="13"/>
      <c r="U617" s="12"/>
      <c r="V617" s="12"/>
      <c r="W617" s="13"/>
      <c r="X617" s="13"/>
      <c r="Y617" s="13"/>
      <c r="Z617" s="13"/>
      <c r="AA617" s="13"/>
      <c r="AB617" s="13"/>
      <c r="AC617" s="12"/>
      <c r="AD617" s="13"/>
      <c r="AE617" s="13"/>
    </row>
    <row r="618" ht="15.75" customHeight="1">
      <c r="A618" s="12"/>
      <c r="B618" s="12"/>
      <c r="C618" s="12"/>
      <c r="D618" s="12"/>
      <c r="E618" s="13"/>
      <c r="F618" s="13"/>
      <c r="G618" s="13"/>
      <c r="H618" s="13"/>
      <c r="I618" s="13"/>
      <c r="J618" s="13"/>
      <c r="K618" s="12"/>
      <c r="L618" s="13"/>
      <c r="M618" s="13"/>
      <c r="N618" s="13"/>
      <c r="O618" s="13"/>
      <c r="P618" s="13"/>
      <c r="Q618" s="13"/>
      <c r="R618" s="13"/>
      <c r="S618" s="13"/>
      <c r="T618" s="13"/>
      <c r="U618" s="12"/>
      <c r="V618" s="12"/>
      <c r="W618" s="13"/>
      <c r="X618" s="13"/>
      <c r="Y618" s="13"/>
      <c r="Z618" s="13"/>
      <c r="AA618" s="13"/>
      <c r="AB618" s="13"/>
      <c r="AC618" s="12"/>
      <c r="AD618" s="13"/>
      <c r="AE618" s="13"/>
    </row>
    <row r="619" ht="15.75" customHeight="1">
      <c r="A619" s="12"/>
      <c r="B619" s="12"/>
      <c r="C619" s="12"/>
      <c r="D619" s="12"/>
      <c r="E619" s="13"/>
      <c r="F619" s="13"/>
      <c r="G619" s="13"/>
      <c r="H619" s="13"/>
      <c r="I619" s="13"/>
      <c r="J619" s="13"/>
      <c r="K619" s="12"/>
      <c r="L619" s="13"/>
      <c r="M619" s="13"/>
      <c r="N619" s="13"/>
      <c r="O619" s="13"/>
      <c r="P619" s="13"/>
      <c r="Q619" s="13"/>
      <c r="R619" s="13"/>
      <c r="S619" s="13"/>
      <c r="T619" s="13"/>
      <c r="U619" s="12"/>
      <c r="V619" s="12"/>
      <c r="W619" s="13"/>
      <c r="X619" s="13"/>
      <c r="Y619" s="13"/>
      <c r="Z619" s="13"/>
      <c r="AA619" s="13"/>
      <c r="AB619" s="13"/>
      <c r="AC619" s="12"/>
      <c r="AD619" s="13"/>
      <c r="AE619" s="13"/>
    </row>
    <row r="620" ht="15.75" customHeight="1">
      <c r="A620" s="12"/>
      <c r="B620" s="12"/>
      <c r="C620" s="12"/>
      <c r="D620" s="12"/>
      <c r="E620" s="13"/>
      <c r="F620" s="13"/>
      <c r="G620" s="13"/>
      <c r="H620" s="13"/>
      <c r="I620" s="13"/>
      <c r="J620" s="13"/>
      <c r="K620" s="12"/>
      <c r="L620" s="13"/>
      <c r="M620" s="13"/>
      <c r="N620" s="13"/>
      <c r="O620" s="13"/>
      <c r="P620" s="13"/>
      <c r="Q620" s="13"/>
      <c r="R620" s="13"/>
      <c r="S620" s="13"/>
      <c r="T620" s="13"/>
      <c r="U620" s="12"/>
      <c r="V620" s="12"/>
      <c r="W620" s="13"/>
      <c r="X620" s="13"/>
      <c r="Y620" s="13"/>
      <c r="Z620" s="13"/>
      <c r="AA620" s="13"/>
      <c r="AB620" s="13"/>
      <c r="AC620" s="12"/>
      <c r="AD620" s="13"/>
      <c r="AE620" s="13"/>
    </row>
    <row r="621" ht="15.75" customHeight="1">
      <c r="A621" s="12"/>
      <c r="B621" s="12"/>
      <c r="C621" s="12"/>
      <c r="D621" s="12"/>
      <c r="E621" s="13"/>
      <c r="F621" s="13"/>
      <c r="G621" s="13"/>
      <c r="H621" s="13"/>
      <c r="I621" s="13"/>
      <c r="J621" s="13"/>
      <c r="K621" s="12"/>
      <c r="L621" s="13"/>
      <c r="M621" s="13"/>
      <c r="N621" s="13"/>
      <c r="O621" s="13"/>
      <c r="P621" s="13"/>
      <c r="Q621" s="13"/>
      <c r="R621" s="13"/>
      <c r="S621" s="13"/>
      <c r="T621" s="13"/>
      <c r="U621" s="12"/>
      <c r="V621" s="12"/>
      <c r="W621" s="13"/>
      <c r="X621" s="13"/>
      <c r="Y621" s="13"/>
      <c r="Z621" s="13"/>
      <c r="AA621" s="13"/>
      <c r="AB621" s="13"/>
      <c r="AC621" s="12"/>
      <c r="AD621" s="13"/>
      <c r="AE621" s="13"/>
    </row>
    <row r="622" ht="15.75" customHeight="1">
      <c r="A622" s="12"/>
      <c r="B622" s="12"/>
      <c r="C622" s="12"/>
      <c r="D622" s="12"/>
      <c r="E622" s="13"/>
      <c r="F622" s="13"/>
      <c r="G622" s="13"/>
      <c r="H622" s="13"/>
      <c r="I622" s="13"/>
      <c r="J622" s="13"/>
      <c r="K622" s="12"/>
      <c r="L622" s="13"/>
      <c r="M622" s="13"/>
      <c r="N622" s="13"/>
      <c r="O622" s="13"/>
      <c r="P622" s="13"/>
      <c r="Q622" s="13"/>
      <c r="R622" s="13"/>
      <c r="S622" s="13"/>
      <c r="T622" s="13"/>
      <c r="U622" s="12"/>
      <c r="V622" s="12"/>
      <c r="W622" s="13"/>
      <c r="X622" s="13"/>
      <c r="Y622" s="13"/>
      <c r="Z622" s="13"/>
      <c r="AA622" s="13"/>
      <c r="AB622" s="13"/>
      <c r="AC622" s="12"/>
      <c r="AD622" s="13"/>
      <c r="AE622" s="13"/>
    </row>
    <row r="623" ht="15.75" customHeight="1">
      <c r="A623" s="12"/>
      <c r="B623" s="12"/>
      <c r="C623" s="12"/>
      <c r="D623" s="12"/>
      <c r="E623" s="13"/>
      <c r="F623" s="13"/>
      <c r="G623" s="13"/>
      <c r="H623" s="13"/>
      <c r="I623" s="13"/>
      <c r="J623" s="13"/>
      <c r="K623" s="12"/>
      <c r="L623" s="13"/>
      <c r="M623" s="13"/>
      <c r="N623" s="13"/>
      <c r="O623" s="13"/>
      <c r="P623" s="13"/>
      <c r="Q623" s="13"/>
      <c r="R623" s="13"/>
      <c r="S623" s="13"/>
      <c r="T623" s="13"/>
      <c r="U623" s="12"/>
      <c r="V623" s="12"/>
      <c r="W623" s="13"/>
      <c r="X623" s="13"/>
      <c r="Y623" s="13"/>
      <c r="Z623" s="13"/>
      <c r="AA623" s="13"/>
      <c r="AB623" s="13"/>
      <c r="AC623" s="12"/>
      <c r="AD623" s="13"/>
      <c r="AE623" s="13"/>
    </row>
    <row r="624" ht="15.75" customHeight="1">
      <c r="A624" s="12"/>
      <c r="B624" s="12"/>
      <c r="C624" s="12"/>
      <c r="D624" s="12"/>
      <c r="E624" s="13"/>
      <c r="F624" s="13"/>
      <c r="G624" s="13"/>
      <c r="H624" s="13"/>
      <c r="I624" s="13"/>
      <c r="J624" s="13"/>
      <c r="K624" s="12"/>
      <c r="L624" s="13"/>
      <c r="M624" s="13"/>
      <c r="N624" s="13"/>
      <c r="O624" s="13"/>
      <c r="P624" s="13"/>
      <c r="Q624" s="13"/>
      <c r="R624" s="13"/>
      <c r="S624" s="13"/>
      <c r="T624" s="13"/>
      <c r="U624" s="12"/>
      <c r="V624" s="12"/>
      <c r="W624" s="13"/>
      <c r="X624" s="13"/>
      <c r="Y624" s="13"/>
      <c r="Z624" s="13"/>
      <c r="AA624" s="13"/>
      <c r="AB624" s="13"/>
      <c r="AC624" s="12"/>
      <c r="AD624" s="13"/>
      <c r="AE624" s="13"/>
    </row>
    <row r="625" ht="15.75" customHeight="1">
      <c r="A625" s="12"/>
      <c r="B625" s="12"/>
      <c r="C625" s="12"/>
      <c r="D625" s="12"/>
      <c r="E625" s="13"/>
      <c r="F625" s="13"/>
      <c r="G625" s="13"/>
      <c r="H625" s="13"/>
      <c r="I625" s="13"/>
      <c r="J625" s="13"/>
      <c r="K625" s="12"/>
      <c r="L625" s="13"/>
      <c r="M625" s="13"/>
      <c r="N625" s="13"/>
      <c r="O625" s="13"/>
      <c r="P625" s="13"/>
      <c r="Q625" s="13"/>
      <c r="R625" s="13"/>
      <c r="S625" s="13"/>
      <c r="T625" s="13"/>
      <c r="U625" s="12"/>
      <c r="V625" s="12"/>
      <c r="W625" s="13"/>
      <c r="X625" s="13"/>
      <c r="Y625" s="13"/>
      <c r="Z625" s="13"/>
      <c r="AA625" s="13"/>
      <c r="AB625" s="13"/>
      <c r="AC625" s="12"/>
      <c r="AD625" s="13"/>
      <c r="AE625" s="13"/>
    </row>
    <row r="626" ht="15.75" customHeight="1">
      <c r="A626" s="12"/>
      <c r="B626" s="12"/>
      <c r="C626" s="12"/>
      <c r="D626" s="12"/>
      <c r="E626" s="13"/>
      <c r="F626" s="13"/>
      <c r="G626" s="13"/>
      <c r="H626" s="13"/>
      <c r="I626" s="13"/>
      <c r="J626" s="13"/>
      <c r="K626" s="12"/>
      <c r="L626" s="13"/>
      <c r="M626" s="13"/>
      <c r="N626" s="13"/>
      <c r="O626" s="13"/>
      <c r="P626" s="13"/>
      <c r="Q626" s="13"/>
      <c r="R626" s="13"/>
      <c r="S626" s="13"/>
      <c r="T626" s="13"/>
      <c r="U626" s="12"/>
      <c r="V626" s="12"/>
      <c r="W626" s="13"/>
      <c r="X626" s="13"/>
      <c r="Y626" s="13"/>
      <c r="Z626" s="13"/>
      <c r="AA626" s="13"/>
      <c r="AB626" s="13"/>
      <c r="AC626" s="12"/>
      <c r="AD626" s="13"/>
      <c r="AE626" s="13"/>
    </row>
    <row r="627" ht="15.75" customHeight="1">
      <c r="A627" s="12"/>
      <c r="B627" s="12"/>
      <c r="C627" s="12"/>
      <c r="D627" s="12"/>
      <c r="E627" s="13"/>
      <c r="F627" s="13"/>
      <c r="G627" s="13"/>
      <c r="H627" s="13"/>
      <c r="I627" s="13"/>
      <c r="J627" s="13"/>
      <c r="K627" s="12"/>
      <c r="L627" s="13"/>
      <c r="M627" s="13"/>
      <c r="N627" s="13"/>
      <c r="O627" s="13"/>
      <c r="P627" s="13"/>
      <c r="Q627" s="13"/>
      <c r="R627" s="13"/>
      <c r="S627" s="13"/>
      <c r="T627" s="13"/>
      <c r="U627" s="12"/>
      <c r="V627" s="12"/>
      <c r="W627" s="13"/>
      <c r="X627" s="13"/>
      <c r="Y627" s="13"/>
      <c r="Z627" s="13"/>
      <c r="AA627" s="13"/>
      <c r="AB627" s="13"/>
      <c r="AC627" s="12"/>
      <c r="AD627" s="13"/>
      <c r="AE627" s="13"/>
    </row>
    <row r="628" ht="15.75" customHeight="1">
      <c r="A628" s="12"/>
      <c r="B628" s="12"/>
      <c r="C628" s="12"/>
      <c r="D628" s="12"/>
      <c r="E628" s="13"/>
      <c r="F628" s="13"/>
      <c r="G628" s="13"/>
      <c r="H628" s="13"/>
      <c r="I628" s="13"/>
      <c r="J628" s="13"/>
      <c r="K628" s="12"/>
      <c r="L628" s="13"/>
      <c r="M628" s="13"/>
      <c r="N628" s="13"/>
      <c r="O628" s="13"/>
      <c r="P628" s="13"/>
      <c r="Q628" s="13"/>
      <c r="R628" s="13"/>
      <c r="S628" s="13"/>
      <c r="T628" s="13"/>
      <c r="U628" s="12"/>
      <c r="V628" s="12"/>
      <c r="W628" s="13"/>
      <c r="X628" s="13"/>
      <c r="Y628" s="13"/>
      <c r="Z628" s="13"/>
      <c r="AA628" s="13"/>
      <c r="AB628" s="13"/>
      <c r="AC628" s="12"/>
      <c r="AD628" s="13"/>
      <c r="AE628" s="13"/>
    </row>
    <row r="629" ht="15.75" customHeight="1">
      <c r="A629" s="12"/>
      <c r="B629" s="12"/>
      <c r="C629" s="12"/>
      <c r="D629" s="12"/>
      <c r="E629" s="13"/>
      <c r="F629" s="13"/>
      <c r="G629" s="13"/>
      <c r="H629" s="13"/>
      <c r="I629" s="13"/>
      <c r="J629" s="13"/>
      <c r="K629" s="12"/>
      <c r="L629" s="13"/>
      <c r="M629" s="13"/>
      <c r="N629" s="13"/>
      <c r="O629" s="13"/>
      <c r="P629" s="13"/>
      <c r="Q629" s="13"/>
      <c r="R629" s="13"/>
      <c r="S629" s="13"/>
      <c r="T629" s="13"/>
      <c r="U629" s="12"/>
      <c r="V629" s="12"/>
      <c r="W629" s="13"/>
      <c r="X629" s="13"/>
      <c r="Y629" s="13"/>
      <c r="Z629" s="13"/>
      <c r="AA629" s="13"/>
      <c r="AB629" s="13"/>
      <c r="AC629" s="12"/>
      <c r="AD629" s="13"/>
      <c r="AE629" s="13"/>
    </row>
    <row r="630" ht="15.75" customHeight="1">
      <c r="A630" s="12"/>
      <c r="B630" s="12"/>
      <c r="C630" s="12"/>
      <c r="D630" s="12"/>
      <c r="E630" s="13"/>
      <c r="F630" s="13"/>
      <c r="G630" s="13"/>
      <c r="H630" s="13"/>
      <c r="I630" s="13"/>
      <c r="J630" s="13"/>
      <c r="K630" s="12"/>
      <c r="L630" s="13"/>
      <c r="M630" s="13"/>
      <c r="N630" s="13"/>
      <c r="O630" s="13"/>
      <c r="P630" s="13"/>
      <c r="Q630" s="13"/>
      <c r="R630" s="13"/>
      <c r="S630" s="13"/>
      <c r="T630" s="13"/>
      <c r="U630" s="12"/>
      <c r="V630" s="12"/>
      <c r="W630" s="13"/>
      <c r="X630" s="13"/>
      <c r="Y630" s="13"/>
      <c r="Z630" s="13"/>
      <c r="AA630" s="13"/>
      <c r="AB630" s="13"/>
      <c r="AC630" s="12"/>
      <c r="AD630" s="13"/>
      <c r="AE630" s="13"/>
    </row>
    <row r="631" ht="15.75" customHeight="1">
      <c r="A631" s="12"/>
      <c r="B631" s="12"/>
      <c r="C631" s="12"/>
      <c r="D631" s="12"/>
      <c r="E631" s="13"/>
      <c r="F631" s="13"/>
      <c r="G631" s="13"/>
      <c r="H631" s="13"/>
      <c r="I631" s="13"/>
      <c r="J631" s="13"/>
      <c r="K631" s="12"/>
      <c r="L631" s="13"/>
      <c r="M631" s="13"/>
      <c r="N631" s="13"/>
      <c r="O631" s="13"/>
      <c r="P631" s="13"/>
      <c r="Q631" s="13"/>
      <c r="R631" s="13"/>
      <c r="S631" s="13"/>
      <c r="T631" s="13"/>
      <c r="U631" s="12"/>
      <c r="V631" s="12"/>
      <c r="W631" s="13"/>
      <c r="X631" s="13"/>
      <c r="Y631" s="13"/>
      <c r="Z631" s="13"/>
      <c r="AA631" s="13"/>
      <c r="AB631" s="13"/>
      <c r="AC631" s="12"/>
      <c r="AD631" s="13"/>
      <c r="AE631" s="13"/>
    </row>
    <row r="632" ht="15.75" customHeight="1">
      <c r="A632" s="12"/>
      <c r="B632" s="12"/>
      <c r="C632" s="12"/>
      <c r="D632" s="12"/>
      <c r="E632" s="13"/>
      <c r="F632" s="13"/>
      <c r="G632" s="13"/>
      <c r="H632" s="13"/>
      <c r="I632" s="13"/>
      <c r="J632" s="13"/>
      <c r="K632" s="12"/>
      <c r="L632" s="13"/>
      <c r="M632" s="13"/>
      <c r="N632" s="13"/>
      <c r="O632" s="13"/>
      <c r="P632" s="13"/>
      <c r="Q632" s="13"/>
      <c r="R632" s="13"/>
      <c r="S632" s="13"/>
      <c r="T632" s="13"/>
      <c r="U632" s="12"/>
      <c r="V632" s="12"/>
      <c r="W632" s="13"/>
      <c r="X632" s="13"/>
      <c r="Y632" s="13"/>
      <c r="Z632" s="13"/>
      <c r="AA632" s="13"/>
      <c r="AB632" s="13"/>
      <c r="AC632" s="12"/>
      <c r="AD632" s="13"/>
      <c r="AE632" s="13"/>
    </row>
    <row r="633" ht="15.75" customHeight="1">
      <c r="A633" s="12"/>
      <c r="B633" s="12"/>
      <c r="C633" s="12"/>
      <c r="D633" s="12"/>
      <c r="E633" s="13"/>
      <c r="F633" s="13"/>
      <c r="G633" s="13"/>
      <c r="H633" s="13"/>
      <c r="I633" s="13"/>
      <c r="J633" s="13"/>
      <c r="K633" s="12"/>
      <c r="L633" s="13"/>
      <c r="M633" s="13"/>
      <c r="N633" s="13"/>
      <c r="O633" s="13"/>
      <c r="P633" s="13"/>
      <c r="Q633" s="13"/>
      <c r="R633" s="13"/>
      <c r="S633" s="13"/>
      <c r="T633" s="13"/>
      <c r="U633" s="12"/>
      <c r="V633" s="12"/>
      <c r="W633" s="13"/>
      <c r="X633" s="13"/>
      <c r="Y633" s="13"/>
      <c r="Z633" s="13"/>
      <c r="AA633" s="13"/>
      <c r="AB633" s="13"/>
      <c r="AC633" s="12"/>
      <c r="AD633" s="13"/>
      <c r="AE633" s="13"/>
    </row>
    <row r="634" ht="15.75" customHeight="1">
      <c r="A634" s="12"/>
      <c r="B634" s="12"/>
      <c r="C634" s="12"/>
      <c r="D634" s="12"/>
      <c r="E634" s="13"/>
      <c r="F634" s="13"/>
      <c r="G634" s="13"/>
      <c r="H634" s="13"/>
      <c r="I634" s="13"/>
      <c r="J634" s="13"/>
      <c r="K634" s="12"/>
      <c r="L634" s="13"/>
      <c r="M634" s="13"/>
      <c r="N634" s="13"/>
      <c r="O634" s="13"/>
      <c r="P634" s="13"/>
      <c r="Q634" s="13"/>
      <c r="R634" s="13"/>
      <c r="S634" s="13"/>
      <c r="T634" s="13"/>
      <c r="U634" s="12"/>
      <c r="V634" s="12"/>
      <c r="W634" s="13"/>
      <c r="X634" s="13"/>
      <c r="Y634" s="13"/>
      <c r="Z634" s="13"/>
      <c r="AA634" s="13"/>
      <c r="AB634" s="13"/>
      <c r="AC634" s="12"/>
      <c r="AD634" s="13"/>
      <c r="AE634" s="13"/>
    </row>
    <row r="635" ht="15.75" customHeight="1">
      <c r="A635" s="12"/>
      <c r="B635" s="12"/>
      <c r="C635" s="12"/>
      <c r="D635" s="12"/>
      <c r="E635" s="13"/>
      <c r="F635" s="13"/>
      <c r="G635" s="13"/>
      <c r="H635" s="13"/>
      <c r="I635" s="13"/>
      <c r="J635" s="13"/>
      <c r="K635" s="12"/>
      <c r="L635" s="13"/>
      <c r="M635" s="13"/>
      <c r="N635" s="13"/>
      <c r="O635" s="13"/>
      <c r="P635" s="13"/>
      <c r="Q635" s="13"/>
      <c r="R635" s="13"/>
      <c r="S635" s="13"/>
      <c r="T635" s="13"/>
      <c r="U635" s="12"/>
      <c r="V635" s="12"/>
      <c r="W635" s="13"/>
      <c r="X635" s="13"/>
      <c r="Y635" s="13"/>
      <c r="Z635" s="13"/>
      <c r="AA635" s="13"/>
      <c r="AB635" s="13"/>
      <c r="AC635" s="12"/>
      <c r="AD635" s="13"/>
      <c r="AE635" s="13"/>
    </row>
    <row r="636" ht="15.75" customHeight="1">
      <c r="A636" s="12"/>
      <c r="B636" s="12"/>
      <c r="C636" s="12"/>
      <c r="D636" s="12"/>
      <c r="E636" s="13"/>
      <c r="F636" s="13"/>
      <c r="G636" s="13"/>
      <c r="H636" s="13"/>
      <c r="I636" s="13"/>
      <c r="J636" s="13"/>
      <c r="K636" s="12"/>
      <c r="L636" s="13"/>
      <c r="M636" s="13"/>
      <c r="N636" s="13"/>
      <c r="O636" s="13"/>
      <c r="P636" s="13"/>
      <c r="Q636" s="13"/>
      <c r="R636" s="13"/>
      <c r="S636" s="13"/>
      <c r="T636" s="13"/>
      <c r="U636" s="12"/>
      <c r="V636" s="12"/>
      <c r="W636" s="13"/>
      <c r="X636" s="13"/>
      <c r="Y636" s="13"/>
      <c r="Z636" s="13"/>
      <c r="AA636" s="13"/>
      <c r="AB636" s="13"/>
      <c r="AC636" s="12"/>
      <c r="AD636" s="13"/>
      <c r="AE636" s="13"/>
    </row>
    <row r="637" ht="15.75" customHeight="1">
      <c r="A637" s="12"/>
      <c r="B637" s="12"/>
      <c r="C637" s="12"/>
      <c r="D637" s="12"/>
      <c r="E637" s="13"/>
      <c r="F637" s="13"/>
      <c r="G637" s="13"/>
      <c r="H637" s="13"/>
      <c r="I637" s="13"/>
      <c r="J637" s="13"/>
      <c r="K637" s="12"/>
      <c r="L637" s="13"/>
      <c r="M637" s="13"/>
      <c r="N637" s="13"/>
      <c r="O637" s="13"/>
      <c r="P637" s="13"/>
      <c r="Q637" s="13"/>
      <c r="R637" s="13"/>
      <c r="S637" s="13"/>
      <c r="T637" s="13"/>
      <c r="U637" s="12"/>
      <c r="V637" s="12"/>
      <c r="W637" s="13"/>
      <c r="X637" s="13"/>
      <c r="Y637" s="13"/>
      <c r="Z637" s="13"/>
      <c r="AA637" s="13"/>
      <c r="AB637" s="13"/>
      <c r="AC637" s="12"/>
      <c r="AD637" s="13"/>
      <c r="AE637" s="13"/>
    </row>
    <row r="638" ht="15.75" customHeight="1">
      <c r="A638" s="12"/>
      <c r="B638" s="12"/>
      <c r="C638" s="12"/>
      <c r="D638" s="12"/>
      <c r="E638" s="13"/>
      <c r="F638" s="13"/>
      <c r="G638" s="13"/>
      <c r="H638" s="13"/>
      <c r="I638" s="13"/>
      <c r="J638" s="13"/>
      <c r="K638" s="12"/>
      <c r="L638" s="13"/>
      <c r="M638" s="13"/>
      <c r="N638" s="13"/>
      <c r="O638" s="13"/>
      <c r="P638" s="13"/>
      <c r="Q638" s="13"/>
      <c r="R638" s="13"/>
      <c r="S638" s="13"/>
      <c r="T638" s="13"/>
      <c r="U638" s="12"/>
      <c r="V638" s="12"/>
      <c r="W638" s="13"/>
      <c r="X638" s="13"/>
      <c r="Y638" s="13"/>
      <c r="Z638" s="13"/>
      <c r="AA638" s="13"/>
      <c r="AB638" s="13"/>
      <c r="AC638" s="12"/>
      <c r="AD638" s="13"/>
      <c r="AE638" s="13"/>
    </row>
    <row r="639" ht="15.75" customHeight="1">
      <c r="A639" s="12"/>
      <c r="B639" s="12"/>
      <c r="C639" s="12"/>
      <c r="D639" s="12"/>
      <c r="E639" s="13"/>
      <c r="F639" s="13"/>
      <c r="G639" s="13"/>
      <c r="H639" s="13"/>
      <c r="I639" s="13"/>
      <c r="J639" s="13"/>
      <c r="K639" s="12"/>
      <c r="L639" s="13"/>
      <c r="M639" s="13"/>
      <c r="N639" s="13"/>
      <c r="O639" s="13"/>
      <c r="P639" s="13"/>
      <c r="Q639" s="13"/>
      <c r="R639" s="13"/>
      <c r="S639" s="13"/>
      <c r="T639" s="13"/>
      <c r="U639" s="12"/>
      <c r="V639" s="12"/>
      <c r="W639" s="13"/>
      <c r="X639" s="13"/>
      <c r="Y639" s="13"/>
      <c r="Z639" s="13"/>
      <c r="AA639" s="13"/>
      <c r="AB639" s="13"/>
      <c r="AC639" s="12"/>
      <c r="AD639" s="13"/>
      <c r="AE639" s="13"/>
    </row>
    <row r="640" ht="15.75" customHeight="1">
      <c r="A640" s="12"/>
      <c r="B640" s="12"/>
      <c r="C640" s="12"/>
      <c r="D640" s="12"/>
      <c r="E640" s="13"/>
      <c r="F640" s="13"/>
      <c r="G640" s="13"/>
      <c r="H640" s="13"/>
      <c r="I640" s="13"/>
      <c r="J640" s="13"/>
      <c r="K640" s="12"/>
      <c r="L640" s="13"/>
      <c r="M640" s="13"/>
      <c r="N640" s="13"/>
      <c r="O640" s="13"/>
      <c r="P640" s="13"/>
      <c r="Q640" s="13"/>
      <c r="R640" s="13"/>
      <c r="S640" s="13"/>
      <c r="T640" s="13"/>
      <c r="U640" s="12"/>
      <c r="V640" s="12"/>
      <c r="W640" s="13"/>
      <c r="X640" s="13"/>
      <c r="Y640" s="13"/>
      <c r="Z640" s="13"/>
      <c r="AA640" s="13"/>
      <c r="AB640" s="13"/>
      <c r="AC640" s="12"/>
      <c r="AD640" s="13"/>
      <c r="AE640" s="13"/>
    </row>
    <row r="641" ht="15.75" customHeight="1">
      <c r="A641" s="12"/>
      <c r="B641" s="12"/>
      <c r="C641" s="12"/>
      <c r="D641" s="12"/>
      <c r="E641" s="13"/>
      <c r="F641" s="13"/>
      <c r="G641" s="13"/>
      <c r="H641" s="13"/>
      <c r="I641" s="13"/>
      <c r="J641" s="13"/>
      <c r="K641" s="12"/>
      <c r="L641" s="13"/>
      <c r="M641" s="13"/>
      <c r="N641" s="13"/>
      <c r="O641" s="13"/>
      <c r="P641" s="13"/>
      <c r="Q641" s="13"/>
      <c r="R641" s="13"/>
      <c r="S641" s="13"/>
      <c r="T641" s="13"/>
      <c r="U641" s="12"/>
      <c r="V641" s="12"/>
      <c r="W641" s="13"/>
      <c r="X641" s="13"/>
      <c r="Y641" s="13"/>
      <c r="Z641" s="13"/>
      <c r="AA641" s="13"/>
      <c r="AB641" s="13"/>
      <c r="AC641" s="12"/>
      <c r="AD641" s="13"/>
      <c r="AE641" s="13"/>
    </row>
    <row r="642" ht="15.75" customHeight="1">
      <c r="A642" s="12"/>
      <c r="B642" s="12"/>
      <c r="C642" s="12"/>
      <c r="D642" s="12"/>
      <c r="E642" s="13"/>
      <c r="F642" s="13"/>
      <c r="G642" s="13"/>
      <c r="H642" s="13"/>
      <c r="I642" s="13"/>
      <c r="J642" s="13"/>
      <c r="K642" s="12"/>
      <c r="L642" s="13"/>
      <c r="M642" s="13"/>
      <c r="N642" s="13"/>
      <c r="O642" s="13"/>
      <c r="P642" s="13"/>
      <c r="Q642" s="13"/>
      <c r="R642" s="13"/>
      <c r="S642" s="13"/>
      <c r="T642" s="13"/>
      <c r="U642" s="12"/>
      <c r="V642" s="12"/>
      <c r="W642" s="13"/>
      <c r="X642" s="13"/>
      <c r="Y642" s="13"/>
      <c r="Z642" s="13"/>
      <c r="AA642" s="13"/>
      <c r="AB642" s="13"/>
      <c r="AC642" s="12"/>
      <c r="AD642" s="13"/>
      <c r="AE642" s="13"/>
    </row>
    <row r="643" ht="15.75" customHeight="1">
      <c r="A643" s="12"/>
      <c r="B643" s="12"/>
      <c r="C643" s="12"/>
      <c r="D643" s="12"/>
      <c r="E643" s="13"/>
      <c r="F643" s="13"/>
      <c r="G643" s="13"/>
      <c r="H643" s="13"/>
      <c r="I643" s="13"/>
      <c r="J643" s="13"/>
      <c r="K643" s="12"/>
      <c r="L643" s="13"/>
      <c r="M643" s="13"/>
      <c r="N643" s="13"/>
      <c r="O643" s="13"/>
      <c r="P643" s="13"/>
      <c r="Q643" s="13"/>
      <c r="R643" s="13"/>
      <c r="S643" s="13"/>
      <c r="T643" s="13"/>
      <c r="U643" s="12"/>
      <c r="V643" s="12"/>
      <c r="W643" s="13"/>
      <c r="X643" s="13"/>
      <c r="Y643" s="13"/>
      <c r="Z643" s="13"/>
      <c r="AA643" s="13"/>
      <c r="AB643" s="13"/>
      <c r="AC643" s="12"/>
      <c r="AD643" s="13"/>
      <c r="AE643" s="13"/>
    </row>
    <row r="644" ht="15.75" customHeight="1">
      <c r="A644" s="12"/>
      <c r="B644" s="12"/>
      <c r="C644" s="12"/>
      <c r="D644" s="12"/>
      <c r="E644" s="13"/>
      <c r="F644" s="13"/>
      <c r="G644" s="13"/>
      <c r="H644" s="13"/>
      <c r="I644" s="13"/>
      <c r="J644" s="13"/>
      <c r="K644" s="12"/>
      <c r="L644" s="13"/>
      <c r="M644" s="13"/>
      <c r="N644" s="13"/>
      <c r="O644" s="13"/>
      <c r="P644" s="13"/>
      <c r="Q644" s="13"/>
      <c r="R644" s="13"/>
      <c r="S644" s="13"/>
      <c r="T644" s="13"/>
      <c r="U644" s="12"/>
      <c r="V644" s="12"/>
      <c r="W644" s="13"/>
      <c r="X644" s="13"/>
      <c r="Y644" s="13"/>
      <c r="Z644" s="13"/>
      <c r="AA644" s="13"/>
      <c r="AB644" s="13"/>
      <c r="AC644" s="12"/>
      <c r="AD644" s="13"/>
      <c r="AE644" s="13"/>
    </row>
    <row r="645" ht="15.75" customHeight="1">
      <c r="A645" s="12"/>
      <c r="B645" s="12"/>
      <c r="C645" s="12"/>
      <c r="D645" s="12"/>
      <c r="E645" s="13"/>
      <c r="F645" s="13"/>
      <c r="G645" s="13"/>
      <c r="H645" s="13"/>
      <c r="I645" s="13"/>
      <c r="J645" s="13"/>
      <c r="K645" s="12"/>
      <c r="L645" s="13"/>
      <c r="M645" s="13"/>
      <c r="N645" s="13"/>
      <c r="O645" s="13"/>
      <c r="P645" s="13"/>
      <c r="Q645" s="13"/>
      <c r="R645" s="13"/>
      <c r="S645" s="13"/>
      <c r="T645" s="13"/>
      <c r="U645" s="12"/>
      <c r="V645" s="12"/>
      <c r="W645" s="13"/>
      <c r="X645" s="13"/>
      <c r="Y645" s="13"/>
      <c r="Z645" s="13"/>
      <c r="AA645" s="13"/>
      <c r="AB645" s="13"/>
      <c r="AC645" s="12"/>
      <c r="AD645" s="13"/>
      <c r="AE645" s="13"/>
    </row>
    <row r="646" ht="15.75" customHeight="1">
      <c r="A646" s="12"/>
      <c r="B646" s="12"/>
      <c r="C646" s="12"/>
      <c r="D646" s="12"/>
      <c r="E646" s="13"/>
      <c r="F646" s="13"/>
      <c r="G646" s="13"/>
      <c r="H646" s="13"/>
      <c r="I646" s="13"/>
      <c r="J646" s="13"/>
      <c r="K646" s="12"/>
      <c r="L646" s="13"/>
      <c r="M646" s="13"/>
      <c r="N646" s="13"/>
      <c r="O646" s="13"/>
      <c r="P646" s="13"/>
      <c r="Q646" s="13"/>
      <c r="R646" s="13"/>
      <c r="S646" s="13"/>
      <c r="T646" s="13"/>
      <c r="U646" s="12"/>
      <c r="V646" s="12"/>
      <c r="W646" s="13"/>
      <c r="X646" s="13"/>
      <c r="Y646" s="13"/>
      <c r="Z646" s="13"/>
      <c r="AA646" s="13"/>
      <c r="AB646" s="13"/>
      <c r="AC646" s="12"/>
      <c r="AD646" s="13"/>
      <c r="AE646" s="13"/>
    </row>
    <row r="647" ht="15.75" customHeight="1">
      <c r="A647" s="12"/>
      <c r="B647" s="12"/>
      <c r="C647" s="12"/>
      <c r="D647" s="12"/>
      <c r="E647" s="13"/>
      <c r="F647" s="13"/>
      <c r="G647" s="13"/>
      <c r="H647" s="13"/>
      <c r="I647" s="13"/>
      <c r="J647" s="13"/>
      <c r="K647" s="12"/>
      <c r="L647" s="13"/>
      <c r="M647" s="13"/>
      <c r="N647" s="13"/>
      <c r="O647" s="13"/>
      <c r="P647" s="13"/>
      <c r="Q647" s="13"/>
      <c r="R647" s="13"/>
      <c r="S647" s="13"/>
      <c r="T647" s="13"/>
      <c r="U647" s="12"/>
      <c r="V647" s="12"/>
      <c r="W647" s="13"/>
      <c r="X647" s="13"/>
      <c r="Y647" s="13"/>
      <c r="Z647" s="13"/>
      <c r="AA647" s="13"/>
      <c r="AB647" s="13"/>
      <c r="AC647" s="12"/>
      <c r="AD647" s="13"/>
      <c r="AE647" s="13"/>
    </row>
    <row r="648" ht="15.75" customHeight="1">
      <c r="A648" s="12"/>
      <c r="B648" s="12"/>
      <c r="C648" s="12"/>
      <c r="D648" s="12"/>
      <c r="E648" s="13"/>
      <c r="F648" s="13"/>
      <c r="G648" s="13"/>
      <c r="H648" s="13"/>
      <c r="I648" s="13"/>
      <c r="J648" s="13"/>
      <c r="K648" s="12"/>
      <c r="L648" s="13"/>
      <c r="M648" s="13"/>
      <c r="N648" s="13"/>
      <c r="O648" s="13"/>
      <c r="P648" s="13"/>
      <c r="Q648" s="13"/>
      <c r="R648" s="13"/>
      <c r="S648" s="13"/>
      <c r="T648" s="13"/>
      <c r="U648" s="12"/>
      <c r="V648" s="12"/>
      <c r="W648" s="13"/>
      <c r="X648" s="13"/>
      <c r="Y648" s="13"/>
      <c r="Z648" s="13"/>
      <c r="AA648" s="13"/>
      <c r="AB648" s="13"/>
      <c r="AC648" s="12"/>
      <c r="AD648" s="13"/>
      <c r="AE648" s="13"/>
    </row>
    <row r="649" ht="15.75" customHeight="1">
      <c r="A649" s="12"/>
      <c r="B649" s="12"/>
      <c r="C649" s="12"/>
      <c r="D649" s="12"/>
      <c r="E649" s="13"/>
      <c r="F649" s="13"/>
      <c r="G649" s="13"/>
      <c r="H649" s="13"/>
      <c r="I649" s="13"/>
      <c r="J649" s="13"/>
      <c r="K649" s="12"/>
      <c r="L649" s="13"/>
      <c r="M649" s="13"/>
      <c r="N649" s="13"/>
      <c r="O649" s="13"/>
      <c r="P649" s="13"/>
      <c r="Q649" s="13"/>
      <c r="R649" s="13"/>
      <c r="S649" s="13"/>
      <c r="T649" s="13"/>
      <c r="U649" s="12"/>
      <c r="V649" s="12"/>
      <c r="W649" s="13"/>
      <c r="X649" s="13"/>
      <c r="Y649" s="13"/>
      <c r="Z649" s="13"/>
      <c r="AA649" s="13"/>
      <c r="AB649" s="13"/>
      <c r="AC649" s="12"/>
      <c r="AD649" s="13"/>
      <c r="AE649" s="13"/>
    </row>
    <row r="650" ht="15.75" customHeight="1">
      <c r="A650" s="12"/>
      <c r="B650" s="12"/>
      <c r="C650" s="12"/>
      <c r="D650" s="12"/>
      <c r="E650" s="13"/>
      <c r="F650" s="13"/>
      <c r="G650" s="13"/>
      <c r="H650" s="13"/>
      <c r="I650" s="13"/>
      <c r="J650" s="13"/>
      <c r="K650" s="12"/>
      <c r="L650" s="13"/>
      <c r="M650" s="13"/>
      <c r="N650" s="13"/>
      <c r="O650" s="13"/>
      <c r="P650" s="13"/>
      <c r="Q650" s="13"/>
      <c r="R650" s="13"/>
      <c r="S650" s="13"/>
      <c r="T650" s="13"/>
      <c r="U650" s="12"/>
      <c r="V650" s="12"/>
      <c r="W650" s="13"/>
      <c r="X650" s="13"/>
      <c r="Y650" s="13"/>
      <c r="Z650" s="13"/>
      <c r="AA650" s="13"/>
      <c r="AB650" s="13"/>
      <c r="AC650" s="12"/>
      <c r="AD650" s="13"/>
      <c r="AE650" s="13"/>
    </row>
    <row r="651" ht="15.75" customHeight="1">
      <c r="A651" s="12"/>
      <c r="B651" s="12"/>
      <c r="C651" s="12"/>
      <c r="D651" s="12"/>
      <c r="E651" s="13"/>
      <c r="F651" s="13"/>
      <c r="G651" s="13"/>
      <c r="H651" s="13"/>
      <c r="I651" s="13"/>
      <c r="J651" s="13"/>
      <c r="K651" s="12"/>
      <c r="L651" s="13"/>
      <c r="M651" s="13"/>
      <c r="N651" s="13"/>
      <c r="O651" s="13"/>
      <c r="P651" s="13"/>
      <c r="Q651" s="13"/>
      <c r="R651" s="13"/>
      <c r="S651" s="13"/>
      <c r="T651" s="13"/>
      <c r="U651" s="12"/>
      <c r="V651" s="12"/>
      <c r="W651" s="13"/>
      <c r="X651" s="13"/>
      <c r="Y651" s="13"/>
      <c r="Z651" s="13"/>
      <c r="AA651" s="13"/>
      <c r="AB651" s="13"/>
      <c r="AC651" s="12"/>
      <c r="AD651" s="13"/>
      <c r="AE651" s="13"/>
    </row>
    <row r="652" ht="15.75" customHeight="1">
      <c r="A652" s="12"/>
      <c r="B652" s="12"/>
      <c r="C652" s="12"/>
      <c r="D652" s="12"/>
      <c r="E652" s="13"/>
      <c r="F652" s="13"/>
      <c r="G652" s="13"/>
      <c r="H652" s="13"/>
      <c r="I652" s="13"/>
      <c r="J652" s="13"/>
      <c r="K652" s="12"/>
      <c r="L652" s="13"/>
      <c r="M652" s="13"/>
      <c r="N652" s="13"/>
      <c r="O652" s="13"/>
      <c r="P652" s="13"/>
      <c r="Q652" s="13"/>
      <c r="R652" s="13"/>
      <c r="S652" s="13"/>
      <c r="T652" s="13"/>
      <c r="U652" s="12"/>
      <c r="V652" s="12"/>
      <c r="W652" s="13"/>
      <c r="X652" s="13"/>
      <c r="Y652" s="13"/>
      <c r="Z652" s="13"/>
      <c r="AA652" s="13"/>
      <c r="AB652" s="13"/>
      <c r="AC652" s="12"/>
      <c r="AD652" s="13"/>
      <c r="AE652" s="13"/>
    </row>
    <row r="653" ht="15.75" customHeight="1">
      <c r="A653" s="12"/>
      <c r="B653" s="12"/>
      <c r="C653" s="12"/>
      <c r="D653" s="12"/>
      <c r="E653" s="13"/>
      <c r="F653" s="13"/>
      <c r="G653" s="13"/>
      <c r="H653" s="13"/>
      <c r="I653" s="13"/>
      <c r="J653" s="13"/>
      <c r="K653" s="12"/>
      <c r="L653" s="13"/>
      <c r="M653" s="13"/>
      <c r="N653" s="13"/>
      <c r="O653" s="13"/>
      <c r="P653" s="13"/>
      <c r="Q653" s="13"/>
      <c r="R653" s="13"/>
      <c r="S653" s="13"/>
      <c r="T653" s="13"/>
      <c r="U653" s="12"/>
      <c r="V653" s="12"/>
      <c r="W653" s="13"/>
      <c r="X653" s="13"/>
      <c r="Y653" s="13"/>
      <c r="Z653" s="13"/>
      <c r="AA653" s="13"/>
      <c r="AB653" s="13"/>
      <c r="AC653" s="12"/>
      <c r="AD653" s="13"/>
      <c r="AE653" s="13"/>
    </row>
    <row r="654" ht="15.75" customHeight="1">
      <c r="A654" s="12"/>
      <c r="B654" s="12"/>
      <c r="C654" s="12"/>
      <c r="D654" s="12"/>
      <c r="E654" s="13"/>
      <c r="F654" s="13"/>
      <c r="G654" s="13"/>
      <c r="H654" s="13"/>
      <c r="I654" s="13"/>
      <c r="J654" s="13"/>
      <c r="K654" s="12"/>
      <c r="L654" s="13"/>
      <c r="M654" s="13"/>
      <c r="N654" s="13"/>
      <c r="O654" s="13"/>
      <c r="P654" s="13"/>
      <c r="Q654" s="13"/>
      <c r="R654" s="13"/>
      <c r="S654" s="13"/>
      <c r="T654" s="13"/>
      <c r="U654" s="12"/>
      <c r="V654" s="12"/>
      <c r="W654" s="13"/>
      <c r="X654" s="13"/>
      <c r="Y654" s="13"/>
      <c r="Z654" s="13"/>
      <c r="AA654" s="13"/>
      <c r="AB654" s="13"/>
      <c r="AC654" s="12"/>
      <c r="AD654" s="13"/>
      <c r="AE654" s="13"/>
    </row>
    <row r="655" ht="15.75" customHeight="1">
      <c r="A655" s="12"/>
      <c r="B655" s="12"/>
      <c r="C655" s="12"/>
      <c r="D655" s="12"/>
      <c r="E655" s="13"/>
      <c r="F655" s="13"/>
      <c r="G655" s="13"/>
      <c r="H655" s="13"/>
      <c r="I655" s="13"/>
      <c r="J655" s="13"/>
      <c r="K655" s="12"/>
      <c r="L655" s="13"/>
      <c r="M655" s="13"/>
      <c r="N655" s="13"/>
      <c r="O655" s="13"/>
      <c r="P655" s="13"/>
      <c r="Q655" s="13"/>
      <c r="R655" s="13"/>
      <c r="S655" s="13"/>
      <c r="T655" s="13"/>
      <c r="U655" s="12"/>
      <c r="V655" s="12"/>
      <c r="W655" s="13"/>
      <c r="X655" s="13"/>
      <c r="Y655" s="13"/>
      <c r="Z655" s="13"/>
      <c r="AA655" s="13"/>
      <c r="AB655" s="13"/>
      <c r="AC655" s="12"/>
      <c r="AD655" s="13"/>
      <c r="AE655" s="13"/>
    </row>
    <row r="656" ht="15.75" customHeight="1">
      <c r="A656" s="12"/>
      <c r="B656" s="12"/>
      <c r="C656" s="12"/>
      <c r="D656" s="12"/>
      <c r="E656" s="13"/>
      <c r="F656" s="13"/>
      <c r="G656" s="13"/>
      <c r="H656" s="13"/>
      <c r="I656" s="13"/>
      <c r="J656" s="13"/>
      <c r="K656" s="12"/>
      <c r="L656" s="13"/>
      <c r="M656" s="13"/>
      <c r="N656" s="13"/>
      <c r="O656" s="13"/>
      <c r="P656" s="13"/>
      <c r="Q656" s="13"/>
      <c r="R656" s="13"/>
      <c r="S656" s="13"/>
      <c r="T656" s="13"/>
      <c r="U656" s="12"/>
      <c r="V656" s="12"/>
      <c r="W656" s="13"/>
      <c r="X656" s="13"/>
      <c r="Y656" s="13"/>
      <c r="Z656" s="13"/>
      <c r="AA656" s="13"/>
      <c r="AB656" s="13"/>
      <c r="AC656" s="12"/>
      <c r="AD656" s="13"/>
      <c r="AE656" s="13"/>
    </row>
    <row r="657" ht="15.75" customHeight="1">
      <c r="A657" s="12"/>
      <c r="B657" s="12"/>
      <c r="C657" s="12"/>
      <c r="D657" s="12"/>
      <c r="E657" s="13"/>
      <c r="F657" s="13"/>
      <c r="G657" s="13"/>
      <c r="H657" s="13"/>
      <c r="I657" s="13"/>
      <c r="J657" s="13"/>
      <c r="K657" s="12"/>
      <c r="L657" s="13"/>
      <c r="M657" s="13"/>
      <c r="N657" s="13"/>
      <c r="O657" s="13"/>
      <c r="P657" s="13"/>
      <c r="Q657" s="13"/>
      <c r="R657" s="13"/>
      <c r="S657" s="13"/>
      <c r="T657" s="13"/>
      <c r="U657" s="12"/>
      <c r="V657" s="12"/>
      <c r="W657" s="13"/>
      <c r="X657" s="13"/>
      <c r="Y657" s="13"/>
      <c r="Z657" s="13"/>
      <c r="AA657" s="13"/>
      <c r="AB657" s="13"/>
      <c r="AC657" s="12"/>
      <c r="AD657" s="13"/>
      <c r="AE657" s="13"/>
    </row>
    <row r="658" ht="15.75" customHeight="1">
      <c r="A658" s="12"/>
      <c r="B658" s="12"/>
      <c r="C658" s="12"/>
      <c r="D658" s="12"/>
      <c r="E658" s="13"/>
      <c r="F658" s="13"/>
      <c r="G658" s="13"/>
      <c r="H658" s="13"/>
      <c r="I658" s="13"/>
      <c r="J658" s="13"/>
      <c r="K658" s="12"/>
      <c r="L658" s="13"/>
      <c r="M658" s="13"/>
      <c r="N658" s="13"/>
      <c r="O658" s="13"/>
      <c r="P658" s="13"/>
      <c r="Q658" s="13"/>
      <c r="R658" s="13"/>
      <c r="S658" s="13"/>
      <c r="T658" s="13"/>
      <c r="U658" s="12"/>
      <c r="V658" s="12"/>
      <c r="W658" s="13"/>
      <c r="X658" s="13"/>
      <c r="Y658" s="13"/>
      <c r="Z658" s="13"/>
      <c r="AA658" s="13"/>
      <c r="AB658" s="13"/>
      <c r="AC658" s="12"/>
      <c r="AD658" s="13"/>
      <c r="AE658" s="13"/>
    </row>
    <row r="659" ht="15.75" customHeight="1">
      <c r="A659" s="12"/>
      <c r="B659" s="12"/>
      <c r="C659" s="12"/>
      <c r="D659" s="12"/>
      <c r="E659" s="13"/>
      <c r="F659" s="13"/>
      <c r="G659" s="13"/>
      <c r="H659" s="13"/>
      <c r="I659" s="13"/>
      <c r="J659" s="13"/>
      <c r="K659" s="12"/>
      <c r="L659" s="13"/>
      <c r="M659" s="13"/>
      <c r="N659" s="13"/>
      <c r="O659" s="13"/>
      <c r="P659" s="13"/>
      <c r="Q659" s="13"/>
      <c r="R659" s="13"/>
      <c r="S659" s="13"/>
      <c r="T659" s="13"/>
      <c r="U659" s="12"/>
      <c r="V659" s="12"/>
      <c r="W659" s="13"/>
      <c r="X659" s="13"/>
      <c r="Y659" s="13"/>
      <c r="Z659" s="13"/>
      <c r="AA659" s="13"/>
      <c r="AB659" s="13"/>
      <c r="AC659" s="12"/>
      <c r="AD659" s="13"/>
      <c r="AE659" s="13"/>
    </row>
    <row r="660" ht="15.75" customHeight="1">
      <c r="A660" s="12"/>
      <c r="B660" s="12"/>
      <c r="C660" s="12"/>
      <c r="D660" s="12"/>
      <c r="E660" s="13"/>
      <c r="F660" s="13"/>
      <c r="G660" s="13"/>
      <c r="H660" s="13"/>
      <c r="I660" s="13"/>
      <c r="J660" s="13"/>
      <c r="K660" s="12"/>
      <c r="L660" s="13"/>
      <c r="M660" s="13"/>
      <c r="N660" s="13"/>
      <c r="O660" s="13"/>
      <c r="P660" s="13"/>
      <c r="Q660" s="13"/>
      <c r="R660" s="13"/>
      <c r="S660" s="13"/>
      <c r="T660" s="13"/>
      <c r="U660" s="12"/>
      <c r="V660" s="12"/>
      <c r="W660" s="13"/>
      <c r="X660" s="13"/>
      <c r="Y660" s="13"/>
      <c r="Z660" s="13"/>
      <c r="AA660" s="13"/>
      <c r="AB660" s="13"/>
      <c r="AC660" s="12"/>
      <c r="AD660" s="13"/>
      <c r="AE660" s="13"/>
    </row>
    <row r="661" ht="15.75" customHeight="1">
      <c r="A661" s="12"/>
      <c r="B661" s="12"/>
      <c r="C661" s="12"/>
      <c r="D661" s="12"/>
      <c r="E661" s="13"/>
      <c r="F661" s="13"/>
      <c r="G661" s="13"/>
      <c r="H661" s="13"/>
      <c r="I661" s="13"/>
      <c r="J661" s="13"/>
      <c r="K661" s="12"/>
      <c r="L661" s="13"/>
      <c r="M661" s="13"/>
      <c r="N661" s="13"/>
      <c r="O661" s="13"/>
      <c r="P661" s="13"/>
      <c r="Q661" s="13"/>
      <c r="R661" s="13"/>
      <c r="S661" s="13"/>
      <c r="T661" s="13"/>
      <c r="U661" s="12"/>
      <c r="V661" s="12"/>
      <c r="W661" s="13"/>
      <c r="X661" s="13"/>
      <c r="Y661" s="13"/>
      <c r="Z661" s="13"/>
      <c r="AA661" s="13"/>
      <c r="AB661" s="13"/>
      <c r="AC661" s="12"/>
      <c r="AD661" s="13"/>
      <c r="AE661" s="13"/>
    </row>
    <row r="662" ht="15.75" customHeight="1">
      <c r="A662" s="12"/>
      <c r="B662" s="12"/>
      <c r="C662" s="12"/>
      <c r="D662" s="12"/>
      <c r="E662" s="13"/>
      <c r="F662" s="13"/>
      <c r="G662" s="13"/>
      <c r="H662" s="13"/>
      <c r="I662" s="13"/>
      <c r="J662" s="13"/>
      <c r="K662" s="12"/>
      <c r="L662" s="13"/>
      <c r="M662" s="13"/>
      <c r="N662" s="13"/>
      <c r="O662" s="13"/>
      <c r="P662" s="13"/>
      <c r="Q662" s="13"/>
      <c r="R662" s="13"/>
      <c r="S662" s="13"/>
      <c r="T662" s="13"/>
      <c r="U662" s="12"/>
      <c r="V662" s="12"/>
      <c r="W662" s="13"/>
      <c r="X662" s="13"/>
      <c r="Y662" s="13"/>
      <c r="Z662" s="13"/>
      <c r="AA662" s="13"/>
      <c r="AB662" s="13"/>
      <c r="AC662" s="12"/>
      <c r="AD662" s="13"/>
      <c r="AE662" s="13"/>
    </row>
    <row r="663" ht="15.75" customHeight="1">
      <c r="A663" s="12"/>
      <c r="B663" s="12"/>
      <c r="C663" s="12"/>
      <c r="D663" s="12"/>
      <c r="E663" s="13"/>
      <c r="F663" s="13"/>
      <c r="G663" s="13"/>
      <c r="H663" s="13"/>
      <c r="I663" s="13"/>
      <c r="J663" s="13"/>
      <c r="K663" s="12"/>
      <c r="L663" s="13"/>
      <c r="M663" s="13"/>
      <c r="N663" s="13"/>
      <c r="O663" s="13"/>
      <c r="P663" s="13"/>
      <c r="Q663" s="13"/>
      <c r="R663" s="13"/>
      <c r="S663" s="13"/>
      <c r="T663" s="13"/>
      <c r="U663" s="12"/>
      <c r="V663" s="12"/>
      <c r="W663" s="13"/>
      <c r="X663" s="13"/>
      <c r="Y663" s="13"/>
      <c r="Z663" s="13"/>
      <c r="AA663" s="13"/>
      <c r="AB663" s="13"/>
      <c r="AC663" s="12"/>
      <c r="AD663" s="13"/>
      <c r="AE663" s="13"/>
    </row>
    <row r="664" ht="15.75" customHeight="1">
      <c r="A664" s="12"/>
      <c r="B664" s="12"/>
      <c r="C664" s="12"/>
      <c r="D664" s="12"/>
      <c r="E664" s="13"/>
      <c r="F664" s="13"/>
      <c r="G664" s="13"/>
      <c r="H664" s="13"/>
      <c r="I664" s="13"/>
      <c r="J664" s="13"/>
      <c r="K664" s="12"/>
      <c r="L664" s="13"/>
      <c r="M664" s="13"/>
      <c r="N664" s="13"/>
      <c r="O664" s="13"/>
      <c r="P664" s="13"/>
      <c r="Q664" s="13"/>
      <c r="R664" s="13"/>
      <c r="S664" s="13"/>
      <c r="T664" s="13"/>
      <c r="U664" s="12"/>
      <c r="V664" s="12"/>
      <c r="W664" s="13"/>
      <c r="X664" s="13"/>
      <c r="Y664" s="13"/>
      <c r="Z664" s="13"/>
      <c r="AA664" s="13"/>
      <c r="AB664" s="13"/>
      <c r="AC664" s="12"/>
      <c r="AD664" s="13"/>
      <c r="AE664" s="13"/>
    </row>
    <row r="665" ht="15.75" customHeight="1">
      <c r="A665" s="12"/>
      <c r="B665" s="12"/>
      <c r="C665" s="12"/>
      <c r="D665" s="12"/>
      <c r="E665" s="13"/>
      <c r="F665" s="13"/>
      <c r="G665" s="13"/>
      <c r="H665" s="13"/>
      <c r="I665" s="13"/>
      <c r="J665" s="13"/>
      <c r="K665" s="12"/>
      <c r="L665" s="13"/>
      <c r="M665" s="13"/>
      <c r="N665" s="13"/>
      <c r="O665" s="13"/>
      <c r="P665" s="13"/>
      <c r="Q665" s="13"/>
      <c r="R665" s="13"/>
      <c r="S665" s="13"/>
      <c r="T665" s="13"/>
      <c r="U665" s="12"/>
      <c r="V665" s="12"/>
      <c r="W665" s="13"/>
      <c r="X665" s="13"/>
      <c r="Y665" s="13"/>
      <c r="Z665" s="13"/>
      <c r="AA665" s="13"/>
      <c r="AB665" s="13"/>
      <c r="AC665" s="12"/>
      <c r="AD665" s="13"/>
      <c r="AE665" s="13"/>
    </row>
    <row r="666" ht="15.75" customHeight="1">
      <c r="A666" s="12"/>
      <c r="B666" s="12"/>
      <c r="C666" s="12"/>
      <c r="D666" s="12"/>
      <c r="E666" s="13"/>
      <c r="F666" s="13"/>
      <c r="G666" s="13"/>
      <c r="H666" s="13"/>
      <c r="I666" s="13"/>
      <c r="J666" s="13"/>
      <c r="K666" s="12"/>
      <c r="L666" s="13"/>
      <c r="M666" s="13"/>
      <c r="N666" s="13"/>
      <c r="O666" s="13"/>
      <c r="P666" s="13"/>
      <c r="Q666" s="13"/>
      <c r="R666" s="13"/>
      <c r="S666" s="13"/>
      <c r="T666" s="13"/>
      <c r="U666" s="12"/>
      <c r="V666" s="12"/>
      <c r="W666" s="13"/>
      <c r="X666" s="13"/>
      <c r="Y666" s="13"/>
      <c r="Z666" s="13"/>
      <c r="AA666" s="13"/>
      <c r="AB666" s="13"/>
      <c r="AC666" s="12"/>
      <c r="AD666" s="13"/>
      <c r="AE666" s="13"/>
    </row>
    <row r="667" ht="15.75" customHeight="1">
      <c r="A667" s="12"/>
      <c r="B667" s="12"/>
      <c r="C667" s="12"/>
      <c r="D667" s="12"/>
      <c r="E667" s="13"/>
      <c r="F667" s="13"/>
      <c r="G667" s="13"/>
      <c r="H667" s="13"/>
      <c r="I667" s="13"/>
      <c r="J667" s="13"/>
      <c r="K667" s="12"/>
      <c r="L667" s="13"/>
      <c r="M667" s="13"/>
      <c r="N667" s="13"/>
      <c r="O667" s="13"/>
      <c r="P667" s="13"/>
      <c r="Q667" s="13"/>
      <c r="R667" s="13"/>
      <c r="S667" s="13"/>
      <c r="T667" s="13"/>
      <c r="U667" s="12"/>
      <c r="V667" s="12"/>
      <c r="W667" s="13"/>
      <c r="X667" s="13"/>
      <c r="Y667" s="13"/>
      <c r="Z667" s="13"/>
      <c r="AA667" s="13"/>
      <c r="AB667" s="13"/>
      <c r="AC667" s="12"/>
      <c r="AD667" s="13"/>
      <c r="AE667" s="13"/>
    </row>
    <row r="668" ht="15.75" customHeight="1">
      <c r="A668" s="12"/>
      <c r="B668" s="12"/>
      <c r="C668" s="12"/>
      <c r="D668" s="12"/>
      <c r="E668" s="13"/>
      <c r="F668" s="13"/>
      <c r="G668" s="13"/>
      <c r="H668" s="13"/>
      <c r="I668" s="13"/>
      <c r="J668" s="13"/>
      <c r="K668" s="12"/>
      <c r="L668" s="13"/>
      <c r="M668" s="13"/>
      <c r="N668" s="13"/>
      <c r="O668" s="13"/>
      <c r="P668" s="13"/>
      <c r="Q668" s="13"/>
      <c r="R668" s="13"/>
      <c r="S668" s="13"/>
      <c r="T668" s="13"/>
      <c r="U668" s="12"/>
      <c r="V668" s="12"/>
      <c r="W668" s="13"/>
      <c r="X668" s="13"/>
      <c r="Y668" s="13"/>
      <c r="Z668" s="13"/>
      <c r="AA668" s="13"/>
      <c r="AB668" s="13"/>
      <c r="AC668" s="12"/>
      <c r="AD668" s="13"/>
      <c r="AE668" s="13"/>
    </row>
    <row r="669" ht="15.75" customHeight="1">
      <c r="A669" s="12"/>
      <c r="B669" s="12"/>
      <c r="C669" s="12"/>
      <c r="D669" s="12"/>
      <c r="E669" s="13"/>
      <c r="F669" s="13"/>
      <c r="G669" s="13"/>
      <c r="H669" s="13"/>
      <c r="I669" s="13"/>
      <c r="J669" s="13"/>
      <c r="K669" s="12"/>
      <c r="L669" s="13"/>
      <c r="M669" s="13"/>
      <c r="N669" s="13"/>
      <c r="O669" s="13"/>
      <c r="P669" s="13"/>
      <c r="Q669" s="13"/>
      <c r="R669" s="13"/>
      <c r="S669" s="13"/>
      <c r="T669" s="13"/>
      <c r="U669" s="12"/>
      <c r="V669" s="12"/>
      <c r="W669" s="13"/>
      <c r="X669" s="13"/>
      <c r="Y669" s="13"/>
      <c r="Z669" s="13"/>
      <c r="AA669" s="13"/>
      <c r="AB669" s="13"/>
      <c r="AC669" s="12"/>
      <c r="AD669" s="13"/>
      <c r="AE669" s="13"/>
    </row>
    <row r="670" ht="15.75" customHeight="1">
      <c r="A670" s="12"/>
      <c r="B670" s="12"/>
      <c r="C670" s="12"/>
      <c r="D670" s="12"/>
      <c r="E670" s="13"/>
      <c r="F670" s="13"/>
      <c r="G670" s="13"/>
      <c r="H670" s="13"/>
      <c r="I670" s="13"/>
      <c r="J670" s="13"/>
      <c r="K670" s="12"/>
      <c r="L670" s="13"/>
      <c r="M670" s="13"/>
      <c r="N670" s="13"/>
      <c r="O670" s="13"/>
      <c r="P670" s="13"/>
      <c r="Q670" s="13"/>
      <c r="R670" s="13"/>
      <c r="S670" s="13"/>
      <c r="T670" s="13"/>
      <c r="U670" s="12"/>
      <c r="V670" s="12"/>
      <c r="W670" s="13"/>
      <c r="X670" s="13"/>
      <c r="Y670" s="13"/>
      <c r="Z670" s="13"/>
      <c r="AA670" s="13"/>
      <c r="AB670" s="13"/>
      <c r="AC670" s="12"/>
      <c r="AD670" s="13"/>
      <c r="AE670" s="13"/>
    </row>
    <row r="671" ht="15.75" customHeight="1">
      <c r="A671" s="12"/>
      <c r="B671" s="12"/>
      <c r="C671" s="12"/>
      <c r="D671" s="12"/>
      <c r="E671" s="13"/>
      <c r="F671" s="13"/>
      <c r="G671" s="13"/>
      <c r="H671" s="13"/>
      <c r="I671" s="13"/>
      <c r="J671" s="13"/>
      <c r="K671" s="12"/>
      <c r="L671" s="13"/>
      <c r="M671" s="13"/>
      <c r="N671" s="13"/>
      <c r="O671" s="13"/>
      <c r="P671" s="13"/>
      <c r="Q671" s="13"/>
      <c r="R671" s="13"/>
      <c r="S671" s="13"/>
      <c r="T671" s="13"/>
      <c r="U671" s="12"/>
      <c r="V671" s="12"/>
      <c r="W671" s="13"/>
      <c r="X671" s="13"/>
      <c r="Y671" s="13"/>
      <c r="Z671" s="13"/>
      <c r="AA671" s="13"/>
      <c r="AB671" s="13"/>
      <c r="AC671" s="12"/>
      <c r="AD671" s="13"/>
      <c r="AE671" s="13"/>
    </row>
    <row r="672" ht="15.75" customHeight="1">
      <c r="A672" s="12"/>
      <c r="B672" s="12"/>
      <c r="C672" s="12"/>
      <c r="D672" s="12"/>
      <c r="E672" s="13"/>
      <c r="F672" s="13"/>
      <c r="G672" s="13"/>
      <c r="H672" s="13"/>
      <c r="I672" s="13"/>
      <c r="J672" s="13"/>
      <c r="K672" s="12"/>
      <c r="L672" s="13"/>
      <c r="M672" s="13"/>
      <c r="N672" s="13"/>
      <c r="O672" s="13"/>
      <c r="P672" s="13"/>
      <c r="Q672" s="13"/>
      <c r="R672" s="13"/>
      <c r="S672" s="13"/>
      <c r="T672" s="13"/>
      <c r="U672" s="12"/>
      <c r="V672" s="12"/>
      <c r="W672" s="13"/>
      <c r="X672" s="13"/>
      <c r="Y672" s="13"/>
      <c r="Z672" s="13"/>
      <c r="AA672" s="13"/>
      <c r="AB672" s="13"/>
      <c r="AC672" s="12"/>
      <c r="AD672" s="13"/>
      <c r="AE672" s="13"/>
    </row>
    <row r="673" ht="15.75" customHeight="1">
      <c r="A673" s="12"/>
      <c r="B673" s="12"/>
      <c r="C673" s="12"/>
      <c r="D673" s="12"/>
      <c r="E673" s="13"/>
      <c r="F673" s="13"/>
      <c r="G673" s="13"/>
      <c r="H673" s="13"/>
      <c r="I673" s="13"/>
      <c r="J673" s="13"/>
      <c r="K673" s="12"/>
      <c r="L673" s="13"/>
      <c r="M673" s="13"/>
      <c r="N673" s="13"/>
      <c r="O673" s="13"/>
      <c r="P673" s="13"/>
      <c r="Q673" s="13"/>
      <c r="R673" s="13"/>
      <c r="S673" s="13"/>
      <c r="T673" s="13"/>
      <c r="U673" s="12"/>
      <c r="V673" s="12"/>
      <c r="W673" s="13"/>
      <c r="X673" s="13"/>
      <c r="Y673" s="13"/>
      <c r="Z673" s="13"/>
      <c r="AA673" s="13"/>
      <c r="AB673" s="13"/>
      <c r="AC673" s="12"/>
      <c r="AD673" s="13"/>
      <c r="AE673" s="13"/>
    </row>
    <row r="674" ht="15.75" customHeight="1">
      <c r="A674" s="12"/>
      <c r="B674" s="12"/>
      <c r="C674" s="12"/>
      <c r="D674" s="12"/>
      <c r="E674" s="13"/>
      <c r="F674" s="13"/>
      <c r="G674" s="13"/>
      <c r="H674" s="13"/>
      <c r="I674" s="13"/>
      <c r="J674" s="13"/>
      <c r="K674" s="12"/>
      <c r="L674" s="13"/>
      <c r="M674" s="13"/>
      <c r="N674" s="13"/>
      <c r="O674" s="13"/>
      <c r="P674" s="13"/>
      <c r="Q674" s="13"/>
      <c r="R674" s="13"/>
      <c r="S674" s="13"/>
      <c r="T674" s="13"/>
      <c r="U674" s="12"/>
      <c r="V674" s="12"/>
      <c r="W674" s="13"/>
      <c r="X674" s="13"/>
      <c r="Y674" s="13"/>
      <c r="Z674" s="13"/>
      <c r="AA674" s="13"/>
      <c r="AB674" s="13"/>
      <c r="AC674" s="12"/>
      <c r="AD674" s="13"/>
      <c r="AE674" s="13"/>
    </row>
    <row r="675" ht="15.75" customHeight="1">
      <c r="A675" s="12"/>
      <c r="B675" s="12"/>
      <c r="C675" s="12"/>
      <c r="D675" s="12"/>
      <c r="E675" s="13"/>
      <c r="F675" s="13"/>
      <c r="G675" s="13"/>
      <c r="H675" s="13"/>
      <c r="I675" s="13"/>
      <c r="J675" s="13"/>
      <c r="K675" s="12"/>
      <c r="L675" s="13"/>
      <c r="M675" s="13"/>
      <c r="N675" s="13"/>
      <c r="O675" s="13"/>
      <c r="P675" s="13"/>
      <c r="Q675" s="13"/>
      <c r="R675" s="13"/>
      <c r="S675" s="13"/>
      <c r="T675" s="13"/>
      <c r="U675" s="12"/>
      <c r="V675" s="12"/>
      <c r="W675" s="13"/>
      <c r="X675" s="13"/>
      <c r="Y675" s="13"/>
      <c r="Z675" s="13"/>
      <c r="AA675" s="13"/>
      <c r="AB675" s="13"/>
      <c r="AC675" s="12"/>
      <c r="AD675" s="13"/>
      <c r="AE675" s="13"/>
    </row>
    <row r="676" ht="15.75" customHeight="1">
      <c r="A676" s="12"/>
      <c r="B676" s="12"/>
      <c r="C676" s="12"/>
      <c r="D676" s="12"/>
      <c r="E676" s="13"/>
      <c r="F676" s="13"/>
      <c r="G676" s="13"/>
      <c r="H676" s="13"/>
      <c r="I676" s="13"/>
      <c r="J676" s="13"/>
      <c r="K676" s="12"/>
      <c r="L676" s="13"/>
      <c r="M676" s="13"/>
      <c r="N676" s="13"/>
      <c r="O676" s="13"/>
      <c r="P676" s="13"/>
      <c r="Q676" s="13"/>
      <c r="R676" s="13"/>
      <c r="S676" s="13"/>
      <c r="T676" s="13"/>
      <c r="U676" s="12"/>
      <c r="V676" s="12"/>
      <c r="W676" s="13"/>
      <c r="X676" s="13"/>
      <c r="Y676" s="13"/>
      <c r="Z676" s="13"/>
      <c r="AA676" s="13"/>
      <c r="AB676" s="13"/>
      <c r="AC676" s="12"/>
      <c r="AD676" s="13"/>
      <c r="AE676" s="13"/>
    </row>
    <row r="677" ht="15.75" customHeight="1">
      <c r="A677" s="12"/>
      <c r="B677" s="12"/>
      <c r="C677" s="12"/>
      <c r="D677" s="12"/>
      <c r="E677" s="13"/>
      <c r="F677" s="13"/>
      <c r="G677" s="13"/>
      <c r="H677" s="13"/>
      <c r="I677" s="13"/>
      <c r="J677" s="13"/>
      <c r="K677" s="12"/>
      <c r="L677" s="13"/>
      <c r="M677" s="13"/>
      <c r="N677" s="13"/>
      <c r="O677" s="13"/>
      <c r="P677" s="13"/>
      <c r="Q677" s="13"/>
      <c r="R677" s="13"/>
      <c r="S677" s="13"/>
      <c r="T677" s="13"/>
      <c r="U677" s="12"/>
      <c r="V677" s="12"/>
      <c r="W677" s="13"/>
      <c r="X677" s="13"/>
      <c r="Y677" s="13"/>
      <c r="Z677" s="13"/>
      <c r="AA677" s="13"/>
      <c r="AB677" s="13"/>
      <c r="AC677" s="12"/>
      <c r="AD677" s="13"/>
      <c r="AE677" s="13"/>
    </row>
    <row r="678" ht="15.75" customHeight="1">
      <c r="A678" s="12"/>
      <c r="B678" s="12"/>
      <c r="C678" s="12"/>
      <c r="D678" s="12"/>
      <c r="E678" s="13"/>
      <c r="F678" s="13"/>
      <c r="G678" s="13"/>
      <c r="H678" s="13"/>
      <c r="I678" s="13"/>
      <c r="J678" s="13"/>
      <c r="K678" s="12"/>
      <c r="L678" s="13"/>
      <c r="M678" s="13"/>
      <c r="N678" s="13"/>
      <c r="O678" s="13"/>
      <c r="P678" s="13"/>
      <c r="Q678" s="13"/>
      <c r="R678" s="13"/>
      <c r="S678" s="13"/>
      <c r="T678" s="13"/>
      <c r="U678" s="12"/>
      <c r="V678" s="12"/>
      <c r="W678" s="13"/>
      <c r="X678" s="13"/>
      <c r="Y678" s="13"/>
      <c r="Z678" s="13"/>
      <c r="AA678" s="13"/>
      <c r="AB678" s="13"/>
      <c r="AC678" s="12"/>
      <c r="AD678" s="13"/>
      <c r="AE678" s="13"/>
    </row>
    <row r="679" ht="15.75" customHeight="1">
      <c r="A679" s="12"/>
      <c r="B679" s="12"/>
      <c r="C679" s="12"/>
      <c r="D679" s="12"/>
      <c r="E679" s="13"/>
      <c r="F679" s="13"/>
      <c r="G679" s="13"/>
      <c r="H679" s="13"/>
      <c r="I679" s="13"/>
      <c r="J679" s="13"/>
      <c r="K679" s="12"/>
      <c r="L679" s="13"/>
      <c r="M679" s="13"/>
      <c r="N679" s="13"/>
      <c r="O679" s="13"/>
      <c r="P679" s="13"/>
      <c r="Q679" s="13"/>
      <c r="R679" s="13"/>
      <c r="S679" s="13"/>
      <c r="T679" s="13"/>
      <c r="U679" s="12"/>
      <c r="V679" s="12"/>
      <c r="W679" s="13"/>
      <c r="X679" s="13"/>
      <c r="Y679" s="13"/>
      <c r="Z679" s="13"/>
      <c r="AA679" s="13"/>
      <c r="AB679" s="13"/>
      <c r="AC679" s="12"/>
      <c r="AD679" s="13"/>
      <c r="AE679" s="13"/>
    </row>
    <row r="680" ht="15.75" customHeight="1">
      <c r="A680" s="12"/>
      <c r="B680" s="12"/>
      <c r="C680" s="12"/>
      <c r="D680" s="12"/>
      <c r="E680" s="13"/>
      <c r="F680" s="13"/>
      <c r="G680" s="13"/>
      <c r="H680" s="13"/>
      <c r="I680" s="13"/>
      <c r="J680" s="13"/>
      <c r="K680" s="12"/>
      <c r="L680" s="13"/>
      <c r="M680" s="13"/>
      <c r="N680" s="13"/>
      <c r="O680" s="13"/>
      <c r="P680" s="13"/>
      <c r="Q680" s="13"/>
      <c r="R680" s="13"/>
      <c r="S680" s="13"/>
      <c r="T680" s="13"/>
      <c r="U680" s="12"/>
      <c r="V680" s="12"/>
      <c r="W680" s="13"/>
      <c r="X680" s="13"/>
      <c r="Y680" s="13"/>
      <c r="Z680" s="13"/>
      <c r="AA680" s="13"/>
      <c r="AB680" s="13"/>
      <c r="AC680" s="12"/>
      <c r="AD680" s="13"/>
      <c r="AE680" s="13"/>
    </row>
    <row r="681" ht="15.75" customHeight="1">
      <c r="A681" s="12"/>
      <c r="B681" s="12"/>
      <c r="C681" s="12"/>
      <c r="D681" s="12"/>
      <c r="E681" s="13"/>
      <c r="F681" s="13"/>
      <c r="G681" s="13"/>
      <c r="H681" s="13"/>
      <c r="I681" s="13"/>
      <c r="J681" s="13"/>
      <c r="K681" s="12"/>
      <c r="L681" s="13"/>
      <c r="M681" s="13"/>
      <c r="N681" s="13"/>
      <c r="O681" s="13"/>
      <c r="P681" s="13"/>
      <c r="Q681" s="13"/>
      <c r="R681" s="13"/>
      <c r="S681" s="13"/>
      <c r="T681" s="13"/>
      <c r="U681" s="12"/>
      <c r="V681" s="12"/>
      <c r="W681" s="13"/>
      <c r="X681" s="13"/>
      <c r="Y681" s="13"/>
      <c r="Z681" s="13"/>
      <c r="AA681" s="13"/>
      <c r="AB681" s="13"/>
      <c r="AC681" s="12"/>
      <c r="AD681" s="13"/>
      <c r="AE681" s="13"/>
    </row>
    <row r="682" ht="15.75" customHeight="1">
      <c r="A682" s="12"/>
      <c r="B682" s="12"/>
      <c r="C682" s="12"/>
      <c r="D682" s="12"/>
      <c r="E682" s="13"/>
      <c r="F682" s="13"/>
      <c r="G682" s="13"/>
      <c r="H682" s="13"/>
      <c r="I682" s="13"/>
      <c r="J682" s="13"/>
      <c r="K682" s="12"/>
      <c r="L682" s="13"/>
      <c r="M682" s="13"/>
      <c r="N682" s="13"/>
      <c r="O682" s="13"/>
      <c r="P682" s="13"/>
      <c r="Q682" s="13"/>
      <c r="R682" s="13"/>
      <c r="S682" s="13"/>
      <c r="T682" s="13"/>
      <c r="U682" s="12"/>
      <c r="V682" s="12"/>
      <c r="W682" s="13"/>
      <c r="X682" s="13"/>
      <c r="Y682" s="13"/>
      <c r="Z682" s="13"/>
      <c r="AA682" s="13"/>
      <c r="AB682" s="13"/>
      <c r="AC682" s="12"/>
      <c r="AD682" s="13"/>
      <c r="AE682" s="13"/>
    </row>
    <row r="683" ht="15.75" customHeight="1">
      <c r="A683" s="12"/>
      <c r="B683" s="12"/>
      <c r="C683" s="12"/>
      <c r="D683" s="12"/>
      <c r="E683" s="13"/>
      <c r="F683" s="13"/>
      <c r="G683" s="13"/>
      <c r="H683" s="13"/>
      <c r="I683" s="13"/>
      <c r="J683" s="13"/>
      <c r="K683" s="12"/>
      <c r="L683" s="13"/>
      <c r="M683" s="13"/>
      <c r="N683" s="13"/>
      <c r="O683" s="13"/>
      <c r="P683" s="13"/>
      <c r="Q683" s="13"/>
      <c r="R683" s="13"/>
      <c r="S683" s="13"/>
      <c r="T683" s="13"/>
      <c r="U683" s="12"/>
      <c r="V683" s="12"/>
      <c r="W683" s="13"/>
      <c r="X683" s="13"/>
      <c r="Y683" s="13"/>
      <c r="Z683" s="13"/>
      <c r="AA683" s="13"/>
      <c r="AB683" s="13"/>
      <c r="AC683" s="12"/>
      <c r="AD683" s="13"/>
      <c r="AE683" s="13"/>
    </row>
    <row r="684" ht="15.75" customHeight="1">
      <c r="A684" s="12"/>
      <c r="B684" s="12"/>
      <c r="C684" s="12"/>
      <c r="D684" s="12"/>
      <c r="E684" s="13"/>
      <c r="F684" s="13"/>
      <c r="G684" s="13"/>
      <c r="H684" s="13"/>
      <c r="I684" s="13"/>
      <c r="J684" s="13"/>
      <c r="K684" s="12"/>
      <c r="L684" s="13"/>
      <c r="M684" s="13"/>
      <c r="N684" s="13"/>
      <c r="O684" s="13"/>
      <c r="P684" s="13"/>
      <c r="Q684" s="13"/>
      <c r="R684" s="13"/>
      <c r="S684" s="13"/>
      <c r="T684" s="13"/>
      <c r="U684" s="12"/>
      <c r="V684" s="12"/>
      <c r="W684" s="13"/>
      <c r="X684" s="13"/>
      <c r="Y684" s="13"/>
      <c r="Z684" s="13"/>
      <c r="AA684" s="13"/>
      <c r="AB684" s="13"/>
      <c r="AC684" s="12"/>
      <c r="AD684" s="13"/>
      <c r="AE684" s="13"/>
    </row>
    <row r="685" ht="15.75" customHeight="1">
      <c r="A685" s="12"/>
      <c r="B685" s="12"/>
      <c r="C685" s="12"/>
      <c r="D685" s="12"/>
      <c r="E685" s="13"/>
      <c r="F685" s="13"/>
      <c r="G685" s="13"/>
      <c r="H685" s="13"/>
      <c r="I685" s="13"/>
      <c r="J685" s="13"/>
      <c r="K685" s="12"/>
      <c r="L685" s="13"/>
      <c r="M685" s="13"/>
      <c r="N685" s="13"/>
      <c r="O685" s="13"/>
      <c r="P685" s="13"/>
      <c r="Q685" s="13"/>
      <c r="R685" s="13"/>
      <c r="S685" s="13"/>
      <c r="T685" s="13"/>
      <c r="U685" s="12"/>
      <c r="V685" s="12"/>
      <c r="W685" s="13"/>
      <c r="X685" s="13"/>
      <c r="Y685" s="13"/>
      <c r="Z685" s="13"/>
      <c r="AA685" s="13"/>
      <c r="AB685" s="13"/>
      <c r="AC685" s="12"/>
      <c r="AD685" s="13"/>
      <c r="AE685" s="13"/>
    </row>
    <row r="686" ht="15.75" customHeight="1">
      <c r="A686" s="12"/>
      <c r="B686" s="12"/>
      <c r="C686" s="12"/>
      <c r="D686" s="12"/>
      <c r="E686" s="13"/>
      <c r="F686" s="13"/>
      <c r="G686" s="13"/>
      <c r="H686" s="13"/>
      <c r="I686" s="13"/>
      <c r="J686" s="13"/>
      <c r="K686" s="12"/>
      <c r="L686" s="13"/>
      <c r="M686" s="13"/>
      <c r="N686" s="13"/>
      <c r="O686" s="13"/>
      <c r="P686" s="13"/>
      <c r="Q686" s="13"/>
      <c r="R686" s="13"/>
      <c r="S686" s="13"/>
      <c r="T686" s="13"/>
      <c r="U686" s="12"/>
      <c r="V686" s="12"/>
      <c r="W686" s="13"/>
      <c r="X686" s="13"/>
      <c r="Y686" s="13"/>
      <c r="Z686" s="13"/>
      <c r="AA686" s="13"/>
      <c r="AB686" s="13"/>
      <c r="AC686" s="12"/>
      <c r="AD686" s="13"/>
      <c r="AE686" s="13"/>
    </row>
    <row r="687" ht="15.75" customHeight="1">
      <c r="A687" s="12"/>
      <c r="B687" s="12"/>
      <c r="C687" s="12"/>
      <c r="D687" s="12"/>
      <c r="E687" s="13"/>
      <c r="F687" s="13"/>
      <c r="G687" s="13"/>
      <c r="H687" s="13"/>
      <c r="I687" s="13"/>
      <c r="J687" s="13"/>
      <c r="K687" s="12"/>
      <c r="L687" s="13"/>
      <c r="M687" s="13"/>
      <c r="N687" s="13"/>
      <c r="O687" s="13"/>
      <c r="P687" s="13"/>
      <c r="Q687" s="13"/>
      <c r="R687" s="13"/>
      <c r="S687" s="13"/>
      <c r="T687" s="13"/>
      <c r="U687" s="12"/>
      <c r="V687" s="12"/>
      <c r="W687" s="13"/>
      <c r="X687" s="13"/>
      <c r="Y687" s="13"/>
      <c r="Z687" s="13"/>
      <c r="AA687" s="13"/>
      <c r="AB687" s="13"/>
      <c r="AC687" s="12"/>
      <c r="AD687" s="13"/>
      <c r="AE687" s="13"/>
    </row>
    <row r="688" ht="15.75" customHeight="1">
      <c r="A688" s="12"/>
      <c r="B688" s="12"/>
      <c r="C688" s="12"/>
      <c r="D688" s="12"/>
      <c r="E688" s="13"/>
      <c r="F688" s="13"/>
      <c r="G688" s="13"/>
      <c r="H688" s="13"/>
      <c r="I688" s="13"/>
      <c r="J688" s="13"/>
      <c r="K688" s="12"/>
      <c r="L688" s="13"/>
      <c r="M688" s="13"/>
      <c r="N688" s="13"/>
      <c r="O688" s="13"/>
      <c r="P688" s="13"/>
      <c r="Q688" s="13"/>
      <c r="R688" s="13"/>
      <c r="S688" s="13"/>
      <c r="T688" s="13"/>
      <c r="U688" s="12"/>
      <c r="V688" s="12"/>
      <c r="W688" s="13"/>
      <c r="X688" s="13"/>
      <c r="Y688" s="13"/>
      <c r="Z688" s="13"/>
      <c r="AA688" s="13"/>
      <c r="AB688" s="13"/>
      <c r="AC688" s="12"/>
      <c r="AD688" s="13"/>
      <c r="AE688" s="13"/>
    </row>
    <row r="689" ht="15.75" customHeight="1">
      <c r="A689" s="12"/>
      <c r="B689" s="12"/>
      <c r="C689" s="12"/>
      <c r="D689" s="12"/>
      <c r="E689" s="13"/>
      <c r="F689" s="13"/>
      <c r="G689" s="13"/>
      <c r="H689" s="13"/>
      <c r="I689" s="13"/>
      <c r="J689" s="13"/>
      <c r="K689" s="12"/>
      <c r="L689" s="13"/>
      <c r="M689" s="13"/>
      <c r="N689" s="13"/>
      <c r="O689" s="13"/>
      <c r="P689" s="13"/>
      <c r="Q689" s="13"/>
      <c r="R689" s="13"/>
      <c r="S689" s="13"/>
      <c r="T689" s="13"/>
      <c r="U689" s="12"/>
      <c r="V689" s="12"/>
      <c r="W689" s="13"/>
      <c r="X689" s="13"/>
      <c r="Y689" s="13"/>
      <c r="Z689" s="13"/>
      <c r="AA689" s="13"/>
      <c r="AB689" s="13"/>
      <c r="AC689" s="12"/>
      <c r="AD689" s="13"/>
      <c r="AE689" s="13"/>
    </row>
    <row r="690" ht="15.75" customHeight="1">
      <c r="A690" s="12"/>
      <c r="B690" s="12"/>
      <c r="C690" s="12"/>
      <c r="D690" s="12"/>
      <c r="E690" s="13"/>
      <c r="F690" s="13"/>
      <c r="G690" s="13"/>
      <c r="H690" s="13"/>
      <c r="I690" s="13"/>
      <c r="J690" s="13"/>
      <c r="K690" s="12"/>
      <c r="L690" s="13"/>
      <c r="M690" s="13"/>
      <c r="N690" s="13"/>
      <c r="O690" s="13"/>
      <c r="P690" s="13"/>
      <c r="Q690" s="13"/>
      <c r="R690" s="13"/>
      <c r="S690" s="13"/>
      <c r="T690" s="13"/>
      <c r="U690" s="12"/>
      <c r="V690" s="12"/>
      <c r="W690" s="13"/>
      <c r="X690" s="13"/>
      <c r="Y690" s="13"/>
      <c r="Z690" s="13"/>
      <c r="AA690" s="13"/>
      <c r="AB690" s="13"/>
      <c r="AC690" s="12"/>
      <c r="AD690" s="13"/>
      <c r="AE690" s="13"/>
    </row>
    <row r="691" ht="15.75" customHeight="1">
      <c r="A691" s="12"/>
      <c r="B691" s="12"/>
      <c r="C691" s="12"/>
      <c r="D691" s="12"/>
      <c r="E691" s="13"/>
      <c r="F691" s="13"/>
      <c r="G691" s="13"/>
      <c r="H691" s="13"/>
      <c r="I691" s="13"/>
      <c r="J691" s="13"/>
      <c r="K691" s="12"/>
      <c r="L691" s="13"/>
      <c r="M691" s="13"/>
      <c r="N691" s="13"/>
      <c r="O691" s="13"/>
      <c r="P691" s="13"/>
      <c r="Q691" s="13"/>
      <c r="R691" s="13"/>
      <c r="S691" s="13"/>
      <c r="T691" s="13"/>
      <c r="U691" s="12"/>
      <c r="V691" s="12"/>
      <c r="W691" s="13"/>
      <c r="X691" s="13"/>
      <c r="Y691" s="13"/>
      <c r="Z691" s="13"/>
      <c r="AA691" s="13"/>
      <c r="AB691" s="13"/>
      <c r="AC691" s="12"/>
      <c r="AD691" s="13"/>
      <c r="AE691" s="13"/>
    </row>
    <row r="692" ht="15.75" customHeight="1">
      <c r="A692" s="12"/>
      <c r="B692" s="12"/>
      <c r="C692" s="12"/>
      <c r="D692" s="12"/>
      <c r="E692" s="13"/>
      <c r="F692" s="13"/>
      <c r="G692" s="13"/>
      <c r="H692" s="13"/>
      <c r="I692" s="13"/>
      <c r="J692" s="13"/>
      <c r="K692" s="12"/>
      <c r="L692" s="13"/>
      <c r="M692" s="13"/>
      <c r="N692" s="13"/>
      <c r="O692" s="13"/>
      <c r="P692" s="13"/>
      <c r="Q692" s="13"/>
      <c r="R692" s="13"/>
      <c r="S692" s="13"/>
      <c r="T692" s="13"/>
      <c r="U692" s="12"/>
      <c r="V692" s="12"/>
      <c r="W692" s="13"/>
      <c r="X692" s="13"/>
      <c r="Y692" s="13"/>
      <c r="Z692" s="13"/>
      <c r="AA692" s="13"/>
      <c r="AB692" s="13"/>
      <c r="AC692" s="12"/>
      <c r="AD692" s="13"/>
      <c r="AE692" s="13"/>
    </row>
    <row r="693" ht="15.75" customHeight="1">
      <c r="A693" s="12"/>
      <c r="B693" s="12"/>
      <c r="C693" s="12"/>
      <c r="D693" s="12"/>
      <c r="E693" s="13"/>
      <c r="F693" s="13"/>
      <c r="G693" s="13"/>
      <c r="H693" s="13"/>
      <c r="I693" s="13"/>
      <c r="J693" s="13"/>
      <c r="K693" s="12"/>
      <c r="L693" s="13"/>
      <c r="M693" s="13"/>
      <c r="N693" s="13"/>
      <c r="O693" s="13"/>
      <c r="P693" s="13"/>
      <c r="Q693" s="13"/>
      <c r="R693" s="13"/>
      <c r="S693" s="13"/>
      <c r="T693" s="13"/>
      <c r="U693" s="12"/>
      <c r="V693" s="12"/>
      <c r="W693" s="13"/>
      <c r="X693" s="13"/>
      <c r="Y693" s="13"/>
      <c r="Z693" s="13"/>
      <c r="AA693" s="13"/>
      <c r="AB693" s="13"/>
      <c r="AC693" s="12"/>
      <c r="AD693" s="13"/>
      <c r="AE693" s="13"/>
    </row>
    <row r="694" ht="15.75" customHeight="1">
      <c r="A694" s="12"/>
      <c r="B694" s="12"/>
      <c r="C694" s="12"/>
      <c r="D694" s="12"/>
      <c r="E694" s="13"/>
      <c r="F694" s="13"/>
      <c r="G694" s="13"/>
      <c r="H694" s="13"/>
      <c r="I694" s="13"/>
      <c r="J694" s="13"/>
      <c r="K694" s="12"/>
      <c r="L694" s="13"/>
      <c r="M694" s="13"/>
      <c r="N694" s="13"/>
      <c r="O694" s="13"/>
      <c r="P694" s="13"/>
      <c r="Q694" s="13"/>
      <c r="R694" s="13"/>
      <c r="S694" s="13"/>
      <c r="T694" s="13"/>
      <c r="U694" s="12"/>
      <c r="V694" s="12"/>
      <c r="W694" s="13"/>
      <c r="X694" s="13"/>
      <c r="Y694" s="13"/>
      <c r="Z694" s="13"/>
      <c r="AA694" s="13"/>
      <c r="AB694" s="13"/>
      <c r="AC694" s="12"/>
      <c r="AD694" s="13"/>
      <c r="AE694" s="13"/>
    </row>
    <row r="695" ht="15.75" customHeight="1">
      <c r="A695" s="12"/>
      <c r="B695" s="12"/>
      <c r="C695" s="12"/>
      <c r="D695" s="12"/>
      <c r="E695" s="13"/>
      <c r="F695" s="13"/>
      <c r="G695" s="13"/>
      <c r="H695" s="13"/>
      <c r="I695" s="13"/>
      <c r="J695" s="13"/>
      <c r="K695" s="12"/>
      <c r="L695" s="13"/>
      <c r="M695" s="13"/>
      <c r="N695" s="13"/>
      <c r="O695" s="13"/>
      <c r="P695" s="13"/>
      <c r="Q695" s="13"/>
      <c r="R695" s="13"/>
      <c r="S695" s="13"/>
      <c r="T695" s="13"/>
      <c r="U695" s="12"/>
      <c r="V695" s="12"/>
      <c r="W695" s="13"/>
      <c r="X695" s="13"/>
      <c r="Y695" s="13"/>
      <c r="Z695" s="13"/>
      <c r="AA695" s="13"/>
      <c r="AB695" s="13"/>
      <c r="AC695" s="12"/>
      <c r="AD695" s="13"/>
      <c r="AE695" s="13"/>
    </row>
    <row r="696" ht="15.75" customHeight="1">
      <c r="A696" s="12"/>
      <c r="B696" s="12"/>
      <c r="C696" s="12"/>
      <c r="D696" s="12"/>
      <c r="E696" s="13"/>
      <c r="F696" s="13"/>
      <c r="G696" s="13"/>
      <c r="H696" s="13"/>
      <c r="I696" s="13"/>
      <c r="J696" s="13"/>
      <c r="K696" s="12"/>
      <c r="L696" s="13"/>
      <c r="M696" s="13"/>
      <c r="N696" s="13"/>
      <c r="O696" s="13"/>
      <c r="P696" s="13"/>
      <c r="Q696" s="13"/>
      <c r="R696" s="13"/>
      <c r="S696" s="13"/>
      <c r="T696" s="13"/>
      <c r="U696" s="12"/>
      <c r="V696" s="12"/>
      <c r="W696" s="13"/>
      <c r="X696" s="13"/>
      <c r="Y696" s="13"/>
      <c r="Z696" s="13"/>
      <c r="AA696" s="13"/>
      <c r="AB696" s="13"/>
      <c r="AC696" s="12"/>
      <c r="AD696" s="13"/>
      <c r="AE696" s="13"/>
    </row>
    <row r="697" ht="15.75" customHeight="1">
      <c r="A697" s="12"/>
      <c r="B697" s="12"/>
      <c r="C697" s="12"/>
      <c r="D697" s="12"/>
      <c r="E697" s="13"/>
      <c r="F697" s="13"/>
      <c r="G697" s="13"/>
      <c r="H697" s="13"/>
      <c r="I697" s="13"/>
      <c r="J697" s="13"/>
      <c r="K697" s="12"/>
      <c r="L697" s="13"/>
      <c r="M697" s="13"/>
      <c r="N697" s="13"/>
      <c r="O697" s="13"/>
      <c r="P697" s="13"/>
      <c r="Q697" s="13"/>
      <c r="R697" s="13"/>
      <c r="S697" s="13"/>
      <c r="T697" s="13"/>
      <c r="U697" s="12"/>
      <c r="V697" s="12"/>
      <c r="W697" s="13"/>
      <c r="X697" s="13"/>
      <c r="Y697" s="13"/>
      <c r="Z697" s="13"/>
      <c r="AA697" s="13"/>
      <c r="AB697" s="13"/>
      <c r="AC697" s="12"/>
      <c r="AD697" s="13"/>
      <c r="AE697" s="13"/>
    </row>
    <row r="698" ht="15.75" customHeight="1">
      <c r="A698" s="12"/>
      <c r="B698" s="12"/>
      <c r="C698" s="12"/>
      <c r="D698" s="12"/>
      <c r="E698" s="13"/>
      <c r="F698" s="13"/>
      <c r="G698" s="13"/>
      <c r="H698" s="13"/>
      <c r="I698" s="13"/>
      <c r="J698" s="13"/>
      <c r="K698" s="12"/>
      <c r="L698" s="13"/>
      <c r="M698" s="13"/>
      <c r="N698" s="13"/>
      <c r="O698" s="13"/>
      <c r="P698" s="13"/>
      <c r="Q698" s="13"/>
      <c r="R698" s="13"/>
      <c r="S698" s="13"/>
      <c r="T698" s="13"/>
      <c r="U698" s="12"/>
      <c r="V698" s="12"/>
      <c r="W698" s="13"/>
      <c r="X698" s="13"/>
      <c r="Y698" s="13"/>
      <c r="Z698" s="13"/>
      <c r="AA698" s="13"/>
      <c r="AB698" s="13"/>
      <c r="AC698" s="12"/>
      <c r="AD698" s="13"/>
      <c r="AE698" s="13"/>
    </row>
    <row r="699" ht="15.75" customHeight="1">
      <c r="A699" s="12"/>
      <c r="B699" s="12"/>
      <c r="C699" s="12"/>
      <c r="D699" s="12"/>
      <c r="E699" s="13"/>
      <c r="F699" s="13"/>
      <c r="G699" s="13"/>
      <c r="H699" s="13"/>
      <c r="I699" s="13"/>
      <c r="J699" s="13"/>
      <c r="K699" s="12"/>
      <c r="L699" s="13"/>
      <c r="M699" s="13"/>
      <c r="N699" s="13"/>
      <c r="O699" s="13"/>
      <c r="P699" s="13"/>
      <c r="Q699" s="13"/>
      <c r="R699" s="13"/>
      <c r="S699" s="13"/>
      <c r="T699" s="13"/>
      <c r="U699" s="12"/>
      <c r="V699" s="12"/>
      <c r="W699" s="13"/>
      <c r="X699" s="13"/>
      <c r="Y699" s="13"/>
      <c r="Z699" s="13"/>
      <c r="AA699" s="13"/>
      <c r="AB699" s="13"/>
      <c r="AC699" s="12"/>
      <c r="AD699" s="13"/>
      <c r="AE699" s="13"/>
    </row>
    <row r="700" ht="15.75" customHeight="1">
      <c r="A700" s="12"/>
      <c r="B700" s="12"/>
      <c r="C700" s="12"/>
      <c r="D700" s="12"/>
      <c r="E700" s="13"/>
      <c r="F700" s="13"/>
      <c r="G700" s="13"/>
      <c r="H700" s="13"/>
      <c r="I700" s="13"/>
      <c r="J700" s="13"/>
      <c r="K700" s="12"/>
      <c r="L700" s="13"/>
      <c r="M700" s="13"/>
      <c r="N700" s="13"/>
      <c r="O700" s="13"/>
      <c r="P700" s="13"/>
      <c r="Q700" s="13"/>
      <c r="R700" s="13"/>
      <c r="S700" s="13"/>
      <c r="T700" s="13"/>
      <c r="U700" s="12"/>
      <c r="V700" s="12"/>
      <c r="W700" s="13"/>
      <c r="X700" s="13"/>
      <c r="Y700" s="13"/>
      <c r="Z700" s="13"/>
      <c r="AA700" s="13"/>
      <c r="AB700" s="13"/>
      <c r="AC700" s="12"/>
      <c r="AD700" s="13"/>
      <c r="AE700" s="13"/>
    </row>
    <row r="701" ht="15.75" customHeight="1">
      <c r="A701" s="12"/>
      <c r="B701" s="12"/>
      <c r="C701" s="12"/>
      <c r="D701" s="12"/>
      <c r="E701" s="13"/>
      <c r="F701" s="13"/>
      <c r="G701" s="13"/>
      <c r="H701" s="13"/>
      <c r="I701" s="13"/>
      <c r="J701" s="13"/>
      <c r="K701" s="12"/>
      <c r="L701" s="13"/>
      <c r="M701" s="13"/>
      <c r="N701" s="13"/>
      <c r="O701" s="13"/>
      <c r="P701" s="13"/>
      <c r="Q701" s="13"/>
      <c r="R701" s="13"/>
      <c r="S701" s="13"/>
      <c r="T701" s="13"/>
      <c r="U701" s="12"/>
      <c r="V701" s="12"/>
      <c r="W701" s="13"/>
      <c r="X701" s="13"/>
      <c r="Y701" s="13"/>
      <c r="Z701" s="13"/>
      <c r="AA701" s="13"/>
      <c r="AB701" s="13"/>
      <c r="AC701" s="12"/>
      <c r="AD701" s="13"/>
      <c r="AE701" s="13"/>
    </row>
    <row r="702" ht="15.75" customHeight="1">
      <c r="A702" s="12"/>
      <c r="B702" s="12"/>
      <c r="C702" s="12"/>
      <c r="D702" s="12"/>
      <c r="E702" s="13"/>
      <c r="F702" s="13"/>
      <c r="G702" s="13"/>
      <c r="H702" s="13"/>
      <c r="I702" s="13"/>
      <c r="J702" s="13"/>
      <c r="K702" s="12"/>
      <c r="L702" s="13"/>
      <c r="M702" s="13"/>
      <c r="N702" s="13"/>
      <c r="O702" s="13"/>
      <c r="P702" s="13"/>
      <c r="Q702" s="13"/>
      <c r="R702" s="13"/>
      <c r="S702" s="13"/>
      <c r="T702" s="13"/>
      <c r="U702" s="12"/>
      <c r="V702" s="12"/>
      <c r="W702" s="13"/>
      <c r="X702" s="13"/>
      <c r="Y702" s="13"/>
      <c r="Z702" s="13"/>
      <c r="AA702" s="13"/>
      <c r="AB702" s="13"/>
      <c r="AC702" s="12"/>
      <c r="AD702" s="13"/>
      <c r="AE702" s="13"/>
    </row>
    <row r="703" ht="15.75" customHeight="1">
      <c r="A703" s="12"/>
      <c r="B703" s="12"/>
      <c r="C703" s="12"/>
      <c r="D703" s="12"/>
      <c r="E703" s="13"/>
      <c r="F703" s="13"/>
      <c r="G703" s="13"/>
      <c r="H703" s="13"/>
      <c r="I703" s="13"/>
      <c r="J703" s="13"/>
      <c r="K703" s="12"/>
      <c r="L703" s="13"/>
      <c r="M703" s="13"/>
      <c r="N703" s="13"/>
      <c r="O703" s="13"/>
      <c r="P703" s="13"/>
      <c r="Q703" s="13"/>
      <c r="R703" s="13"/>
      <c r="S703" s="13"/>
      <c r="T703" s="13"/>
      <c r="U703" s="12"/>
      <c r="V703" s="12"/>
      <c r="W703" s="13"/>
      <c r="X703" s="13"/>
      <c r="Y703" s="13"/>
      <c r="Z703" s="13"/>
      <c r="AA703" s="13"/>
      <c r="AB703" s="13"/>
      <c r="AC703" s="12"/>
      <c r="AD703" s="13"/>
      <c r="AE703" s="13"/>
    </row>
    <row r="704" ht="15.75" customHeight="1">
      <c r="A704" s="12"/>
      <c r="B704" s="12"/>
      <c r="C704" s="12"/>
      <c r="D704" s="12"/>
      <c r="E704" s="13"/>
      <c r="F704" s="13"/>
      <c r="G704" s="13"/>
      <c r="H704" s="13"/>
      <c r="I704" s="13"/>
      <c r="J704" s="13"/>
      <c r="K704" s="12"/>
      <c r="L704" s="13"/>
      <c r="M704" s="13"/>
      <c r="N704" s="13"/>
      <c r="O704" s="13"/>
      <c r="P704" s="13"/>
      <c r="Q704" s="13"/>
      <c r="R704" s="13"/>
      <c r="S704" s="13"/>
      <c r="T704" s="13"/>
      <c r="U704" s="12"/>
      <c r="V704" s="12"/>
      <c r="W704" s="13"/>
      <c r="X704" s="13"/>
      <c r="Y704" s="13"/>
      <c r="Z704" s="13"/>
      <c r="AA704" s="13"/>
      <c r="AB704" s="13"/>
      <c r="AC704" s="12"/>
      <c r="AD704" s="13"/>
      <c r="AE704" s="13"/>
    </row>
    <row r="705" ht="15.75" customHeight="1">
      <c r="A705" s="12"/>
      <c r="B705" s="12"/>
      <c r="C705" s="12"/>
      <c r="D705" s="12"/>
      <c r="E705" s="13"/>
      <c r="F705" s="13"/>
      <c r="G705" s="13"/>
      <c r="H705" s="13"/>
      <c r="I705" s="13"/>
      <c r="J705" s="13"/>
      <c r="K705" s="12"/>
      <c r="L705" s="13"/>
      <c r="M705" s="13"/>
      <c r="N705" s="13"/>
      <c r="O705" s="13"/>
      <c r="P705" s="13"/>
      <c r="Q705" s="13"/>
      <c r="R705" s="13"/>
      <c r="S705" s="13"/>
      <c r="T705" s="13"/>
      <c r="U705" s="12"/>
      <c r="V705" s="12"/>
      <c r="W705" s="13"/>
      <c r="X705" s="13"/>
      <c r="Y705" s="13"/>
      <c r="Z705" s="13"/>
      <c r="AA705" s="13"/>
      <c r="AB705" s="13"/>
      <c r="AC705" s="12"/>
      <c r="AD705" s="13"/>
      <c r="AE705" s="13"/>
    </row>
    <row r="706" ht="15.75" customHeight="1">
      <c r="A706" s="12"/>
      <c r="B706" s="12"/>
      <c r="C706" s="12"/>
      <c r="D706" s="12"/>
      <c r="E706" s="13"/>
      <c r="F706" s="13"/>
      <c r="G706" s="13"/>
      <c r="H706" s="13"/>
      <c r="I706" s="13"/>
      <c r="J706" s="13"/>
      <c r="K706" s="12"/>
      <c r="L706" s="13"/>
      <c r="M706" s="13"/>
      <c r="N706" s="13"/>
      <c r="O706" s="13"/>
      <c r="P706" s="13"/>
      <c r="Q706" s="13"/>
      <c r="R706" s="13"/>
      <c r="S706" s="13"/>
      <c r="T706" s="13"/>
      <c r="U706" s="12"/>
      <c r="V706" s="12"/>
      <c r="W706" s="13"/>
      <c r="X706" s="13"/>
      <c r="Y706" s="13"/>
      <c r="Z706" s="13"/>
      <c r="AA706" s="13"/>
      <c r="AB706" s="13"/>
      <c r="AC706" s="12"/>
      <c r="AD706" s="13"/>
      <c r="AE706" s="13"/>
    </row>
    <row r="707" ht="15.75" customHeight="1">
      <c r="A707" s="12"/>
      <c r="B707" s="12"/>
      <c r="C707" s="12"/>
      <c r="D707" s="12"/>
      <c r="E707" s="13"/>
      <c r="F707" s="13"/>
      <c r="G707" s="13"/>
      <c r="H707" s="13"/>
      <c r="I707" s="13"/>
      <c r="J707" s="13"/>
      <c r="K707" s="12"/>
      <c r="L707" s="13"/>
      <c r="M707" s="13"/>
      <c r="N707" s="13"/>
      <c r="O707" s="13"/>
      <c r="P707" s="13"/>
      <c r="Q707" s="13"/>
      <c r="R707" s="13"/>
      <c r="S707" s="13"/>
      <c r="T707" s="13"/>
      <c r="U707" s="12"/>
      <c r="V707" s="12"/>
      <c r="W707" s="13"/>
      <c r="X707" s="13"/>
      <c r="Y707" s="13"/>
      <c r="Z707" s="13"/>
      <c r="AA707" s="13"/>
      <c r="AB707" s="13"/>
      <c r="AC707" s="12"/>
      <c r="AD707" s="13"/>
      <c r="AE707" s="13"/>
    </row>
    <row r="708" ht="15.75" customHeight="1">
      <c r="A708" s="12"/>
      <c r="B708" s="12"/>
      <c r="C708" s="12"/>
      <c r="D708" s="12"/>
      <c r="E708" s="13"/>
      <c r="F708" s="13"/>
      <c r="G708" s="13"/>
      <c r="H708" s="13"/>
      <c r="I708" s="13"/>
      <c r="J708" s="13"/>
      <c r="K708" s="12"/>
      <c r="L708" s="13"/>
      <c r="M708" s="13"/>
      <c r="N708" s="13"/>
      <c r="O708" s="13"/>
      <c r="P708" s="13"/>
      <c r="Q708" s="13"/>
      <c r="R708" s="13"/>
      <c r="S708" s="13"/>
      <c r="T708" s="13"/>
      <c r="U708" s="12"/>
      <c r="V708" s="12"/>
      <c r="W708" s="13"/>
      <c r="X708" s="13"/>
      <c r="Y708" s="13"/>
      <c r="Z708" s="13"/>
      <c r="AA708" s="13"/>
      <c r="AB708" s="13"/>
      <c r="AC708" s="12"/>
      <c r="AD708" s="13"/>
      <c r="AE708" s="13"/>
    </row>
    <row r="709" ht="15.75" customHeight="1">
      <c r="A709" s="12"/>
      <c r="B709" s="12"/>
      <c r="C709" s="12"/>
      <c r="D709" s="12"/>
      <c r="E709" s="13"/>
      <c r="F709" s="13"/>
      <c r="G709" s="13"/>
      <c r="H709" s="13"/>
      <c r="I709" s="13"/>
      <c r="J709" s="13"/>
      <c r="K709" s="12"/>
      <c r="L709" s="13"/>
      <c r="M709" s="13"/>
      <c r="N709" s="13"/>
      <c r="O709" s="13"/>
      <c r="P709" s="13"/>
      <c r="Q709" s="13"/>
      <c r="R709" s="13"/>
      <c r="S709" s="13"/>
      <c r="T709" s="13"/>
      <c r="U709" s="12"/>
      <c r="V709" s="12"/>
      <c r="W709" s="13"/>
      <c r="X709" s="13"/>
      <c r="Y709" s="13"/>
      <c r="Z709" s="13"/>
      <c r="AA709" s="13"/>
      <c r="AB709" s="13"/>
      <c r="AC709" s="12"/>
      <c r="AD709" s="13"/>
      <c r="AE709" s="13"/>
    </row>
    <row r="710" ht="15.75" customHeight="1">
      <c r="A710" s="12"/>
      <c r="B710" s="12"/>
      <c r="C710" s="12"/>
      <c r="D710" s="12"/>
      <c r="E710" s="13"/>
      <c r="F710" s="13"/>
      <c r="G710" s="13"/>
      <c r="H710" s="13"/>
      <c r="I710" s="13"/>
      <c r="J710" s="13"/>
      <c r="K710" s="12"/>
      <c r="L710" s="13"/>
      <c r="M710" s="13"/>
      <c r="N710" s="13"/>
      <c r="O710" s="13"/>
      <c r="P710" s="13"/>
      <c r="Q710" s="13"/>
      <c r="R710" s="13"/>
      <c r="S710" s="13"/>
      <c r="T710" s="13"/>
      <c r="U710" s="12"/>
      <c r="V710" s="12"/>
      <c r="W710" s="13"/>
      <c r="X710" s="13"/>
      <c r="Y710" s="13"/>
      <c r="Z710" s="13"/>
      <c r="AA710" s="13"/>
      <c r="AB710" s="13"/>
      <c r="AC710" s="12"/>
      <c r="AD710" s="13"/>
      <c r="AE710" s="13"/>
    </row>
    <row r="711" ht="15.75" customHeight="1">
      <c r="A711" s="12"/>
      <c r="B711" s="12"/>
      <c r="C711" s="12"/>
      <c r="D711" s="12"/>
      <c r="E711" s="13"/>
      <c r="F711" s="13"/>
      <c r="G711" s="13"/>
      <c r="H711" s="13"/>
      <c r="I711" s="13"/>
      <c r="J711" s="13"/>
      <c r="K711" s="12"/>
      <c r="L711" s="13"/>
      <c r="M711" s="13"/>
      <c r="N711" s="13"/>
      <c r="O711" s="13"/>
      <c r="P711" s="13"/>
      <c r="Q711" s="13"/>
      <c r="R711" s="13"/>
      <c r="S711" s="13"/>
      <c r="T711" s="13"/>
      <c r="U711" s="12"/>
      <c r="V711" s="12"/>
      <c r="W711" s="13"/>
      <c r="X711" s="13"/>
      <c r="Y711" s="13"/>
      <c r="Z711" s="13"/>
      <c r="AA711" s="13"/>
      <c r="AB711" s="13"/>
      <c r="AC711" s="12"/>
      <c r="AD711" s="13"/>
      <c r="AE711" s="13"/>
    </row>
    <row r="712" ht="15.75" customHeight="1">
      <c r="A712" s="12"/>
      <c r="B712" s="12"/>
      <c r="C712" s="12"/>
      <c r="D712" s="12"/>
      <c r="E712" s="13"/>
      <c r="F712" s="13"/>
      <c r="G712" s="13"/>
      <c r="H712" s="13"/>
      <c r="I712" s="13"/>
      <c r="J712" s="13"/>
      <c r="K712" s="12"/>
      <c r="L712" s="13"/>
      <c r="M712" s="13"/>
      <c r="N712" s="13"/>
      <c r="O712" s="13"/>
      <c r="P712" s="13"/>
      <c r="Q712" s="13"/>
      <c r="R712" s="13"/>
      <c r="S712" s="13"/>
      <c r="T712" s="13"/>
      <c r="U712" s="12"/>
      <c r="V712" s="12"/>
      <c r="W712" s="13"/>
      <c r="X712" s="13"/>
      <c r="Y712" s="13"/>
      <c r="Z712" s="13"/>
      <c r="AA712" s="13"/>
      <c r="AB712" s="13"/>
      <c r="AC712" s="12"/>
      <c r="AD712" s="13"/>
      <c r="AE712" s="13"/>
    </row>
    <row r="713" ht="15.75" customHeight="1">
      <c r="A713" s="12"/>
      <c r="B713" s="12"/>
      <c r="C713" s="12"/>
      <c r="D713" s="12"/>
      <c r="E713" s="13"/>
      <c r="F713" s="13"/>
      <c r="G713" s="13"/>
      <c r="H713" s="13"/>
      <c r="I713" s="13"/>
      <c r="J713" s="13"/>
      <c r="K713" s="12"/>
      <c r="L713" s="13"/>
      <c r="M713" s="13"/>
      <c r="N713" s="13"/>
      <c r="O713" s="13"/>
      <c r="P713" s="13"/>
      <c r="Q713" s="13"/>
      <c r="R713" s="13"/>
      <c r="S713" s="13"/>
      <c r="T713" s="13"/>
      <c r="U713" s="12"/>
      <c r="V713" s="12"/>
      <c r="W713" s="13"/>
      <c r="X713" s="13"/>
      <c r="Y713" s="13"/>
      <c r="Z713" s="13"/>
      <c r="AA713" s="13"/>
      <c r="AB713" s="13"/>
      <c r="AC713" s="12"/>
      <c r="AD713" s="13"/>
      <c r="AE713" s="13"/>
    </row>
    <row r="714" ht="15.75" customHeight="1">
      <c r="A714" s="12"/>
      <c r="B714" s="12"/>
      <c r="C714" s="12"/>
      <c r="D714" s="12"/>
      <c r="E714" s="13"/>
      <c r="F714" s="13"/>
      <c r="G714" s="13"/>
      <c r="H714" s="13"/>
      <c r="I714" s="13"/>
      <c r="J714" s="13"/>
      <c r="K714" s="12"/>
      <c r="L714" s="13"/>
      <c r="M714" s="13"/>
      <c r="N714" s="13"/>
      <c r="O714" s="13"/>
      <c r="P714" s="13"/>
      <c r="Q714" s="13"/>
      <c r="R714" s="13"/>
      <c r="S714" s="13"/>
      <c r="T714" s="13"/>
      <c r="U714" s="12"/>
      <c r="V714" s="12"/>
      <c r="W714" s="13"/>
      <c r="X714" s="13"/>
      <c r="Y714" s="13"/>
      <c r="Z714" s="13"/>
      <c r="AA714" s="13"/>
      <c r="AB714" s="13"/>
      <c r="AC714" s="12"/>
      <c r="AD714" s="13"/>
      <c r="AE714" s="13"/>
    </row>
    <row r="715" ht="15.75" customHeight="1">
      <c r="A715" s="12"/>
      <c r="B715" s="12"/>
      <c r="C715" s="12"/>
      <c r="D715" s="12"/>
      <c r="E715" s="13"/>
      <c r="F715" s="13"/>
      <c r="G715" s="13"/>
      <c r="H715" s="13"/>
      <c r="I715" s="13"/>
      <c r="J715" s="13"/>
      <c r="K715" s="12"/>
      <c r="L715" s="13"/>
      <c r="M715" s="13"/>
      <c r="N715" s="13"/>
      <c r="O715" s="13"/>
      <c r="P715" s="13"/>
      <c r="Q715" s="13"/>
      <c r="R715" s="13"/>
      <c r="S715" s="13"/>
      <c r="T715" s="13"/>
      <c r="U715" s="12"/>
      <c r="V715" s="12"/>
      <c r="W715" s="13"/>
      <c r="X715" s="13"/>
      <c r="Y715" s="13"/>
      <c r="Z715" s="13"/>
      <c r="AA715" s="13"/>
      <c r="AB715" s="13"/>
      <c r="AC715" s="12"/>
      <c r="AD715" s="13"/>
      <c r="AE715" s="13"/>
    </row>
    <row r="716" ht="15.75" customHeight="1">
      <c r="A716" s="12"/>
      <c r="B716" s="12"/>
      <c r="C716" s="12"/>
      <c r="D716" s="12"/>
      <c r="E716" s="13"/>
      <c r="F716" s="13"/>
      <c r="G716" s="13"/>
      <c r="H716" s="13"/>
      <c r="I716" s="13"/>
      <c r="J716" s="13"/>
      <c r="K716" s="12"/>
      <c r="L716" s="13"/>
      <c r="M716" s="13"/>
      <c r="N716" s="13"/>
      <c r="O716" s="13"/>
      <c r="P716" s="13"/>
      <c r="Q716" s="13"/>
      <c r="R716" s="13"/>
      <c r="S716" s="13"/>
      <c r="T716" s="13"/>
      <c r="U716" s="12"/>
      <c r="V716" s="12"/>
      <c r="W716" s="13"/>
      <c r="X716" s="13"/>
      <c r="Y716" s="13"/>
      <c r="Z716" s="13"/>
      <c r="AA716" s="13"/>
      <c r="AB716" s="13"/>
      <c r="AC716" s="12"/>
      <c r="AD716" s="13"/>
      <c r="AE716" s="13"/>
    </row>
    <row r="717" ht="15.75" customHeight="1">
      <c r="A717" s="12"/>
      <c r="B717" s="12"/>
      <c r="C717" s="12"/>
      <c r="D717" s="12"/>
      <c r="E717" s="13"/>
      <c r="F717" s="13"/>
      <c r="G717" s="13"/>
      <c r="H717" s="13"/>
      <c r="I717" s="13"/>
      <c r="J717" s="13"/>
      <c r="K717" s="12"/>
      <c r="L717" s="13"/>
      <c r="M717" s="13"/>
      <c r="N717" s="13"/>
      <c r="O717" s="13"/>
      <c r="P717" s="13"/>
      <c r="Q717" s="13"/>
      <c r="R717" s="13"/>
      <c r="S717" s="13"/>
      <c r="T717" s="13"/>
      <c r="U717" s="12"/>
      <c r="V717" s="12"/>
      <c r="W717" s="13"/>
      <c r="X717" s="13"/>
      <c r="Y717" s="13"/>
      <c r="Z717" s="13"/>
      <c r="AA717" s="13"/>
      <c r="AB717" s="13"/>
      <c r="AC717" s="12"/>
      <c r="AD717" s="13"/>
      <c r="AE717" s="13"/>
    </row>
    <row r="718" ht="15.75" customHeight="1">
      <c r="A718" s="12"/>
      <c r="B718" s="12"/>
      <c r="C718" s="12"/>
      <c r="D718" s="12"/>
      <c r="E718" s="13"/>
      <c r="F718" s="13"/>
      <c r="G718" s="13"/>
      <c r="H718" s="13"/>
      <c r="I718" s="13"/>
      <c r="J718" s="13"/>
      <c r="K718" s="12"/>
      <c r="L718" s="13"/>
      <c r="M718" s="13"/>
      <c r="N718" s="13"/>
      <c r="O718" s="13"/>
      <c r="P718" s="13"/>
      <c r="Q718" s="13"/>
      <c r="R718" s="13"/>
      <c r="S718" s="13"/>
      <c r="T718" s="13"/>
      <c r="U718" s="12"/>
      <c r="V718" s="12"/>
      <c r="W718" s="13"/>
      <c r="X718" s="13"/>
      <c r="Y718" s="13"/>
      <c r="Z718" s="13"/>
      <c r="AA718" s="13"/>
      <c r="AB718" s="13"/>
      <c r="AC718" s="12"/>
      <c r="AD718" s="13"/>
      <c r="AE718" s="13"/>
    </row>
    <row r="719" ht="15.75" customHeight="1">
      <c r="A719" s="12"/>
      <c r="B719" s="12"/>
      <c r="C719" s="12"/>
      <c r="D719" s="12"/>
      <c r="E719" s="13"/>
      <c r="F719" s="13"/>
      <c r="G719" s="13"/>
      <c r="H719" s="13"/>
      <c r="I719" s="13"/>
      <c r="J719" s="13"/>
      <c r="K719" s="12"/>
      <c r="L719" s="13"/>
      <c r="M719" s="13"/>
      <c r="N719" s="13"/>
      <c r="O719" s="13"/>
      <c r="P719" s="13"/>
      <c r="Q719" s="13"/>
      <c r="R719" s="13"/>
      <c r="S719" s="13"/>
      <c r="T719" s="13"/>
      <c r="U719" s="12"/>
      <c r="V719" s="12"/>
      <c r="W719" s="13"/>
      <c r="X719" s="13"/>
      <c r="Y719" s="13"/>
      <c r="Z719" s="13"/>
      <c r="AA719" s="13"/>
      <c r="AB719" s="13"/>
      <c r="AC719" s="12"/>
      <c r="AD719" s="13"/>
      <c r="AE719" s="13"/>
    </row>
    <row r="720" ht="15.75" customHeight="1">
      <c r="A720" s="12"/>
      <c r="B720" s="12"/>
      <c r="C720" s="12"/>
      <c r="D720" s="12"/>
      <c r="E720" s="13"/>
      <c r="F720" s="13"/>
      <c r="G720" s="13"/>
      <c r="H720" s="13"/>
      <c r="I720" s="13"/>
      <c r="J720" s="13"/>
      <c r="K720" s="12"/>
      <c r="L720" s="13"/>
      <c r="M720" s="13"/>
      <c r="N720" s="13"/>
      <c r="O720" s="13"/>
      <c r="P720" s="13"/>
      <c r="Q720" s="13"/>
      <c r="R720" s="13"/>
      <c r="S720" s="13"/>
      <c r="T720" s="13"/>
      <c r="U720" s="12"/>
      <c r="V720" s="12"/>
      <c r="W720" s="13"/>
      <c r="X720" s="13"/>
      <c r="Y720" s="13"/>
      <c r="Z720" s="13"/>
      <c r="AA720" s="13"/>
      <c r="AB720" s="13"/>
      <c r="AC720" s="12"/>
      <c r="AD720" s="13"/>
      <c r="AE720" s="13"/>
    </row>
    <row r="721" ht="15.75" customHeight="1">
      <c r="A721" s="12"/>
      <c r="B721" s="12"/>
      <c r="C721" s="12"/>
      <c r="D721" s="12"/>
      <c r="E721" s="13"/>
      <c r="F721" s="13"/>
      <c r="G721" s="13"/>
      <c r="H721" s="13"/>
      <c r="I721" s="13"/>
      <c r="J721" s="13"/>
      <c r="K721" s="12"/>
      <c r="L721" s="13"/>
      <c r="M721" s="13"/>
      <c r="N721" s="13"/>
      <c r="O721" s="13"/>
      <c r="P721" s="13"/>
      <c r="Q721" s="13"/>
      <c r="R721" s="13"/>
      <c r="S721" s="13"/>
      <c r="T721" s="13"/>
      <c r="U721" s="12"/>
      <c r="V721" s="12"/>
      <c r="W721" s="13"/>
      <c r="X721" s="13"/>
      <c r="Y721" s="13"/>
      <c r="Z721" s="13"/>
      <c r="AA721" s="13"/>
      <c r="AB721" s="13"/>
      <c r="AC721" s="12"/>
      <c r="AD721" s="13"/>
      <c r="AE721" s="13"/>
    </row>
    <row r="722" ht="15.75" customHeight="1">
      <c r="A722" s="12"/>
      <c r="B722" s="12"/>
      <c r="C722" s="12"/>
      <c r="D722" s="12"/>
      <c r="E722" s="13"/>
      <c r="F722" s="13"/>
      <c r="G722" s="13"/>
      <c r="H722" s="13"/>
      <c r="I722" s="13"/>
      <c r="J722" s="13"/>
      <c r="K722" s="12"/>
      <c r="L722" s="13"/>
      <c r="M722" s="13"/>
      <c r="N722" s="13"/>
      <c r="O722" s="13"/>
      <c r="P722" s="13"/>
      <c r="Q722" s="13"/>
      <c r="R722" s="13"/>
      <c r="S722" s="13"/>
      <c r="T722" s="13"/>
      <c r="U722" s="12"/>
      <c r="V722" s="12"/>
      <c r="W722" s="13"/>
      <c r="X722" s="13"/>
      <c r="Y722" s="13"/>
      <c r="Z722" s="13"/>
      <c r="AA722" s="13"/>
      <c r="AB722" s="13"/>
      <c r="AC722" s="12"/>
      <c r="AD722" s="13"/>
      <c r="AE722" s="13"/>
    </row>
    <row r="723" ht="15.75" customHeight="1">
      <c r="A723" s="12"/>
      <c r="B723" s="12"/>
      <c r="C723" s="12"/>
      <c r="D723" s="12"/>
      <c r="E723" s="13"/>
      <c r="F723" s="13"/>
      <c r="G723" s="13"/>
      <c r="H723" s="13"/>
      <c r="I723" s="13"/>
      <c r="J723" s="13"/>
      <c r="K723" s="12"/>
      <c r="L723" s="13"/>
      <c r="M723" s="13"/>
      <c r="N723" s="13"/>
      <c r="O723" s="13"/>
      <c r="P723" s="13"/>
      <c r="Q723" s="13"/>
      <c r="R723" s="13"/>
      <c r="S723" s="13"/>
      <c r="T723" s="13"/>
      <c r="U723" s="12"/>
      <c r="V723" s="12"/>
      <c r="W723" s="13"/>
      <c r="X723" s="13"/>
      <c r="Y723" s="13"/>
      <c r="Z723" s="13"/>
      <c r="AA723" s="13"/>
      <c r="AB723" s="13"/>
      <c r="AC723" s="12"/>
      <c r="AD723" s="13"/>
      <c r="AE723" s="13"/>
    </row>
    <row r="724" ht="15.75" customHeight="1">
      <c r="A724" s="12"/>
      <c r="B724" s="12"/>
      <c r="C724" s="12"/>
      <c r="D724" s="12"/>
      <c r="E724" s="13"/>
      <c r="F724" s="13"/>
      <c r="G724" s="13"/>
      <c r="H724" s="13"/>
      <c r="I724" s="13"/>
      <c r="J724" s="13"/>
      <c r="K724" s="12"/>
      <c r="L724" s="13"/>
      <c r="M724" s="13"/>
      <c r="N724" s="13"/>
      <c r="O724" s="13"/>
      <c r="P724" s="13"/>
      <c r="Q724" s="13"/>
      <c r="R724" s="13"/>
      <c r="S724" s="13"/>
      <c r="T724" s="13"/>
      <c r="U724" s="12"/>
      <c r="V724" s="12"/>
      <c r="W724" s="13"/>
      <c r="X724" s="13"/>
      <c r="Y724" s="13"/>
      <c r="Z724" s="13"/>
      <c r="AA724" s="13"/>
      <c r="AB724" s="13"/>
      <c r="AC724" s="12"/>
      <c r="AD724" s="13"/>
      <c r="AE724" s="13"/>
    </row>
    <row r="725" ht="15.75" customHeight="1">
      <c r="A725" s="12"/>
      <c r="B725" s="12"/>
      <c r="C725" s="12"/>
      <c r="D725" s="12"/>
      <c r="E725" s="13"/>
      <c r="F725" s="13"/>
      <c r="G725" s="13"/>
      <c r="H725" s="13"/>
      <c r="I725" s="13"/>
      <c r="J725" s="13"/>
      <c r="K725" s="12"/>
      <c r="L725" s="13"/>
      <c r="M725" s="13"/>
      <c r="N725" s="13"/>
      <c r="O725" s="13"/>
      <c r="P725" s="13"/>
      <c r="Q725" s="13"/>
      <c r="R725" s="13"/>
      <c r="S725" s="13"/>
      <c r="T725" s="13"/>
      <c r="U725" s="12"/>
      <c r="V725" s="12"/>
      <c r="W725" s="13"/>
      <c r="X725" s="13"/>
      <c r="Y725" s="13"/>
      <c r="Z725" s="13"/>
      <c r="AA725" s="13"/>
      <c r="AB725" s="13"/>
      <c r="AC725" s="12"/>
      <c r="AD725" s="13"/>
      <c r="AE725" s="13"/>
    </row>
    <row r="726" ht="15.75" customHeight="1">
      <c r="A726" s="12"/>
      <c r="B726" s="12"/>
      <c r="C726" s="12"/>
      <c r="D726" s="12"/>
      <c r="E726" s="13"/>
      <c r="F726" s="13"/>
      <c r="G726" s="13"/>
      <c r="H726" s="13"/>
      <c r="I726" s="13"/>
      <c r="J726" s="13"/>
      <c r="K726" s="12"/>
      <c r="L726" s="13"/>
      <c r="M726" s="13"/>
      <c r="N726" s="13"/>
      <c r="O726" s="13"/>
      <c r="P726" s="13"/>
      <c r="Q726" s="13"/>
      <c r="R726" s="13"/>
      <c r="S726" s="13"/>
      <c r="T726" s="13"/>
      <c r="U726" s="12"/>
      <c r="V726" s="12"/>
      <c r="W726" s="13"/>
      <c r="X726" s="13"/>
      <c r="Y726" s="13"/>
      <c r="Z726" s="13"/>
      <c r="AA726" s="13"/>
      <c r="AB726" s="13"/>
      <c r="AC726" s="12"/>
      <c r="AD726" s="13"/>
      <c r="AE726" s="13"/>
    </row>
    <row r="727" ht="15.75" customHeight="1">
      <c r="A727" s="12"/>
      <c r="B727" s="12"/>
      <c r="C727" s="12"/>
      <c r="D727" s="12"/>
      <c r="E727" s="13"/>
      <c r="F727" s="13"/>
      <c r="G727" s="13"/>
      <c r="H727" s="13"/>
      <c r="I727" s="13"/>
      <c r="J727" s="13"/>
      <c r="K727" s="12"/>
      <c r="L727" s="13"/>
      <c r="M727" s="13"/>
      <c r="N727" s="13"/>
      <c r="O727" s="13"/>
      <c r="P727" s="13"/>
      <c r="Q727" s="13"/>
      <c r="R727" s="13"/>
      <c r="S727" s="13"/>
      <c r="T727" s="13"/>
      <c r="U727" s="12"/>
      <c r="V727" s="12"/>
      <c r="W727" s="13"/>
      <c r="X727" s="13"/>
      <c r="Y727" s="13"/>
      <c r="Z727" s="13"/>
      <c r="AA727" s="13"/>
      <c r="AB727" s="13"/>
      <c r="AC727" s="12"/>
      <c r="AD727" s="13"/>
      <c r="AE727" s="13"/>
    </row>
    <row r="728" ht="15.75" customHeight="1">
      <c r="A728" s="12"/>
      <c r="B728" s="12"/>
      <c r="C728" s="12"/>
      <c r="D728" s="12"/>
      <c r="E728" s="13"/>
      <c r="F728" s="13"/>
      <c r="G728" s="13"/>
      <c r="H728" s="13"/>
      <c r="I728" s="13"/>
      <c r="J728" s="13"/>
      <c r="K728" s="12"/>
      <c r="L728" s="13"/>
      <c r="M728" s="13"/>
      <c r="N728" s="13"/>
      <c r="O728" s="13"/>
      <c r="P728" s="13"/>
      <c r="Q728" s="13"/>
      <c r="R728" s="13"/>
      <c r="S728" s="13"/>
      <c r="T728" s="13"/>
      <c r="U728" s="12"/>
      <c r="V728" s="12"/>
      <c r="W728" s="13"/>
      <c r="X728" s="13"/>
      <c r="Y728" s="13"/>
      <c r="Z728" s="13"/>
      <c r="AA728" s="13"/>
      <c r="AB728" s="13"/>
      <c r="AC728" s="12"/>
      <c r="AD728" s="13"/>
      <c r="AE728" s="13"/>
    </row>
    <row r="729" ht="15.75" customHeight="1">
      <c r="A729" s="12"/>
      <c r="B729" s="12"/>
      <c r="C729" s="12"/>
      <c r="D729" s="12"/>
      <c r="E729" s="13"/>
      <c r="F729" s="13"/>
      <c r="G729" s="13"/>
      <c r="H729" s="13"/>
      <c r="I729" s="13"/>
      <c r="J729" s="13"/>
      <c r="K729" s="12"/>
      <c r="L729" s="13"/>
      <c r="M729" s="13"/>
      <c r="N729" s="13"/>
      <c r="O729" s="13"/>
      <c r="P729" s="13"/>
      <c r="Q729" s="13"/>
      <c r="R729" s="13"/>
      <c r="S729" s="13"/>
      <c r="T729" s="13"/>
      <c r="U729" s="12"/>
      <c r="V729" s="12"/>
      <c r="W729" s="13"/>
      <c r="X729" s="13"/>
      <c r="Y729" s="13"/>
      <c r="Z729" s="13"/>
      <c r="AA729" s="13"/>
      <c r="AB729" s="13"/>
      <c r="AC729" s="12"/>
      <c r="AD729" s="13"/>
      <c r="AE729" s="13"/>
    </row>
    <row r="730" ht="15.75" customHeight="1">
      <c r="A730" s="12"/>
      <c r="B730" s="12"/>
      <c r="C730" s="12"/>
      <c r="D730" s="12"/>
      <c r="E730" s="13"/>
      <c r="F730" s="13"/>
      <c r="G730" s="13"/>
      <c r="H730" s="13"/>
      <c r="I730" s="13"/>
      <c r="J730" s="13"/>
      <c r="K730" s="12"/>
      <c r="L730" s="13"/>
      <c r="M730" s="13"/>
      <c r="N730" s="13"/>
      <c r="O730" s="13"/>
      <c r="P730" s="13"/>
      <c r="Q730" s="13"/>
      <c r="R730" s="13"/>
      <c r="S730" s="13"/>
      <c r="T730" s="13"/>
      <c r="U730" s="12"/>
      <c r="V730" s="12"/>
      <c r="W730" s="13"/>
      <c r="X730" s="13"/>
      <c r="Y730" s="13"/>
      <c r="Z730" s="13"/>
      <c r="AA730" s="13"/>
      <c r="AB730" s="13"/>
      <c r="AC730" s="12"/>
      <c r="AD730" s="13"/>
      <c r="AE730" s="13"/>
    </row>
    <row r="731" ht="15.75" customHeight="1">
      <c r="A731" s="12"/>
      <c r="B731" s="12"/>
      <c r="C731" s="12"/>
      <c r="D731" s="12"/>
      <c r="E731" s="13"/>
      <c r="F731" s="13"/>
      <c r="G731" s="13"/>
      <c r="H731" s="13"/>
      <c r="I731" s="13"/>
      <c r="J731" s="13"/>
      <c r="K731" s="12"/>
      <c r="L731" s="13"/>
      <c r="M731" s="13"/>
      <c r="N731" s="13"/>
      <c r="O731" s="13"/>
      <c r="P731" s="13"/>
      <c r="Q731" s="13"/>
      <c r="R731" s="13"/>
      <c r="S731" s="13"/>
      <c r="T731" s="13"/>
      <c r="U731" s="12"/>
      <c r="V731" s="12"/>
      <c r="W731" s="13"/>
      <c r="X731" s="13"/>
      <c r="Y731" s="13"/>
      <c r="Z731" s="13"/>
      <c r="AA731" s="13"/>
      <c r="AB731" s="13"/>
      <c r="AC731" s="12"/>
      <c r="AD731" s="13"/>
      <c r="AE731" s="13"/>
    </row>
    <row r="732" ht="15.75" customHeight="1">
      <c r="A732" s="12"/>
      <c r="B732" s="12"/>
      <c r="C732" s="12"/>
      <c r="D732" s="12"/>
      <c r="E732" s="13"/>
      <c r="F732" s="13"/>
      <c r="G732" s="13"/>
      <c r="H732" s="13"/>
      <c r="I732" s="13"/>
      <c r="J732" s="13"/>
      <c r="K732" s="12"/>
      <c r="L732" s="13"/>
      <c r="M732" s="13"/>
      <c r="N732" s="13"/>
      <c r="O732" s="13"/>
      <c r="P732" s="13"/>
      <c r="Q732" s="13"/>
      <c r="R732" s="13"/>
      <c r="S732" s="13"/>
      <c r="T732" s="13"/>
      <c r="U732" s="12"/>
      <c r="V732" s="12"/>
      <c r="W732" s="13"/>
      <c r="X732" s="13"/>
      <c r="Y732" s="13"/>
      <c r="Z732" s="13"/>
      <c r="AA732" s="13"/>
      <c r="AB732" s="13"/>
      <c r="AC732" s="12"/>
      <c r="AD732" s="13"/>
      <c r="AE732" s="13"/>
    </row>
    <row r="733" ht="15.75" customHeight="1">
      <c r="A733" s="12"/>
      <c r="B733" s="12"/>
      <c r="C733" s="12"/>
      <c r="D733" s="12"/>
      <c r="E733" s="13"/>
      <c r="F733" s="13"/>
      <c r="G733" s="13"/>
      <c r="H733" s="13"/>
      <c r="I733" s="13"/>
      <c r="J733" s="13"/>
      <c r="K733" s="12"/>
      <c r="L733" s="13"/>
      <c r="M733" s="13"/>
      <c r="N733" s="13"/>
      <c r="O733" s="13"/>
      <c r="P733" s="13"/>
      <c r="Q733" s="13"/>
      <c r="R733" s="13"/>
      <c r="S733" s="13"/>
      <c r="T733" s="13"/>
      <c r="U733" s="12"/>
      <c r="V733" s="12"/>
      <c r="W733" s="13"/>
      <c r="X733" s="13"/>
      <c r="Y733" s="13"/>
      <c r="Z733" s="13"/>
      <c r="AA733" s="13"/>
      <c r="AB733" s="13"/>
      <c r="AC733" s="12"/>
      <c r="AD733" s="13"/>
      <c r="AE733" s="13"/>
    </row>
    <row r="734" ht="15.75" customHeight="1">
      <c r="A734" s="12"/>
      <c r="B734" s="12"/>
      <c r="C734" s="12"/>
      <c r="D734" s="12"/>
      <c r="E734" s="13"/>
      <c r="F734" s="13"/>
      <c r="G734" s="13"/>
      <c r="H734" s="13"/>
      <c r="I734" s="13"/>
      <c r="J734" s="13"/>
      <c r="K734" s="12"/>
      <c r="L734" s="13"/>
      <c r="M734" s="13"/>
      <c r="N734" s="13"/>
      <c r="O734" s="13"/>
      <c r="P734" s="13"/>
      <c r="Q734" s="13"/>
      <c r="R734" s="13"/>
      <c r="S734" s="13"/>
      <c r="T734" s="13"/>
      <c r="U734" s="12"/>
      <c r="V734" s="12"/>
      <c r="W734" s="13"/>
      <c r="X734" s="13"/>
      <c r="Y734" s="13"/>
      <c r="Z734" s="13"/>
      <c r="AA734" s="13"/>
      <c r="AB734" s="13"/>
      <c r="AC734" s="12"/>
      <c r="AD734" s="13"/>
      <c r="AE734" s="13"/>
    </row>
    <row r="735" ht="15.75" customHeight="1">
      <c r="A735" s="12"/>
      <c r="B735" s="12"/>
      <c r="C735" s="12"/>
      <c r="D735" s="12"/>
      <c r="E735" s="13"/>
      <c r="F735" s="13"/>
      <c r="G735" s="13"/>
      <c r="H735" s="13"/>
      <c r="I735" s="13"/>
      <c r="J735" s="13"/>
      <c r="K735" s="12"/>
      <c r="L735" s="13"/>
      <c r="M735" s="13"/>
      <c r="N735" s="13"/>
      <c r="O735" s="13"/>
      <c r="P735" s="13"/>
      <c r="Q735" s="13"/>
      <c r="R735" s="13"/>
      <c r="S735" s="13"/>
      <c r="T735" s="13"/>
      <c r="U735" s="12"/>
      <c r="V735" s="12"/>
      <c r="W735" s="13"/>
      <c r="X735" s="13"/>
      <c r="Y735" s="13"/>
      <c r="Z735" s="13"/>
      <c r="AA735" s="13"/>
      <c r="AB735" s="13"/>
      <c r="AC735" s="12"/>
      <c r="AD735" s="13"/>
      <c r="AE735" s="13"/>
    </row>
    <row r="736" ht="15.75" customHeight="1">
      <c r="A736" s="12"/>
      <c r="B736" s="12"/>
      <c r="C736" s="12"/>
      <c r="D736" s="12"/>
      <c r="E736" s="13"/>
      <c r="F736" s="13"/>
      <c r="G736" s="13"/>
      <c r="H736" s="13"/>
      <c r="I736" s="13"/>
      <c r="J736" s="13"/>
      <c r="K736" s="12"/>
      <c r="L736" s="13"/>
      <c r="M736" s="13"/>
      <c r="N736" s="13"/>
      <c r="O736" s="13"/>
      <c r="P736" s="13"/>
      <c r="Q736" s="13"/>
      <c r="R736" s="13"/>
      <c r="S736" s="13"/>
      <c r="T736" s="13"/>
      <c r="U736" s="12"/>
      <c r="V736" s="12"/>
      <c r="W736" s="13"/>
      <c r="X736" s="13"/>
      <c r="Y736" s="13"/>
      <c r="Z736" s="13"/>
      <c r="AA736" s="13"/>
      <c r="AB736" s="13"/>
      <c r="AC736" s="12"/>
      <c r="AD736" s="13"/>
      <c r="AE736" s="13"/>
    </row>
    <row r="737" ht="15.75" customHeight="1">
      <c r="A737" s="12"/>
      <c r="B737" s="12"/>
      <c r="C737" s="12"/>
      <c r="D737" s="12"/>
      <c r="E737" s="13"/>
      <c r="F737" s="13"/>
      <c r="G737" s="13"/>
      <c r="H737" s="13"/>
      <c r="I737" s="13"/>
      <c r="J737" s="13"/>
      <c r="K737" s="12"/>
      <c r="L737" s="13"/>
      <c r="M737" s="13"/>
      <c r="N737" s="13"/>
      <c r="O737" s="13"/>
      <c r="P737" s="13"/>
      <c r="Q737" s="13"/>
      <c r="R737" s="13"/>
      <c r="S737" s="13"/>
      <c r="T737" s="13"/>
      <c r="U737" s="12"/>
      <c r="V737" s="12"/>
      <c r="W737" s="13"/>
      <c r="X737" s="13"/>
      <c r="Y737" s="13"/>
      <c r="Z737" s="13"/>
      <c r="AA737" s="13"/>
      <c r="AB737" s="13"/>
      <c r="AC737" s="12"/>
      <c r="AD737" s="13"/>
      <c r="AE737" s="13"/>
    </row>
    <row r="738" ht="15.75" customHeight="1">
      <c r="A738" s="12"/>
      <c r="B738" s="12"/>
      <c r="C738" s="12"/>
      <c r="D738" s="12"/>
      <c r="E738" s="13"/>
      <c r="F738" s="13"/>
      <c r="G738" s="13"/>
      <c r="H738" s="13"/>
      <c r="I738" s="13"/>
      <c r="J738" s="13"/>
      <c r="K738" s="12"/>
      <c r="L738" s="13"/>
      <c r="M738" s="13"/>
      <c r="N738" s="13"/>
      <c r="O738" s="13"/>
      <c r="P738" s="13"/>
      <c r="Q738" s="13"/>
      <c r="R738" s="13"/>
      <c r="S738" s="13"/>
      <c r="T738" s="13"/>
      <c r="U738" s="12"/>
      <c r="V738" s="12"/>
      <c r="W738" s="13"/>
      <c r="X738" s="13"/>
      <c r="Y738" s="13"/>
      <c r="Z738" s="13"/>
      <c r="AA738" s="13"/>
      <c r="AB738" s="13"/>
      <c r="AC738" s="12"/>
      <c r="AD738" s="13"/>
      <c r="AE738" s="13"/>
    </row>
    <row r="739" ht="15.75" customHeight="1">
      <c r="A739" s="12"/>
      <c r="B739" s="12"/>
      <c r="C739" s="12"/>
      <c r="D739" s="12"/>
      <c r="E739" s="13"/>
      <c r="F739" s="13"/>
      <c r="G739" s="13"/>
      <c r="H739" s="13"/>
      <c r="I739" s="13"/>
      <c r="J739" s="13"/>
      <c r="K739" s="12"/>
      <c r="L739" s="13"/>
      <c r="M739" s="13"/>
      <c r="N739" s="13"/>
      <c r="O739" s="13"/>
      <c r="P739" s="13"/>
      <c r="Q739" s="13"/>
      <c r="R739" s="13"/>
      <c r="S739" s="13"/>
      <c r="T739" s="13"/>
      <c r="U739" s="12"/>
      <c r="V739" s="12"/>
      <c r="W739" s="13"/>
      <c r="X739" s="13"/>
      <c r="Y739" s="13"/>
      <c r="Z739" s="13"/>
      <c r="AA739" s="13"/>
      <c r="AB739" s="13"/>
      <c r="AC739" s="12"/>
      <c r="AD739" s="13"/>
      <c r="AE739" s="13"/>
    </row>
    <row r="740" ht="15.75" customHeight="1">
      <c r="A740" s="12"/>
      <c r="B740" s="12"/>
      <c r="C740" s="12"/>
      <c r="D740" s="12"/>
      <c r="E740" s="13"/>
      <c r="F740" s="13"/>
      <c r="G740" s="13"/>
      <c r="H740" s="13"/>
      <c r="I740" s="13"/>
      <c r="J740" s="13"/>
      <c r="K740" s="12"/>
      <c r="L740" s="13"/>
      <c r="M740" s="13"/>
      <c r="N740" s="13"/>
      <c r="O740" s="13"/>
      <c r="P740" s="13"/>
      <c r="Q740" s="13"/>
      <c r="R740" s="13"/>
      <c r="S740" s="13"/>
      <c r="T740" s="13"/>
      <c r="U740" s="12"/>
      <c r="V740" s="12"/>
      <c r="W740" s="13"/>
      <c r="X740" s="13"/>
      <c r="Y740" s="13"/>
      <c r="Z740" s="13"/>
      <c r="AA740" s="13"/>
      <c r="AB740" s="13"/>
      <c r="AC740" s="12"/>
      <c r="AD740" s="13"/>
      <c r="AE740" s="13"/>
    </row>
    <row r="741" ht="15.75" customHeight="1">
      <c r="A741" s="12"/>
      <c r="B741" s="12"/>
      <c r="C741" s="12"/>
      <c r="D741" s="12"/>
      <c r="E741" s="13"/>
      <c r="F741" s="13"/>
      <c r="G741" s="13"/>
      <c r="H741" s="13"/>
      <c r="I741" s="13"/>
      <c r="J741" s="13"/>
      <c r="K741" s="12"/>
      <c r="L741" s="13"/>
      <c r="M741" s="13"/>
      <c r="N741" s="13"/>
      <c r="O741" s="13"/>
      <c r="P741" s="13"/>
      <c r="Q741" s="13"/>
      <c r="R741" s="13"/>
      <c r="S741" s="13"/>
      <c r="T741" s="13"/>
      <c r="U741" s="12"/>
      <c r="V741" s="12"/>
      <c r="W741" s="13"/>
      <c r="X741" s="13"/>
      <c r="Y741" s="13"/>
      <c r="Z741" s="13"/>
      <c r="AA741" s="13"/>
      <c r="AB741" s="13"/>
      <c r="AC741" s="12"/>
      <c r="AD741" s="13"/>
      <c r="AE741" s="13"/>
    </row>
    <row r="742" ht="15.75" customHeight="1">
      <c r="A742" s="12"/>
      <c r="B742" s="12"/>
      <c r="C742" s="12"/>
      <c r="D742" s="12"/>
      <c r="E742" s="13"/>
      <c r="F742" s="13"/>
      <c r="G742" s="13"/>
      <c r="H742" s="13"/>
      <c r="I742" s="13"/>
      <c r="J742" s="13"/>
      <c r="K742" s="12"/>
      <c r="L742" s="13"/>
      <c r="M742" s="13"/>
      <c r="N742" s="13"/>
      <c r="O742" s="13"/>
      <c r="P742" s="13"/>
      <c r="Q742" s="13"/>
      <c r="R742" s="13"/>
      <c r="S742" s="13"/>
      <c r="T742" s="13"/>
      <c r="U742" s="12"/>
      <c r="V742" s="12"/>
      <c r="W742" s="13"/>
      <c r="X742" s="13"/>
      <c r="Y742" s="13"/>
      <c r="Z742" s="13"/>
      <c r="AA742" s="13"/>
      <c r="AB742" s="13"/>
      <c r="AC742" s="12"/>
      <c r="AD742" s="13"/>
      <c r="AE742" s="13"/>
    </row>
    <row r="743" ht="15.75" customHeight="1">
      <c r="A743" s="12"/>
      <c r="B743" s="12"/>
      <c r="C743" s="12"/>
      <c r="D743" s="12"/>
      <c r="E743" s="13"/>
      <c r="F743" s="13"/>
      <c r="G743" s="13"/>
      <c r="H743" s="13"/>
      <c r="I743" s="13"/>
      <c r="J743" s="13"/>
      <c r="K743" s="12"/>
      <c r="L743" s="13"/>
      <c r="M743" s="13"/>
      <c r="N743" s="13"/>
      <c r="O743" s="13"/>
      <c r="P743" s="13"/>
      <c r="Q743" s="13"/>
      <c r="R743" s="13"/>
      <c r="S743" s="13"/>
      <c r="T743" s="13"/>
      <c r="U743" s="12"/>
      <c r="V743" s="12"/>
      <c r="W743" s="13"/>
      <c r="X743" s="13"/>
      <c r="Y743" s="13"/>
      <c r="Z743" s="13"/>
      <c r="AA743" s="13"/>
      <c r="AB743" s="13"/>
      <c r="AC743" s="12"/>
      <c r="AD743" s="13"/>
      <c r="AE743" s="13"/>
    </row>
    <row r="744" ht="15.75" customHeight="1">
      <c r="A744" s="12"/>
      <c r="B744" s="12"/>
      <c r="C744" s="12"/>
      <c r="D744" s="12"/>
      <c r="E744" s="13"/>
      <c r="F744" s="13"/>
      <c r="G744" s="13"/>
      <c r="H744" s="13"/>
      <c r="I744" s="13"/>
      <c r="J744" s="13"/>
      <c r="K744" s="12"/>
      <c r="L744" s="13"/>
      <c r="M744" s="13"/>
      <c r="N744" s="13"/>
      <c r="O744" s="13"/>
      <c r="P744" s="13"/>
      <c r="Q744" s="13"/>
      <c r="R744" s="13"/>
      <c r="S744" s="13"/>
      <c r="T744" s="13"/>
      <c r="U744" s="12"/>
      <c r="V744" s="12"/>
      <c r="W744" s="13"/>
      <c r="X744" s="13"/>
      <c r="Y744" s="13"/>
      <c r="Z744" s="13"/>
      <c r="AA744" s="13"/>
      <c r="AB744" s="13"/>
      <c r="AC744" s="12"/>
      <c r="AD744" s="13"/>
      <c r="AE744" s="13"/>
    </row>
    <row r="745" ht="15.75" customHeight="1">
      <c r="A745" s="12"/>
      <c r="B745" s="12"/>
      <c r="C745" s="12"/>
      <c r="D745" s="12"/>
      <c r="E745" s="13"/>
      <c r="F745" s="13"/>
      <c r="G745" s="13"/>
      <c r="H745" s="13"/>
      <c r="I745" s="13"/>
      <c r="J745" s="13"/>
      <c r="K745" s="12"/>
      <c r="L745" s="13"/>
      <c r="M745" s="13"/>
      <c r="N745" s="13"/>
      <c r="O745" s="13"/>
      <c r="P745" s="13"/>
      <c r="Q745" s="13"/>
      <c r="R745" s="13"/>
      <c r="S745" s="13"/>
      <c r="T745" s="13"/>
      <c r="U745" s="12"/>
      <c r="V745" s="12"/>
      <c r="W745" s="13"/>
      <c r="X745" s="13"/>
      <c r="Y745" s="13"/>
      <c r="Z745" s="13"/>
      <c r="AA745" s="13"/>
      <c r="AB745" s="13"/>
      <c r="AC745" s="12"/>
      <c r="AD745" s="13"/>
      <c r="AE745" s="13"/>
    </row>
    <row r="746" ht="15.75" customHeight="1">
      <c r="A746" s="12"/>
      <c r="B746" s="12"/>
      <c r="C746" s="12"/>
      <c r="D746" s="12"/>
      <c r="E746" s="13"/>
      <c r="F746" s="13"/>
      <c r="G746" s="13"/>
      <c r="H746" s="13"/>
      <c r="I746" s="13"/>
      <c r="J746" s="13"/>
      <c r="K746" s="12"/>
      <c r="L746" s="13"/>
      <c r="M746" s="13"/>
      <c r="N746" s="13"/>
      <c r="O746" s="13"/>
      <c r="P746" s="13"/>
      <c r="Q746" s="13"/>
      <c r="R746" s="13"/>
      <c r="S746" s="13"/>
      <c r="T746" s="13"/>
      <c r="U746" s="12"/>
      <c r="V746" s="12"/>
      <c r="W746" s="13"/>
      <c r="X746" s="13"/>
      <c r="Y746" s="13"/>
      <c r="Z746" s="13"/>
      <c r="AA746" s="13"/>
      <c r="AB746" s="13"/>
      <c r="AC746" s="12"/>
      <c r="AD746" s="13"/>
      <c r="AE746" s="13"/>
    </row>
    <row r="747" ht="15.75" customHeight="1">
      <c r="A747" s="12"/>
      <c r="B747" s="12"/>
      <c r="C747" s="12"/>
      <c r="D747" s="12"/>
      <c r="E747" s="13"/>
      <c r="F747" s="13"/>
      <c r="G747" s="13"/>
      <c r="H747" s="13"/>
      <c r="I747" s="13"/>
      <c r="J747" s="13"/>
      <c r="K747" s="12"/>
      <c r="L747" s="13"/>
      <c r="M747" s="13"/>
      <c r="N747" s="13"/>
      <c r="O747" s="13"/>
      <c r="P747" s="13"/>
      <c r="Q747" s="13"/>
      <c r="R747" s="13"/>
      <c r="S747" s="13"/>
      <c r="T747" s="13"/>
      <c r="U747" s="12"/>
      <c r="V747" s="12"/>
      <c r="W747" s="13"/>
      <c r="X747" s="13"/>
      <c r="Y747" s="13"/>
      <c r="Z747" s="13"/>
      <c r="AA747" s="13"/>
      <c r="AB747" s="13"/>
      <c r="AC747" s="12"/>
      <c r="AD747" s="13"/>
      <c r="AE747" s="13"/>
    </row>
    <row r="748" ht="15.75" customHeight="1">
      <c r="A748" s="12"/>
      <c r="B748" s="12"/>
      <c r="C748" s="12"/>
      <c r="D748" s="12"/>
      <c r="E748" s="13"/>
      <c r="F748" s="13"/>
      <c r="G748" s="13"/>
      <c r="H748" s="13"/>
      <c r="I748" s="13"/>
      <c r="J748" s="13"/>
      <c r="K748" s="12"/>
      <c r="L748" s="13"/>
      <c r="M748" s="13"/>
      <c r="N748" s="13"/>
      <c r="O748" s="13"/>
      <c r="P748" s="13"/>
      <c r="Q748" s="13"/>
      <c r="R748" s="13"/>
      <c r="S748" s="13"/>
      <c r="T748" s="13"/>
      <c r="U748" s="12"/>
      <c r="V748" s="12"/>
      <c r="W748" s="13"/>
      <c r="X748" s="13"/>
      <c r="Y748" s="13"/>
      <c r="Z748" s="13"/>
      <c r="AA748" s="13"/>
      <c r="AB748" s="13"/>
      <c r="AC748" s="12"/>
      <c r="AD748" s="13"/>
      <c r="AE748" s="13"/>
    </row>
    <row r="749" ht="15.75" customHeight="1">
      <c r="A749" s="12"/>
      <c r="B749" s="12"/>
      <c r="C749" s="12"/>
      <c r="D749" s="12"/>
      <c r="E749" s="13"/>
      <c r="F749" s="13"/>
      <c r="G749" s="13"/>
      <c r="H749" s="13"/>
      <c r="I749" s="13"/>
      <c r="J749" s="13"/>
      <c r="K749" s="12"/>
      <c r="L749" s="13"/>
      <c r="M749" s="13"/>
      <c r="N749" s="13"/>
      <c r="O749" s="13"/>
      <c r="P749" s="13"/>
      <c r="Q749" s="13"/>
      <c r="R749" s="13"/>
      <c r="S749" s="13"/>
      <c r="T749" s="13"/>
      <c r="U749" s="12"/>
      <c r="V749" s="12"/>
      <c r="W749" s="13"/>
      <c r="X749" s="13"/>
      <c r="Y749" s="13"/>
      <c r="Z749" s="13"/>
      <c r="AA749" s="13"/>
      <c r="AB749" s="13"/>
      <c r="AC749" s="12"/>
      <c r="AD749" s="13"/>
      <c r="AE749" s="13"/>
    </row>
    <row r="750" ht="15.75" customHeight="1">
      <c r="A750" s="12"/>
      <c r="B750" s="12"/>
      <c r="C750" s="12"/>
      <c r="D750" s="12"/>
      <c r="E750" s="13"/>
      <c r="F750" s="13"/>
      <c r="G750" s="13"/>
      <c r="H750" s="13"/>
      <c r="I750" s="13"/>
      <c r="J750" s="13"/>
      <c r="K750" s="12"/>
      <c r="L750" s="13"/>
      <c r="M750" s="13"/>
      <c r="N750" s="13"/>
      <c r="O750" s="13"/>
      <c r="P750" s="13"/>
      <c r="Q750" s="13"/>
      <c r="R750" s="13"/>
      <c r="S750" s="13"/>
      <c r="T750" s="13"/>
      <c r="U750" s="12"/>
      <c r="V750" s="12"/>
      <c r="W750" s="13"/>
      <c r="X750" s="13"/>
      <c r="Y750" s="13"/>
      <c r="Z750" s="13"/>
      <c r="AA750" s="13"/>
      <c r="AB750" s="13"/>
      <c r="AC750" s="12"/>
      <c r="AD750" s="13"/>
      <c r="AE750" s="13"/>
    </row>
    <row r="751" ht="15.75" customHeight="1">
      <c r="A751" s="12"/>
      <c r="B751" s="12"/>
      <c r="C751" s="12"/>
      <c r="D751" s="12"/>
      <c r="E751" s="13"/>
      <c r="F751" s="13"/>
      <c r="G751" s="13"/>
      <c r="H751" s="13"/>
      <c r="I751" s="13"/>
      <c r="J751" s="13"/>
      <c r="K751" s="12"/>
      <c r="L751" s="13"/>
      <c r="M751" s="13"/>
      <c r="N751" s="13"/>
      <c r="O751" s="13"/>
      <c r="P751" s="13"/>
      <c r="Q751" s="13"/>
      <c r="R751" s="13"/>
      <c r="S751" s="13"/>
      <c r="T751" s="13"/>
      <c r="U751" s="12"/>
      <c r="V751" s="12"/>
      <c r="W751" s="13"/>
      <c r="X751" s="13"/>
      <c r="Y751" s="13"/>
      <c r="Z751" s="13"/>
      <c r="AA751" s="13"/>
      <c r="AB751" s="13"/>
      <c r="AC751" s="12"/>
      <c r="AD751" s="13"/>
      <c r="AE751" s="13"/>
    </row>
    <row r="752" ht="15.75" customHeight="1">
      <c r="A752" s="12"/>
      <c r="B752" s="12"/>
      <c r="C752" s="12"/>
      <c r="D752" s="12"/>
      <c r="E752" s="13"/>
      <c r="F752" s="13"/>
      <c r="G752" s="13"/>
      <c r="H752" s="13"/>
      <c r="I752" s="13"/>
      <c r="J752" s="13"/>
      <c r="K752" s="12"/>
      <c r="L752" s="13"/>
      <c r="M752" s="13"/>
      <c r="N752" s="13"/>
      <c r="O752" s="13"/>
      <c r="P752" s="13"/>
      <c r="Q752" s="13"/>
      <c r="R752" s="13"/>
      <c r="S752" s="13"/>
      <c r="T752" s="13"/>
      <c r="U752" s="12"/>
      <c r="V752" s="12"/>
      <c r="W752" s="13"/>
      <c r="X752" s="13"/>
      <c r="Y752" s="13"/>
      <c r="Z752" s="13"/>
      <c r="AA752" s="13"/>
      <c r="AB752" s="13"/>
      <c r="AC752" s="12"/>
      <c r="AD752" s="13"/>
      <c r="AE752" s="13"/>
    </row>
    <row r="753" ht="15.75" customHeight="1">
      <c r="A753" s="12"/>
      <c r="B753" s="12"/>
      <c r="C753" s="12"/>
      <c r="D753" s="12"/>
      <c r="E753" s="13"/>
      <c r="F753" s="13"/>
      <c r="G753" s="13"/>
      <c r="H753" s="13"/>
      <c r="I753" s="13"/>
      <c r="J753" s="13"/>
      <c r="K753" s="12"/>
      <c r="L753" s="13"/>
      <c r="M753" s="13"/>
      <c r="N753" s="13"/>
      <c r="O753" s="13"/>
      <c r="P753" s="13"/>
      <c r="Q753" s="13"/>
      <c r="R753" s="13"/>
      <c r="S753" s="13"/>
      <c r="T753" s="13"/>
      <c r="U753" s="12"/>
      <c r="V753" s="12"/>
      <c r="W753" s="13"/>
      <c r="X753" s="13"/>
      <c r="Y753" s="13"/>
      <c r="Z753" s="13"/>
      <c r="AA753" s="13"/>
      <c r="AB753" s="13"/>
      <c r="AC753" s="12"/>
      <c r="AD753" s="13"/>
      <c r="AE753" s="13"/>
    </row>
    <row r="754" ht="15.75" customHeight="1">
      <c r="A754" s="12"/>
      <c r="B754" s="12"/>
      <c r="C754" s="12"/>
      <c r="D754" s="12"/>
      <c r="E754" s="13"/>
      <c r="F754" s="13"/>
      <c r="G754" s="13"/>
      <c r="H754" s="13"/>
      <c r="I754" s="13"/>
      <c r="J754" s="13"/>
      <c r="K754" s="12"/>
      <c r="L754" s="13"/>
      <c r="M754" s="13"/>
      <c r="N754" s="13"/>
      <c r="O754" s="13"/>
      <c r="P754" s="13"/>
      <c r="Q754" s="13"/>
      <c r="R754" s="13"/>
      <c r="S754" s="13"/>
      <c r="T754" s="13"/>
      <c r="U754" s="12"/>
      <c r="V754" s="12"/>
      <c r="W754" s="13"/>
      <c r="X754" s="13"/>
      <c r="Y754" s="13"/>
      <c r="Z754" s="13"/>
      <c r="AA754" s="13"/>
      <c r="AB754" s="13"/>
      <c r="AC754" s="12"/>
      <c r="AD754" s="13"/>
      <c r="AE754" s="13"/>
    </row>
    <row r="755" ht="15.75" customHeight="1">
      <c r="A755" s="12"/>
      <c r="B755" s="12"/>
      <c r="C755" s="12"/>
      <c r="D755" s="12"/>
      <c r="E755" s="13"/>
      <c r="F755" s="13"/>
      <c r="G755" s="13"/>
      <c r="H755" s="13"/>
      <c r="I755" s="13"/>
      <c r="J755" s="13"/>
      <c r="K755" s="12"/>
      <c r="L755" s="13"/>
      <c r="M755" s="13"/>
      <c r="N755" s="13"/>
      <c r="O755" s="13"/>
      <c r="P755" s="13"/>
      <c r="Q755" s="13"/>
      <c r="R755" s="13"/>
      <c r="S755" s="13"/>
      <c r="T755" s="13"/>
      <c r="U755" s="12"/>
      <c r="V755" s="12"/>
      <c r="W755" s="13"/>
      <c r="X755" s="13"/>
      <c r="Y755" s="13"/>
      <c r="Z755" s="13"/>
      <c r="AA755" s="13"/>
      <c r="AB755" s="13"/>
      <c r="AC755" s="12"/>
      <c r="AD755" s="13"/>
      <c r="AE755" s="13"/>
    </row>
    <row r="756" ht="15.75" customHeight="1">
      <c r="A756" s="12"/>
      <c r="B756" s="12"/>
      <c r="C756" s="12"/>
      <c r="D756" s="12"/>
      <c r="E756" s="13"/>
      <c r="F756" s="13"/>
      <c r="G756" s="13"/>
      <c r="H756" s="13"/>
      <c r="I756" s="13"/>
      <c r="J756" s="13"/>
      <c r="K756" s="12"/>
      <c r="L756" s="13"/>
      <c r="M756" s="13"/>
      <c r="N756" s="13"/>
      <c r="O756" s="13"/>
      <c r="P756" s="13"/>
      <c r="Q756" s="13"/>
      <c r="R756" s="13"/>
      <c r="S756" s="13"/>
      <c r="T756" s="13"/>
      <c r="U756" s="12"/>
      <c r="V756" s="12"/>
      <c r="W756" s="13"/>
      <c r="X756" s="13"/>
      <c r="Y756" s="13"/>
      <c r="Z756" s="13"/>
      <c r="AA756" s="13"/>
      <c r="AB756" s="13"/>
      <c r="AC756" s="12"/>
      <c r="AD756" s="13"/>
      <c r="AE756" s="13"/>
    </row>
    <row r="757" ht="15.75" customHeight="1">
      <c r="A757" s="12"/>
      <c r="B757" s="12"/>
      <c r="C757" s="12"/>
      <c r="D757" s="12"/>
      <c r="E757" s="13"/>
      <c r="F757" s="13"/>
      <c r="G757" s="13"/>
      <c r="H757" s="13"/>
      <c r="I757" s="13"/>
      <c r="J757" s="13"/>
      <c r="K757" s="12"/>
      <c r="L757" s="13"/>
      <c r="M757" s="13"/>
      <c r="N757" s="13"/>
      <c r="O757" s="13"/>
      <c r="P757" s="13"/>
      <c r="Q757" s="13"/>
      <c r="R757" s="13"/>
      <c r="S757" s="13"/>
      <c r="T757" s="13"/>
      <c r="U757" s="12"/>
      <c r="V757" s="12"/>
      <c r="W757" s="13"/>
      <c r="X757" s="13"/>
      <c r="Y757" s="13"/>
      <c r="Z757" s="13"/>
      <c r="AA757" s="13"/>
      <c r="AB757" s="13"/>
      <c r="AC757" s="12"/>
      <c r="AD757" s="13"/>
      <c r="AE757" s="13"/>
    </row>
    <row r="758" ht="15.75" customHeight="1">
      <c r="A758" s="12"/>
      <c r="B758" s="12"/>
      <c r="C758" s="12"/>
      <c r="D758" s="12"/>
      <c r="E758" s="13"/>
      <c r="F758" s="13"/>
      <c r="G758" s="13"/>
      <c r="H758" s="13"/>
      <c r="I758" s="13"/>
      <c r="J758" s="13"/>
      <c r="K758" s="12"/>
      <c r="L758" s="13"/>
      <c r="M758" s="13"/>
      <c r="N758" s="13"/>
      <c r="O758" s="13"/>
      <c r="P758" s="13"/>
      <c r="Q758" s="13"/>
      <c r="R758" s="13"/>
      <c r="S758" s="13"/>
      <c r="T758" s="13"/>
      <c r="U758" s="12"/>
      <c r="V758" s="12"/>
      <c r="W758" s="13"/>
      <c r="X758" s="13"/>
      <c r="Y758" s="13"/>
      <c r="Z758" s="13"/>
      <c r="AA758" s="13"/>
      <c r="AB758" s="13"/>
      <c r="AC758" s="12"/>
      <c r="AD758" s="13"/>
      <c r="AE758" s="13"/>
    </row>
    <row r="759" ht="15.75" customHeight="1">
      <c r="A759" s="12"/>
      <c r="B759" s="12"/>
      <c r="C759" s="12"/>
      <c r="D759" s="12"/>
      <c r="E759" s="13"/>
      <c r="F759" s="13"/>
      <c r="G759" s="13"/>
      <c r="H759" s="13"/>
      <c r="I759" s="13"/>
      <c r="J759" s="13"/>
      <c r="K759" s="12"/>
      <c r="L759" s="13"/>
      <c r="M759" s="13"/>
      <c r="N759" s="13"/>
      <c r="O759" s="13"/>
      <c r="P759" s="13"/>
      <c r="Q759" s="13"/>
      <c r="R759" s="13"/>
      <c r="S759" s="13"/>
      <c r="T759" s="13"/>
      <c r="U759" s="12"/>
      <c r="V759" s="12"/>
      <c r="W759" s="13"/>
      <c r="X759" s="13"/>
      <c r="Y759" s="13"/>
      <c r="Z759" s="13"/>
      <c r="AA759" s="13"/>
      <c r="AB759" s="13"/>
      <c r="AC759" s="12"/>
      <c r="AD759" s="13"/>
      <c r="AE759" s="13"/>
    </row>
    <row r="760" ht="15.75" customHeight="1">
      <c r="A760" s="12"/>
      <c r="B760" s="12"/>
      <c r="C760" s="12"/>
      <c r="D760" s="12"/>
      <c r="E760" s="13"/>
      <c r="F760" s="13"/>
      <c r="G760" s="13"/>
      <c r="H760" s="13"/>
      <c r="I760" s="13"/>
      <c r="J760" s="13"/>
      <c r="K760" s="12"/>
      <c r="L760" s="13"/>
      <c r="M760" s="13"/>
      <c r="N760" s="13"/>
      <c r="O760" s="13"/>
      <c r="P760" s="13"/>
      <c r="Q760" s="13"/>
      <c r="R760" s="13"/>
      <c r="S760" s="13"/>
      <c r="T760" s="13"/>
      <c r="U760" s="12"/>
      <c r="V760" s="12"/>
      <c r="W760" s="13"/>
      <c r="X760" s="13"/>
      <c r="Y760" s="13"/>
      <c r="Z760" s="13"/>
      <c r="AA760" s="13"/>
      <c r="AB760" s="13"/>
      <c r="AC760" s="12"/>
      <c r="AD760" s="13"/>
      <c r="AE760" s="13"/>
    </row>
    <row r="761" ht="15.75" customHeight="1">
      <c r="A761" s="12"/>
      <c r="B761" s="12"/>
      <c r="C761" s="12"/>
      <c r="D761" s="12"/>
      <c r="E761" s="13"/>
      <c r="F761" s="13"/>
      <c r="G761" s="13"/>
      <c r="H761" s="13"/>
      <c r="I761" s="13"/>
      <c r="J761" s="13"/>
      <c r="K761" s="12"/>
      <c r="L761" s="13"/>
      <c r="M761" s="13"/>
      <c r="N761" s="13"/>
      <c r="O761" s="13"/>
      <c r="P761" s="13"/>
      <c r="Q761" s="13"/>
      <c r="R761" s="13"/>
      <c r="S761" s="13"/>
      <c r="T761" s="13"/>
      <c r="U761" s="12"/>
      <c r="V761" s="12"/>
      <c r="W761" s="13"/>
      <c r="X761" s="13"/>
      <c r="Y761" s="13"/>
      <c r="Z761" s="13"/>
      <c r="AA761" s="13"/>
      <c r="AB761" s="13"/>
      <c r="AC761" s="12"/>
      <c r="AD761" s="13"/>
      <c r="AE761" s="13"/>
    </row>
    <row r="762" ht="15.75" customHeight="1">
      <c r="A762" s="12"/>
      <c r="B762" s="12"/>
      <c r="C762" s="12"/>
      <c r="D762" s="12"/>
      <c r="E762" s="13"/>
      <c r="F762" s="13"/>
      <c r="G762" s="13"/>
      <c r="H762" s="13"/>
      <c r="I762" s="13"/>
      <c r="J762" s="13"/>
      <c r="K762" s="12"/>
      <c r="L762" s="13"/>
      <c r="M762" s="13"/>
      <c r="N762" s="13"/>
      <c r="O762" s="13"/>
      <c r="P762" s="13"/>
      <c r="Q762" s="13"/>
      <c r="R762" s="13"/>
      <c r="S762" s="13"/>
      <c r="T762" s="13"/>
      <c r="U762" s="12"/>
      <c r="V762" s="12"/>
      <c r="W762" s="13"/>
      <c r="X762" s="13"/>
      <c r="Y762" s="13"/>
      <c r="Z762" s="13"/>
      <c r="AA762" s="13"/>
      <c r="AB762" s="13"/>
      <c r="AC762" s="12"/>
      <c r="AD762" s="13"/>
      <c r="AE762" s="13"/>
    </row>
    <row r="763" ht="15.75" customHeight="1">
      <c r="A763" s="12"/>
      <c r="B763" s="12"/>
      <c r="C763" s="12"/>
      <c r="D763" s="12"/>
      <c r="E763" s="13"/>
      <c r="F763" s="13"/>
      <c r="G763" s="13"/>
      <c r="H763" s="13"/>
      <c r="I763" s="13"/>
      <c r="J763" s="13"/>
      <c r="K763" s="12"/>
      <c r="L763" s="13"/>
      <c r="M763" s="13"/>
      <c r="N763" s="13"/>
      <c r="O763" s="13"/>
      <c r="P763" s="13"/>
      <c r="Q763" s="13"/>
      <c r="R763" s="13"/>
      <c r="S763" s="13"/>
      <c r="T763" s="13"/>
      <c r="U763" s="12"/>
      <c r="V763" s="12"/>
      <c r="W763" s="13"/>
      <c r="X763" s="13"/>
      <c r="Y763" s="13"/>
      <c r="Z763" s="13"/>
      <c r="AA763" s="13"/>
      <c r="AB763" s="13"/>
      <c r="AC763" s="12"/>
      <c r="AD763" s="13"/>
      <c r="AE763" s="13"/>
    </row>
    <row r="764" ht="15.75" customHeight="1">
      <c r="A764" s="12"/>
      <c r="B764" s="12"/>
      <c r="C764" s="12"/>
      <c r="D764" s="12"/>
      <c r="E764" s="13"/>
      <c r="F764" s="13"/>
      <c r="G764" s="13"/>
      <c r="H764" s="13"/>
      <c r="I764" s="13"/>
      <c r="J764" s="13"/>
      <c r="K764" s="12"/>
      <c r="L764" s="13"/>
      <c r="M764" s="13"/>
      <c r="N764" s="13"/>
      <c r="O764" s="13"/>
      <c r="P764" s="13"/>
      <c r="Q764" s="13"/>
      <c r="R764" s="13"/>
      <c r="S764" s="13"/>
      <c r="T764" s="13"/>
      <c r="U764" s="12"/>
      <c r="V764" s="12"/>
      <c r="W764" s="13"/>
      <c r="X764" s="13"/>
      <c r="Y764" s="13"/>
      <c r="Z764" s="13"/>
      <c r="AA764" s="13"/>
      <c r="AB764" s="13"/>
      <c r="AC764" s="12"/>
      <c r="AD764" s="13"/>
      <c r="AE764" s="13"/>
    </row>
    <row r="765" ht="15.75" customHeight="1">
      <c r="A765" s="12"/>
      <c r="B765" s="12"/>
      <c r="C765" s="12"/>
      <c r="D765" s="12"/>
      <c r="E765" s="13"/>
      <c r="F765" s="13"/>
      <c r="G765" s="13"/>
      <c r="H765" s="13"/>
      <c r="I765" s="13"/>
      <c r="J765" s="13"/>
      <c r="K765" s="12"/>
      <c r="L765" s="13"/>
      <c r="M765" s="13"/>
      <c r="N765" s="13"/>
      <c r="O765" s="13"/>
      <c r="P765" s="13"/>
      <c r="Q765" s="13"/>
      <c r="R765" s="13"/>
      <c r="S765" s="13"/>
      <c r="T765" s="13"/>
      <c r="U765" s="12"/>
      <c r="V765" s="12"/>
      <c r="W765" s="13"/>
      <c r="X765" s="13"/>
      <c r="Y765" s="13"/>
      <c r="Z765" s="13"/>
      <c r="AA765" s="13"/>
      <c r="AB765" s="13"/>
      <c r="AC765" s="12"/>
      <c r="AD765" s="13"/>
      <c r="AE765" s="13"/>
    </row>
    <row r="766" ht="15.75" customHeight="1">
      <c r="A766" s="12"/>
      <c r="B766" s="12"/>
      <c r="C766" s="12"/>
      <c r="D766" s="12"/>
      <c r="E766" s="13"/>
      <c r="F766" s="13"/>
      <c r="G766" s="13"/>
      <c r="H766" s="13"/>
      <c r="I766" s="13"/>
      <c r="J766" s="13"/>
      <c r="K766" s="12"/>
      <c r="L766" s="13"/>
      <c r="M766" s="13"/>
      <c r="N766" s="13"/>
      <c r="O766" s="13"/>
      <c r="P766" s="13"/>
      <c r="Q766" s="13"/>
      <c r="R766" s="13"/>
      <c r="S766" s="13"/>
      <c r="T766" s="13"/>
      <c r="U766" s="12"/>
      <c r="V766" s="12"/>
      <c r="W766" s="13"/>
      <c r="X766" s="13"/>
      <c r="Y766" s="13"/>
      <c r="Z766" s="13"/>
      <c r="AA766" s="13"/>
      <c r="AB766" s="13"/>
      <c r="AC766" s="12"/>
      <c r="AD766" s="13"/>
      <c r="AE766" s="13"/>
    </row>
    <row r="767" ht="15.75" customHeight="1">
      <c r="A767" s="12"/>
      <c r="B767" s="12"/>
      <c r="C767" s="12"/>
      <c r="D767" s="12"/>
      <c r="E767" s="13"/>
      <c r="F767" s="13"/>
      <c r="G767" s="13"/>
      <c r="H767" s="13"/>
      <c r="I767" s="13"/>
      <c r="J767" s="13"/>
      <c r="K767" s="12"/>
      <c r="L767" s="13"/>
      <c r="M767" s="13"/>
      <c r="N767" s="13"/>
      <c r="O767" s="13"/>
      <c r="P767" s="13"/>
      <c r="Q767" s="13"/>
      <c r="R767" s="13"/>
      <c r="S767" s="13"/>
      <c r="T767" s="13"/>
      <c r="U767" s="12"/>
      <c r="V767" s="12"/>
      <c r="W767" s="13"/>
      <c r="X767" s="13"/>
      <c r="Y767" s="13"/>
      <c r="Z767" s="13"/>
      <c r="AA767" s="13"/>
      <c r="AB767" s="13"/>
      <c r="AC767" s="12"/>
      <c r="AD767" s="13"/>
      <c r="AE767" s="13"/>
    </row>
    <row r="768" ht="15.75" customHeight="1">
      <c r="A768" s="12"/>
      <c r="B768" s="12"/>
      <c r="C768" s="12"/>
      <c r="D768" s="12"/>
      <c r="E768" s="13"/>
      <c r="F768" s="13"/>
      <c r="G768" s="13"/>
      <c r="H768" s="13"/>
      <c r="I768" s="13"/>
      <c r="J768" s="13"/>
      <c r="K768" s="12"/>
      <c r="L768" s="13"/>
      <c r="M768" s="13"/>
      <c r="N768" s="13"/>
      <c r="O768" s="13"/>
      <c r="P768" s="13"/>
      <c r="Q768" s="13"/>
      <c r="R768" s="13"/>
      <c r="S768" s="13"/>
      <c r="T768" s="13"/>
      <c r="U768" s="12"/>
      <c r="V768" s="12"/>
      <c r="W768" s="13"/>
      <c r="X768" s="13"/>
      <c r="Y768" s="13"/>
      <c r="Z768" s="13"/>
      <c r="AA768" s="13"/>
      <c r="AB768" s="13"/>
      <c r="AC768" s="12"/>
      <c r="AD768" s="13"/>
      <c r="AE768" s="13"/>
    </row>
    <row r="769" ht="15.75" customHeight="1">
      <c r="A769" s="12"/>
      <c r="B769" s="12"/>
      <c r="C769" s="12"/>
      <c r="D769" s="12"/>
      <c r="E769" s="13"/>
      <c r="F769" s="13"/>
      <c r="G769" s="13"/>
      <c r="H769" s="13"/>
      <c r="I769" s="13"/>
      <c r="J769" s="13"/>
      <c r="K769" s="12"/>
      <c r="L769" s="13"/>
      <c r="M769" s="13"/>
      <c r="N769" s="13"/>
      <c r="O769" s="13"/>
      <c r="P769" s="13"/>
      <c r="Q769" s="13"/>
      <c r="R769" s="13"/>
      <c r="S769" s="13"/>
      <c r="T769" s="13"/>
      <c r="U769" s="12"/>
      <c r="V769" s="12"/>
      <c r="W769" s="13"/>
      <c r="X769" s="13"/>
      <c r="Y769" s="13"/>
      <c r="Z769" s="13"/>
      <c r="AA769" s="13"/>
      <c r="AB769" s="13"/>
      <c r="AC769" s="12"/>
      <c r="AD769" s="13"/>
      <c r="AE769" s="13"/>
    </row>
    <row r="770" ht="15.75" customHeight="1">
      <c r="A770" s="12"/>
      <c r="B770" s="12"/>
      <c r="C770" s="12"/>
      <c r="D770" s="12"/>
      <c r="E770" s="13"/>
      <c r="F770" s="13"/>
      <c r="G770" s="13"/>
      <c r="H770" s="13"/>
      <c r="I770" s="13"/>
      <c r="J770" s="13"/>
      <c r="K770" s="12"/>
      <c r="L770" s="13"/>
      <c r="M770" s="13"/>
      <c r="N770" s="13"/>
      <c r="O770" s="13"/>
      <c r="P770" s="13"/>
      <c r="Q770" s="13"/>
      <c r="R770" s="13"/>
      <c r="S770" s="13"/>
      <c r="T770" s="13"/>
      <c r="U770" s="12"/>
      <c r="V770" s="12"/>
      <c r="W770" s="13"/>
      <c r="X770" s="13"/>
      <c r="Y770" s="13"/>
      <c r="Z770" s="13"/>
      <c r="AA770" s="13"/>
      <c r="AB770" s="13"/>
      <c r="AC770" s="12"/>
      <c r="AD770" s="13"/>
      <c r="AE770" s="13"/>
    </row>
    <row r="771" ht="15.75" customHeight="1">
      <c r="A771" s="12"/>
      <c r="B771" s="12"/>
      <c r="C771" s="12"/>
      <c r="D771" s="12"/>
      <c r="E771" s="13"/>
      <c r="F771" s="13"/>
      <c r="G771" s="13"/>
      <c r="H771" s="13"/>
      <c r="I771" s="13"/>
      <c r="J771" s="13"/>
      <c r="K771" s="12"/>
      <c r="L771" s="13"/>
      <c r="M771" s="13"/>
      <c r="N771" s="13"/>
      <c r="O771" s="13"/>
      <c r="P771" s="13"/>
      <c r="Q771" s="13"/>
      <c r="R771" s="13"/>
      <c r="S771" s="13"/>
      <c r="T771" s="13"/>
      <c r="U771" s="12"/>
      <c r="V771" s="12"/>
      <c r="W771" s="13"/>
      <c r="X771" s="13"/>
      <c r="Y771" s="13"/>
      <c r="Z771" s="13"/>
      <c r="AA771" s="13"/>
      <c r="AB771" s="13"/>
      <c r="AC771" s="12"/>
      <c r="AD771" s="13"/>
      <c r="AE771" s="13"/>
    </row>
    <row r="772" ht="15.75" customHeight="1">
      <c r="A772" s="12"/>
      <c r="B772" s="12"/>
      <c r="C772" s="12"/>
      <c r="D772" s="12"/>
      <c r="E772" s="13"/>
      <c r="F772" s="13"/>
      <c r="G772" s="13"/>
      <c r="H772" s="13"/>
      <c r="I772" s="13"/>
      <c r="J772" s="13"/>
      <c r="K772" s="12"/>
      <c r="L772" s="13"/>
      <c r="M772" s="13"/>
      <c r="N772" s="13"/>
      <c r="O772" s="13"/>
      <c r="P772" s="13"/>
      <c r="Q772" s="13"/>
      <c r="R772" s="13"/>
      <c r="S772" s="13"/>
      <c r="T772" s="13"/>
      <c r="U772" s="12"/>
      <c r="V772" s="12"/>
      <c r="W772" s="13"/>
      <c r="X772" s="13"/>
      <c r="Y772" s="13"/>
      <c r="Z772" s="13"/>
      <c r="AA772" s="13"/>
      <c r="AB772" s="13"/>
      <c r="AC772" s="12"/>
      <c r="AD772" s="13"/>
      <c r="AE772" s="13"/>
    </row>
    <row r="773" ht="15.75" customHeight="1">
      <c r="A773" s="12"/>
      <c r="B773" s="12"/>
      <c r="C773" s="12"/>
      <c r="D773" s="12"/>
      <c r="E773" s="13"/>
      <c r="F773" s="13"/>
      <c r="G773" s="13"/>
      <c r="H773" s="13"/>
      <c r="I773" s="13"/>
      <c r="J773" s="13"/>
      <c r="K773" s="12"/>
      <c r="L773" s="13"/>
      <c r="M773" s="13"/>
      <c r="N773" s="13"/>
      <c r="O773" s="13"/>
      <c r="P773" s="13"/>
      <c r="Q773" s="13"/>
      <c r="R773" s="13"/>
      <c r="S773" s="13"/>
      <c r="T773" s="13"/>
      <c r="U773" s="12"/>
      <c r="V773" s="12"/>
      <c r="W773" s="13"/>
      <c r="X773" s="13"/>
      <c r="Y773" s="13"/>
      <c r="Z773" s="13"/>
      <c r="AA773" s="13"/>
      <c r="AB773" s="13"/>
      <c r="AC773" s="12"/>
      <c r="AD773" s="13"/>
      <c r="AE773" s="13"/>
    </row>
    <row r="774" ht="15.75" customHeight="1">
      <c r="A774" s="12"/>
      <c r="B774" s="12"/>
      <c r="C774" s="12"/>
      <c r="D774" s="12"/>
      <c r="E774" s="13"/>
      <c r="F774" s="13"/>
      <c r="G774" s="13"/>
      <c r="H774" s="13"/>
      <c r="I774" s="13"/>
      <c r="J774" s="13"/>
      <c r="K774" s="12"/>
      <c r="L774" s="13"/>
      <c r="M774" s="13"/>
      <c r="N774" s="13"/>
      <c r="O774" s="13"/>
      <c r="P774" s="13"/>
      <c r="Q774" s="13"/>
      <c r="R774" s="13"/>
      <c r="S774" s="13"/>
      <c r="T774" s="13"/>
      <c r="U774" s="12"/>
      <c r="V774" s="12"/>
      <c r="W774" s="13"/>
      <c r="X774" s="13"/>
      <c r="Y774" s="13"/>
      <c r="Z774" s="13"/>
      <c r="AA774" s="13"/>
      <c r="AB774" s="13"/>
      <c r="AC774" s="12"/>
      <c r="AD774" s="13"/>
      <c r="AE774" s="13"/>
    </row>
    <row r="775" ht="15.75" customHeight="1">
      <c r="A775" s="12"/>
      <c r="B775" s="12"/>
      <c r="C775" s="12"/>
      <c r="D775" s="12"/>
      <c r="E775" s="13"/>
      <c r="F775" s="13"/>
      <c r="G775" s="13"/>
      <c r="H775" s="13"/>
      <c r="I775" s="13"/>
      <c r="J775" s="13"/>
      <c r="K775" s="12"/>
      <c r="L775" s="13"/>
      <c r="M775" s="13"/>
      <c r="N775" s="13"/>
      <c r="O775" s="13"/>
      <c r="P775" s="13"/>
      <c r="Q775" s="13"/>
      <c r="R775" s="13"/>
      <c r="S775" s="13"/>
      <c r="T775" s="13"/>
      <c r="U775" s="12"/>
      <c r="V775" s="12"/>
      <c r="W775" s="13"/>
      <c r="X775" s="13"/>
      <c r="Y775" s="13"/>
      <c r="Z775" s="13"/>
      <c r="AA775" s="13"/>
      <c r="AB775" s="13"/>
      <c r="AC775" s="12"/>
      <c r="AD775" s="13"/>
      <c r="AE775" s="13"/>
    </row>
    <row r="776" ht="15.75" customHeight="1">
      <c r="A776" s="12"/>
      <c r="B776" s="12"/>
      <c r="C776" s="12"/>
      <c r="D776" s="12"/>
      <c r="E776" s="13"/>
      <c r="F776" s="13"/>
      <c r="G776" s="13"/>
      <c r="H776" s="13"/>
      <c r="I776" s="13"/>
      <c r="J776" s="13"/>
      <c r="K776" s="12"/>
      <c r="L776" s="13"/>
      <c r="M776" s="13"/>
      <c r="N776" s="13"/>
      <c r="O776" s="13"/>
      <c r="P776" s="13"/>
      <c r="Q776" s="13"/>
      <c r="R776" s="13"/>
      <c r="S776" s="13"/>
      <c r="T776" s="13"/>
      <c r="U776" s="12"/>
      <c r="V776" s="12"/>
      <c r="W776" s="13"/>
      <c r="X776" s="13"/>
      <c r="Y776" s="13"/>
      <c r="Z776" s="13"/>
      <c r="AA776" s="13"/>
      <c r="AB776" s="13"/>
      <c r="AC776" s="12"/>
      <c r="AD776" s="13"/>
      <c r="AE776" s="13"/>
    </row>
    <row r="777" ht="15.75" customHeight="1">
      <c r="A777" s="12"/>
      <c r="B777" s="12"/>
      <c r="C777" s="12"/>
      <c r="D777" s="12"/>
      <c r="E777" s="13"/>
      <c r="F777" s="13"/>
      <c r="G777" s="13"/>
      <c r="H777" s="13"/>
      <c r="I777" s="13"/>
      <c r="J777" s="13"/>
      <c r="K777" s="12"/>
      <c r="L777" s="13"/>
      <c r="M777" s="13"/>
      <c r="N777" s="13"/>
      <c r="O777" s="13"/>
      <c r="P777" s="13"/>
      <c r="Q777" s="13"/>
      <c r="R777" s="13"/>
      <c r="S777" s="13"/>
      <c r="T777" s="13"/>
      <c r="U777" s="12"/>
      <c r="V777" s="12"/>
      <c r="W777" s="13"/>
      <c r="X777" s="13"/>
      <c r="Y777" s="13"/>
      <c r="Z777" s="13"/>
      <c r="AA777" s="13"/>
      <c r="AB777" s="13"/>
      <c r="AC777" s="12"/>
      <c r="AD777" s="13"/>
      <c r="AE777" s="13"/>
    </row>
    <row r="778" ht="15.75" customHeight="1">
      <c r="A778" s="12"/>
      <c r="B778" s="12"/>
      <c r="C778" s="12"/>
      <c r="D778" s="12"/>
      <c r="E778" s="13"/>
      <c r="F778" s="13"/>
      <c r="G778" s="13"/>
      <c r="H778" s="13"/>
      <c r="I778" s="13"/>
      <c r="J778" s="13"/>
      <c r="K778" s="12"/>
      <c r="L778" s="13"/>
      <c r="M778" s="13"/>
      <c r="N778" s="13"/>
      <c r="O778" s="13"/>
      <c r="P778" s="13"/>
      <c r="Q778" s="13"/>
      <c r="R778" s="13"/>
      <c r="S778" s="13"/>
      <c r="T778" s="13"/>
      <c r="U778" s="12"/>
      <c r="V778" s="12"/>
      <c r="W778" s="13"/>
      <c r="X778" s="13"/>
      <c r="Y778" s="13"/>
      <c r="Z778" s="13"/>
      <c r="AA778" s="13"/>
      <c r="AB778" s="13"/>
      <c r="AC778" s="12"/>
      <c r="AD778" s="13"/>
      <c r="AE778" s="13"/>
    </row>
    <row r="779" ht="15.75" customHeight="1">
      <c r="A779" s="12"/>
      <c r="B779" s="12"/>
      <c r="C779" s="12"/>
      <c r="D779" s="12"/>
      <c r="E779" s="13"/>
      <c r="F779" s="13"/>
      <c r="G779" s="13"/>
      <c r="H779" s="13"/>
      <c r="I779" s="13"/>
      <c r="J779" s="13"/>
      <c r="K779" s="12"/>
      <c r="L779" s="13"/>
      <c r="M779" s="13"/>
      <c r="N779" s="13"/>
      <c r="O779" s="13"/>
      <c r="P779" s="13"/>
      <c r="Q779" s="13"/>
      <c r="R779" s="13"/>
      <c r="S779" s="13"/>
      <c r="T779" s="13"/>
      <c r="U779" s="12"/>
      <c r="V779" s="12"/>
      <c r="W779" s="13"/>
      <c r="X779" s="13"/>
      <c r="Y779" s="13"/>
      <c r="Z779" s="13"/>
      <c r="AA779" s="13"/>
      <c r="AB779" s="13"/>
      <c r="AC779" s="12"/>
      <c r="AD779" s="13"/>
      <c r="AE779" s="13"/>
    </row>
    <row r="780" ht="15.75" customHeight="1">
      <c r="A780" s="12"/>
      <c r="B780" s="12"/>
      <c r="C780" s="12"/>
      <c r="D780" s="12"/>
      <c r="E780" s="13"/>
      <c r="F780" s="13"/>
      <c r="G780" s="13"/>
      <c r="H780" s="13"/>
      <c r="I780" s="13"/>
      <c r="J780" s="13"/>
      <c r="K780" s="12"/>
      <c r="L780" s="13"/>
      <c r="M780" s="13"/>
      <c r="N780" s="13"/>
      <c r="O780" s="13"/>
      <c r="P780" s="13"/>
      <c r="Q780" s="13"/>
      <c r="R780" s="13"/>
      <c r="S780" s="13"/>
      <c r="T780" s="13"/>
      <c r="U780" s="12"/>
      <c r="V780" s="12"/>
      <c r="W780" s="13"/>
      <c r="X780" s="13"/>
      <c r="Y780" s="13"/>
      <c r="Z780" s="13"/>
      <c r="AA780" s="13"/>
      <c r="AB780" s="13"/>
      <c r="AC780" s="12"/>
      <c r="AD780" s="13"/>
      <c r="AE780" s="13"/>
    </row>
    <row r="781" ht="15.75" customHeight="1">
      <c r="A781" s="12"/>
      <c r="B781" s="12"/>
      <c r="C781" s="12"/>
      <c r="D781" s="12"/>
      <c r="E781" s="13"/>
      <c r="F781" s="13"/>
      <c r="G781" s="13"/>
      <c r="H781" s="13"/>
      <c r="I781" s="13"/>
      <c r="J781" s="13"/>
      <c r="K781" s="12"/>
      <c r="L781" s="13"/>
      <c r="M781" s="13"/>
      <c r="N781" s="13"/>
      <c r="O781" s="13"/>
      <c r="P781" s="13"/>
      <c r="Q781" s="13"/>
      <c r="R781" s="13"/>
      <c r="S781" s="13"/>
      <c r="T781" s="13"/>
      <c r="U781" s="12"/>
      <c r="V781" s="12"/>
      <c r="W781" s="13"/>
      <c r="X781" s="13"/>
      <c r="Y781" s="13"/>
      <c r="Z781" s="13"/>
      <c r="AA781" s="13"/>
      <c r="AB781" s="13"/>
      <c r="AC781" s="12"/>
      <c r="AD781" s="13"/>
      <c r="AE781" s="13"/>
    </row>
    <row r="782" ht="15.75" customHeight="1">
      <c r="A782" s="12"/>
      <c r="B782" s="12"/>
      <c r="C782" s="12"/>
      <c r="D782" s="12"/>
      <c r="E782" s="13"/>
      <c r="F782" s="13"/>
      <c r="G782" s="13"/>
      <c r="H782" s="13"/>
      <c r="I782" s="13"/>
      <c r="J782" s="13"/>
      <c r="K782" s="12"/>
      <c r="L782" s="13"/>
      <c r="M782" s="13"/>
      <c r="N782" s="13"/>
      <c r="O782" s="13"/>
      <c r="P782" s="13"/>
      <c r="Q782" s="13"/>
      <c r="R782" s="13"/>
      <c r="S782" s="13"/>
      <c r="T782" s="13"/>
      <c r="U782" s="12"/>
      <c r="V782" s="12"/>
      <c r="W782" s="13"/>
      <c r="X782" s="13"/>
      <c r="Y782" s="13"/>
      <c r="Z782" s="13"/>
      <c r="AA782" s="13"/>
      <c r="AB782" s="13"/>
      <c r="AC782" s="12"/>
      <c r="AD782" s="13"/>
      <c r="AE782" s="13"/>
    </row>
    <row r="783" ht="15.75" customHeight="1">
      <c r="A783" s="12"/>
      <c r="B783" s="12"/>
      <c r="C783" s="12"/>
      <c r="D783" s="12"/>
      <c r="E783" s="13"/>
      <c r="F783" s="13"/>
      <c r="G783" s="13"/>
      <c r="H783" s="13"/>
      <c r="I783" s="13"/>
      <c r="J783" s="13"/>
      <c r="K783" s="12"/>
      <c r="L783" s="13"/>
      <c r="M783" s="13"/>
      <c r="N783" s="13"/>
      <c r="O783" s="13"/>
      <c r="P783" s="13"/>
      <c r="Q783" s="13"/>
      <c r="R783" s="13"/>
      <c r="S783" s="13"/>
      <c r="T783" s="13"/>
      <c r="U783" s="12"/>
      <c r="V783" s="12"/>
      <c r="W783" s="13"/>
      <c r="X783" s="13"/>
      <c r="Y783" s="13"/>
      <c r="Z783" s="13"/>
      <c r="AA783" s="13"/>
      <c r="AB783" s="13"/>
      <c r="AC783" s="12"/>
      <c r="AD783" s="13"/>
      <c r="AE783" s="13"/>
    </row>
    <row r="784" ht="15.75" customHeight="1">
      <c r="A784" s="12"/>
      <c r="B784" s="12"/>
      <c r="C784" s="12"/>
      <c r="D784" s="12"/>
      <c r="E784" s="13"/>
      <c r="F784" s="13"/>
      <c r="G784" s="13"/>
      <c r="H784" s="13"/>
      <c r="I784" s="13"/>
      <c r="J784" s="13"/>
      <c r="K784" s="12"/>
      <c r="L784" s="13"/>
      <c r="M784" s="13"/>
      <c r="N784" s="13"/>
      <c r="O784" s="13"/>
      <c r="P784" s="13"/>
      <c r="Q784" s="13"/>
      <c r="R784" s="13"/>
      <c r="S784" s="13"/>
      <c r="T784" s="13"/>
      <c r="U784" s="12"/>
      <c r="V784" s="12"/>
      <c r="W784" s="13"/>
      <c r="X784" s="13"/>
      <c r="Y784" s="13"/>
      <c r="Z784" s="13"/>
      <c r="AA784" s="13"/>
      <c r="AB784" s="13"/>
      <c r="AC784" s="12"/>
      <c r="AD784" s="13"/>
      <c r="AE784" s="13"/>
    </row>
    <row r="785" ht="15.75" customHeight="1">
      <c r="A785" s="12"/>
      <c r="B785" s="12"/>
      <c r="C785" s="12"/>
      <c r="D785" s="12"/>
      <c r="E785" s="13"/>
      <c r="F785" s="13"/>
      <c r="G785" s="13"/>
      <c r="H785" s="13"/>
      <c r="I785" s="13"/>
      <c r="J785" s="13"/>
      <c r="K785" s="12"/>
      <c r="L785" s="13"/>
      <c r="M785" s="13"/>
      <c r="N785" s="13"/>
      <c r="O785" s="13"/>
      <c r="P785" s="13"/>
      <c r="Q785" s="13"/>
      <c r="R785" s="13"/>
      <c r="S785" s="13"/>
      <c r="T785" s="13"/>
      <c r="U785" s="12"/>
      <c r="V785" s="12"/>
      <c r="W785" s="13"/>
      <c r="X785" s="13"/>
      <c r="Y785" s="13"/>
      <c r="Z785" s="13"/>
      <c r="AA785" s="13"/>
      <c r="AB785" s="13"/>
      <c r="AC785" s="12"/>
      <c r="AD785" s="13"/>
      <c r="AE785" s="13"/>
    </row>
    <row r="786" ht="15.75" customHeight="1">
      <c r="A786" s="12"/>
      <c r="B786" s="12"/>
      <c r="C786" s="12"/>
      <c r="D786" s="12"/>
      <c r="E786" s="13"/>
      <c r="F786" s="13"/>
      <c r="G786" s="13"/>
      <c r="H786" s="13"/>
      <c r="I786" s="13"/>
      <c r="J786" s="13"/>
      <c r="K786" s="12"/>
      <c r="L786" s="13"/>
      <c r="M786" s="13"/>
      <c r="N786" s="13"/>
      <c r="O786" s="13"/>
      <c r="P786" s="13"/>
      <c r="Q786" s="13"/>
      <c r="R786" s="13"/>
      <c r="S786" s="13"/>
      <c r="T786" s="13"/>
      <c r="U786" s="12"/>
      <c r="V786" s="12"/>
      <c r="W786" s="13"/>
      <c r="X786" s="13"/>
      <c r="Y786" s="13"/>
      <c r="Z786" s="13"/>
      <c r="AA786" s="13"/>
      <c r="AB786" s="13"/>
      <c r="AC786" s="12"/>
      <c r="AD786" s="13"/>
      <c r="AE786" s="13"/>
    </row>
    <row r="787" ht="15.75" customHeight="1">
      <c r="A787" s="12"/>
      <c r="B787" s="12"/>
      <c r="C787" s="12"/>
      <c r="D787" s="12"/>
      <c r="E787" s="13"/>
      <c r="F787" s="13"/>
      <c r="G787" s="13"/>
      <c r="H787" s="13"/>
      <c r="I787" s="13"/>
      <c r="J787" s="13"/>
      <c r="K787" s="12"/>
      <c r="L787" s="13"/>
      <c r="M787" s="13"/>
      <c r="N787" s="13"/>
      <c r="O787" s="13"/>
      <c r="P787" s="13"/>
      <c r="Q787" s="13"/>
      <c r="R787" s="13"/>
      <c r="S787" s="13"/>
      <c r="T787" s="13"/>
      <c r="U787" s="12"/>
      <c r="V787" s="12"/>
      <c r="W787" s="13"/>
      <c r="X787" s="13"/>
      <c r="Y787" s="13"/>
      <c r="Z787" s="13"/>
      <c r="AA787" s="13"/>
      <c r="AB787" s="13"/>
      <c r="AC787" s="12"/>
      <c r="AD787" s="13"/>
      <c r="AE787" s="13"/>
    </row>
    <row r="788" ht="15.75" customHeight="1">
      <c r="A788" s="12"/>
      <c r="B788" s="12"/>
      <c r="C788" s="12"/>
      <c r="D788" s="12"/>
      <c r="E788" s="13"/>
      <c r="F788" s="13"/>
      <c r="G788" s="13"/>
      <c r="H788" s="13"/>
      <c r="I788" s="13"/>
      <c r="J788" s="13"/>
      <c r="K788" s="12"/>
      <c r="L788" s="13"/>
      <c r="M788" s="13"/>
      <c r="N788" s="13"/>
      <c r="O788" s="13"/>
      <c r="P788" s="13"/>
      <c r="Q788" s="13"/>
      <c r="R788" s="13"/>
      <c r="S788" s="13"/>
      <c r="T788" s="13"/>
      <c r="U788" s="12"/>
      <c r="V788" s="12"/>
      <c r="W788" s="13"/>
      <c r="X788" s="13"/>
      <c r="Y788" s="13"/>
      <c r="Z788" s="13"/>
      <c r="AA788" s="13"/>
      <c r="AB788" s="13"/>
      <c r="AC788" s="12"/>
      <c r="AD788" s="13"/>
      <c r="AE788" s="13"/>
    </row>
    <row r="789" ht="15.75" customHeight="1">
      <c r="A789" s="12"/>
      <c r="B789" s="12"/>
      <c r="C789" s="12"/>
      <c r="D789" s="12"/>
      <c r="E789" s="13"/>
      <c r="F789" s="13"/>
      <c r="G789" s="13"/>
      <c r="H789" s="13"/>
      <c r="I789" s="13"/>
      <c r="J789" s="13"/>
      <c r="K789" s="12"/>
      <c r="L789" s="13"/>
      <c r="M789" s="13"/>
      <c r="N789" s="13"/>
      <c r="O789" s="13"/>
      <c r="P789" s="13"/>
      <c r="Q789" s="13"/>
      <c r="R789" s="13"/>
      <c r="S789" s="13"/>
      <c r="T789" s="13"/>
      <c r="U789" s="12"/>
      <c r="V789" s="12"/>
      <c r="W789" s="13"/>
      <c r="X789" s="13"/>
      <c r="Y789" s="13"/>
      <c r="Z789" s="13"/>
      <c r="AA789" s="13"/>
      <c r="AB789" s="13"/>
      <c r="AC789" s="12"/>
      <c r="AD789" s="13"/>
      <c r="AE789" s="13"/>
    </row>
    <row r="790" ht="15.75" customHeight="1">
      <c r="A790" s="12"/>
      <c r="B790" s="12"/>
      <c r="C790" s="12"/>
      <c r="D790" s="12"/>
      <c r="E790" s="13"/>
      <c r="F790" s="13"/>
      <c r="G790" s="13"/>
      <c r="H790" s="13"/>
      <c r="I790" s="13"/>
      <c r="J790" s="13"/>
      <c r="K790" s="12"/>
      <c r="L790" s="13"/>
      <c r="M790" s="13"/>
      <c r="N790" s="13"/>
      <c r="O790" s="13"/>
      <c r="P790" s="13"/>
      <c r="Q790" s="13"/>
      <c r="R790" s="13"/>
      <c r="S790" s="13"/>
      <c r="T790" s="13"/>
      <c r="U790" s="12"/>
      <c r="V790" s="12"/>
      <c r="W790" s="13"/>
      <c r="X790" s="13"/>
      <c r="Y790" s="13"/>
      <c r="Z790" s="13"/>
      <c r="AA790" s="13"/>
      <c r="AB790" s="13"/>
      <c r="AC790" s="12"/>
      <c r="AD790" s="13"/>
      <c r="AE790" s="13"/>
    </row>
    <row r="791" ht="15.75" customHeight="1">
      <c r="A791" s="12"/>
      <c r="B791" s="12"/>
      <c r="C791" s="12"/>
      <c r="D791" s="12"/>
      <c r="E791" s="13"/>
      <c r="F791" s="13"/>
      <c r="G791" s="13"/>
      <c r="H791" s="13"/>
      <c r="I791" s="13"/>
      <c r="J791" s="13"/>
      <c r="K791" s="12"/>
      <c r="L791" s="13"/>
      <c r="M791" s="13"/>
      <c r="N791" s="13"/>
      <c r="O791" s="13"/>
      <c r="P791" s="13"/>
      <c r="Q791" s="13"/>
      <c r="R791" s="13"/>
      <c r="S791" s="13"/>
      <c r="T791" s="13"/>
      <c r="U791" s="12"/>
      <c r="V791" s="12"/>
      <c r="W791" s="13"/>
      <c r="X791" s="13"/>
      <c r="Y791" s="13"/>
      <c r="Z791" s="13"/>
      <c r="AA791" s="13"/>
      <c r="AB791" s="13"/>
      <c r="AC791" s="12"/>
      <c r="AD791" s="13"/>
      <c r="AE791" s="13"/>
    </row>
    <row r="792" ht="15.75" customHeight="1">
      <c r="A792" s="12"/>
      <c r="B792" s="12"/>
      <c r="C792" s="12"/>
      <c r="D792" s="12"/>
      <c r="E792" s="13"/>
      <c r="F792" s="13"/>
      <c r="G792" s="13"/>
      <c r="H792" s="13"/>
      <c r="I792" s="13"/>
      <c r="J792" s="13"/>
      <c r="K792" s="12"/>
      <c r="L792" s="13"/>
      <c r="M792" s="13"/>
      <c r="N792" s="13"/>
      <c r="O792" s="13"/>
      <c r="P792" s="13"/>
      <c r="Q792" s="13"/>
      <c r="R792" s="13"/>
      <c r="S792" s="13"/>
      <c r="T792" s="13"/>
      <c r="U792" s="12"/>
      <c r="V792" s="12"/>
      <c r="W792" s="13"/>
      <c r="X792" s="13"/>
      <c r="Y792" s="13"/>
      <c r="Z792" s="13"/>
      <c r="AA792" s="13"/>
      <c r="AB792" s="13"/>
      <c r="AC792" s="12"/>
      <c r="AD792" s="13"/>
      <c r="AE792" s="13"/>
    </row>
    <row r="793" ht="15.75" customHeight="1">
      <c r="A793" s="12"/>
      <c r="B793" s="12"/>
      <c r="C793" s="12"/>
      <c r="D793" s="12"/>
      <c r="E793" s="13"/>
      <c r="F793" s="13"/>
      <c r="G793" s="13"/>
      <c r="H793" s="13"/>
      <c r="I793" s="13"/>
      <c r="J793" s="13"/>
      <c r="K793" s="12"/>
      <c r="L793" s="13"/>
      <c r="M793" s="13"/>
      <c r="N793" s="13"/>
      <c r="O793" s="13"/>
      <c r="P793" s="13"/>
      <c r="Q793" s="13"/>
      <c r="R793" s="13"/>
      <c r="S793" s="13"/>
      <c r="T793" s="13"/>
      <c r="U793" s="12"/>
      <c r="V793" s="12"/>
      <c r="W793" s="13"/>
      <c r="X793" s="13"/>
      <c r="Y793" s="13"/>
      <c r="Z793" s="13"/>
      <c r="AA793" s="13"/>
      <c r="AB793" s="13"/>
      <c r="AC793" s="12"/>
      <c r="AD793" s="13"/>
      <c r="AE793" s="13"/>
    </row>
    <row r="794" ht="15.75" customHeight="1">
      <c r="A794" s="12"/>
      <c r="B794" s="12"/>
      <c r="C794" s="12"/>
      <c r="D794" s="12"/>
      <c r="E794" s="13"/>
      <c r="F794" s="13"/>
      <c r="G794" s="13"/>
      <c r="H794" s="13"/>
      <c r="I794" s="13"/>
      <c r="J794" s="13"/>
      <c r="K794" s="12"/>
      <c r="L794" s="13"/>
      <c r="M794" s="13"/>
      <c r="N794" s="13"/>
      <c r="O794" s="13"/>
      <c r="P794" s="13"/>
      <c r="Q794" s="13"/>
      <c r="R794" s="13"/>
      <c r="S794" s="13"/>
      <c r="T794" s="13"/>
      <c r="U794" s="12"/>
      <c r="V794" s="12"/>
      <c r="W794" s="13"/>
      <c r="X794" s="13"/>
      <c r="Y794" s="13"/>
      <c r="Z794" s="13"/>
      <c r="AA794" s="13"/>
      <c r="AB794" s="13"/>
      <c r="AC794" s="12"/>
      <c r="AD794" s="13"/>
      <c r="AE794" s="13"/>
    </row>
    <row r="795" ht="15.75" customHeight="1">
      <c r="A795" s="12"/>
      <c r="B795" s="12"/>
      <c r="C795" s="12"/>
      <c r="D795" s="12"/>
      <c r="E795" s="13"/>
      <c r="F795" s="13"/>
      <c r="G795" s="13"/>
      <c r="H795" s="13"/>
      <c r="I795" s="13"/>
      <c r="J795" s="13"/>
      <c r="K795" s="12"/>
      <c r="L795" s="13"/>
      <c r="M795" s="13"/>
      <c r="N795" s="13"/>
      <c r="O795" s="13"/>
      <c r="P795" s="13"/>
      <c r="Q795" s="13"/>
      <c r="R795" s="13"/>
      <c r="S795" s="13"/>
      <c r="T795" s="13"/>
      <c r="U795" s="12"/>
      <c r="V795" s="12"/>
      <c r="W795" s="13"/>
      <c r="X795" s="13"/>
      <c r="Y795" s="13"/>
      <c r="Z795" s="13"/>
      <c r="AA795" s="13"/>
      <c r="AB795" s="13"/>
      <c r="AC795" s="12"/>
      <c r="AD795" s="13"/>
      <c r="AE795" s="13"/>
    </row>
    <row r="796" ht="15.75" customHeight="1">
      <c r="A796" s="12"/>
      <c r="B796" s="12"/>
      <c r="C796" s="12"/>
      <c r="D796" s="12"/>
      <c r="E796" s="13"/>
      <c r="F796" s="13"/>
      <c r="G796" s="13"/>
      <c r="H796" s="13"/>
      <c r="I796" s="13"/>
      <c r="J796" s="13"/>
      <c r="K796" s="12"/>
      <c r="L796" s="13"/>
      <c r="M796" s="13"/>
      <c r="N796" s="13"/>
      <c r="O796" s="13"/>
      <c r="P796" s="13"/>
      <c r="Q796" s="13"/>
      <c r="R796" s="13"/>
      <c r="S796" s="13"/>
      <c r="T796" s="13"/>
      <c r="U796" s="12"/>
      <c r="V796" s="12"/>
      <c r="W796" s="13"/>
      <c r="X796" s="13"/>
      <c r="Y796" s="13"/>
      <c r="Z796" s="13"/>
      <c r="AA796" s="13"/>
      <c r="AB796" s="13"/>
      <c r="AC796" s="12"/>
      <c r="AD796" s="13"/>
      <c r="AE796" s="13"/>
    </row>
    <row r="797" ht="15.75" customHeight="1">
      <c r="A797" s="12"/>
      <c r="B797" s="12"/>
      <c r="C797" s="12"/>
      <c r="D797" s="12"/>
      <c r="E797" s="13"/>
      <c r="F797" s="13"/>
      <c r="G797" s="13"/>
      <c r="H797" s="13"/>
      <c r="I797" s="13"/>
      <c r="J797" s="13"/>
      <c r="K797" s="12"/>
      <c r="L797" s="13"/>
      <c r="M797" s="13"/>
      <c r="N797" s="13"/>
      <c r="O797" s="13"/>
      <c r="P797" s="13"/>
      <c r="Q797" s="13"/>
      <c r="R797" s="13"/>
      <c r="S797" s="13"/>
      <c r="T797" s="13"/>
      <c r="U797" s="12"/>
      <c r="V797" s="12"/>
      <c r="W797" s="13"/>
      <c r="X797" s="13"/>
      <c r="Y797" s="13"/>
      <c r="Z797" s="13"/>
      <c r="AA797" s="13"/>
      <c r="AB797" s="13"/>
      <c r="AC797" s="12"/>
      <c r="AD797" s="13"/>
      <c r="AE797" s="13"/>
    </row>
    <row r="798" ht="15.75" customHeight="1">
      <c r="A798" s="12"/>
      <c r="B798" s="12"/>
      <c r="C798" s="12"/>
      <c r="D798" s="12"/>
      <c r="E798" s="13"/>
      <c r="F798" s="13"/>
      <c r="G798" s="13"/>
      <c r="H798" s="13"/>
      <c r="I798" s="13"/>
      <c r="J798" s="13"/>
      <c r="K798" s="12"/>
      <c r="L798" s="13"/>
      <c r="M798" s="13"/>
      <c r="N798" s="13"/>
      <c r="O798" s="13"/>
      <c r="P798" s="13"/>
      <c r="Q798" s="13"/>
      <c r="R798" s="13"/>
      <c r="S798" s="13"/>
      <c r="T798" s="13"/>
      <c r="U798" s="12"/>
      <c r="V798" s="12"/>
      <c r="W798" s="13"/>
      <c r="X798" s="13"/>
      <c r="Y798" s="13"/>
      <c r="Z798" s="13"/>
      <c r="AA798" s="13"/>
      <c r="AB798" s="13"/>
      <c r="AC798" s="12"/>
      <c r="AD798" s="13"/>
      <c r="AE798" s="13"/>
    </row>
    <row r="799" ht="15.75" customHeight="1">
      <c r="A799" s="12"/>
      <c r="B799" s="12"/>
      <c r="C799" s="12"/>
      <c r="D799" s="12"/>
      <c r="E799" s="13"/>
      <c r="F799" s="13"/>
      <c r="G799" s="13"/>
      <c r="H799" s="13"/>
      <c r="I799" s="13"/>
      <c r="J799" s="13"/>
      <c r="K799" s="12"/>
      <c r="L799" s="13"/>
      <c r="M799" s="13"/>
      <c r="N799" s="13"/>
      <c r="O799" s="13"/>
      <c r="P799" s="13"/>
      <c r="Q799" s="13"/>
      <c r="R799" s="13"/>
      <c r="S799" s="13"/>
      <c r="T799" s="13"/>
      <c r="U799" s="12"/>
      <c r="V799" s="12"/>
      <c r="W799" s="13"/>
      <c r="X799" s="13"/>
      <c r="Y799" s="13"/>
      <c r="Z799" s="13"/>
      <c r="AA799" s="13"/>
      <c r="AB799" s="13"/>
      <c r="AC799" s="12"/>
      <c r="AD799" s="13"/>
      <c r="AE799" s="13"/>
    </row>
    <row r="800" ht="15.75" customHeight="1">
      <c r="A800" s="12"/>
      <c r="B800" s="12"/>
      <c r="C800" s="12"/>
      <c r="D800" s="12"/>
      <c r="E800" s="13"/>
      <c r="F800" s="13"/>
      <c r="G800" s="13"/>
      <c r="H800" s="13"/>
      <c r="I800" s="13"/>
      <c r="J800" s="13"/>
      <c r="K800" s="12"/>
      <c r="L800" s="13"/>
      <c r="M800" s="13"/>
      <c r="N800" s="13"/>
      <c r="O800" s="13"/>
      <c r="P800" s="13"/>
      <c r="Q800" s="13"/>
      <c r="R800" s="13"/>
      <c r="S800" s="13"/>
      <c r="T800" s="13"/>
      <c r="U800" s="12"/>
      <c r="V800" s="12"/>
      <c r="W800" s="13"/>
      <c r="X800" s="13"/>
      <c r="Y800" s="13"/>
      <c r="Z800" s="13"/>
      <c r="AA800" s="13"/>
      <c r="AB800" s="13"/>
      <c r="AC800" s="12"/>
      <c r="AD800" s="13"/>
      <c r="AE800" s="13"/>
    </row>
    <row r="801" ht="15.75" customHeight="1">
      <c r="A801" s="12"/>
      <c r="B801" s="12"/>
      <c r="C801" s="12"/>
      <c r="D801" s="12"/>
      <c r="E801" s="13"/>
      <c r="F801" s="13"/>
      <c r="G801" s="13"/>
      <c r="H801" s="13"/>
      <c r="I801" s="13"/>
      <c r="J801" s="13"/>
      <c r="K801" s="12"/>
      <c r="L801" s="13"/>
      <c r="M801" s="13"/>
      <c r="N801" s="13"/>
      <c r="O801" s="13"/>
      <c r="P801" s="13"/>
      <c r="Q801" s="13"/>
      <c r="R801" s="13"/>
      <c r="S801" s="13"/>
      <c r="T801" s="13"/>
      <c r="U801" s="12"/>
      <c r="V801" s="12"/>
      <c r="W801" s="13"/>
      <c r="X801" s="13"/>
      <c r="Y801" s="13"/>
      <c r="Z801" s="13"/>
      <c r="AA801" s="13"/>
      <c r="AB801" s="13"/>
      <c r="AC801" s="12"/>
      <c r="AD801" s="13"/>
      <c r="AE801" s="13"/>
    </row>
    <row r="802" ht="15.75" customHeight="1">
      <c r="A802" s="12"/>
      <c r="B802" s="12"/>
      <c r="C802" s="12"/>
      <c r="D802" s="12"/>
      <c r="E802" s="13"/>
      <c r="F802" s="13"/>
      <c r="G802" s="13"/>
      <c r="H802" s="13"/>
      <c r="I802" s="13"/>
      <c r="J802" s="13"/>
      <c r="K802" s="12"/>
      <c r="L802" s="13"/>
      <c r="M802" s="13"/>
      <c r="N802" s="13"/>
      <c r="O802" s="13"/>
      <c r="P802" s="13"/>
      <c r="Q802" s="13"/>
      <c r="R802" s="13"/>
      <c r="S802" s="13"/>
      <c r="T802" s="13"/>
      <c r="U802" s="12"/>
      <c r="V802" s="12"/>
      <c r="W802" s="13"/>
      <c r="X802" s="13"/>
      <c r="Y802" s="13"/>
      <c r="Z802" s="13"/>
      <c r="AA802" s="13"/>
      <c r="AB802" s="13"/>
      <c r="AC802" s="12"/>
      <c r="AD802" s="13"/>
      <c r="AE802" s="13"/>
    </row>
    <row r="803" ht="15.75" customHeight="1">
      <c r="A803" s="12"/>
      <c r="B803" s="12"/>
      <c r="C803" s="12"/>
      <c r="D803" s="12"/>
      <c r="E803" s="13"/>
      <c r="F803" s="13"/>
      <c r="G803" s="13"/>
      <c r="H803" s="13"/>
      <c r="I803" s="13"/>
      <c r="J803" s="13"/>
      <c r="K803" s="12"/>
      <c r="L803" s="13"/>
      <c r="M803" s="13"/>
      <c r="N803" s="13"/>
      <c r="O803" s="13"/>
      <c r="P803" s="13"/>
      <c r="Q803" s="13"/>
      <c r="R803" s="13"/>
      <c r="S803" s="13"/>
      <c r="T803" s="13"/>
      <c r="U803" s="12"/>
      <c r="V803" s="12"/>
      <c r="W803" s="13"/>
      <c r="X803" s="13"/>
      <c r="Y803" s="13"/>
      <c r="Z803" s="13"/>
      <c r="AA803" s="13"/>
      <c r="AB803" s="13"/>
      <c r="AC803" s="12"/>
      <c r="AD803" s="13"/>
      <c r="AE803" s="13"/>
    </row>
    <row r="804" ht="15.75" customHeight="1">
      <c r="A804" s="12"/>
      <c r="B804" s="12"/>
      <c r="C804" s="12"/>
      <c r="D804" s="12"/>
      <c r="E804" s="13"/>
      <c r="F804" s="13"/>
      <c r="G804" s="13"/>
      <c r="H804" s="13"/>
      <c r="I804" s="13"/>
      <c r="J804" s="13"/>
      <c r="K804" s="12"/>
      <c r="L804" s="13"/>
      <c r="M804" s="13"/>
      <c r="N804" s="13"/>
      <c r="O804" s="13"/>
      <c r="P804" s="13"/>
      <c r="Q804" s="13"/>
      <c r="R804" s="13"/>
      <c r="S804" s="13"/>
      <c r="T804" s="13"/>
      <c r="U804" s="12"/>
      <c r="V804" s="12"/>
      <c r="W804" s="13"/>
      <c r="X804" s="13"/>
      <c r="Y804" s="13"/>
      <c r="Z804" s="13"/>
      <c r="AA804" s="13"/>
      <c r="AB804" s="13"/>
      <c r="AC804" s="12"/>
      <c r="AD804" s="13"/>
      <c r="AE804" s="13"/>
    </row>
    <row r="805" ht="15.75" customHeight="1">
      <c r="A805" s="12"/>
      <c r="B805" s="12"/>
      <c r="C805" s="12"/>
      <c r="D805" s="12"/>
      <c r="E805" s="13"/>
      <c r="F805" s="13"/>
      <c r="G805" s="13"/>
      <c r="H805" s="13"/>
      <c r="I805" s="13"/>
      <c r="J805" s="13"/>
      <c r="K805" s="12"/>
      <c r="L805" s="13"/>
      <c r="M805" s="13"/>
      <c r="N805" s="13"/>
      <c r="O805" s="13"/>
      <c r="P805" s="13"/>
      <c r="Q805" s="13"/>
      <c r="R805" s="13"/>
      <c r="S805" s="13"/>
      <c r="T805" s="13"/>
      <c r="U805" s="12"/>
      <c r="V805" s="12"/>
      <c r="W805" s="13"/>
      <c r="X805" s="13"/>
      <c r="Y805" s="13"/>
      <c r="Z805" s="13"/>
      <c r="AA805" s="13"/>
      <c r="AB805" s="13"/>
      <c r="AC805" s="12"/>
      <c r="AD805" s="13"/>
      <c r="AE805" s="13"/>
    </row>
    <row r="806" ht="15.75" customHeight="1">
      <c r="A806" s="12"/>
      <c r="B806" s="12"/>
      <c r="C806" s="12"/>
      <c r="D806" s="12"/>
      <c r="E806" s="13"/>
      <c r="F806" s="13"/>
      <c r="G806" s="13"/>
      <c r="H806" s="13"/>
      <c r="I806" s="13"/>
      <c r="J806" s="13"/>
      <c r="K806" s="12"/>
      <c r="L806" s="13"/>
      <c r="M806" s="13"/>
      <c r="N806" s="13"/>
      <c r="O806" s="13"/>
      <c r="P806" s="13"/>
      <c r="Q806" s="13"/>
      <c r="R806" s="13"/>
      <c r="S806" s="13"/>
      <c r="T806" s="13"/>
      <c r="U806" s="12"/>
      <c r="V806" s="12"/>
      <c r="W806" s="13"/>
      <c r="X806" s="13"/>
      <c r="Y806" s="13"/>
      <c r="Z806" s="13"/>
      <c r="AA806" s="13"/>
      <c r="AB806" s="13"/>
      <c r="AC806" s="12"/>
      <c r="AD806" s="13"/>
      <c r="AE806" s="13"/>
    </row>
    <row r="807" ht="15.75" customHeight="1">
      <c r="A807" s="12"/>
      <c r="B807" s="12"/>
      <c r="C807" s="12"/>
      <c r="D807" s="12"/>
      <c r="E807" s="13"/>
      <c r="F807" s="13"/>
      <c r="G807" s="13"/>
      <c r="H807" s="13"/>
      <c r="I807" s="13"/>
      <c r="J807" s="13"/>
      <c r="K807" s="12"/>
      <c r="L807" s="13"/>
      <c r="M807" s="13"/>
      <c r="N807" s="13"/>
      <c r="O807" s="13"/>
      <c r="P807" s="13"/>
      <c r="Q807" s="13"/>
      <c r="R807" s="13"/>
      <c r="S807" s="13"/>
      <c r="T807" s="13"/>
      <c r="U807" s="12"/>
      <c r="V807" s="12"/>
      <c r="W807" s="13"/>
      <c r="X807" s="13"/>
      <c r="Y807" s="13"/>
      <c r="Z807" s="13"/>
      <c r="AA807" s="13"/>
      <c r="AB807" s="13"/>
      <c r="AC807" s="12"/>
      <c r="AD807" s="13"/>
      <c r="AE807" s="13"/>
    </row>
    <row r="808" ht="15.75" customHeight="1">
      <c r="A808" s="79"/>
      <c r="B808" s="79"/>
      <c r="C808" s="79"/>
      <c r="D808" s="79"/>
      <c r="E808" s="79"/>
      <c r="F808" s="79"/>
      <c r="G808" s="79"/>
      <c r="H808" s="79"/>
      <c r="I808" s="79"/>
      <c r="J808" s="79"/>
      <c r="K808" s="79"/>
      <c r="L808" s="79"/>
      <c r="M808" s="79"/>
      <c r="N808" s="79"/>
      <c r="O808" s="79"/>
      <c r="P808" s="79"/>
      <c r="Q808" s="80"/>
      <c r="R808" s="80"/>
      <c r="S808" s="79"/>
      <c r="T808" s="79"/>
      <c r="U808" s="79"/>
      <c r="V808" s="79"/>
      <c r="W808" s="79"/>
      <c r="X808" s="79"/>
      <c r="Y808" s="79"/>
      <c r="Z808" s="79"/>
      <c r="AA808" s="79"/>
      <c r="AB808" s="79"/>
      <c r="AC808" s="81"/>
      <c r="AD808" s="79"/>
      <c r="AE808" s="79"/>
    </row>
    <row r="809" ht="15.75" customHeight="1">
      <c r="A809" s="79"/>
      <c r="B809" s="79"/>
      <c r="C809" s="79"/>
      <c r="D809" s="79"/>
      <c r="E809" s="79"/>
      <c r="F809" s="79"/>
      <c r="G809" s="79"/>
      <c r="H809" s="79"/>
      <c r="I809" s="79"/>
      <c r="J809" s="79"/>
      <c r="K809" s="79"/>
      <c r="L809" s="79"/>
      <c r="M809" s="79"/>
      <c r="N809" s="79"/>
      <c r="O809" s="79"/>
      <c r="P809" s="79"/>
      <c r="Q809" s="80"/>
      <c r="R809" s="80"/>
      <c r="S809" s="79"/>
      <c r="T809" s="79"/>
      <c r="U809" s="79"/>
      <c r="V809" s="79"/>
      <c r="W809" s="79"/>
      <c r="X809" s="79"/>
      <c r="Y809" s="79"/>
      <c r="Z809" s="79"/>
      <c r="AA809" s="79"/>
      <c r="AB809" s="79"/>
      <c r="AC809" s="81"/>
      <c r="AD809" s="79"/>
      <c r="AE809" s="79"/>
    </row>
    <row r="810" ht="15.75" customHeight="1">
      <c r="A810" s="79"/>
      <c r="B810" s="79"/>
      <c r="C810" s="79"/>
      <c r="D810" s="79"/>
      <c r="E810" s="79"/>
      <c r="F810" s="79"/>
      <c r="G810" s="79"/>
      <c r="H810" s="79"/>
      <c r="I810" s="79"/>
      <c r="J810" s="79"/>
      <c r="K810" s="79"/>
      <c r="L810" s="79"/>
      <c r="M810" s="79"/>
      <c r="N810" s="79"/>
      <c r="O810" s="79"/>
      <c r="P810" s="79"/>
      <c r="Q810" s="80"/>
      <c r="R810" s="80"/>
      <c r="S810" s="79"/>
      <c r="T810" s="79"/>
      <c r="U810" s="79"/>
      <c r="V810" s="79"/>
      <c r="W810" s="79"/>
      <c r="X810" s="79"/>
      <c r="Y810" s="79"/>
      <c r="Z810" s="79"/>
      <c r="AA810" s="79"/>
      <c r="AB810" s="79"/>
      <c r="AC810" s="81"/>
      <c r="AD810" s="79"/>
      <c r="AE810" s="79"/>
    </row>
    <row r="811" ht="15.75" customHeight="1">
      <c r="A811" s="79"/>
      <c r="B811" s="79"/>
      <c r="C811" s="79"/>
      <c r="D811" s="79"/>
      <c r="E811" s="79"/>
      <c r="F811" s="79"/>
      <c r="G811" s="79"/>
      <c r="H811" s="79"/>
      <c r="I811" s="79"/>
      <c r="J811" s="79"/>
      <c r="K811" s="79"/>
      <c r="L811" s="79"/>
      <c r="M811" s="79"/>
      <c r="N811" s="79"/>
      <c r="O811" s="79"/>
      <c r="P811" s="79"/>
      <c r="Q811" s="80"/>
      <c r="R811" s="80"/>
      <c r="S811" s="79"/>
      <c r="T811" s="79"/>
      <c r="U811" s="79"/>
      <c r="V811" s="79"/>
      <c r="W811" s="79"/>
      <c r="X811" s="79"/>
      <c r="Y811" s="79"/>
      <c r="Z811" s="79"/>
      <c r="AA811" s="79"/>
      <c r="AB811" s="79"/>
      <c r="AC811" s="81"/>
      <c r="AD811" s="79"/>
      <c r="AE811" s="79"/>
    </row>
    <row r="812" ht="15.75" customHeight="1">
      <c r="A812" s="79"/>
      <c r="B812" s="79"/>
      <c r="C812" s="79"/>
      <c r="D812" s="79"/>
      <c r="E812" s="79"/>
      <c r="F812" s="79"/>
      <c r="G812" s="79"/>
      <c r="H812" s="79"/>
      <c r="I812" s="79"/>
      <c r="J812" s="79"/>
      <c r="K812" s="79"/>
      <c r="L812" s="79"/>
      <c r="M812" s="79"/>
      <c r="N812" s="79"/>
      <c r="O812" s="79"/>
      <c r="P812" s="79"/>
      <c r="Q812" s="80"/>
      <c r="R812" s="80"/>
      <c r="S812" s="79"/>
      <c r="T812" s="79"/>
      <c r="U812" s="79"/>
      <c r="V812" s="79"/>
      <c r="W812" s="79"/>
      <c r="X812" s="79"/>
      <c r="Y812" s="79"/>
      <c r="Z812" s="79"/>
      <c r="AA812" s="79"/>
      <c r="AB812" s="79"/>
      <c r="AC812" s="81"/>
      <c r="AD812" s="79"/>
      <c r="AE812" s="79"/>
    </row>
    <row r="813" ht="15.75" customHeight="1">
      <c r="A813" s="79"/>
      <c r="B813" s="79"/>
      <c r="C813" s="79"/>
      <c r="D813" s="79"/>
      <c r="E813" s="79"/>
      <c r="F813" s="79"/>
      <c r="G813" s="79"/>
      <c r="H813" s="79"/>
      <c r="I813" s="79"/>
      <c r="J813" s="79"/>
      <c r="K813" s="79"/>
      <c r="L813" s="79"/>
      <c r="M813" s="79"/>
      <c r="N813" s="79"/>
      <c r="O813" s="79"/>
      <c r="P813" s="79"/>
      <c r="Q813" s="80"/>
      <c r="R813" s="80"/>
      <c r="S813" s="79"/>
      <c r="T813" s="79"/>
      <c r="U813" s="79"/>
      <c r="V813" s="79"/>
      <c r="W813" s="79"/>
      <c r="X813" s="79"/>
      <c r="Y813" s="79"/>
      <c r="Z813" s="79"/>
      <c r="AA813" s="79"/>
      <c r="AB813" s="79"/>
      <c r="AC813" s="81"/>
      <c r="AD813" s="79"/>
      <c r="AE813" s="79"/>
    </row>
    <row r="814" ht="15.75" customHeight="1">
      <c r="A814" s="79"/>
      <c r="B814" s="79"/>
      <c r="C814" s="79"/>
      <c r="D814" s="79"/>
      <c r="E814" s="79"/>
      <c r="F814" s="79"/>
      <c r="G814" s="79"/>
      <c r="H814" s="79"/>
      <c r="I814" s="79"/>
      <c r="J814" s="79"/>
      <c r="K814" s="79"/>
      <c r="L814" s="79"/>
      <c r="M814" s="79"/>
      <c r="N814" s="79"/>
      <c r="O814" s="79"/>
      <c r="P814" s="79"/>
      <c r="Q814" s="80"/>
      <c r="R814" s="80"/>
      <c r="S814" s="79"/>
      <c r="T814" s="79"/>
      <c r="U814" s="79"/>
      <c r="V814" s="79"/>
      <c r="W814" s="79"/>
      <c r="X814" s="79"/>
      <c r="Y814" s="79"/>
      <c r="Z814" s="79"/>
      <c r="AA814" s="79"/>
      <c r="AB814" s="79"/>
      <c r="AC814" s="81"/>
      <c r="AD814" s="79"/>
      <c r="AE814" s="79"/>
    </row>
    <row r="815" ht="15.75" customHeight="1">
      <c r="A815" s="79"/>
      <c r="B815" s="79"/>
      <c r="C815" s="79"/>
      <c r="D815" s="79"/>
      <c r="E815" s="79"/>
      <c r="F815" s="79"/>
      <c r="G815" s="79"/>
      <c r="H815" s="79"/>
      <c r="I815" s="79"/>
      <c r="J815" s="79"/>
      <c r="K815" s="79"/>
      <c r="L815" s="79"/>
      <c r="M815" s="79"/>
      <c r="N815" s="79"/>
      <c r="O815" s="79"/>
      <c r="P815" s="79"/>
      <c r="Q815" s="80"/>
      <c r="R815" s="80"/>
      <c r="S815" s="79"/>
      <c r="T815" s="79"/>
      <c r="U815" s="79"/>
      <c r="V815" s="79"/>
      <c r="W815" s="79"/>
      <c r="X815" s="79"/>
      <c r="Y815" s="79"/>
      <c r="Z815" s="79"/>
      <c r="AA815" s="79"/>
      <c r="AB815" s="79"/>
      <c r="AC815" s="81"/>
      <c r="AD815" s="79"/>
      <c r="AE815" s="79"/>
    </row>
    <row r="816" ht="15.75" customHeight="1">
      <c r="A816" s="79"/>
      <c r="B816" s="79"/>
      <c r="C816" s="79"/>
      <c r="D816" s="79"/>
      <c r="E816" s="79"/>
      <c r="F816" s="79"/>
      <c r="G816" s="79"/>
      <c r="H816" s="79"/>
      <c r="I816" s="79"/>
      <c r="J816" s="79"/>
      <c r="K816" s="79"/>
      <c r="L816" s="79"/>
      <c r="M816" s="79"/>
      <c r="N816" s="79"/>
      <c r="O816" s="79"/>
      <c r="P816" s="79"/>
      <c r="Q816" s="80"/>
      <c r="R816" s="80"/>
      <c r="S816" s="79"/>
      <c r="T816" s="79"/>
      <c r="U816" s="79"/>
      <c r="V816" s="79"/>
      <c r="W816" s="79"/>
      <c r="X816" s="79"/>
      <c r="Y816" s="79"/>
      <c r="Z816" s="79"/>
      <c r="AA816" s="79"/>
      <c r="AB816" s="79"/>
      <c r="AC816" s="81"/>
      <c r="AD816" s="79"/>
      <c r="AE816" s="79"/>
    </row>
    <row r="817" ht="15.75" customHeight="1">
      <c r="A817" s="79"/>
      <c r="B817" s="79"/>
      <c r="C817" s="79"/>
      <c r="D817" s="79"/>
      <c r="E817" s="79"/>
      <c r="F817" s="79"/>
      <c r="G817" s="79"/>
      <c r="H817" s="79"/>
      <c r="I817" s="79"/>
      <c r="J817" s="79"/>
      <c r="K817" s="79"/>
      <c r="L817" s="79"/>
      <c r="M817" s="79"/>
      <c r="N817" s="79"/>
      <c r="O817" s="79"/>
      <c r="P817" s="79"/>
      <c r="Q817" s="80"/>
      <c r="R817" s="80"/>
      <c r="S817" s="79"/>
      <c r="T817" s="79"/>
      <c r="U817" s="79"/>
      <c r="V817" s="79"/>
      <c r="W817" s="79"/>
      <c r="X817" s="79"/>
      <c r="Y817" s="79"/>
      <c r="Z817" s="79"/>
      <c r="AA817" s="79"/>
      <c r="AB817" s="79"/>
      <c r="AC817" s="81"/>
      <c r="AD817" s="79"/>
      <c r="AE817" s="79"/>
    </row>
    <row r="818" ht="15.75" customHeight="1">
      <c r="A818" s="79"/>
      <c r="B818" s="79"/>
      <c r="C818" s="79"/>
      <c r="D818" s="79"/>
      <c r="E818" s="79"/>
      <c r="F818" s="79"/>
      <c r="G818" s="79"/>
      <c r="H818" s="79"/>
      <c r="I818" s="79"/>
      <c r="J818" s="79"/>
      <c r="K818" s="79"/>
      <c r="L818" s="79"/>
      <c r="M818" s="79"/>
      <c r="N818" s="79"/>
      <c r="O818" s="79"/>
      <c r="P818" s="79"/>
      <c r="Q818" s="80"/>
      <c r="R818" s="80"/>
      <c r="S818" s="79"/>
      <c r="T818" s="79"/>
      <c r="U818" s="79"/>
      <c r="V818" s="79"/>
      <c r="W818" s="79"/>
      <c r="X818" s="79"/>
      <c r="Y818" s="79"/>
      <c r="Z818" s="79"/>
      <c r="AA818" s="79"/>
      <c r="AB818" s="79"/>
      <c r="AC818" s="81"/>
      <c r="AD818" s="79"/>
      <c r="AE818" s="79"/>
    </row>
    <row r="819" ht="15.75" customHeight="1">
      <c r="A819" s="79"/>
      <c r="B819" s="79"/>
      <c r="C819" s="79"/>
      <c r="D819" s="79"/>
      <c r="E819" s="79"/>
      <c r="F819" s="79"/>
      <c r="G819" s="79"/>
      <c r="H819" s="79"/>
      <c r="I819" s="79"/>
      <c r="J819" s="79"/>
      <c r="K819" s="79"/>
      <c r="L819" s="79"/>
      <c r="M819" s="79"/>
      <c r="N819" s="79"/>
      <c r="O819" s="79"/>
      <c r="P819" s="79"/>
      <c r="Q819" s="80"/>
      <c r="R819" s="80"/>
      <c r="S819" s="79"/>
      <c r="T819" s="79"/>
      <c r="U819" s="79"/>
      <c r="V819" s="79"/>
      <c r="W819" s="79"/>
      <c r="X819" s="79"/>
      <c r="Y819" s="79"/>
      <c r="Z819" s="79"/>
      <c r="AA819" s="79"/>
      <c r="AB819" s="79"/>
      <c r="AC819" s="81"/>
      <c r="AD819" s="79"/>
      <c r="AE819" s="79"/>
    </row>
    <row r="820" ht="15.75" customHeight="1">
      <c r="A820" s="79"/>
      <c r="B820" s="79"/>
      <c r="C820" s="79"/>
      <c r="D820" s="79"/>
      <c r="E820" s="79"/>
      <c r="F820" s="79"/>
      <c r="G820" s="79"/>
      <c r="H820" s="79"/>
      <c r="I820" s="79"/>
      <c r="J820" s="79"/>
      <c r="K820" s="79"/>
      <c r="L820" s="79"/>
      <c r="M820" s="79"/>
      <c r="N820" s="79"/>
      <c r="O820" s="79"/>
      <c r="P820" s="79"/>
      <c r="Q820" s="80"/>
      <c r="R820" s="80"/>
      <c r="S820" s="79"/>
      <c r="T820" s="79"/>
      <c r="U820" s="79"/>
      <c r="V820" s="79"/>
      <c r="W820" s="79"/>
      <c r="X820" s="79"/>
      <c r="Y820" s="79"/>
      <c r="Z820" s="79"/>
      <c r="AA820" s="79"/>
      <c r="AB820" s="79"/>
      <c r="AC820" s="81"/>
      <c r="AD820" s="79"/>
      <c r="AE820" s="79"/>
    </row>
    <row r="821" ht="15.75" customHeight="1">
      <c r="A821" s="79"/>
      <c r="B821" s="79"/>
      <c r="C821" s="79"/>
      <c r="D821" s="79"/>
      <c r="E821" s="79"/>
      <c r="F821" s="79"/>
      <c r="G821" s="79"/>
      <c r="H821" s="79"/>
      <c r="I821" s="79"/>
      <c r="J821" s="79"/>
      <c r="K821" s="79"/>
      <c r="L821" s="79"/>
      <c r="M821" s="79"/>
      <c r="N821" s="79"/>
      <c r="O821" s="79"/>
      <c r="P821" s="79"/>
      <c r="Q821" s="80"/>
      <c r="R821" s="80"/>
      <c r="S821" s="79"/>
      <c r="T821" s="79"/>
      <c r="U821" s="79"/>
      <c r="V821" s="79"/>
      <c r="W821" s="79"/>
      <c r="X821" s="79"/>
      <c r="Y821" s="79"/>
      <c r="Z821" s="79"/>
      <c r="AA821" s="79"/>
      <c r="AB821" s="79"/>
      <c r="AC821" s="81"/>
      <c r="AD821" s="79"/>
      <c r="AE821" s="79"/>
    </row>
    <row r="822" ht="15.75" customHeight="1">
      <c r="A822" s="79"/>
      <c r="B822" s="79"/>
      <c r="C822" s="79"/>
      <c r="D822" s="79"/>
      <c r="E822" s="79"/>
      <c r="F822" s="79"/>
      <c r="G822" s="79"/>
      <c r="H822" s="79"/>
      <c r="I822" s="79"/>
      <c r="J822" s="79"/>
      <c r="K822" s="79"/>
      <c r="L822" s="79"/>
      <c r="M822" s="79"/>
      <c r="N822" s="79"/>
      <c r="O822" s="79"/>
      <c r="P822" s="79"/>
      <c r="Q822" s="80"/>
      <c r="R822" s="80"/>
      <c r="S822" s="79"/>
      <c r="T822" s="79"/>
      <c r="U822" s="79"/>
      <c r="V822" s="79"/>
      <c r="W822" s="79"/>
      <c r="X822" s="79"/>
      <c r="Y822" s="79"/>
      <c r="Z822" s="79"/>
      <c r="AA822" s="79"/>
      <c r="AB822" s="79"/>
      <c r="AC822" s="81"/>
      <c r="AD822" s="79"/>
      <c r="AE822" s="79"/>
    </row>
    <row r="823" ht="15.75" customHeight="1">
      <c r="A823" s="79"/>
      <c r="B823" s="79"/>
      <c r="C823" s="79"/>
      <c r="D823" s="79"/>
      <c r="E823" s="79"/>
      <c r="F823" s="79"/>
      <c r="G823" s="79"/>
      <c r="H823" s="79"/>
      <c r="I823" s="79"/>
      <c r="J823" s="79"/>
      <c r="K823" s="79"/>
      <c r="L823" s="79"/>
      <c r="M823" s="79"/>
      <c r="N823" s="79"/>
      <c r="O823" s="79"/>
      <c r="P823" s="79"/>
      <c r="Q823" s="80"/>
      <c r="R823" s="80"/>
      <c r="S823" s="79"/>
      <c r="T823" s="79"/>
      <c r="U823" s="79"/>
      <c r="V823" s="79"/>
      <c r="W823" s="79"/>
      <c r="X823" s="79"/>
      <c r="Y823" s="79"/>
      <c r="Z823" s="79"/>
      <c r="AA823" s="79"/>
      <c r="AB823" s="79"/>
      <c r="AC823" s="81"/>
      <c r="AD823" s="79"/>
      <c r="AE823" s="79"/>
    </row>
    <row r="824" ht="15.75" customHeight="1">
      <c r="A824" s="79"/>
      <c r="B824" s="79"/>
      <c r="C824" s="79"/>
      <c r="D824" s="79"/>
      <c r="E824" s="79"/>
      <c r="F824" s="79"/>
      <c r="G824" s="79"/>
      <c r="H824" s="79"/>
      <c r="I824" s="79"/>
      <c r="J824" s="79"/>
      <c r="K824" s="79"/>
      <c r="L824" s="79"/>
      <c r="M824" s="79"/>
      <c r="N824" s="79"/>
      <c r="O824" s="79"/>
      <c r="P824" s="79"/>
      <c r="Q824" s="80"/>
      <c r="R824" s="80"/>
      <c r="S824" s="79"/>
      <c r="T824" s="79"/>
      <c r="U824" s="79"/>
      <c r="V824" s="79"/>
      <c r="W824" s="79"/>
      <c r="X824" s="79"/>
      <c r="Y824" s="79"/>
      <c r="Z824" s="79"/>
      <c r="AA824" s="79"/>
      <c r="AB824" s="79"/>
      <c r="AC824" s="81"/>
      <c r="AD824" s="79"/>
      <c r="AE824" s="79"/>
    </row>
    <row r="825" ht="15.75" customHeight="1">
      <c r="A825" s="79"/>
      <c r="B825" s="79"/>
      <c r="C825" s="79"/>
      <c r="D825" s="79"/>
      <c r="E825" s="79"/>
      <c r="F825" s="79"/>
      <c r="G825" s="79"/>
      <c r="H825" s="79"/>
      <c r="I825" s="79"/>
      <c r="J825" s="79"/>
      <c r="K825" s="79"/>
      <c r="L825" s="79"/>
      <c r="M825" s="79"/>
      <c r="N825" s="79"/>
      <c r="O825" s="79"/>
      <c r="P825" s="79"/>
      <c r="Q825" s="80"/>
      <c r="R825" s="80"/>
      <c r="S825" s="79"/>
      <c r="T825" s="79"/>
      <c r="U825" s="79"/>
      <c r="V825" s="79"/>
      <c r="W825" s="79"/>
      <c r="X825" s="79"/>
      <c r="Y825" s="79"/>
      <c r="Z825" s="79"/>
      <c r="AA825" s="79"/>
      <c r="AB825" s="79"/>
      <c r="AC825" s="81"/>
      <c r="AD825" s="79"/>
      <c r="AE825" s="79"/>
    </row>
    <row r="826" ht="15.75" customHeight="1">
      <c r="A826" s="79"/>
      <c r="B826" s="79"/>
      <c r="C826" s="79"/>
      <c r="D826" s="79"/>
      <c r="E826" s="79"/>
      <c r="F826" s="79"/>
      <c r="G826" s="79"/>
      <c r="H826" s="79"/>
      <c r="I826" s="79"/>
      <c r="J826" s="79"/>
      <c r="K826" s="79"/>
      <c r="L826" s="79"/>
      <c r="M826" s="79"/>
      <c r="N826" s="79"/>
      <c r="O826" s="79"/>
      <c r="P826" s="79"/>
      <c r="Q826" s="80"/>
      <c r="R826" s="80"/>
      <c r="S826" s="79"/>
      <c r="T826" s="79"/>
      <c r="U826" s="79"/>
      <c r="V826" s="79"/>
      <c r="W826" s="79"/>
      <c r="X826" s="79"/>
      <c r="Y826" s="79"/>
      <c r="Z826" s="79"/>
      <c r="AA826" s="79"/>
      <c r="AB826" s="79"/>
      <c r="AC826" s="81"/>
      <c r="AD826" s="79"/>
      <c r="AE826" s="79"/>
    </row>
    <row r="827" ht="15.75" customHeight="1">
      <c r="A827" s="79"/>
      <c r="B827" s="79"/>
      <c r="C827" s="79"/>
      <c r="D827" s="79"/>
      <c r="E827" s="79"/>
      <c r="F827" s="79"/>
      <c r="G827" s="79"/>
      <c r="H827" s="79"/>
      <c r="I827" s="79"/>
      <c r="J827" s="79"/>
      <c r="K827" s="79"/>
      <c r="L827" s="79"/>
      <c r="M827" s="79"/>
      <c r="N827" s="79"/>
      <c r="O827" s="79"/>
      <c r="P827" s="79"/>
      <c r="Q827" s="80"/>
      <c r="R827" s="80"/>
      <c r="S827" s="79"/>
      <c r="T827" s="79"/>
      <c r="U827" s="79"/>
      <c r="V827" s="79"/>
      <c r="W827" s="79"/>
      <c r="X827" s="79"/>
      <c r="Y827" s="79"/>
      <c r="Z827" s="79"/>
      <c r="AA827" s="79"/>
      <c r="AB827" s="79"/>
      <c r="AC827" s="81"/>
      <c r="AD827" s="79"/>
      <c r="AE827" s="79"/>
    </row>
    <row r="828" ht="15.75" customHeight="1">
      <c r="A828" s="79"/>
      <c r="B828" s="79"/>
      <c r="C828" s="79"/>
      <c r="D828" s="79"/>
      <c r="E828" s="79"/>
      <c r="F828" s="79"/>
      <c r="G828" s="79"/>
      <c r="H828" s="79"/>
      <c r="I828" s="79"/>
      <c r="J828" s="79"/>
      <c r="K828" s="79"/>
      <c r="L828" s="79"/>
      <c r="M828" s="79"/>
      <c r="N828" s="79"/>
      <c r="O828" s="79"/>
      <c r="P828" s="79"/>
      <c r="Q828" s="80"/>
      <c r="R828" s="80"/>
      <c r="S828" s="79"/>
      <c r="T828" s="79"/>
      <c r="U828" s="79"/>
      <c r="V828" s="79"/>
      <c r="W828" s="79"/>
      <c r="X828" s="79"/>
      <c r="Y828" s="79"/>
      <c r="Z828" s="79"/>
      <c r="AA828" s="79"/>
      <c r="AB828" s="79"/>
      <c r="AC828" s="81"/>
      <c r="AD828" s="79"/>
      <c r="AE828" s="79"/>
    </row>
    <row r="829" ht="15.75" customHeight="1">
      <c r="A829" s="79"/>
      <c r="B829" s="79"/>
      <c r="C829" s="79"/>
      <c r="D829" s="79"/>
      <c r="E829" s="79"/>
      <c r="F829" s="79"/>
      <c r="G829" s="79"/>
      <c r="H829" s="79"/>
      <c r="I829" s="79"/>
      <c r="J829" s="79"/>
      <c r="K829" s="79"/>
      <c r="L829" s="79"/>
      <c r="M829" s="79"/>
      <c r="N829" s="79"/>
      <c r="O829" s="79"/>
      <c r="P829" s="79"/>
      <c r="Q829" s="80"/>
      <c r="R829" s="80"/>
      <c r="S829" s="79"/>
      <c r="T829" s="79"/>
      <c r="U829" s="79"/>
      <c r="V829" s="79"/>
      <c r="W829" s="79"/>
      <c r="X829" s="79"/>
      <c r="Y829" s="79"/>
      <c r="Z829" s="79"/>
      <c r="AA829" s="79"/>
      <c r="AB829" s="79"/>
      <c r="AC829" s="81"/>
      <c r="AD829" s="79"/>
      <c r="AE829" s="79"/>
    </row>
    <row r="830" ht="15.75" customHeight="1">
      <c r="A830" s="79"/>
      <c r="B830" s="79"/>
      <c r="C830" s="79"/>
      <c r="D830" s="79"/>
      <c r="E830" s="79"/>
      <c r="F830" s="79"/>
      <c r="G830" s="79"/>
      <c r="H830" s="79"/>
      <c r="I830" s="79"/>
      <c r="J830" s="79"/>
      <c r="K830" s="79"/>
      <c r="L830" s="79"/>
      <c r="M830" s="79"/>
      <c r="N830" s="79"/>
      <c r="O830" s="79"/>
      <c r="P830" s="79"/>
      <c r="Q830" s="80"/>
      <c r="R830" s="80"/>
      <c r="S830" s="79"/>
      <c r="T830" s="79"/>
      <c r="U830" s="79"/>
      <c r="V830" s="79"/>
      <c r="W830" s="79"/>
      <c r="X830" s="79"/>
      <c r="Y830" s="79"/>
      <c r="Z830" s="79"/>
      <c r="AA830" s="79"/>
      <c r="AB830" s="79"/>
      <c r="AC830" s="81"/>
      <c r="AD830" s="79"/>
      <c r="AE830" s="79"/>
    </row>
    <row r="831" ht="15.75" customHeight="1">
      <c r="A831" s="79"/>
      <c r="B831" s="79"/>
      <c r="C831" s="79"/>
      <c r="D831" s="79"/>
      <c r="E831" s="79"/>
      <c r="F831" s="79"/>
      <c r="G831" s="79"/>
      <c r="H831" s="79"/>
      <c r="I831" s="79"/>
      <c r="J831" s="79"/>
      <c r="K831" s="79"/>
      <c r="L831" s="79"/>
      <c r="M831" s="79"/>
      <c r="N831" s="79"/>
      <c r="O831" s="79"/>
      <c r="P831" s="79"/>
      <c r="Q831" s="80"/>
      <c r="R831" s="80"/>
      <c r="S831" s="79"/>
      <c r="T831" s="79"/>
      <c r="U831" s="79"/>
      <c r="V831" s="79"/>
      <c r="W831" s="79"/>
      <c r="X831" s="79"/>
      <c r="Y831" s="79"/>
      <c r="Z831" s="79"/>
      <c r="AA831" s="79"/>
      <c r="AB831" s="79"/>
      <c r="AC831" s="81"/>
      <c r="AD831" s="79"/>
      <c r="AE831" s="79"/>
    </row>
    <row r="832" ht="15.75" customHeight="1">
      <c r="A832" s="79"/>
      <c r="B832" s="79"/>
      <c r="C832" s="79"/>
      <c r="D832" s="79"/>
      <c r="E832" s="79"/>
      <c r="F832" s="79"/>
      <c r="G832" s="79"/>
      <c r="H832" s="79"/>
      <c r="I832" s="79"/>
      <c r="J832" s="79"/>
      <c r="K832" s="79"/>
      <c r="L832" s="79"/>
      <c r="M832" s="79"/>
      <c r="N832" s="79"/>
      <c r="O832" s="79"/>
      <c r="P832" s="79"/>
      <c r="Q832" s="80"/>
      <c r="R832" s="80"/>
      <c r="S832" s="79"/>
      <c r="T832" s="79"/>
      <c r="U832" s="79"/>
      <c r="V832" s="79"/>
      <c r="W832" s="79"/>
      <c r="X832" s="79"/>
      <c r="Y832" s="79"/>
      <c r="Z832" s="79"/>
      <c r="AA832" s="79"/>
      <c r="AB832" s="79"/>
      <c r="AC832" s="81"/>
      <c r="AD832" s="79"/>
      <c r="AE832" s="79"/>
    </row>
    <row r="833" ht="15.75" customHeight="1">
      <c r="A833" s="79"/>
      <c r="B833" s="79"/>
      <c r="C833" s="79"/>
      <c r="D833" s="79"/>
      <c r="E833" s="79"/>
      <c r="F833" s="79"/>
      <c r="G833" s="79"/>
      <c r="H833" s="79"/>
      <c r="I833" s="79"/>
      <c r="J833" s="79"/>
      <c r="K833" s="79"/>
      <c r="L833" s="79"/>
      <c r="M833" s="79"/>
      <c r="N833" s="79"/>
      <c r="O833" s="79"/>
      <c r="P833" s="79"/>
      <c r="Q833" s="80"/>
      <c r="R833" s="80"/>
      <c r="S833" s="79"/>
      <c r="T833" s="79"/>
      <c r="U833" s="79"/>
      <c r="V833" s="79"/>
      <c r="W833" s="79"/>
      <c r="X833" s="79"/>
      <c r="Y833" s="79"/>
      <c r="Z833" s="79"/>
      <c r="AA833" s="79"/>
      <c r="AB833" s="79"/>
      <c r="AC833" s="81"/>
      <c r="AD833" s="79"/>
      <c r="AE833" s="79"/>
    </row>
    <row r="834" ht="15.75" customHeight="1">
      <c r="A834" s="79"/>
      <c r="B834" s="79"/>
      <c r="C834" s="79"/>
      <c r="D834" s="79"/>
      <c r="E834" s="79"/>
      <c r="F834" s="79"/>
      <c r="G834" s="79"/>
      <c r="H834" s="79"/>
      <c r="I834" s="79"/>
      <c r="J834" s="79"/>
      <c r="K834" s="79"/>
      <c r="L834" s="79"/>
      <c r="M834" s="79"/>
      <c r="N834" s="79"/>
      <c r="O834" s="79"/>
      <c r="P834" s="79"/>
      <c r="Q834" s="80"/>
      <c r="R834" s="80"/>
      <c r="S834" s="79"/>
      <c r="T834" s="79"/>
      <c r="U834" s="79"/>
      <c r="V834" s="79"/>
      <c r="W834" s="79"/>
      <c r="X834" s="79"/>
      <c r="Y834" s="79"/>
      <c r="Z834" s="79"/>
      <c r="AA834" s="79"/>
      <c r="AB834" s="79"/>
      <c r="AC834" s="81"/>
      <c r="AD834" s="79"/>
      <c r="AE834" s="79"/>
    </row>
    <row r="835" ht="15.75" customHeight="1">
      <c r="A835" s="79"/>
      <c r="B835" s="79"/>
      <c r="C835" s="79"/>
      <c r="D835" s="79"/>
      <c r="E835" s="79"/>
      <c r="F835" s="79"/>
      <c r="G835" s="79"/>
      <c r="H835" s="79"/>
      <c r="I835" s="79"/>
      <c r="J835" s="79"/>
      <c r="K835" s="79"/>
      <c r="L835" s="79"/>
      <c r="M835" s="79"/>
      <c r="N835" s="79"/>
      <c r="O835" s="79"/>
      <c r="P835" s="79"/>
      <c r="Q835" s="80"/>
      <c r="R835" s="80"/>
      <c r="S835" s="79"/>
      <c r="T835" s="79"/>
      <c r="U835" s="79"/>
      <c r="V835" s="79"/>
      <c r="W835" s="79"/>
      <c r="X835" s="79"/>
      <c r="Y835" s="79"/>
      <c r="Z835" s="79"/>
      <c r="AA835" s="79"/>
      <c r="AB835" s="79"/>
      <c r="AC835" s="81"/>
      <c r="AD835" s="79"/>
      <c r="AE835" s="79"/>
    </row>
    <row r="836" ht="15.75" customHeight="1">
      <c r="A836" s="79"/>
      <c r="B836" s="79"/>
      <c r="C836" s="79"/>
      <c r="D836" s="79"/>
      <c r="E836" s="79"/>
      <c r="F836" s="79"/>
      <c r="G836" s="79"/>
      <c r="H836" s="79"/>
      <c r="I836" s="79"/>
      <c r="J836" s="79"/>
      <c r="K836" s="79"/>
      <c r="L836" s="79"/>
      <c r="M836" s="79"/>
      <c r="N836" s="79"/>
      <c r="O836" s="79"/>
      <c r="P836" s="79"/>
      <c r="Q836" s="80"/>
      <c r="R836" s="80"/>
      <c r="S836" s="79"/>
      <c r="T836" s="79"/>
      <c r="U836" s="79"/>
      <c r="V836" s="79"/>
      <c r="W836" s="79"/>
      <c r="X836" s="79"/>
      <c r="Y836" s="79"/>
      <c r="Z836" s="79"/>
      <c r="AA836" s="79"/>
      <c r="AB836" s="79"/>
      <c r="AC836" s="81"/>
      <c r="AD836" s="79"/>
      <c r="AE836" s="79"/>
    </row>
    <row r="837" ht="15.75" customHeight="1">
      <c r="A837" s="79"/>
      <c r="B837" s="79"/>
      <c r="C837" s="79"/>
      <c r="D837" s="79"/>
      <c r="E837" s="79"/>
      <c r="F837" s="79"/>
      <c r="G837" s="79"/>
      <c r="H837" s="79"/>
      <c r="I837" s="79"/>
      <c r="J837" s="79"/>
      <c r="K837" s="79"/>
      <c r="L837" s="79"/>
      <c r="M837" s="79"/>
      <c r="N837" s="79"/>
      <c r="O837" s="79"/>
      <c r="P837" s="79"/>
      <c r="Q837" s="80"/>
      <c r="R837" s="80"/>
      <c r="S837" s="79"/>
      <c r="T837" s="79"/>
      <c r="U837" s="79"/>
      <c r="V837" s="79"/>
      <c r="W837" s="79"/>
      <c r="X837" s="79"/>
      <c r="Y837" s="79"/>
      <c r="Z837" s="79"/>
      <c r="AA837" s="79"/>
      <c r="AB837" s="79"/>
      <c r="AC837" s="81"/>
      <c r="AD837" s="79"/>
      <c r="AE837" s="79"/>
    </row>
    <row r="838" ht="15.75" customHeight="1">
      <c r="A838" s="79"/>
      <c r="B838" s="79"/>
      <c r="C838" s="79"/>
      <c r="D838" s="79"/>
      <c r="E838" s="79"/>
      <c r="F838" s="79"/>
      <c r="G838" s="79"/>
      <c r="H838" s="79"/>
      <c r="I838" s="79"/>
      <c r="J838" s="79"/>
      <c r="K838" s="79"/>
      <c r="L838" s="79"/>
      <c r="M838" s="79"/>
      <c r="N838" s="79"/>
      <c r="O838" s="79"/>
      <c r="P838" s="79"/>
      <c r="Q838" s="80"/>
      <c r="R838" s="80"/>
      <c r="S838" s="79"/>
      <c r="T838" s="79"/>
      <c r="U838" s="79"/>
      <c r="V838" s="79"/>
      <c r="W838" s="79"/>
      <c r="X838" s="79"/>
      <c r="Y838" s="79"/>
      <c r="Z838" s="79"/>
      <c r="AA838" s="79"/>
      <c r="AB838" s="79"/>
      <c r="AC838" s="81"/>
      <c r="AD838" s="79"/>
      <c r="AE838" s="79"/>
    </row>
    <row r="839" ht="15.75" customHeight="1">
      <c r="A839" s="79"/>
      <c r="B839" s="79"/>
      <c r="C839" s="79"/>
      <c r="D839" s="79"/>
      <c r="E839" s="79"/>
      <c r="F839" s="79"/>
      <c r="G839" s="79"/>
      <c r="H839" s="79"/>
      <c r="I839" s="79"/>
      <c r="J839" s="79"/>
      <c r="K839" s="79"/>
      <c r="L839" s="79"/>
      <c r="M839" s="79"/>
      <c r="N839" s="79"/>
      <c r="O839" s="79"/>
      <c r="P839" s="79"/>
      <c r="Q839" s="80"/>
      <c r="R839" s="80"/>
      <c r="S839" s="79"/>
      <c r="T839" s="79"/>
      <c r="U839" s="79"/>
      <c r="V839" s="79"/>
      <c r="W839" s="79"/>
      <c r="X839" s="79"/>
      <c r="Y839" s="79"/>
      <c r="Z839" s="79"/>
      <c r="AA839" s="79"/>
      <c r="AB839" s="79"/>
      <c r="AC839" s="81"/>
      <c r="AD839" s="79"/>
      <c r="AE839" s="79"/>
    </row>
    <row r="840" ht="15.75" customHeight="1">
      <c r="A840" s="79"/>
      <c r="B840" s="79"/>
      <c r="C840" s="79"/>
      <c r="D840" s="79"/>
      <c r="E840" s="79"/>
      <c r="F840" s="79"/>
      <c r="G840" s="79"/>
      <c r="H840" s="79"/>
      <c r="I840" s="79"/>
      <c r="J840" s="79"/>
      <c r="K840" s="79"/>
      <c r="L840" s="79"/>
      <c r="M840" s="79"/>
      <c r="N840" s="79"/>
      <c r="O840" s="79"/>
      <c r="P840" s="79"/>
      <c r="Q840" s="80"/>
      <c r="R840" s="80"/>
      <c r="S840" s="79"/>
      <c r="T840" s="79"/>
      <c r="U840" s="79"/>
      <c r="V840" s="79"/>
      <c r="W840" s="79"/>
      <c r="X840" s="79"/>
      <c r="Y840" s="79"/>
      <c r="Z840" s="79"/>
      <c r="AA840" s="79"/>
      <c r="AB840" s="79"/>
      <c r="AC840" s="81"/>
      <c r="AD840" s="79"/>
      <c r="AE840" s="79"/>
    </row>
    <row r="841" ht="15.75" customHeight="1">
      <c r="A841" s="79"/>
      <c r="B841" s="79"/>
      <c r="C841" s="79"/>
      <c r="D841" s="79"/>
      <c r="E841" s="79"/>
      <c r="F841" s="79"/>
      <c r="G841" s="79"/>
      <c r="H841" s="79"/>
      <c r="I841" s="79"/>
      <c r="J841" s="79"/>
      <c r="K841" s="79"/>
      <c r="L841" s="79"/>
      <c r="M841" s="79"/>
      <c r="N841" s="79"/>
      <c r="O841" s="79"/>
      <c r="P841" s="79"/>
      <c r="Q841" s="80"/>
      <c r="R841" s="80"/>
      <c r="S841" s="79"/>
      <c r="T841" s="79"/>
      <c r="U841" s="79"/>
      <c r="V841" s="79"/>
      <c r="W841" s="79"/>
      <c r="X841" s="79"/>
      <c r="Y841" s="79"/>
      <c r="Z841" s="79"/>
      <c r="AA841" s="79"/>
      <c r="AB841" s="79"/>
      <c r="AC841" s="81"/>
      <c r="AD841" s="79"/>
      <c r="AE841" s="79"/>
    </row>
    <row r="842" ht="15.75" customHeight="1">
      <c r="A842" s="79"/>
      <c r="B842" s="79"/>
      <c r="C842" s="79"/>
      <c r="D842" s="79"/>
      <c r="E842" s="79"/>
      <c r="F842" s="79"/>
      <c r="G842" s="79"/>
      <c r="H842" s="79"/>
      <c r="I842" s="79"/>
      <c r="J842" s="79"/>
      <c r="K842" s="79"/>
      <c r="L842" s="79"/>
      <c r="M842" s="79"/>
      <c r="N842" s="79"/>
      <c r="O842" s="79"/>
      <c r="P842" s="79"/>
      <c r="Q842" s="80"/>
      <c r="R842" s="80"/>
      <c r="S842" s="79"/>
      <c r="T842" s="79"/>
      <c r="U842" s="79"/>
      <c r="V842" s="79"/>
      <c r="W842" s="79"/>
      <c r="X842" s="79"/>
      <c r="Y842" s="79"/>
      <c r="Z842" s="79"/>
      <c r="AA842" s="79"/>
      <c r="AB842" s="79"/>
      <c r="AC842" s="81"/>
      <c r="AD842" s="79"/>
      <c r="AE842" s="79"/>
    </row>
    <row r="843" ht="15.75" customHeight="1">
      <c r="A843" s="79"/>
      <c r="B843" s="79"/>
      <c r="C843" s="79"/>
      <c r="D843" s="79"/>
      <c r="E843" s="79"/>
      <c r="F843" s="79"/>
      <c r="G843" s="79"/>
      <c r="H843" s="79"/>
      <c r="I843" s="79"/>
      <c r="J843" s="79"/>
      <c r="K843" s="79"/>
      <c r="L843" s="79"/>
      <c r="M843" s="79"/>
      <c r="N843" s="79"/>
      <c r="O843" s="79"/>
      <c r="P843" s="79"/>
      <c r="Q843" s="80"/>
      <c r="R843" s="80"/>
      <c r="S843" s="79"/>
      <c r="T843" s="79"/>
      <c r="U843" s="79"/>
      <c r="V843" s="79"/>
      <c r="W843" s="79"/>
      <c r="X843" s="79"/>
      <c r="Y843" s="79"/>
      <c r="Z843" s="79"/>
      <c r="AA843" s="79"/>
      <c r="AB843" s="79"/>
      <c r="AC843" s="81"/>
      <c r="AD843" s="79"/>
      <c r="AE843" s="79"/>
    </row>
    <row r="844" ht="15.75" customHeight="1">
      <c r="A844" s="79"/>
      <c r="B844" s="79"/>
      <c r="C844" s="79"/>
      <c r="D844" s="79"/>
      <c r="E844" s="79"/>
      <c r="F844" s="79"/>
      <c r="G844" s="79"/>
      <c r="H844" s="79"/>
      <c r="I844" s="79"/>
      <c r="J844" s="79"/>
      <c r="K844" s="79"/>
      <c r="L844" s="79"/>
      <c r="M844" s="79"/>
      <c r="N844" s="79"/>
      <c r="O844" s="79"/>
      <c r="P844" s="79"/>
      <c r="Q844" s="80"/>
      <c r="R844" s="80"/>
      <c r="S844" s="79"/>
      <c r="T844" s="79"/>
      <c r="U844" s="79"/>
      <c r="V844" s="79"/>
      <c r="W844" s="79"/>
      <c r="X844" s="79"/>
      <c r="Y844" s="79"/>
      <c r="Z844" s="79"/>
      <c r="AA844" s="79"/>
      <c r="AB844" s="79"/>
      <c r="AC844" s="81"/>
      <c r="AD844" s="79"/>
      <c r="AE844" s="79"/>
    </row>
    <row r="845" ht="15.75" customHeight="1">
      <c r="A845" s="79"/>
      <c r="B845" s="79"/>
      <c r="C845" s="79"/>
      <c r="D845" s="79"/>
      <c r="E845" s="79"/>
      <c r="F845" s="79"/>
      <c r="G845" s="79"/>
      <c r="H845" s="79"/>
      <c r="I845" s="79"/>
      <c r="J845" s="79"/>
      <c r="K845" s="79"/>
      <c r="L845" s="79"/>
      <c r="M845" s="79"/>
      <c r="N845" s="79"/>
      <c r="O845" s="79"/>
      <c r="P845" s="79"/>
      <c r="Q845" s="80"/>
      <c r="R845" s="80"/>
      <c r="S845" s="79"/>
      <c r="T845" s="79"/>
      <c r="U845" s="79"/>
      <c r="V845" s="79"/>
      <c r="W845" s="79"/>
      <c r="X845" s="79"/>
      <c r="Y845" s="79"/>
      <c r="Z845" s="79"/>
      <c r="AA845" s="79"/>
      <c r="AB845" s="79"/>
      <c r="AC845" s="81"/>
      <c r="AD845" s="79"/>
      <c r="AE845" s="79"/>
    </row>
    <row r="846" ht="15.75" customHeight="1">
      <c r="A846" s="79"/>
      <c r="B846" s="79"/>
      <c r="C846" s="79"/>
      <c r="D846" s="79"/>
      <c r="E846" s="79"/>
      <c r="F846" s="79"/>
      <c r="G846" s="79"/>
      <c r="H846" s="79"/>
      <c r="I846" s="79"/>
      <c r="J846" s="79"/>
      <c r="K846" s="79"/>
      <c r="L846" s="79"/>
      <c r="M846" s="79"/>
      <c r="N846" s="79"/>
      <c r="O846" s="79"/>
      <c r="P846" s="79"/>
      <c r="Q846" s="80"/>
      <c r="R846" s="80"/>
      <c r="S846" s="79"/>
      <c r="T846" s="79"/>
      <c r="U846" s="79"/>
      <c r="V846" s="79"/>
      <c r="W846" s="79"/>
      <c r="X846" s="79"/>
      <c r="Y846" s="79"/>
      <c r="Z846" s="79"/>
      <c r="AA846" s="79"/>
      <c r="AB846" s="79"/>
      <c r="AC846" s="81"/>
      <c r="AD846" s="79"/>
      <c r="AE846" s="79"/>
    </row>
    <row r="847" ht="15.75" customHeight="1">
      <c r="A847" s="79"/>
      <c r="B847" s="79"/>
      <c r="C847" s="79"/>
      <c r="D847" s="79"/>
      <c r="E847" s="79"/>
      <c r="F847" s="79"/>
      <c r="G847" s="79"/>
      <c r="H847" s="79"/>
      <c r="I847" s="79"/>
      <c r="J847" s="79"/>
      <c r="K847" s="79"/>
      <c r="L847" s="79"/>
      <c r="M847" s="79"/>
      <c r="N847" s="79"/>
      <c r="O847" s="79"/>
      <c r="P847" s="79"/>
      <c r="Q847" s="80"/>
      <c r="R847" s="80"/>
      <c r="S847" s="79"/>
      <c r="T847" s="79"/>
      <c r="U847" s="79"/>
      <c r="V847" s="79"/>
      <c r="W847" s="79"/>
      <c r="X847" s="79"/>
      <c r="Y847" s="79"/>
      <c r="Z847" s="79"/>
      <c r="AA847" s="79"/>
      <c r="AB847" s="79"/>
      <c r="AC847" s="81"/>
      <c r="AD847" s="79"/>
      <c r="AE847" s="79"/>
    </row>
    <row r="848" ht="15.75" customHeight="1">
      <c r="A848" s="79"/>
      <c r="B848" s="79"/>
      <c r="C848" s="79"/>
      <c r="D848" s="79"/>
      <c r="E848" s="79"/>
      <c r="F848" s="79"/>
      <c r="G848" s="79"/>
      <c r="H848" s="79"/>
      <c r="I848" s="79"/>
      <c r="J848" s="79"/>
      <c r="K848" s="79"/>
      <c r="L848" s="79"/>
      <c r="M848" s="79"/>
      <c r="N848" s="79"/>
      <c r="O848" s="79"/>
      <c r="P848" s="79"/>
      <c r="Q848" s="80"/>
      <c r="R848" s="80"/>
      <c r="S848" s="79"/>
      <c r="T848" s="79"/>
      <c r="U848" s="79"/>
      <c r="V848" s="79"/>
      <c r="W848" s="79"/>
      <c r="X848" s="79"/>
      <c r="Y848" s="79"/>
      <c r="Z848" s="79"/>
      <c r="AA848" s="79"/>
      <c r="AB848" s="79"/>
      <c r="AC848" s="81"/>
      <c r="AD848" s="79"/>
      <c r="AE848" s="79"/>
    </row>
    <row r="849" ht="15.75" customHeight="1">
      <c r="A849" s="79"/>
      <c r="B849" s="79"/>
      <c r="C849" s="79"/>
      <c r="D849" s="79"/>
      <c r="E849" s="79"/>
      <c r="F849" s="79"/>
      <c r="G849" s="79"/>
      <c r="H849" s="79"/>
      <c r="I849" s="79"/>
      <c r="J849" s="79"/>
      <c r="K849" s="79"/>
      <c r="L849" s="79"/>
      <c r="M849" s="79"/>
      <c r="N849" s="79"/>
      <c r="O849" s="79"/>
      <c r="P849" s="79"/>
      <c r="Q849" s="80"/>
      <c r="R849" s="80"/>
      <c r="S849" s="79"/>
      <c r="T849" s="79"/>
      <c r="U849" s="79"/>
      <c r="V849" s="79"/>
      <c r="W849" s="79"/>
      <c r="X849" s="79"/>
      <c r="Y849" s="79"/>
      <c r="Z849" s="79"/>
      <c r="AA849" s="79"/>
      <c r="AB849" s="79"/>
      <c r="AC849" s="81"/>
      <c r="AD849" s="79"/>
      <c r="AE849" s="79"/>
    </row>
    <row r="850" ht="15.75" customHeight="1">
      <c r="A850" s="79"/>
      <c r="B850" s="79"/>
      <c r="C850" s="79"/>
      <c r="D850" s="79"/>
      <c r="E850" s="79"/>
      <c r="F850" s="79"/>
      <c r="G850" s="79"/>
      <c r="H850" s="79"/>
      <c r="I850" s="79"/>
      <c r="J850" s="79"/>
      <c r="K850" s="79"/>
      <c r="L850" s="79"/>
      <c r="M850" s="79"/>
      <c r="N850" s="79"/>
      <c r="O850" s="79"/>
      <c r="P850" s="79"/>
      <c r="Q850" s="80"/>
      <c r="R850" s="80"/>
      <c r="S850" s="79"/>
      <c r="T850" s="79"/>
      <c r="U850" s="79"/>
      <c r="V850" s="79"/>
      <c r="W850" s="79"/>
      <c r="X850" s="79"/>
      <c r="Y850" s="79"/>
      <c r="Z850" s="79"/>
      <c r="AA850" s="79"/>
      <c r="AB850" s="79"/>
      <c r="AC850" s="81"/>
      <c r="AD850" s="79"/>
      <c r="AE850" s="79"/>
    </row>
    <row r="851" ht="15.75" customHeight="1">
      <c r="A851" s="79"/>
      <c r="B851" s="79"/>
      <c r="C851" s="79"/>
      <c r="D851" s="79"/>
      <c r="E851" s="79"/>
      <c r="F851" s="79"/>
      <c r="G851" s="79"/>
      <c r="H851" s="79"/>
      <c r="I851" s="79"/>
      <c r="J851" s="79"/>
      <c r="K851" s="79"/>
      <c r="L851" s="79"/>
      <c r="M851" s="79"/>
      <c r="N851" s="79"/>
      <c r="O851" s="79"/>
      <c r="P851" s="79"/>
      <c r="Q851" s="80"/>
      <c r="R851" s="80"/>
      <c r="S851" s="79"/>
      <c r="T851" s="79"/>
      <c r="U851" s="79"/>
      <c r="V851" s="79"/>
      <c r="W851" s="79"/>
      <c r="X851" s="79"/>
      <c r="Y851" s="79"/>
      <c r="Z851" s="79"/>
      <c r="AA851" s="79"/>
      <c r="AB851" s="79"/>
      <c r="AC851" s="81"/>
      <c r="AD851" s="79"/>
      <c r="AE851" s="79"/>
    </row>
    <row r="852" ht="15.75" customHeight="1">
      <c r="A852" s="79"/>
      <c r="B852" s="79"/>
      <c r="C852" s="79"/>
      <c r="D852" s="79"/>
      <c r="E852" s="79"/>
      <c r="F852" s="79"/>
      <c r="G852" s="79"/>
      <c r="H852" s="79"/>
      <c r="I852" s="79"/>
      <c r="J852" s="79"/>
      <c r="K852" s="79"/>
      <c r="L852" s="79"/>
      <c r="M852" s="79"/>
      <c r="N852" s="79"/>
      <c r="O852" s="79"/>
      <c r="P852" s="79"/>
      <c r="Q852" s="80"/>
      <c r="R852" s="80"/>
      <c r="S852" s="79"/>
      <c r="T852" s="79"/>
      <c r="U852" s="79"/>
      <c r="V852" s="79"/>
      <c r="W852" s="79"/>
      <c r="X852" s="79"/>
      <c r="Y852" s="79"/>
      <c r="Z852" s="79"/>
      <c r="AA852" s="79"/>
      <c r="AB852" s="79"/>
      <c r="AC852" s="81"/>
      <c r="AD852" s="79"/>
      <c r="AE852" s="79"/>
    </row>
    <row r="853" ht="15.75" customHeight="1">
      <c r="A853" s="79"/>
      <c r="B853" s="79"/>
      <c r="C853" s="79"/>
      <c r="D853" s="79"/>
      <c r="E853" s="79"/>
      <c r="F853" s="79"/>
      <c r="G853" s="79"/>
      <c r="H853" s="79"/>
      <c r="I853" s="79"/>
      <c r="J853" s="79"/>
      <c r="K853" s="79"/>
      <c r="L853" s="79"/>
      <c r="M853" s="79"/>
      <c r="N853" s="79"/>
      <c r="O853" s="79"/>
      <c r="P853" s="79"/>
      <c r="Q853" s="80"/>
      <c r="R853" s="80"/>
      <c r="S853" s="79"/>
      <c r="T853" s="79"/>
      <c r="U853" s="79"/>
      <c r="V853" s="79"/>
      <c r="W853" s="79"/>
      <c r="X853" s="79"/>
      <c r="Y853" s="79"/>
      <c r="Z853" s="79"/>
      <c r="AA853" s="79"/>
      <c r="AB853" s="79"/>
      <c r="AC853" s="81"/>
      <c r="AD853" s="79"/>
      <c r="AE853" s="79"/>
    </row>
    <row r="854" ht="15.75" customHeight="1">
      <c r="A854" s="79"/>
      <c r="B854" s="79"/>
      <c r="C854" s="79"/>
      <c r="D854" s="79"/>
      <c r="E854" s="79"/>
      <c r="F854" s="79"/>
      <c r="G854" s="79"/>
      <c r="H854" s="79"/>
      <c r="I854" s="79"/>
      <c r="J854" s="79"/>
      <c r="K854" s="79"/>
      <c r="L854" s="79"/>
      <c r="M854" s="79"/>
      <c r="N854" s="79"/>
      <c r="O854" s="79"/>
      <c r="P854" s="79"/>
      <c r="Q854" s="80"/>
      <c r="R854" s="80"/>
      <c r="S854" s="79"/>
      <c r="T854" s="79"/>
      <c r="U854" s="79"/>
      <c r="V854" s="79"/>
      <c r="W854" s="79"/>
      <c r="X854" s="79"/>
      <c r="Y854" s="79"/>
      <c r="Z854" s="79"/>
      <c r="AA854" s="79"/>
      <c r="AB854" s="79"/>
      <c r="AC854" s="81"/>
      <c r="AD854" s="79"/>
      <c r="AE854" s="79"/>
    </row>
    <row r="855" ht="15.75" customHeight="1">
      <c r="A855" s="79"/>
      <c r="B855" s="79"/>
      <c r="C855" s="79"/>
      <c r="D855" s="79"/>
      <c r="E855" s="79"/>
      <c r="F855" s="79"/>
      <c r="G855" s="79"/>
      <c r="H855" s="79"/>
      <c r="I855" s="79"/>
      <c r="J855" s="79"/>
      <c r="K855" s="79"/>
      <c r="L855" s="79"/>
      <c r="M855" s="79"/>
      <c r="N855" s="79"/>
      <c r="O855" s="79"/>
      <c r="P855" s="79"/>
      <c r="Q855" s="80"/>
      <c r="R855" s="80"/>
      <c r="S855" s="79"/>
      <c r="T855" s="79"/>
      <c r="U855" s="79"/>
      <c r="V855" s="79"/>
      <c r="W855" s="79"/>
      <c r="X855" s="79"/>
      <c r="Y855" s="79"/>
      <c r="Z855" s="79"/>
      <c r="AA855" s="79"/>
      <c r="AB855" s="79"/>
      <c r="AC855" s="81"/>
      <c r="AD855" s="79"/>
      <c r="AE855" s="79"/>
    </row>
    <row r="856" ht="15.75" customHeight="1">
      <c r="A856" s="79"/>
      <c r="B856" s="79"/>
      <c r="C856" s="79"/>
      <c r="D856" s="79"/>
      <c r="E856" s="79"/>
      <c r="F856" s="79"/>
      <c r="G856" s="79"/>
      <c r="H856" s="79"/>
      <c r="I856" s="79"/>
      <c r="J856" s="79"/>
      <c r="K856" s="79"/>
      <c r="L856" s="79"/>
      <c r="M856" s="79"/>
      <c r="N856" s="79"/>
      <c r="O856" s="79"/>
      <c r="P856" s="79"/>
      <c r="Q856" s="80"/>
      <c r="R856" s="80"/>
      <c r="S856" s="79"/>
      <c r="T856" s="79"/>
      <c r="U856" s="79"/>
      <c r="V856" s="79"/>
      <c r="W856" s="79"/>
      <c r="X856" s="79"/>
      <c r="Y856" s="79"/>
      <c r="Z856" s="79"/>
      <c r="AA856" s="79"/>
      <c r="AB856" s="79"/>
      <c r="AC856" s="81"/>
      <c r="AD856" s="79"/>
      <c r="AE856" s="79"/>
    </row>
    <row r="857" ht="15.75" customHeight="1">
      <c r="A857" s="79"/>
      <c r="B857" s="79"/>
      <c r="C857" s="79"/>
      <c r="D857" s="79"/>
      <c r="E857" s="79"/>
      <c r="F857" s="79"/>
      <c r="G857" s="79"/>
      <c r="H857" s="79"/>
      <c r="I857" s="79"/>
      <c r="J857" s="79"/>
      <c r="K857" s="79"/>
      <c r="L857" s="79"/>
      <c r="M857" s="79"/>
      <c r="N857" s="79"/>
      <c r="O857" s="79"/>
      <c r="P857" s="79"/>
      <c r="Q857" s="80"/>
      <c r="R857" s="80"/>
      <c r="S857" s="79"/>
      <c r="T857" s="79"/>
      <c r="U857" s="79"/>
      <c r="V857" s="79"/>
      <c r="W857" s="79"/>
      <c r="X857" s="79"/>
      <c r="Y857" s="79"/>
      <c r="Z857" s="79"/>
      <c r="AA857" s="79"/>
      <c r="AB857" s="79"/>
      <c r="AC857" s="81"/>
      <c r="AD857" s="79"/>
      <c r="AE857" s="79"/>
    </row>
    <row r="858" ht="15.75" customHeight="1">
      <c r="A858" s="79"/>
      <c r="B858" s="79"/>
      <c r="C858" s="79"/>
      <c r="D858" s="79"/>
      <c r="E858" s="79"/>
      <c r="F858" s="79"/>
      <c r="G858" s="79"/>
      <c r="H858" s="79"/>
      <c r="I858" s="79"/>
      <c r="J858" s="79"/>
      <c r="K858" s="79"/>
      <c r="L858" s="79"/>
      <c r="M858" s="79"/>
      <c r="N858" s="79"/>
      <c r="O858" s="79"/>
      <c r="P858" s="79"/>
      <c r="Q858" s="80"/>
      <c r="R858" s="80"/>
      <c r="S858" s="79"/>
      <c r="T858" s="79"/>
      <c r="U858" s="79"/>
      <c r="V858" s="79"/>
      <c r="W858" s="79"/>
      <c r="X858" s="79"/>
      <c r="Y858" s="79"/>
      <c r="Z858" s="79"/>
      <c r="AA858" s="79"/>
      <c r="AB858" s="79"/>
      <c r="AC858" s="81"/>
      <c r="AD858" s="79"/>
      <c r="AE858" s="79"/>
    </row>
    <row r="859" ht="15.75" customHeight="1">
      <c r="A859" s="79"/>
      <c r="B859" s="79"/>
      <c r="C859" s="79"/>
      <c r="D859" s="79"/>
      <c r="E859" s="79"/>
      <c r="F859" s="79"/>
      <c r="G859" s="79"/>
      <c r="H859" s="79"/>
      <c r="I859" s="79"/>
      <c r="J859" s="79"/>
      <c r="K859" s="79"/>
      <c r="L859" s="79"/>
      <c r="M859" s="79"/>
      <c r="N859" s="79"/>
      <c r="O859" s="79"/>
      <c r="P859" s="79"/>
      <c r="Q859" s="80"/>
      <c r="R859" s="80"/>
      <c r="S859" s="79"/>
      <c r="T859" s="79"/>
      <c r="U859" s="79"/>
      <c r="V859" s="79"/>
      <c r="W859" s="79"/>
      <c r="X859" s="79"/>
      <c r="Y859" s="79"/>
      <c r="Z859" s="79"/>
      <c r="AA859" s="79"/>
      <c r="AB859" s="79"/>
      <c r="AC859" s="81"/>
      <c r="AD859" s="79"/>
      <c r="AE859" s="79"/>
    </row>
    <row r="860" ht="15.75" customHeight="1">
      <c r="A860" s="79"/>
      <c r="B860" s="79"/>
      <c r="C860" s="79"/>
      <c r="D860" s="79"/>
      <c r="E860" s="79"/>
      <c r="F860" s="79"/>
      <c r="G860" s="79"/>
      <c r="H860" s="79"/>
      <c r="I860" s="79"/>
      <c r="J860" s="79"/>
      <c r="K860" s="79"/>
      <c r="L860" s="79"/>
      <c r="M860" s="79"/>
      <c r="N860" s="79"/>
      <c r="O860" s="79"/>
      <c r="P860" s="79"/>
      <c r="Q860" s="80"/>
      <c r="R860" s="80"/>
      <c r="S860" s="79"/>
      <c r="T860" s="79"/>
      <c r="U860" s="79"/>
      <c r="V860" s="79"/>
      <c r="W860" s="79"/>
      <c r="X860" s="79"/>
      <c r="Y860" s="79"/>
      <c r="Z860" s="79"/>
      <c r="AA860" s="79"/>
      <c r="AB860" s="79"/>
      <c r="AC860" s="81"/>
      <c r="AD860" s="79"/>
      <c r="AE860" s="79"/>
    </row>
    <row r="861" ht="15.75" customHeight="1">
      <c r="A861" s="79"/>
      <c r="B861" s="79"/>
      <c r="C861" s="79"/>
      <c r="D861" s="79"/>
      <c r="E861" s="79"/>
      <c r="F861" s="79"/>
      <c r="G861" s="79"/>
      <c r="H861" s="79"/>
      <c r="I861" s="79"/>
      <c r="J861" s="79"/>
      <c r="K861" s="79"/>
      <c r="L861" s="79"/>
      <c r="M861" s="79"/>
      <c r="N861" s="79"/>
      <c r="O861" s="79"/>
      <c r="P861" s="79"/>
      <c r="Q861" s="80"/>
      <c r="R861" s="80"/>
      <c r="S861" s="79"/>
      <c r="T861" s="79"/>
      <c r="U861" s="79"/>
      <c r="V861" s="79"/>
      <c r="W861" s="79"/>
      <c r="X861" s="79"/>
      <c r="Y861" s="79"/>
      <c r="Z861" s="79"/>
      <c r="AA861" s="79"/>
      <c r="AB861" s="79"/>
      <c r="AC861" s="81"/>
      <c r="AD861" s="79"/>
      <c r="AE861" s="79"/>
    </row>
    <row r="862" ht="15.75" customHeight="1">
      <c r="A862" s="79"/>
      <c r="B862" s="79"/>
      <c r="C862" s="79"/>
      <c r="D862" s="79"/>
      <c r="E862" s="79"/>
      <c r="F862" s="79"/>
      <c r="G862" s="79"/>
      <c r="H862" s="79"/>
      <c r="I862" s="79"/>
      <c r="J862" s="79"/>
      <c r="K862" s="79"/>
      <c r="L862" s="79"/>
      <c r="M862" s="79"/>
      <c r="N862" s="79"/>
      <c r="O862" s="79"/>
      <c r="P862" s="79"/>
      <c r="Q862" s="80"/>
      <c r="R862" s="80"/>
      <c r="S862" s="79"/>
      <c r="T862" s="79"/>
      <c r="U862" s="79"/>
      <c r="V862" s="79"/>
      <c r="W862" s="79"/>
      <c r="X862" s="79"/>
      <c r="Y862" s="79"/>
      <c r="Z862" s="79"/>
      <c r="AA862" s="79"/>
      <c r="AB862" s="79"/>
      <c r="AC862" s="81"/>
      <c r="AD862" s="79"/>
      <c r="AE862" s="79"/>
    </row>
    <row r="863" ht="15.75" customHeight="1">
      <c r="A863" s="79"/>
      <c r="B863" s="79"/>
      <c r="C863" s="79"/>
      <c r="D863" s="79"/>
      <c r="E863" s="79"/>
      <c r="F863" s="79"/>
      <c r="G863" s="79"/>
      <c r="H863" s="79"/>
      <c r="I863" s="79"/>
      <c r="J863" s="79"/>
      <c r="K863" s="79"/>
      <c r="L863" s="79"/>
      <c r="M863" s="79"/>
      <c r="N863" s="79"/>
      <c r="O863" s="79"/>
      <c r="P863" s="79"/>
      <c r="Q863" s="80"/>
      <c r="R863" s="80"/>
      <c r="S863" s="79"/>
      <c r="T863" s="79"/>
      <c r="U863" s="79"/>
      <c r="V863" s="79"/>
      <c r="W863" s="79"/>
      <c r="X863" s="79"/>
      <c r="Y863" s="79"/>
      <c r="Z863" s="79"/>
      <c r="AA863" s="79"/>
      <c r="AB863" s="79"/>
      <c r="AC863" s="81"/>
      <c r="AD863" s="79"/>
      <c r="AE863" s="79"/>
    </row>
    <row r="864" ht="15.75" customHeight="1">
      <c r="A864" s="79"/>
      <c r="B864" s="79"/>
      <c r="C864" s="79"/>
      <c r="D864" s="79"/>
      <c r="E864" s="79"/>
      <c r="F864" s="79"/>
      <c r="G864" s="79"/>
      <c r="H864" s="79"/>
      <c r="I864" s="79"/>
      <c r="J864" s="79"/>
      <c r="K864" s="79"/>
      <c r="L864" s="79"/>
      <c r="M864" s="79"/>
      <c r="N864" s="79"/>
      <c r="O864" s="79"/>
      <c r="P864" s="79"/>
      <c r="Q864" s="80"/>
      <c r="R864" s="80"/>
      <c r="S864" s="79"/>
      <c r="T864" s="79"/>
      <c r="U864" s="79"/>
      <c r="V864" s="79"/>
      <c r="W864" s="79"/>
      <c r="X864" s="79"/>
      <c r="Y864" s="79"/>
      <c r="Z864" s="79"/>
      <c r="AA864" s="79"/>
      <c r="AB864" s="79"/>
      <c r="AC864" s="81"/>
      <c r="AD864" s="79"/>
      <c r="AE864" s="79"/>
    </row>
    <row r="865" ht="15.75" customHeight="1">
      <c r="A865" s="79"/>
      <c r="B865" s="79"/>
      <c r="C865" s="79"/>
      <c r="D865" s="79"/>
      <c r="E865" s="79"/>
      <c r="F865" s="79"/>
      <c r="G865" s="79"/>
      <c r="H865" s="79"/>
      <c r="I865" s="79"/>
      <c r="J865" s="79"/>
      <c r="K865" s="79"/>
      <c r="L865" s="79"/>
      <c r="M865" s="79"/>
      <c r="N865" s="79"/>
      <c r="O865" s="79"/>
      <c r="P865" s="79"/>
      <c r="Q865" s="80"/>
      <c r="R865" s="80"/>
      <c r="S865" s="79"/>
      <c r="T865" s="79"/>
      <c r="U865" s="79"/>
      <c r="V865" s="79"/>
      <c r="W865" s="79"/>
      <c r="X865" s="79"/>
      <c r="Y865" s="79"/>
      <c r="Z865" s="79"/>
      <c r="AA865" s="79"/>
      <c r="AB865" s="79"/>
      <c r="AC865" s="81"/>
      <c r="AD865" s="79"/>
      <c r="AE865" s="79"/>
    </row>
    <row r="866" ht="15.75" customHeight="1">
      <c r="A866" s="79"/>
      <c r="B866" s="79"/>
      <c r="C866" s="79"/>
      <c r="D866" s="79"/>
      <c r="E866" s="79"/>
      <c r="F866" s="79"/>
      <c r="G866" s="79"/>
      <c r="H866" s="79"/>
      <c r="I866" s="79"/>
      <c r="J866" s="79"/>
      <c r="K866" s="79"/>
      <c r="L866" s="79"/>
      <c r="M866" s="79"/>
      <c r="N866" s="79"/>
      <c r="O866" s="79"/>
      <c r="P866" s="79"/>
      <c r="Q866" s="80"/>
      <c r="R866" s="80"/>
      <c r="S866" s="79"/>
      <c r="T866" s="79"/>
      <c r="U866" s="79"/>
      <c r="V866" s="79"/>
      <c r="W866" s="79"/>
      <c r="X866" s="79"/>
      <c r="Y866" s="79"/>
      <c r="Z866" s="79"/>
      <c r="AA866" s="79"/>
      <c r="AB866" s="79"/>
      <c r="AC866" s="81"/>
      <c r="AD866" s="79"/>
      <c r="AE866" s="79"/>
    </row>
    <row r="867" ht="15.75" customHeight="1">
      <c r="A867" s="79"/>
      <c r="B867" s="79"/>
      <c r="C867" s="79"/>
      <c r="D867" s="79"/>
      <c r="E867" s="79"/>
      <c r="F867" s="79"/>
      <c r="G867" s="79"/>
      <c r="H867" s="79"/>
      <c r="I867" s="79"/>
      <c r="J867" s="79"/>
      <c r="K867" s="79"/>
      <c r="L867" s="79"/>
      <c r="M867" s="79"/>
      <c r="N867" s="79"/>
      <c r="O867" s="79"/>
      <c r="P867" s="79"/>
      <c r="Q867" s="80"/>
      <c r="R867" s="80"/>
      <c r="S867" s="79"/>
      <c r="T867" s="79"/>
      <c r="U867" s="79"/>
      <c r="V867" s="79"/>
      <c r="W867" s="79"/>
      <c r="X867" s="79"/>
      <c r="Y867" s="79"/>
      <c r="Z867" s="79"/>
      <c r="AA867" s="79"/>
      <c r="AB867" s="79"/>
      <c r="AC867" s="81"/>
      <c r="AD867" s="79"/>
      <c r="AE867" s="79"/>
    </row>
    <row r="868" ht="15.75" customHeight="1">
      <c r="A868" s="79"/>
      <c r="B868" s="79"/>
      <c r="C868" s="79"/>
      <c r="D868" s="79"/>
      <c r="E868" s="79"/>
      <c r="F868" s="79"/>
      <c r="G868" s="79"/>
      <c r="H868" s="79"/>
      <c r="I868" s="79"/>
      <c r="J868" s="79"/>
      <c r="K868" s="79"/>
      <c r="L868" s="79"/>
      <c r="M868" s="79"/>
      <c r="N868" s="79"/>
      <c r="O868" s="79"/>
      <c r="P868" s="79"/>
      <c r="Q868" s="80"/>
      <c r="R868" s="80"/>
      <c r="S868" s="79"/>
      <c r="T868" s="79"/>
      <c r="U868" s="79"/>
      <c r="V868" s="79"/>
      <c r="W868" s="79"/>
      <c r="X868" s="79"/>
      <c r="Y868" s="79"/>
      <c r="Z868" s="79"/>
      <c r="AA868" s="79"/>
      <c r="AB868" s="79"/>
      <c r="AC868" s="81"/>
      <c r="AD868" s="79"/>
      <c r="AE868" s="79"/>
    </row>
    <row r="869" ht="15.75" customHeight="1">
      <c r="A869" s="79"/>
      <c r="B869" s="79"/>
      <c r="C869" s="79"/>
      <c r="D869" s="79"/>
      <c r="E869" s="79"/>
      <c r="F869" s="79"/>
      <c r="G869" s="79"/>
      <c r="H869" s="79"/>
      <c r="I869" s="79"/>
      <c r="J869" s="79"/>
      <c r="K869" s="79"/>
      <c r="L869" s="79"/>
      <c r="M869" s="79"/>
      <c r="N869" s="79"/>
      <c r="O869" s="79"/>
      <c r="P869" s="79"/>
      <c r="Q869" s="80"/>
      <c r="R869" s="80"/>
      <c r="S869" s="79"/>
      <c r="T869" s="79"/>
      <c r="U869" s="79"/>
      <c r="V869" s="79"/>
      <c r="W869" s="79"/>
      <c r="X869" s="79"/>
      <c r="Y869" s="79"/>
      <c r="Z869" s="79"/>
      <c r="AA869" s="79"/>
      <c r="AB869" s="79"/>
      <c r="AC869" s="81"/>
      <c r="AD869" s="79"/>
      <c r="AE869" s="79"/>
    </row>
    <row r="870" ht="15.75" customHeight="1">
      <c r="A870" s="79"/>
      <c r="B870" s="79"/>
      <c r="C870" s="79"/>
      <c r="D870" s="79"/>
      <c r="E870" s="79"/>
      <c r="F870" s="79"/>
      <c r="G870" s="79"/>
      <c r="H870" s="79"/>
      <c r="I870" s="79"/>
      <c r="J870" s="79"/>
      <c r="K870" s="79"/>
      <c r="L870" s="79"/>
      <c r="M870" s="79"/>
      <c r="N870" s="79"/>
      <c r="O870" s="79"/>
      <c r="P870" s="79"/>
      <c r="Q870" s="80"/>
      <c r="R870" s="80"/>
      <c r="S870" s="79"/>
      <c r="T870" s="79"/>
      <c r="U870" s="79"/>
      <c r="V870" s="79"/>
      <c r="W870" s="79"/>
      <c r="X870" s="79"/>
      <c r="Y870" s="79"/>
      <c r="Z870" s="79"/>
      <c r="AA870" s="79"/>
      <c r="AB870" s="79"/>
      <c r="AC870" s="81"/>
      <c r="AD870" s="79"/>
      <c r="AE870" s="79"/>
    </row>
    <row r="871" ht="15.75" customHeight="1">
      <c r="A871" s="79"/>
      <c r="B871" s="79"/>
      <c r="C871" s="79"/>
      <c r="D871" s="79"/>
      <c r="E871" s="79"/>
      <c r="F871" s="79"/>
      <c r="G871" s="79"/>
      <c r="H871" s="79"/>
      <c r="I871" s="79"/>
      <c r="J871" s="79"/>
      <c r="K871" s="79"/>
      <c r="L871" s="79"/>
      <c r="M871" s="79"/>
      <c r="N871" s="79"/>
      <c r="O871" s="79"/>
      <c r="P871" s="79"/>
      <c r="Q871" s="80"/>
      <c r="R871" s="80"/>
      <c r="S871" s="79"/>
      <c r="T871" s="79"/>
      <c r="U871" s="79"/>
      <c r="V871" s="79"/>
      <c r="W871" s="79"/>
      <c r="X871" s="79"/>
      <c r="Y871" s="79"/>
      <c r="Z871" s="79"/>
      <c r="AA871" s="79"/>
      <c r="AB871" s="79"/>
      <c r="AC871" s="81"/>
      <c r="AD871" s="79"/>
      <c r="AE871" s="79"/>
    </row>
    <row r="872" ht="15.75" customHeight="1">
      <c r="A872" s="79"/>
      <c r="B872" s="79"/>
      <c r="C872" s="79"/>
      <c r="D872" s="79"/>
      <c r="E872" s="79"/>
      <c r="F872" s="79"/>
      <c r="G872" s="79"/>
      <c r="H872" s="79"/>
      <c r="I872" s="79"/>
      <c r="J872" s="79"/>
      <c r="K872" s="79"/>
      <c r="L872" s="79"/>
      <c r="M872" s="79"/>
      <c r="N872" s="79"/>
      <c r="O872" s="79"/>
      <c r="P872" s="79"/>
      <c r="Q872" s="80"/>
      <c r="R872" s="80"/>
      <c r="S872" s="79"/>
      <c r="T872" s="79"/>
      <c r="U872" s="79"/>
      <c r="V872" s="79"/>
      <c r="W872" s="79"/>
      <c r="X872" s="79"/>
      <c r="Y872" s="79"/>
      <c r="Z872" s="79"/>
      <c r="AA872" s="79"/>
      <c r="AB872" s="79"/>
      <c r="AC872" s="81"/>
      <c r="AD872" s="79"/>
      <c r="AE872" s="79"/>
    </row>
    <row r="873" ht="15.75" customHeight="1">
      <c r="A873" s="79"/>
      <c r="B873" s="79"/>
      <c r="C873" s="79"/>
      <c r="D873" s="79"/>
      <c r="E873" s="79"/>
      <c r="F873" s="79"/>
      <c r="G873" s="79"/>
      <c r="H873" s="79"/>
      <c r="I873" s="79"/>
      <c r="J873" s="79"/>
      <c r="K873" s="79"/>
      <c r="L873" s="79"/>
      <c r="M873" s="79"/>
      <c r="N873" s="79"/>
      <c r="O873" s="79"/>
      <c r="P873" s="79"/>
      <c r="Q873" s="80"/>
      <c r="R873" s="80"/>
      <c r="S873" s="79"/>
      <c r="T873" s="79"/>
      <c r="U873" s="79"/>
      <c r="V873" s="79"/>
      <c r="W873" s="79"/>
      <c r="X873" s="79"/>
      <c r="Y873" s="79"/>
      <c r="Z873" s="79"/>
      <c r="AA873" s="79"/>
      <c r="AB873" s="79"/>
      <c r="AC873" s="81"/>
      <c r="AD873" s="79"/>
      <c r="AE873" s="79"/>
    </row>
    <row r="874" ht="15.75" customHeight="1">
      <c r="A874" s="79"/>
      <c r="B874" s="79"/>
      <c r="C874" s="79"/>
      <c r="D874" s="79"/>
      <c r="E874" s="79"/>
      <c r="F874" s="79"/>
      <c r="G874" s="79"/>
      <c r="H874" s="79"/>
      <c r="I874" s="79"/>
      <c r="J874" s="79"/>
      <c r="K874" s="79"/>
      <c r="L874" s="79"/>
      <c r="M874" s="79"/>
      <c r="N874" s="79"/>
      <c r="O874" s="79"/>
      <c r="P874" s="79"/>
      <c r="Q874" s="80"/>
      <c r="R874" s="80"/>
      <c r="S874" s="79"/>
      <c r="T874" s="79"/>
      <c r="U874" s="79"/>
      <c r="V874" s="79"/>
      <c r="W874" s="79"/>
      <c r="X874" s="79"/>
      <c r="Y874" s="79"/>
      <c r="Z874" s="79"/>
      <c r="AA874" s="79"/>
      <c r="AB874" s="79"/>
      <c r="AC874" s="81"/>
      <c r="AD874" s="79"/>
      <c r="AE874" s="79"/>
    </row>
    <row r="875" ht="15.75" customHeight="1">
      <c r="A875" s="79"/>
      <c r="B875" s="79"/>
      <c r="C875" s="79"/>
      <c r="D875" s="79"/>
      <c r="E875" s="79"/>
      <c r="F875" s="79"/>
      <c r="G875" s="79"/>
      <c r="H875" s="79"/>
      <c r="I875" s="79"/>
      <c r="J875" s="79"/>
      <c r="K875" s="79"/>
      <c r="L875" s="79"/>
      <c r="M875" s="79"/>
      <c r="N875" s="79"/>
      <c r="O875" s="79"/>
      <c r="P875" s="79"/>
      <c r="Q875" s="80"/>
      <c r="R875" s="80"/>
      <c r="S875" s="79"/>
      <c r="T875" s="79"/>
      <c r="U875" s="79"/>
      <c r="V875" s="79"/>
      <c r="W875" s="79"/>
      <c r="X875" s="79"/>
      <c r="Y875" s="79"/>
      <c r="Z875" s="79"/>
      <c r="AA875" s="79"/>
      <c r="AB875" s="79"/>
      <c r="AC875" s="81"/>
      <c r="AD875" s="79"/>
      <c r="AE875" s="79"/>
    </row>
    <row r="876" ht="15.75" customHeight="1">
      <c r="A876" s="79"/>
      <c r="B876" s="79"/>
      <c r="C876" s="79"/>
      <c r="D876" s="79"/>
      <c r="E876" s="79"/>
      <c r="F876" s="79"/>
      <c r="G876" s="79"/>
      <c r="H876" s="79"/>
      <c r="I876" s="79"/>
      <c r="J876" s="79"/>
      <c r="K876" s="79"/>
      <c r="L876" s="79"/>
      <c r="M876" s="79"/>
      <c r="N876" s="79"/>
      <c r="O876" s="79"/>
      <c r="P876" s="79"/>
      <c r="Q876" s="80"/>
      <c r="R876" s="80"/>
      <c r="S876" s="79"/>
      <c r="T876" s="79"/>
      <c r="U876" s="79"/>
      <c r="V876" s="79"/>
      <c r="W876" s="79"/>
      <c r="X876" s="79"/>
      <c r="Y876" s="79"/>
      <c r="Z876" s="79"/>
      <c r="AA876" s="79"/>
      <c r="AB876" s="79"/>
      <c r="AC876" s="81"/>
      <c r="AD876" s="79"/>
      <c r="AE876" s="79"/>
    </row>
    <row r="877" ht="15.75" customHeight="1">
      <c r="A877" s="79"/>
      <c r="B877" s="79"/>
      <c r="C877" s="79"/>
      <c r="D877" s="79"/>
      <c r="E877" s="79"/>
      <c r="F877" s="79"/>
      <c r="G877" s="79"/>
      <c r="H877" s="79"/>
      <c r="I877" s="79"/>
      <c r="J877" s="79"/>
      <c r="K877" s="79"/>
      <c r="L877" s="79"/>
      <c r="M877" s="79"/>
      <c r="N877" s="79"/>
      <c r="O877" s="79"/>
      <c r="P877" s="79"/>
      <c r="Q877" s="80"/>
      <c r="R877" s="80"/>
      <c r="S877" s="79"/>
      <c r="T877" s="79"/>
      <c r="U877" s="79"/>
      <c r="V877" s="79"/>
      <c r="W877" s="79"/>
      <c r="X877" s="79"/>
      <c r="Y877" s="79"/>
      <c r="Z877" s="79"/>
      <c r="AA877" s="79"/>
      <c r="AB877" s="79"/>
      <c r="AC877" s="81"/>
      <c r="AD877" s="79"/>
      <c r="AE877" s="79"/>
    </row>
    <row r="878" ht="15.75" customHeight="1">
      <c r="A878" s="79"/>
      <c r="B878" s="79"/>
      <c r="C878" s="79"/>
      <c r="D878" s="79"/>
      <c r="E878" s="79"/>
      <c r="F878" s="79"/>
      <c r="G878" s="79"/>
      <c r="H878" s="79"/>
      <c r="I878" s="79"/>
      <c r="J878" s="79"/>
      <c r="K878" s="79"/>
      <c r="L878" s="79"/>
      <c r="M878" s="79"/>
      <c r="N878" s="79"/>
      <c r="O878" s="79"/>
      <c r="P878" s="79"/>
      <c r="Q878" s="80"/>
      <c r="R878" s="80"/>
      <c r="S878" s="79"/>
      <c r="T878" s="79"/>
      <c r="U878" s="79"/>
      <c r="V878" s="79"/>
      <c r="W878" s="79"/>
      <c r="X878" s="79"/>
      <c r="Y878" s="79"/>
      <c r="Z878" s="79"/>
      <c r="AA878" s="79"/>
      <c r="AB878" s="79"/>
      <c r="AC878" s="81"/>
      <c r="AD878" s="79"/>
      <c r="AE878" s="79"/>
    </row>
    <row r="879" ht="15.75" customHeight="1">
      <c r="A879" s="79"/>
      <c r="B879" s="79"/>
      <c r="C879" s="79"/>
      <c r="D879" s="79"/>
      <c r="E879" s="79"/>
      <c r="F879" s="79"/>
      <c r="G879" s="79"/>
      <c r="H879" s="79"/>
      <c r="I879" s="79"/>
      <c r="J879" s="79"/>
      <c r="K879" s="79"/>
      <c r="L879" s="79"/>
      <c r="M879" s="79"/>
      <c r="N879" s="79"/>
      <c r="O879" s="79"/>
      <c r="P879" s="79"/>
      <c r="Q879" s="80"/>
      <c r="R879" s="80"/>
      <c r="S879" s="79"/>
      <c r="T879" s="79"/>
      <c r="U879" s="79"/>
      <c r="V879" s="79"/>
      <c r="W879" s="79"/>
      <c r="X879" s="79"/>
      <c r="Y879" s="79"/>
      <c r="Z879" s="79"/>
      <c r="AA879" s="79"/>
      <c r="AB879" s="79"/>
      <c r="AC879" s="81"/>
      <c r="AD879" s="79"/>
      <c r="AE879" s="79"/>
    </row>
    <row r="880" ht="15.75" customHeight="1">
      <c r="A880" s="79"/>
      <c r="B880" s="79"/>
      <c r="C880" s="79"/>
      <c r="D880" s="79"/>
      <c r="E880" s="79"/>
      <c r="F880" s="79"/>
      <c r="G880" s="79"/>
      <c r="H880" s="79"/>
      <c r="I880" s="79"/>
      <c r="J880" s="79"/>
      <c r="K880" s="79"/>
      <c r="L880" s="79"/>
      <c r="M880" s="79"/>
      <c r="N880" s="79"/>
      <c r="O880" s="79"/>
      <c r="P880" s="79"/>
      <c r="Q880" s="80"/>
      <c r="R880" s="80"/>
      <c r="S880" s="79"/>
      <c r="T880" s="79"/>
      <c r="U880" s="79"/>
      <c r="V880" s="79"/>
      <c r="W880" s="79"/>
      <c r="X880" s="79"/>
      <c r="Y880" s="79"/>
      <c r="Z880" s="79"/>
      <c r="AA880" s="79"/>
      <c r="AB880" s="79"/>
      <c r="AC880" s="81"/>
      <c r="AD880" s="79"/>
      <c r="AE880" s="79"/>
    </row>
    <row r="881" ht="15.75" customHeight="1">
      <c r="A881" s="79"/>
      <c r="B881" s="79"/>
      <c r="C881" s="79"/>
      <c r="D881" s="79"/>
      <c r="E881" s="79"/>
      <c r="F881" s="79"/>
      <c r="G881" s="79"/>
      <c r="H881" s="79"/>
      <c r="I881" s="79"/>
      <c r="J881" s="79"/>
      <c r="K881" s="79"/>
      <c r="L881" s="79"/>
      <c r="M881" s="79"/>
      <c r="N881" s="79"/>
      <c r="O881" s="79"/>
      <c r="P881" s="79"/>
      <c r="Q881" s="80"/>
      <c r="R881" s="80"/>
      <c r="S881" s="79"/>
      <c r="T881" s="79"/>
      <c r="U881" s="79"/>
      <c r="V881" s="79"/>
      <c r="W881" s="79"/>
      <c r="X881" s="79"/>
      <c r="Y881" s="79"/>
      <c r="Z881" s="79"/>
      <c r="AA881" s="79"/>
      <c r="AB881" s="79"/>
      <c r="AC881" s="81"/>
      <c r="AD881" s="79"/>
      <c r="AE881" s="79"/>
    </row>
    <row r="882" ht="15.75" customHeight="1">
      <c r="A882" s="79"/>
      <c r="B882" s="79"/>
      <c r="C882" s="79"/>
      <c r="D882" s="79"/>
      <c r="E882" s="79"/>
      <c r="F882" s="79"/>
      <c r="G882" s="79"/>
      <c r="H882" s="79"/>
      <c r="I882" s="79"/>
      <c r="J882" s="79"/>
      <c r="K882" s="79"/>
      <c r="L882" s="79"/>
      <c r="M882" s="79"/>
      <c r="N882" s="79"/>
      <c r="O882" s="79"/>
      <c r="P882" s="79"/>
      <c r="Q882" s="80"/>
      <c r="R882" s="80"/>
      <c r="S882" s="79"/>
      <c r="T882" s="79"/>
      <c r="U882" s="79"/>
      <c r="V882" s="79"/>
      <c r="W882" s="79"/>
      <c r="X882" s="79"/>
      <c r="Y882" s="79"/>
      <c r="Z882" s="79"/>
      <c r="AA882" s="79"/>
      <c r="AB882" s="79"/>
      <c r="AC882" s="81"/>
      <c r="AD882" s="79"/>
      <c r="AE882" s="79"/>
    </row>
    <row r="883" ht="15.75" customHeight="1">
      <c r="A883" s="79"/>
      <c r="B883" s="79"/>
      <c r="C883" s="79"/>
      <c r="D883" s="79"/>
      <c r="E883" s="79"/>
      <c r="F883" s="79"/>
      <c r="G883" s="79"/>
      <c r="H883" s="79"/>
      <c r="I883" s="79"/>
      <c r="J883" s="79"/>
      <c r="K883" s="79"/>
      <c r="L883" s="79"/>
      <c r="M883" s="79"/>
      <c r="N883" s="79"/>
      <c r="O883" s="79"/>
      <c r="P883" s="79"/>
      <c r="Q883" s="80"/>
      <c r="R883" s="80"/>
      <c r="S883" s="79"/>
      <c r="T883" s="79"/>
      <c r="U883" s="79"/>
      <c r="V883" s="79"/>
      <c r="W883" s="79"/>
      <c r="X883" s="79"/>
      <c r="Y883" s="79"/>
      <c r="Z883" s="79"/>
      <c r="AA883" s="79"/>
      <c r="AB883" s="79"/>
      <c r="AC883" s="81"/>
      <c r="AD883" s="79"/>
      <c r="AE883" s="79"/>
    </row>
    <row r="884" ht="15.75" customHeight="1">
      <c r="A884" s="79"/>
      <c r="B884" s="79"/>
      <c r="C884" s="79"/>
      <c r="D884" s="79"/>
      <c r="E884" s="79"/>
      <c r="F884" s="79"/>
      <c r="G884" s="79"/>
      <c r="H884" s="79"/>
      <c r="I884" s="79"/>
      <c r="J884" s="79"/>
      <c r="K884" s="79"/>
      <c r="L884" s="79"/>
      <c r="M884" s="79"/>
      <c r="N884" s="79"/>
      <c r="O884" s="79"/>
      <c r="P884" s="79"/>
      <c r="Q884" s="80"/>
      <c r="R884" s="80"/>
      <c r="S884" s="79"/>
      <c r="T884" s="79"/>
      <c r="U884" s="79"/>
      <c r="V884" s="79"/>
      <c r="W884" s="79"/>
      <c r="X884" s="79"/>
      <c r="Y884" s="79"/>
      <c r="Z884" s="79"/>
      <c r="AA884" s="79"/>
      <c r="AB884" s="79"/>
      <c r="AC884" s="81"/>
      <c r="AD884" s="79"/>
      <c r="AE884" s="79"/>
    </row>
    <row r="885" ht="15.75" customHeight="1">
      <c r="A885" s="79"/>
      <c r="B885" s="79"/>
      <c r="C885" s="79"/>
      <c r="D885" s="79"/>
      <c r="E885" s="79"/>
      <c r="F885" s="79"/>
      <c r="G885" s="79"/>
      <c r="H885" s="79"/>
      <c r="I885" s="79"/>
      <c r="J885" s="79"/>
      <c r="K885" s="79"/>
      <c r="L885" s="79"/>
      <c r="M885" s="79"/>
      <c r="N885" s="79"/>
      <c r="O885" s="79"/>
      <c r="P885" s="79"/>
      <c r="Q885" s="80"/>
      <c r="R885" s="80"/>
      <c r="S885" s="79"/>
      <c r="T885" s="79"/>
      <c r="U885" s="79"/>
      <c r="V885" s="79"/>
      <c r="W885" s="79"/>
      <c r="X885" s="79"/>
      <c r="Y885" s="79"/>
      <c r="Z885" s="79"/>
      <c r="AA885" s="79"/>
      <c r="AB885" s="79"/>
      <c r="AC885" s="81"/>
      <c r="AD885" s="79"/>
      <c r="AE885" s="79"/>
    </row>
    <row r="886" ht="15.75" customHeight="1">
      <c r="A886" s="79"/>
      <c r="B886" s="79"/>
      <c r="C886" s="79"/>
      <c r="D886" s="79"/>
      <c r="E886" s="79"/>
      <c r="F886" s="79"/>
      <c r="G886" s="79"/>
      <c r="H886" s="79"/>
      <c r="I886" s="79"/>
      <c r="J886" s="79"/>
      <c r="K886" s="79"/>
      <c r="L886" s="79"/>
      <c r="M886" s="79"/>
      <c r="N886" s="79"/>
      <c r="O886" s="79"/>
      <c r="P886" s="79"/>
      <c r="Q886" s="80"/>
      <c r="R886" s="80"/>
      <c r="S886" s="79"/>
      <c r="T886" s="79"/>
      <c r="U886" s="79"/>
      <c r="V886" s="79"/>
      <c r="W886" s="79"/>
      <c r="X886" s="79"/>
      <c r="Y886" s="79"/>
      <c r="Z886" s="79"/>
      <c r="AA886" s="79"/>
      <c r="AB886" s="79"/>
      <c r="AC886" s="81"/>
      <c r="AD886" s="79"/>
      <c r="AE886" s="79"/>
    </row>
    <row r="887" ht="15.75" customHeight="1">
      <c r="A887" s="79"/>
      <c r="B887" s="79"/>
      <c r="C887" s="79"/>
      <c r="D887" s="79"/>
      <c r="E887" s="79"/>
      <c r="F887" s="79"/>
      <c r="G887" s="79"/>
      <c r="H887" s="79"/>
      <c r="I887" s="79"/>
      <c r="J887" s="79"/>
      <c r="K887" s="79"/>
      <c r="L887" s="79"/>
      <c r="M887" s="79"/>
      <c r="N887" s="79"/>
      <c r="O887" s="79"/>
      <c r="P887" s="79"/>
      <c r="Q887" s="80"/>
      <c r="R887" s="80"/>
      <c r="S887" s="79"/>
      <c r="T887" s="79"/>
      <c r="U887" s="79"/>
      <c r="V887" s="79"/>
      <c r="W887" s="79"/>
      <c r="X887" s="79"/>
      <c r="Y887" s="79"/>
      <c r="Z887" s="79"/>
      <c r="AA887" s="79"/>
      <c r="AB887" s="79"/>
      <c r="AC887" s="81"/>
      <c r="AD887" s="79"/>
      <c r="AE887" s="79"/>
    </row>
    <row r="888" ht="15.75" customHeight="1">
      <c r="A888" s="79"/>
      <c r="B888" s="79"/>
      <c r="C888" s="79"/>
      <c r="D888" s="79"/>
      <c r="E888" s="79"/>
      <c r="F888" s="79"/>
      <c r="G888" s="79"/>
      <c r="H888" s="79"/>
      <c r="I888" s="79"/>
      <c r="J888" s="79"/>
      <c r="K888" s="79"/>
      <c r="L888" s="79"/>
      <c r="M888" s="79"/>
      <c r="N888" s="79"/>
      <c r="O888" s="79"/>
      <c r="P888" s="79"/>
      <c r="Q888" s="80"/>
      <c r="R888" s="80"/>
      <c r="S888" s="79"/>
      <c r="T888" s="79"/>
      <c r="U888" s="79"/>
      <c r="V888" s="79"/>
      <c r="W888" s="79"/>
      <c r="X888" s="79"/>
      <c r="Y888" s="79"/>
      <c r="Z888" s="79"/>
      <c r="AA888" s="79"/>
      <c r="AB888" s="79"/>
      <c r="AC888" s="81"/>
      <c r="AD888" s="79"/>
      <c r="AE888" s="79"/>
    </row>
    <row r="889" ht="15.75" customHeight="1">
      <c r="A889" s="79"/>
      <c r="B889" s="79"/>
      <c r="C889" s="79"/>
      <c r="D889" s="79"/>
      <c r="E889" s="79"/>
      <c r="F889" s="79"/>
      <c r="G889" s="79"/>
      <c r="H889" s="79"/>
      <c r="I889" s="79"/>
      <c r="J889" s="79"/>
      <c r="K889" s="79"/>
      <c r="L889" s="79"/>
      <c r="M889" s="79"/>
      <c r="N889" s="79"/>
      <c r="O889" s="79"/>
      <c r="P889" s="79"/>
      <c r="Q889" s="80"/>
      <c r="R889" s="80"/>
      <c r="S889" s="79"/>
      <c r="T889" s="79"/>
      <c r="U889" s="79"/>
      <c r="V889" s="79"/>
      <c r="W889" s="79"/>
      <c r="X889" s="79"/>
      <c r="Y889" s="79"/>
      <c r="Z889" s="79"/>
      <c r="AA889" s="79"/>
      <c r="AB889" s="79"/>
      <c r="AC889" s="81"/>
      <c r="AD889" s="79"/>
      <c r="AE889" s="79"/>
    </row>
    <row r="890" ht="15.75" customHeight="1">
      <c r="A890" s="79"/>
      <c r="B890" s="79"/>
      <c r="C890" s="79"/>
      <c r="D890" s="79"/>
      <c r="E890" s="79"/>
      <c r="F890" s="79"/>
      <c r="G890" s="79"/>
      <c r="H890" s="79"/>
      <c r="I890" s="79"/>
      <c r="J890" s="79"/>
      <c r="K890" s="79"/>
      <c r="L890" s="79"/>
      <c r="M890" s="79"/>
      <c r="N890" s="79"/>
      <c r="O890" s="79"/>
      <c r="P890" s="79"/>
      <c r="Q890" s="80"/>
      <c r="R890" s="80"/>
      <c r="S890" s="79"/>
      <c r="T890" s="79"/>
      <c r="U890" s="79"/>
      <c r="V890" s="79"/>
      <c r="W890" s="79"/>
      <c r="X890" s="79"/>
      <c r="Y890" s="79"/>
      <c r="Z890" s="79"/>
      <c r="AA890" s="79"/>
      <c r="AB890" s="79"/>
      <c r="AC890" s="81"/>
      <c r="AD890" s="79"/>
      <c r="AE890" s="79"/>
    </row>
    <row r="891" ht="15.75" customHeight="1">
      <c r="A891" s="79"/>
      <c r="B891" s="79"/>
      <c r="C891" s="79"/>
      <c r="D891" s="79"/>
      <c r="E891" s="79"/>
      <c r="F891" s="79"/>
      <c r="G891" s="79"/>
      <c r="H891" s="79"/>
      <c r="I891" s="79"/>
      <c r="J891" s="79"/>
      <c r="K891" s="79"/>
      <c r="L891" s="79"/>
      <c r="M891" s="79"/>
      <c r="N891" s="79"/>
      <c r="O891" s="79"/>
      <c r="P891" s="79"/>
      <c r="Q891" s="80"/>
      <c r="R891" s="80"/>
      <c r="S891" s="79"/>
      <c r="T891" s="79"/>
      <c r="U891" s="79"/>
      <c r="V891" s="79"/>
      <c r="W891" s="79"/>
      <c r="X891" s="79"/>
      <c r="Y891" s="79"/>
      <c r="Z891" s="79"/>
      <c r="AA891" s="79"/>
      <c r="AB891" s="79"/>
      <c r="AC891" s="81"/>
      <c r="AD891" s="79"/>
      <c r="AE891" s="79"/>
    </row>
    <row r="892" ht="15.75" customHeight="1">
      <c r="A892" s="79"/>
      <c r="B892" s="79"/>
      <c r="C892" s="79"/>
      <c r="D892" s="79"/>
      <c r="E892" s="79"/>
      <c r="F892" s="79"/>
      <c r="G892" s="79"/>
      <c r="H892" s="79"/>
      <c r="I892" s="79"/>
      <c r="J892" s="79"/>
      <c r="K892" s="79"/>
      <c r="L892" s="79"/>
      <c r="M892" s="79"/>
      <c r="N892" s="79"/>
      <c r="O892" s="79"/>
      <c r="P892" s="79"/>
      <c r="Q892" s="80"/>
      <c r="R892" s="80"/>
      <c r="S892" s="79"/>
      <c r="T892" s="79"/>
      <c r="U892" s="79"/>
      <c r="V892" s="79"/>
      <c r="W892" s="79"/>
      <c r="X892" s="79"/>
      <c r="Y892" s="79"/>
      <c r="Z892" s="79"/>
      <c r="AA892" s="79"/>
      <c r="AB892" s="79"/>
      <c r="AC892" s="81"/>
      <c r="AD892" s="79"/>
      <c r="AE892" s="79"/>
    </row>
    <row r="893" ht="15.75" customHeight="1">
      <c r="A893" s="79"/>
      <c r="B893" s="79"/>
      <c r="C893" s="79"/>
      <c r="D893" s="79"/>
      <c r="E893" s="79"/>
      <c r="F893" s="79"/>
      <c r="G893" s="79"/>
      <c r="H893" s="79"/>
      <c r="I893" s="79"/>
      <c r="J893" s="79"/>
      <c r="K893" s="79"/>
      <c r="L893" s="79"/>
      <c r="M893" s="79"/>
      <c r="N893" s="79"/>
      <c r="O893" s="79"/>
      <c r="P893" s="79"/>
      <c r="Q893" s="80"/>
      <c r="R893" s="80"/>
      <c r="S893" s="79"/>
      <c r="T893" s="79"/>
      <c r="U893" s="79"/>
      <c r="V893" s="79"/>
      <c r="W893" s="79"/>
      <c r="X893" s="79"/>
      <c r="Y893" s="79"/>
      <c r="Z893" s="79"/>
      <c r="AA893" s="79"/>
      <c r="AB893" s="79"/>
      <c r="AC893" s="81"/>
      <c r="AD893" s="79"/>
      <c r="AE893" s="79"/>
    </row>
    <row r="894" ht="15.75" customHeight="1">
      <c r="A894" s="79"/>
      <c r="B894" s="79"/>
      <c r="C894" s="79"/>
      <c r="D894" s="79"/>
      <c r="E894" s="79"/>
      <c r="F894" s="79"/>
      <c r="G894" s="79"/>
      <c r="H894" s="79"/>
      <c r="I894" s="79"/>
      <c r="J894" s="79"/>
      <c r="K894" s="79"/>
      <c r="L894" s="79"/>
      <c r="M894" s="79"/>
      <c r="N894" s="79"/>
      <c r="O894" s="79"/>
      <c r="P894" s="79"/>
      <c r="Q894" s="80"/>
      <c r="R894" s="80"/>
      <c r="S894" s="79"/>
      <c r="T894" s="79"/>
      <c r="U894" s="79"/>
      <c r="V894" s="79"/>
      <c r="W894" s="79"/>
      <c r="X894" s="79"/>
      <c r="Y894" s="79"/>
      <c r="Z894" s="79"/>
      <c r="AA894" s="79"/>
      <c r="AB894" s="79"/>
      <c r="AC894" s="81"/>
      <c r="AD894" s="79"/>
      <c r="AE894" s="79"/>
    </row>
    <row r="895" ht="15.75" customHeight="1">
      <c r="A895" s="79"/>
      <c r="B895" s="79"/>
      <c r="C895" s="79"/>
      <c r="D895" s="79"/>
      <c r="E895" s="79"/>
      <c r="F895" s="79"/>
      <c r="G895" s="79"/>
      <c r="H895" s="79"/>
      <c r="I895" s="79"/>
      <c r="J895" s="79"/>
      <c r="K895" s="79"/>
      <c r="L895" s="79"/>
      <c r="M895" s="79"/>
      <c r="N895" s="79"/>
      <c r="O895" s="79"/>
      <c r="P895" s="79"/>
      <c r="Q895" s="80"/>
      <c r="R895" s="80"/>
      <c r="S895" s="79"/>
      <c r="T895" s="79"/>
      <c r="U895" s="79"/>
      <c r="V895" s="79"/>
      <c r="W895" s="79"/>
      <c r="X895" s="79"/>
      <c r="Y895" s="79"/>
      <c r="Z895" s="79"/>
      <c r="AA895" s="79"/>
      <c r="AB895" s="79"/>
      <c r="AC895" s="81"/>
      <c r="AD895" s="79"/>
      <c r="AE895" s="79"/>
    </row>
    <row r="896" ht="15.75" customHeight="1">
      <c r="A896" s="79"/>
      <c r="B896" s="79"/>
      <c r="C896" s="79"/>
      <c r="D896" s="79"/>
      <c r="E896" s="79"/>
      <c r="F896" s="79"/>
      <c r="G896" s="79"/>
      <c r="H896" s="79"/>
      <c r="I896" s="79"/>
      <c r="J896" s="79"/>
      <c r="K896" s="79"/>
      <c r="L896" s="79"/>
      <c r="M896" s="79"/>
      <c r="N896" s="79"/>
      <c r="O896" s="79"/>
      <c r="P896" s="79"/>
      <c r="Q896" s="80"/>
      <c r="R896" s="80"/>
      <c r="S896" s="79"/>
      <c r="T896" s="79"/>
      <c r="U896" s="79"/>
      <c r="V896" s="79"/>
      <c r="W896" s="79"/>
      <c r="X896" s="79"/>
      <c r="Y896" s="79"/>
      <c r="Z896" s="79"/>
      <c r="AA896" s="79"/>
      <c r="AB896" s="79"/>
      <c r="AC896" s="81"/>
      <c r="AD896" s="79"/>
      <c r="AE896" s="79"/>
    </row>
    <row r="897" ht="15.75" customHeight="1">
      <c r="A897" s="79"/>
      <c r="B897" s="79"/>
      <c r="C897" s="79"/>
      <c r="D897" s="79"/>
      <c r="E897" s="79"/>
      <c r="F897" s="79"/>
      <c r="G897" s="79"/>
      <c r="H897" s="79"/>
      <c r="I897" s="79"/>
      <c r="J897" s="79"/>
      <c r="K897" s="79"/>
      <c r="L897" s="79"/>
      <c r="M897" s="79"/>
      <c r="N897" s="79"/>
      <c r="O897" s="79"/>
      <c r="P897" s="79"/>
      <c r="Q897" s="80"/>
      <c r="R897" s="80"/>
      <c r="S897" s="79"/>
      <c r="T897" s="79"/>
      <c r="U897" s="79"/>
      <c r="V897" s="79"/>
      <c r="W897" s="79"/>
      <c r="X897" s="79"/>
      <c r="Y897" s="79"/>
      <c r="Z897" s="79"/>
      <c r="AA897" s="79"/>
      <c r="AB897" s="79"/>
      <c r="AC897" s="81"/>
      <c r="AD897" s="79"/>
      <c r="AE897" s="79"/>
    </row>
    <row r="898" ht="15.75" customHeight="1">
      <c r="A898" s="79"/>
      <c r="B898" s="79"/>
      <c r="C898" s="79"/>
      <c r="D898" s="79"/>
      <c r="E898" s="79"/>
      <c r="F898" s="79"/>
      <c r="G898" s="79"/>
      <c r="H898" s="79"/>
      <c r="I898" s="79"/>
      <c r="J898" s="79"/>
      <c r="K898" s="79"/>
      <c r="L898" s="79"/>
      <c r="M898" s="79"/>
      <c r="N898" s="79"/>
      <c r="O898" s="79"/>
      <c r="P898" s="79"/>
      <c r="Q898" s="80"/>
      <c r="R898" s="80"/>
      <c r="S898" s="79"/>
      <c r="T898" s="79"/>
      <c r="U898" s="79"/>
      <c r="V898" s="79"/>
      <c r="W898" s="79"/>
      <c r="X898" s="79"/>
      <c r="Y898" s="79"/>
      <c r="Z898" s="79"/>
      <c r="AA898" s="79"/>
      <c r="AB898" s="79"/>
      <c r="AC898" s="81"/>
      <c r="AD898" s="79"/>
      <c r="AE898" s="79"/>
    </row>
    <row r="899" ht="15.75" customHeight="1">
      <c r="A899" s="79"/>
      <c r="B899" s="79"/>
      <c r="C899" s="79"/>
      <c r="D899" s="79"/>
      <c r="E899" s="79"/>
      <c r="F899" s="79"/>
      <c r="G899" s="79"/>
      <c r="H899" s="79"/>
      <c r="I899" s="79"/>
      <c r="J899" s="79"/>
      <c r="K899" s="79"/>
      <c r="L899" s="79"/>
      <c r="M899" s="79"/>
      <c r="N899" s="79"/>
      <c r="O899" s="79"/>
      <c r="P899" s="79"/>
      <c r="Q899" s="80"/>
      <c r="R899" s="80"/>
      <c r="S899" s="79"/>
      <c r="T899" s="79"/>
      <c r="U899" s="79"/>
      <c r="V899" s="79"/>
      <c r="W899" s="79"/>
      <c r="X899" s="79"/>
      <c r="Y899" s="79"/>
      <c r="Z899" s="79"/>
      <c r="AA899" s="79"/>
      <c r="AB899" s="79"/>
      <c r="AC899" s="81"/>
      <c r="AD899" s="79"/>
      <c r="AE899" s="79"/>
    </row>
    <row r="900" ht="15.75" customHeight="1">
      <c r="A900" s="79"/>
      <c r="B900" s="79"/>
      <c r="C900" s="79"/>
      <c r="D900" s="79"/>
      <c r="E900" s="79"/>
      <c r="F900" s="79"/>
      <c r="G900" s="79"/>
      <c r="H900" s="79"/>
      <c r="I900" s="79"/>
      <c r="J900" s="79"/>
      <c r="K900" s="79"/>
      <c r="L900" s="79"/>
      <c r="M900" s="79"/>
      <c r="N900" s="79"/>
      <c r="O900" s="79"/>
      <c r="P900" s="79"/>
      <c r="Q900" s="80"/>
      <c r="R900" s="80"/>
      <c r="S900" s="79"/>
      <c r="T900" s="79"/>
      <c r="U900" s="79"/>
      <c r="V900" s="79"/>
      <c r="W900" s="79"/>
      <c r="X900" s="79"/>
      <c r="Y900" s="79"/>
      <c r="Z900" s="79"/>
      <c r="AA900" s="79"/>
      <c r="AB900" s="79"/>
      <c r="AC900" s="81"/>
      <c r="AD900" s="79"/>
      <c r="AE900" s="79"/>
    </row>
    <row r="901" ht="15.75" customHeight="1">
      <c r="A901" s="79"/>
      <c r="B901" s="79"/>
      <c r="C901" s="79"/>
      <c r="D901" s="79"/>
      <c r="E901" s="79"/>
      <c r="F901" s="79"/>
      <c r="G901" s="79"/>
      <c r="H901" s="79"/>
      <c r="I901" s="79"/>
      <c r="J901" s="79"/>
      <c r="K901" s="79"/>
      <c r="L901" s="79"/>
      <c r="M901" s="79"/>
      <c r="N901" s="79"/>
      <c r="O901" s="79"/>
      <c r="P901" s="79"/>
      <c r="Q901" s="80"/>
      <c r="R901" s="80"/>
      <c r="S901" s="79"/>
      <c r="T901" s="79"/>
      <c r="U901" s="79"/>
      <c r="V901" s="79"/>
      <c r="W901" s="79"/>
      <c r="X901" s="79"/>
      <c r="Y901" s="79"/>
      <c r="Z901" s="79"/>
      <c r="AA901" s="79"/>
      <c r="AB901" s="79"/>
      <c r="AC901" s="81"/>
      <c r="AD901" s="79"/>
      <c r="AE901" s="79"/>
    </row>
    <row r="902" ht="15.75" customHeight="1">
      <c r="A902" s="79"/>
      <c r="B902" s="79"/>
      <c r="C902" s="79"/>
      <c r="D902" s="79"/>
      <c r="E902" s="79"/>
      <c r="F902" s="79"/>
      <c r="G902" s="79"/>
      <c r="H902" s="79"/>
      <c r="I902" s="79"/>
      <c r="J902" s="79"/>
      <c r="K902" s="79"/>
      <c r="L902" s="79"/>
      <c r="M902" s="79"/>
      <c r="N902" s="79"/>
      <c r="O902" s="79"/>
      <c r="P902" s="79"/>
      <c r="Q902" s="80"/>
      <c r="R902" s="80"/>
      <c r="S902" s="79"/>
      <c r="T902" s="79"/>
      <c r="U902" s="79"/>
      <c r="V902" s="79"/>
      <c r="W902" s="79"/>
      <c r="X902" s="79"/>
      <c r="Y902" s="79"/>
      <c r="Z902" s="79"/>
      <c r="AA902" s="79"/>
      <c r="AB902" s="79"/>
      <c r="AC902" s="81"/>
      <c r="AD902" s="79"/>
      <c r="AE902" s="79"/>
    </row>
    <row r="903" ht="15.75" customHeight="1">
      <c r="A903" s="79"/>
      <c r="B903" s="79"/>
      <c r="C903" s="79"/>
      <c r="D903" s="79"/>
      <c r="E903" s="79"/>
      <c r="F903" s="79"/>
      <c r="G903" s="79"/>
      <c r="H903" s="79"/>
      <c r="I903" s="79"/>
      <c r="J903" s="79"/>
      <c r="K903" s="79"/>
      <c r="L903" s="79"/>
      <c r="M903" s="79"/>
      <c r="N903" s="79"/>
      <c r="O903" s="79"/>
      <c r="P903" s="79"/>
      <c r="Q903" s="80"/>
      <c r="R903" s="80"/>
      <c r="S903" s="79"/>
      <c r="T903" s="79"/>
      <c r="U903" s="79"/>
      <c r="V903" s="79"/>
      <c r="W903" s="79"/>
      <c r="X903" s="79"/>
      <c r="Y903" s="79"/>
      <c r="Z903" s="79"/>
      <c r="AA903" s="79"/>
      <c r="AB903" s="79"/>
      <c r="AC903" s="81"/>
      <c r="AD903" s="79"/>
      <c r="AE903" s="79"/>
    </row>
    <row r="904" ht="15.75" customHeight="1">
      <c r="A904" s="79"/>
      <c r="B904" s="79"/>
      <c r="C904" s="79"/>
      <c r="D904" s="79"/>
      <c r="E904" s="79"/>
      <c r="F904" s="79"/>
      <c r="G904" s="79"/>
      <c r="H904" s="79"/>
      <c r="I904" s="79"/>
      <c r="J904" s="79"/>
      <c r="K904" s="79"/>
      <c r="L904" s="79"/>
      <c r="M904" s="79"/>
      <c r="N904" s="79"/>
      <c r="O904" s="79"/>
      <c r="P904" s="79"/>
      <c r="Q904" s="80"/>
      <c r="R904" s="80"/>
      <c r="S904" s="79"/>
      <c r="T904" s="79"/>
      <c r="U904" s="79"/>
      <c r="V904" s="79"/>
      <c r="W904" s="79"/>
      <c r="X904" s="79"/>
      <c r="Y904" s="79"/>
      <c r="Z904" s="79"/>
      <c r="AA904" s="79"/>
      <c r="AB904" s="79"/>
      <c r="AC904" s="81"/>
      <c r="AD904" s="79"/>
      <c r="AE904" s="79"/>
    </row>
    <row r="905" ht="15.75" customHeight="1">
      <c r="A905" s="79"/>
      <c r="B905" s="79"/>
      <c r="C905" s="79"/>
      <c r="D905" s="79"/>
      <c r="E905" s="79"/>
      <c r="F905" s="79"/>
      <c r="G905" s="79"/>
      <c r="H905" s="79"/>
      <c r="I905" s="79"/>
      <c r="J905" s="79"/>
      <c r="K905" s="79"/>
      <c r="L905" s="79"/>
      <c r="M905" s="79"/>
      <c r="N905" s="79"/>
      <c r="O905" s="79"/>
      <c r="P905" s="79"/>
      <c r="Q905" s="80"/>
      <c r="R905" s="80"/>
      <c r="S905" s="79"/>
      <c r="T905" s="79"/>
      <c r="U905" s="79"/>
      <c r="V905" s="79"/>
      <c r="W905" s="79"/>
      <c r="X905" s="79"/>
      <c r="Y905" s="79"/>
      <c r="Z905" s="79"/>
      <c r="AA905" s="79"/>
      <c r="AB905" s="79"/>
      <c r="AC905" s="81"/>
      <c r="AD905" s="79"/>
      <c r="AE905" s="79"/>
    </row>
    <row r="906" ht="15.75" customHeight="1">
      <c r="A906" s="79"/>
      <c r="B906" s="79"/>
      <c r="C906" s="79"/>
      <c r="D906" s="79"/>
      <c r="E906" s="79"/>
      <c r="F906" s="79"/>
      <c r="G906" s="79"/>
      <c r="H906" s="79"/>
      <c r="I906" s="79"/>
      <c r="J906" s="79"/>
      <c r="K906" s="79"/>
      <c r="L906" s="79"/>
      <c r="M906" s="79"/>
      <c r="N906" s="79"/>
      <c r="O906" s="79"/>
      <c r="P906" s="79"/>
      <c r="Q906" s="80"/>
      <c r="R906" s="80"/>
      <c r="S906" s="79"/>
      <c r="T906" s="79"/>
      <c r="U906" s="79"/>
      <c r="V906" s="79"/>
      <c r="W906" s="79"/>
      <c r="X906" s="79"/>
      <c r="Y906" s="79"/>
      <c r="Z906" s="79"/>
      <c r="AA906" s="79"/>
      <c r="AB906" s="79"/>
      <c r="AC906" s="81"/>
      <c r="AD906" s="79"/>
      <c r="AE906" s="79"/>
    </row>
    <row r="907" ht="15.75" customHeight="1">
      <c r="A907" s="79"/>
      <c r="B907" s="79"/>
      <c r="C907" s="79"/>
      <c r="D907" s="79"/>
      <c r="E907" s="79"/>
      <c r="F907" s="79"/>
      <c r="G907" s="79"/>
      <c r="H907" s="79"/>
      <c r="I907" s="79"/>
      <c r="J907" s="79"/>
      <c r="K907" s="79"/>
      <c r="L907" s="79"/>
      <c r="M907" s="79"/>
      <c r="N907" s="79"/>
      <c r="O907" s="79"/>
      <c r="P907" s="79"/>
      <c r="Q907" s="80"/>
      <c r="R907" s="80"/>
      <c r="S907" s="79"/>
      <c r="T907" s="79"/>
      <c r="U907" s="79"/>
      <c r="V907" s="79"/>
      <c r="W907" s="79"/>
      <c r="X907" s="79"/>
      <c r="Y907" s="79"/>
      <c r="Z907" s="79"/>
      <c r="AA907" s="79"/>
      <c r="AB907" s="79"/>
      <c r="AC907" s="81"/>
      <c r="AD907" s="79"/>
      <c r="AE907" s="79"/>
    </row>
    <row r="908" ht="15.75" customHeight="1">
      <c r="A908" s="79"/>
      <c r="B908" s="79"/>
      <c r="C908" s="79"/>
      <c r="D908" s="79"/>
      <c r="E908" s="79"/>
      <c r="F908" s="79"/>
      <c r="G908" s="79"/>
      <c r="H908" s="79"/>
      <c r="I908" s="79"/>
      <c r="J908" s="79"/>
      <c r="K908" s="79"/>
      <c r="L908" s="79"/>
      <c r="M908" s="79"/>
      <c r="N908" s="79"/>
      <c r="O908" s="79"/>
      <c r="P908" s="79"/>
      <c r="Q908" s="80"/>
      <c r="R908" s="80"/>
      <c r="S908" s="79"/>
      <c r="T908" s="79"/>
      <c r="U908" s="79"/>
      <c r="V908" s="79"/>
      <c r="W908" s="79"/>
      <c r="X908" s="79"/>
      <c r="Y908" s="79"/>
      <c r="Z908" s="79"/>
      <c r="AA908" s="79"/>
      <c r="AB908" s="79"/>
      <c r="AC908" s="81"/>
      <c r="AD908" s="79"/>
      <c r="AE908" s="79"/>
    </row>
    <row r="909" ht="15.75" customHeight="1">
      <c r="A909" s="79"/>
      <c r="B909" s="79"/>
      <c r="C909" s="79"/>
      <c r="D909" s="79"/>
      <c r="E909" s="79"/>
      <c r="F909" s="79"/>
      <c r="G909" s="79"/>
      <c r="H909" s="79"/>
      <c r="I909" s="79"/>
      <c r="J909" s="79"/>
      <c r="K909" s="79"/>
      <c r="L909" s="79"/>
      <c r="M909" s="79"/>
      <c r="N909" s="79"/>
      <c r="O909" s="79"/>
      <c r="P909" s="79"/>
      <c r="Q909" s="80"/>
      <c r="R909" s="80"/>
      <c r="S909" s="79"/>
      <c r="T909" s="79"/>
      <c r="U909" s="79"/>
      <c r="V909" s="79"/>
      <c r="W909" s="79"/>
      <c r="X909" s="79"/>
      <c r="Y909" s="79"/>
      <c r="Z909" s="79"/>
      <c r="AA909" s="79"/>
      <c r="AB909" s="79"/>
      <c r="AC909" s="81"/>
      <c r="AD909" s="79"/>
      <c r="AE909" s="79"/>
    </row>
    <row r="910" ht="15.75" customHeight="1">
      <c r="A910" s="79"/>
      <c r="B910" s="79"/>
      <c r="C910" s="79"/>
      <c r="D910" s="79"/>
      <c r="E910" s="79"/>
      <c r="F910" s="79"/>
      <c r="G910" s="79"/>
      <c r="H910" s="79"/>
      <c r="I910" s="79"/>
      <c r="J910" s="79"/>
      <c r="K910" s="79"/>
      <c r="L910" s="79"/>
      <c r="M910" s="79"/>
      <c r="N910" s="79"/>
      <c r="O910" s="79"/>
      <c r="P910" s="79"/>
      <c r="Q910" s="80"/>
      <c r="R910" s="80"/>
      <c r="S910" s="79"/>
      <c r="T910" s="79"/>
      <c r="U910" s="79"/>
      <c r="V910" s="79"/>
      <c r="W910" s="79"/>
      <c r="X910" s="79"/>
      <c r="Y910" s="79"/>
      <c r="Z910" s="79"/>
      <c r="AA910" s="79"/>
      <c r="AB910" s="79"/>
      <c r="AC910" s="81"/>
      <c r="AD910" s="79"/>
      <c r="AE910" s="79"/>
    </row>
    <row r="911" ht="15.75" customHeight="1">
      <c r="A911" s="79"/>
      <c r="B911" s="79"/>
      <c r="C911" s="79"/>
      <c r="D911" s="79"/>
      <c r="E911" s="79"/>
      <c r="F911" s="79"/>
      <c r="G911" s="79"/>
      <c r="H911" s="79"/>
      <c r="I911" s="79"/>
      <c r="J911" s="79"/>
      <c r="K911" s="79"/>
      <c r="L911" s="79"/>
      <c r="M911" s="79"/>
      <c r="N911" s="79"/>
      <c r="O911" s="79"/>
      <c r="P911" s="79"/>
      <c r="Q911" s="80"/>
      <c r="R911" s="80"/>
      <c r="S911" s="79"/>
      <c r="T911" s="79"/>
      <c r="U911" s="79"/>
      <c r="V911" s="79"/>
      <c r="W911" s="79"/>
      <c r="X911" s="79"/>
      <c r="Y911" s="79"/>
      <c r="Z911" s="79"/>
      <c r="AA911" s="79"/>
      <c r="AB911" s="79"/>
      <c r="AC911" s="81"/>
      <c r="AD911" s="79"/>
      <c r="AE911" s="79"/>
    </row>
    <row r="912" ht="15.75" customHeight="1">
      <c r="A912" s="79"/>
      <c r="B912" s="79"/>
      <c r="C912" s="79"/>
      <c r="D912" s="79"/>
      <c r="E912" s="79"/>
      <c r="F912" s="79"/>
      <c r="G912" s="79"/>
      <c r="H912" s="79"/>
      <c r="I912" s="79"/>
      <c r="J912" s="79"/>
      <c r="K912" s="79"/>
      <c r="L912" s="79"/>
      <c r="M912" s="79"/>
      <c r="N912" s="79"/>
      <c r="O912" s="79"/>
      <c r="P912" s="79"/>
      <c r="Q912" s="80"/>
      <c r="R912" s="80"/>
      <c r="S912" s="79"/>
      <c r="T912" s="79"/>
      <c r="U912" s="79"/>
      <c r="V912" s="79"/>
      <c r="W912" s="79"/>
      <c r="X912" s="79"/>
      <c r="Y912" s="79"/>
      <c r="Z912" s="79"/>
      <c r="AA912" s="79"/>
      <c r="AB912" s="79"/>
      <c r="AC912" s="81"/>
      <c r="AD912" s="79"/>
      <c r="AE912" s="79"/>
    </row>
    <row r="913" ht="15.75" customHeight="1">
      <c r="A913" s="79"/>
      <c r="B913" s="79"/>
      <c r="C913" s="79"/>
      <c r="D913" s="79"/>
      <c r="E913" s="79"/>
      <c r="F913" s="79"/>
      <c r="G913" s="79"/>
      <c r="H913" s="79"/>
      <c r="I913" s="79"/>
      <c r="J913" s="79"/>
      <c r="K913" s="79"/>
      <c r="L913" s="79"/>
      <c r="M913" s="79"/>
      <c r="N913" s="79"/>
      <c r="O913" s="79"/>
      <c r="P913" s="79"/>
      <c r="Q913" s="80"/>
      <c r="R913" s="80"/>
      <c r="S913" s="79"/>
      <c r="T913" s="79"/>
      <c r="U913" s="79"/>
      <c r="V913" s="79"/>
      <c r="W913" s="79"/>
      <c r="X913" s="79"/>
      <c r="Y913" s="79"/>
      <c r="Z913" s="79"/>
      <c r="AA913" s="79"/>
      <c r="AB913" s="79"/>
      <c r="AC913" s="81"/>
      <c r="AD913" s="79"/>
      <c r="AE913" s="79"/>
    </row>
    <row r="914" ht="15.75" customHeight="1">
      <c r="A914" s="79"/>
      <c r="B914" s="79"/>
      <c r="C914" s="79"/>
      <c r="D914" s="79"/>
      <c r="E914" s="79"/>
      <c r="F914" s="79"/>
      <c r="G914" s="79"/>
      <c r="H914" s="79"/>
      <c r="I914" s="79"/>
      <c r="J914" s="79"/>
      <c r="K914" s="79"/>
      <c r="L914" s="79"/>
      <c r="M914" s="79"/>
      <c r="N914" s="79"/>
      <c r="O914" s="79"/>
      <c r="P914" s="79"/>
      <c r="Q914" s="80"/>
      <c r="R914" s="80"/>
      <c r="S914" s="79"/>
      <c r="T914" s="79"/>
      <c r="U914" s="79"/>
      <c r="V914" s="79"/>
      <c r="W914" s="79"/>
      <c r="X914" s="79"/>
      <c r="Y914" s="79"/>
      <c r="Z914" s="79"/>
      <c r="AA914" s="79"/>
      <c r="AB914" s="79"/>
      <c r="AC914" s="81"/>
      <c r="AD914" s="79"/>
      <c r="AE914" s="79"/>
    </row>
    <row r="915" ht="15.75" customHeight="1">
      <c r="A915" s="79"/>
      <c r="B915" s="79"/>
      <c r="C915" s="79"/>
      <c r="D915" s="79"/>
      <c r="E915" s="79"/>
      <c r="F915" s="79"/>
      <c r="G915" s="79"/>
      <c r="H915" s="79"/>
      <c r="I915" s="79"/>
      <c r="J915" s="79"/>
      <c r="K915" s="79"/>
      <c r="L915" s="79"/>
      <c r="M915" s="79"/>
      <c r="N915" s="79"/>
      <c r="O915" s="79"/>
      <c r="P915" s="79"/>
      <c r="Q915" s="80"/>
      <c r="R915" s="80"/>
      <c r="S915" s="79"/>
      <c r="T915" s="79"/>
      <c r="U915" s="79"/>
      <c r="V915" s="79"/>
      <c r="W915" s="79"/>
      <c r="X915" s="79"/>
      <c r="Y915" s="79"/>
      <c r="Z915" s="79"/>
      <c r="AA915" s="79"/>
      <c r="AB915" s="79"/>
      <c r="AC915" s="81"/>
      <c r="AD915" s="79"/>
      <c r="AE915" s="79"/>
    </row>
    <row r="916" ht="15.75" customHeight="1">
      <c r="A916" s="79"/>
      <c r="B916" s="79"/>
      <c r="C916" s="79"/>
      <c r="D916" s="79"/>
      <c r="E916" s="79"/>
      <c r="F916" s="79"/>
      <c r="G916" s="79"/>
      <c r="H916" s="79"/>
      <c r="I916" s="79"/>
      <c r="J916" s="79"/>
      <c r="K916" s="79"/>
      <c r="L916" s="79"/>
      <c r="M916" s="79"/>
      <c r="N916" s="79"/>
      <c r="O916" s="79"/>
      <c r="P916" s="79"/>
      <c r="Q916" s="80"/>
      <c r="R916" s="80"/>
      <c r="S916" s="79"/>
      <c r="T916" s="79"/>
      <c r="U916" s="79"/>
      <c r="V916" s="79"/>
      <c r="W916" s="79"/>
      <c r="X916" s="79"/>
      <c r="Y916" s="79"/>
      <c r="Z916" s="79"/>
      <c r="AA916" s="79"/>
      <c r="AB916" s="79"/>
      <c r="AC916" s="81"/>
      <c r="AD916" s="79"/>
      <c r="AE916" s="79"/>
    </row>
    <row r="917" ht="15.75" customHeight="1">
      <c r="A917" s="79"/>
      <c r="B917" s="79"/>
      <c r="C917" s="79"/>
      <c r="D917" s="79"/>
      <c r="E917" s="79"/>
      <c r="F917" s="79"/>
      <c r="G917" s="79"/>
      <c r="H917" s="79"/>
      <c r="I917" s="79"/>
      <c r="J917" s="79"/>
      <c r="K917" s="79"/>
      <c r="L917" s="79"/>
      <c r="M917" s="79"/>
      <c r="N917" s="79"/>
      <c r="O917" s="79"/>
      <c r="P917" s="79"/>
      <c r="Q917" s="80"/>
      <c r="R917" s="80"/>
      <c r="S917" s="79"/>
      <c r="T917" s="79"/>
      <c r="U917" s="79"/>
      <c r="V917" s="79"/>
      <c r="W917" s="79"/>
      <c r="X917" s="79"/>
      <c r="Y917" s="79"/>
      <c r="Z917" s="79"/>
      <c r="AA917" s="79"/>
      <c r="AB917" s="79"/>
      <c r="AC917" s="81"/>
      <c r="AD917" s="79"/>
      <c r="AE917" s="79"/>
    </row>
    <row r="918" ht="15.75" customHeight="1">
      <c r="A918" s="79"/>
      <c r="B918" s="79"/>
      <c r="C918" s="79"/>
      <c r="D918" s="79"/>
      <c r="E918" s="79"/>
      <c r="F918" s="79"/>
      <c r="G918" s="79"/>
      <c r="H918" s="79"/>
      <c r="I918" s="79"/>
      <c r="J918" s="79"/>
      <c r="K918" s="79"/>
      <c r="L918" s="79"/>
      <c r="M918" s="79"/>
      <c r="N918" s="79"/>
      <c r="O918" s="79"/>
      <c r="P918" s="79"/>
      <c r="Q918" s="80"/>
      <c r="R918" s="80"/>
      <c r="S918" s="79"/>
      <c r="T918" s="79"/>
      <c r="U918" s="79"/>
      <c r="V918" s="79"/>
      <c r="W918" s="79"/>
      <c r="X918" s="79"/>
      <c r="Y918" s="79"/>
      <c r="Z918" s="79"/>
      <c r="AA918" s="79"/>
      <c r="AB918" s="79"/>
      <c r="AC918" s="81"/>
      <c r="AD918" s="79"/>
      <c r="AE918" s="79"/>
    </row>
    <row r="919" ht="15.75" customHeight="1">
      <c r="A919" s="79"/>
      <c r="B919" s="79"/>
      <c r="C919" s="79"/>
      <c r="D919" s="79"/>
      <c r="E919" s="79"/>
      <c r="F919" s="79"/>
      <c r="G919" s="79"/>
      <c r="H919" s="79"/>
      <c r="I919" s="79"/>
      <c r="J919" s="79"/>
      <c r="K919" s="79"/>
      <c r="L919" s="79"/>
      <c r="M919" s="79"/>
      <c r="N919" s="79"/>
      <c r="O919" s="79"/>
      <c r="P919" s="79"/>
      <c r="Q919" s="80"/>
      <c r="R919" s="80"/>
      <c r="S919" s="79"/>
      <c r="T919" s="79"/>
      <c r="U919" s="79"/>
      <c r="V919" s="79"/>
      <c r="W919" s="79"/>
      <c r="X919" s="79"/>
      <c r="Y919" s="79"/>
      <c r="Z919" s="79"/>
      <c r="AA919" s="79"/>
      <c r="AB919" s="79"/>
      <c r="AC919" s="81"/>
      <c r="AD919" s="79"/>
      <c r="AE919" s="79"/>
    </row>
    <row r="920" ht="15.75" customHeight="1">
      <c r="A920" s="79"/>
      <c r="B920" s="79"/>
      <c r="C920" s="79"/>
      <c r="D920" s="79"/>
      <c r="E920" s="79"/>
      <c r="F920" s="79"/>
      <c r="G920" s="79"/>
      <c r="H920" s="79"/>
      <c r="I920" s="79"/>
      <c r="J920" s="79"/>
      <c r="K920" s="79"/>
      <c r="L920" s="79"/>
      <c r="M920" s="79"/>
      <c r="N920" s="79"/>
      <c r="O920" s="79"/>
      <c r="P920" s="79"/>
      <c r="Q920" s="80"/>
      <c r="R920" s="80"/>
      <c r="S920" s="79"/>
      <c r="T920" s="79"/>
      <c r="U920" s="79"/>
      <c r="V920" s="79"/>
      <c r="W920" s="79"/>
      <c r="X920" s="79"/>
      <c r="Y920" s="79"/>
      <c r="Z920" s="79"/>
      <c r="AA920" s="79"/>
      <c r="AB920" s="79"/>
      <c r="AC920" s="81"/>
      <c r="AD920" s="79"/>
      <c r="AE920" s="79"/>
    </row>
    <row r="921" ht="15.75" customHeight="1">
      <c r="A921" s="79"/>
      <c r="B921" s="79"/>
      <c r="C921" s="79"/>
      <c r="D921" s="79"/>
      <c r="E921" s="79"/>
      <c r="F921" s="79"/>
      <c r="G921" s="79"/>
      <c r="H921" s="79"/>
      <c r="I921" s="79"/>
      <c r="J921" s="79"/>
      <c r="K921" s="79"/>
      <c r="L921" s="79"/>
      <c r="M921" s="79"/>
      <c r="N921" s="79"/>
      <c r="O921" s="79"/>
      <c r="P921" s="79"/>
      <c r="Q921" s="80"/>
      <c r="R921" s="80"/>
      <c r="S921" s="79"/>
      <c r="T921" s="79"/>
      <c r="U921" s="79"/>
      <c r="V921" s="79"/>
      <c r="W921" s="79"/>
      <c r="X921" s="79"/>
      <c r="Y921" s="79"/>
      <c r="Z921" s="79"/>
      <c r="AA921" s="79"/>
      <c r="AB921" s="79"/>
      <c r="AC921" s="81"/>
      <c r="AD921" s="79"/>
      <c r="AE921" s="79"/>
    </row>
    <row r="922" ht="15.75" customHeight="1">
      <c r="A922" s="79"/>
      <c r="B922" s="79"/>
      <c r="C922" s="79"/>
      <c r="D922" s="79"/>
      <c r="E922" s="79"/>
      <c r="F922" s="79"/>
      <c r="G922" s="79"/>
      <c r="H922" s="79"/>
      <c r="I922" s="79"/>
      <c r="J922" s="79"/>
      <c r="K922" s="79"/>
      <c r="L922" s="79"/>
      <c r="M922" s="79"/>
      <c r="N922" s="79"/>
      <c r="O922" s="79"/>
      <c r="P922" s="79"/>
      <c r="Q922" s="80"/>
      <c r="R922" s="80"/>
      <c r="S922" s="79"/>
      <c r="T922" s="79"/>
      <c r="U922" s="79"/>
      <c r="V922" s="79"/>
      <c r="W922" s="79"/>
      <c r="X922" s="79"/>
      <c r="Y922" s="79"/>
      <c r="Z922" s="79"/>
      <c r="AA922" s="79"/>
      <c r="AB922" s="79"/>
      <c r="AC922" s="81"/>
      <c r="AD922" s="79"/>
      <c r="AE922" s="79"/>
    </row>
    <row r="923" ht="15.75" customHeight="1">
      <c r="A923" s="79"/>
      <c r="B923" s="79"/>
      <c r="C923" s="79"/>
      <c r="D923" s="79"/>
      <c r="E923" s="79"/>
      <c r="F923" s="79"/>
      <c r="G923" s="79"/>
      <c r="H923" s="79"/>
      <c r="I923" s="79"/>
      <c r="J923" s="79"/>
      <c r="K923" s="79"/>
      <c r="L923" s="79"/>
      <c r="M923" s="79"/>
      <c r="N923" s="79"/>
      <c r="O923" s="79"/>
      <c r="P923" s="79"/>
      <c r="Q923" s="80"/>
      <c r="R923" s="80"/>
      <c r="S923" s="79"/>
      <c r="T923" s="79"/>
      <c r="U923" s="79"/>
      <c r="V923" s="79"/>
      <c r="W923" s="79"/>
      <c r="X923" s="79"/>
      <c r="Y923" s="79"/>
      <c r="Z923" s="79"/>
      <c r="AA923" s="79"/>
      <c r="AB923" s="79"/>
      <c r="AC923" s="81"/>
      <c r="AD923" s="79"/>
      <c r="AE923" s="79"/>
    </row>
    <row r="924" ht="15.75" customHeight="1">
      <c r="A924" s="79"/>
      <c r="B924" s="79"/>
      <c r="C924" s="79"/>
      <c r="D924" s="79"/>
      <c r="E924" s="79"/>
      <c r="F924" s="79"/>
      <c r="G924" s="79"/>
      <c r="H924" s="79"/>
      <c r="I924" s="79"/>
      <c r="J924" s="79"/>
      <c r="K924" s="79"/>
      <c r="L924" s="79"/>
      <c r="M924" s="79"/>
      <c r="N924" s="79"/>
      <c r="O924" s="79"/>
      <c r="P924" s="79"/>
      <c r="Q924" s="80"/>
      <c r="R924" s="80"/>
      <c r="S924" s="79"/>
      <c r="T924" s="79"/>
      <c r="U924" s="79"/>
      <c r="V924" s="79"/>
      <c r="W924" s="79"/>
      <c r="X924" s="79"/>
      <c r="Y924" s="79"/>
      <c r="Z924" s="79"/>
      <c r="AA924" s="79"/>
      <c r="AB924" s="79"/>
      <c r="AC924" s="81"/>
      <c r="AD924" s="79"/>
      <c r="AE924" s="79"/>
    </row>
    <row r="925" ht="15.75" customHeight="1">
      <c r="A925" s="79"/>
      <c r="B925" s="79"/>
      <c r="C925" s="79"/>
      <c r="D925" s="79"/>
      <c r="E925" s="79"/>
      <c r="F925" s="79"/>
      <c r="G925" s="79"/>
      <c r="H925" s="79"/>
      <c r="I925" s="79"/>
      <c r="J925" s="79"/>
      <c r="K925" s="79"/>
      <c r="L925" s="79"/>
      <c r="M925" s="79"/>
      <c r="N925" s="79"/>
      <c r="O925" s="79"/>
      <c r="P925" s="79"/>
      <c r="Q925" s="80"/>
      <c r="R925" s="80"/>
      <c r="S925" s="79"/>
      <c r="T925" s="79"/>
      <c r="U925" s="79"/>
      <c r="V925" s="79"/>
      <c r="W925" s="79"/>
      <c r="X925" s="79"/>
      <c r="Y925" s="79"/>
      <c r="Z925" s="79"/>
      <c r="AA925" s="79"/>
      <c r="AB925" s="79"/>
      <c r="AC925" s="81"/>
      <c r="AD925" s="79"/>
      <c r="AE925" s="79"/>
    </row>
    <row r="926" ht="15.75" customHeight="1">
      <c r="A926" s="79"/>
      <c r="B926" s="79"/>
      <c r="C926" s="79"/>
      <c r="D926" s="79"/>
      <c r="E926" s="79"/>
      <c r="F926" s="79"/>
      <c r="G926" s="79"/>
      <c r="H926" s="79"/>
      <c r="I926" s="79"/>
      <c r="J926" s="79"/>
      <c r="K926" s="79"/>
      <c r="L926" s="79"/>
      <c r="M926" s="79"/>
      <c r="N926" s="79"/>
      <c r="O926" s="79"/>
      <c r="P926" s="79"/>
      <c r="Q926" s="80"/>
      <c r="R926" s="80"/>
      <c r="S926" s="79"/>
      <c r="T926" s="79"/>
      <c r="U926" s="79"/>
      <c r="V926" s="79"/>
      <c r="W926" s="79"/>
      <c r="X926" s="79"/>
      <c r="Y926" s="79"/>
      <c r="Z926" s="79"/>
      <c r="AA926" s="79"/>
      <c r="AB926" s="79"/>
      <c r="AC926" s="81"/>
      <c r="AD926" s="79"/>
      <c r="AE926" s="79"/>
    </row>
    <row r="927" ht="15.75" customHeight="1">
      <c r="A927" s="79"/>
      <c r="B927" s="79"/>
      <c r="C927" s="79"/>
      <c r="D927" s="79"/>
      <c r="E927" s="79"/>
      <c r="F927" s="79"/>
      <c r="G927" s="79"/>
      <c r="H927" s="79"/>
      <c r="I927" s="79"/>
      <c r="J927" s="79"/>
      <c r="K927" s="79"/>
      <c r="L927" s="79"/>
      <c r="M927" s="79"/>
      <c r="N927" s="79"/>
      <c r="O927" s="79"/>
      <c r="P927" s="79"/>
      <c r="Q927" s="80"/>
      <c r="R927" s="80"/>
      <c r="S927" s="79"/>
      <c r="T927" s="79"/>
      <c r="U927" s="79"/>
      <c r="V927" s="79"/>
      <c r="W927" s="79"/>
      <c r="X927" s="79"/>
      <c r="Y927" s="79"/>
      <c r="Z927" s="79"/>
      <c r="AA927" s="79"/>
      <c r="AB927" s="79"/>
      <c r="AC927" s="81"/>
      <c r="AD927" s="79"/>
      <c r="AE927" s="79"/>
    </row>
    <row r="928" ht="15.75" customHeight="1">
      <c r="A928" s="79"/>
      <c r="B928" s="79"/>
      <c r="C928" s="79"/>
      <c r="D928" s="79"/>
      <c r="E928" s="79"/>
      <c r="F928" s="79"/>
      <c r="G928" s="79"/>
      <c r="H928" s="79"/>
      <c r="I928" s="79"/>
      <c r="J928" s="79"/>
      <c r="K928" s="79"/>
      <c r="L928" s="79"/>
      <c r="M928" s="79"/>
      <c r="N928" s="79"/>
      <c r="O928" s="79"/>
      <c r="P928" s="79"/>
      <c r="Q928" s="80"/>
      <c r="R928" s="80"/>
      <c r="S928" s="79"/>
      <c r="T928" s="79"/>
      <c r="U928" s="79"/>
      <c r="V928" s="79"/>
      <c r="W928" s="79"/>
      <c r="X928" s="79"/>
      <c r="Y928" s="79"/>
      <c r="Z928" s="79"/>
      <c r="AA928" s="79"/>
      <c r="AB928" s="79"/>
      <c r="AC928" s="81"/>
      <c r="AD928" s="79"/>
      <c r="AE928" s="79"/>
    </row>
    <row r="929" ht="15.75" customHeight="1">
      <c r="A929" s="79"/>
      <c r="B929" s="79"/>
      <c r="C929" s="79"/>
      <c r="D929" s="79"/>
      <c r="E929" s="79"/>
      <c r="F929" s="79"/>
      <c r="G929" s="79"/>
      <c r="H929" s="79"/>
      <c r="I929" s="79"/>
      <c r="J929" s="79"/>
      <c r="K929" s="79"/>
      <c r="L929" s="79"/>
      <c r="M929" s="79"/>
      <c r="N929" s="79"/>
      <c r="O929" s="79"/>
      <c r="P929" s="79"/>
      <c r="Q929" s="80"/>
      <c r="R929" s="80"/>
      <c r="S929" s="79"/>
      <c r="T929" s="79"/>
      <c r="U929" s="79"/>
      <c r="V929" s="79"/>
      <c r="W929" s="79"/>
      <c r="X929" s="79"/>
      <c r="Y929" s="79"/>
      <c r="Z929" s="79"/>
      <c r="AA929" s="79"/>
      <c r="AB929" s="79"/>
      <c r="AC929" s="81"/>
      <c r="AD929" s="79"/>
      <c r="AE929" s="79"/>
    </row>
    <row r="930" ht="15.75" customHeight="1">
      <c r="A930" s="79"/>
      <c r="B930" s="79"/>
      <c r="C930" s="79"/>
      <c r="D930" s="79"/>
      <c r="E930" s="79"/>
      <c r="F930" s="79"/>
      <c r="G930" s="79"/>
      <c r="H930" s="79"/>
      <c r="I930" s="79"/>
      <c r="J930" s="79"/>
      <c r="K930" s="79"/>
      <c r="L930" s="79"/>
      <c r="M930" s="79"/>
      <c r="N930" s="79"/>
      <c r="O930" s="79"/>
      <c r="P930" s="79"/>
      <c r="Q930" s="80"/>
      <c r="R930" s="80"/>
      <c r="S930" s="79"/>
      <c r="T930" s="79"/>
      <c r="U930" s="79"/>
      <c r="V930" s="79"/>
      <c r="W930" s="79"/>
      <c r="X930" s="79"/>
      <c r="Y930" s="79"/>
      <c r="Z930" s="79"/>
      <c r="AA930" s="79"/>
      <c r="AB930" s="79"/>
      <c r="AC930" s="81"/>
      <c r="AD930" s="79"/>
      <c r="AE930" s="79"/>
    </row>
    <row r="931" ht="15.75" customHeight="1">
      <c r="A931" s="79"/>
      <c r="B931" s="79"/>
      <c r="C931" s="79"/>
      <c r="D931" s="79"/>
      <c r="E931" s="79"/>
      <c r="F931" s="79"/>
      <c r="G931" s="79"/>
      <c r="H931" s="79"/>
      <c r="I931" s="79"/>
      <c r="J931" s="79"/>
      <c r="K931" s="79"/>
      <c r="L931" s="79"/>
      <c r="M931" s="79"/>
      <c r="N931" s="79"/>
      <c r="O931" s="79"/>
      <c r="P931" s="79"/>
      <c r="Q931" s="80"/>
      <c r="R931" s="80"/>
      <c r="S931" s="79"/>
      <c r="T931" s="79"/>
      <c r="U931" s="79"/>
      <c r="V931" s="79"/>
      <c r="W931" s="79"/>
      <c r="X931" s="79"/>
      <c r="Y931" s="79"/>
      <c r="Z931" s="79"/>
      <c r="AA931" s="79"/>
      <c r="AB931" s="79"/>
      <c r="AC931" s="81"/>
      <c r="AD931" s="79"/>
      <c r="AE931" s="79"/>
    </row>
    <row r="932" ht="15.75" customHeight="1">
      <c r="A932" s="79"/>
      <c r="B932" s="79"/>
      <c r="C932" s="79"/>
      <c r="D932" s="79"/>
      <c r="E932" s="79"/>
      <c r="F932" s="79"/>
      <c r="G932" s="79"/>
      <c r="H932" s="79"/>
      <c r="I932" s="79"/>
      <c r="J932" s="79"/>
      <c r="K932" s="79"/>
      <c r="L932" s="79"/>
      <c r="M932" s="79"/>
      <c r="N932" s="79"/>
      <c r="O932" s="79"/>
      <c r="P932" s="79"/>
      <c r="Q932" s="80"/>
      <c r="R932" s="80"/>
      <c r="S932" s="79"/>
      <c r="T932" s="79"/>
      <c r="U932" s="79"/>
      <c r="V932" s="79"/>
      <c r="W932" s="79"/>
      <c r="X932" s="79"/>
      <c r="Y932" s="79"/>
      <c r="Z932" s="79"/>
      <c r="AA932" s="79"/>
      <c r="AB932" s="79"/>
      <c r="AC932" s="81"/>
      <c r="AD932" s="79"/>
      <c r="AE932" s="79"/>
    </row>
    <row r="933" ht="15.75" customHeight="1">
      <c r="A933" s="79"/>
      <c r="B933" s="79"/>
      <c r="C933" s="79"/>
      <c r="D933" s="79"/>
      <c r="E933" s="79"/>
      <c r="F933" s="79"/>
      <c r="G933" s="79"/>
      <c r="H933" s="79"/>
      <c r="I933" s="79"/>
      <c r="J933" s="79"/>
      <c r="K933" s="79"/>
      <c r="L933" s="79"/>
      <c r="M933" s="79"/>
      <c r="N933" s="79"/>
      <c r="O933" s="79"/>
      <c r="P933" s="79"/>
      <c r="Q933" s="80"/>
      <c r="R933" s="80"/>
      <c r="S933" s="79"/>
      <c r="T933" s="79"/>
      <c r="U933" s="79"/>
      <c r="V933" s="79"/>
      <c r="W933" s="79"/>
      <c r="X933" s="79"/>
      <c r="Y933" s="79"/>
      <c r="Z933" s="79"/>
      <c r="AA933" s="79"/>
      <c r="AB933" s="79"/>
      <c r="AC933" s="81"/>
      <c r="AD933" s="79"/>
      <c r="AE933" s="79"/>
    </row>
    <row r="934" ht="15.75" customHeight="1">
      <c r="A934" s="79"/>
      <c r="B934" s="79"/>
      <c r="C934" s="79"/>
      <c r="D934" s="79"/>
      <c r="E934" s="79"/>
      <c r="F934" s="79"/>
      <c r="G934" s="79"/>
      <c r="H934" s="79"/>
      <c r="I934" s="79"/>
      <c r="J934" s="79"/>
      <c r="K934" s="79"/>
      <c r="L934" s="79"/>
      <c r="M934" s="79"/>
      <c r="N934" s="79"/>
      <c r="O934" s="79"/>
      <c r="P934" s="79"/>
      <c r="Q934" s="80"/>
      <c r="R934" s="80"/>
      <c r="S934" s="79"/>
      <c r="T934" s="79"/>
      <c r="U934" s="79"/>
      <c r="V934" s="79"/>
      <c r="W934" s="79"/>
      <c r="X934" s="79"/>
      <c r="Y934" s="79"/>
      <c r="Z934" s="79"/>
      <c r="AA934" s="79"/>
      <c r="AB934" s="79"/>
      <c r="AC934" s="81"/>
      <c r="AD934" s="79"/>
      <c r="AE934" s="79"/>
    </row>
    <row r="935" ht="15.75" customHeight="1">
      <c r="A935" s="79"/>
      <c r="B935" s="79"/>
      <c r="C935" s="79"/>
      <c r="D935" s="79"/>
      <c r="E935" s="79"/>
      <c r="F935" s="79"/>
      <c r="G935" s="79"/>
      <c r="H935" s="79"/>
      <c r="I935" s="79"/>
      <c r="J935" s="79"/>
      <c r="K935" s="79"/>
      <c r="L935" s="79"/>
      <c r="M935" s="79"/>
      <c r="N935" s="79"/>
      <c r="O935" s="79"/>
      <c r="P935" s="79"/>
      <c r="Q935" s="80"/>
      <c r="R935" s="80"/>
      <c r="S935" s="79"/>
      <c r="T935" s="79"/>
      <c r="U935" s="79"/>
      <c r="V935" s="79"/>
      <c r="W935" s="79"/>
      <c r="X935" s="79"/>
      <c r="Y935" s="79"/>
      <c r="Z935" s="79"/>
      <c r="AA935" s="79"/>
      <c r="AB935" s="79"/>
      <c r="AC935" s="81"/>
      <c r="AD935" s="79"/>
      <c r="AE935" s="79"/>
    </row>
    <row r="936" ht="15.75" customHeight="1">
      <c r="A936" s="79"/>
      <c r="B936" s="79"/>
      <c r="C936" s="79"/>
      <c r="D936" s="79"/>
      <c r="E936" s="79"/>
      <c r="F936" s="79"/>
      <c r="G936" s="79"/>
      <c r="H936" s="79"/>
      <c r="I936" s="79"/>
      <c r="J936" s="79"/>
      <c r="K936" s="79"/>
      <c r="L936" s="79"/>
      <c r="M936" s="79"/>
      <c r="N936" s="79"/>
      <c r="O936" s="79"/>
      <c r="P936" s="79"/>
      <c r="Q936" s="80"/>
      <c r="R936" s="80"/>
      <c r="S936" s="79"/>
      <c r="T936" s="79"/>
      <c r="U936" s="79"/>
      <c r="V936" s="79"/>
      <c r="W936" s="79"/>
      <c r="X936" s="79"/>
      <c r="Y936" s="79"/>
      <c r="Z936" s="79"/>
      <c r="AA936" s="79"/>
      <c r="AB936" s="79"/>
      <c r="AC936" s="81"/>
      <c r="AD936" s="79"/>
      <c r="AE936" s="79"/>
    </row>
    <row r="937" ht="15.75" customHeight="1">
      <c r="A937" s="79"/>
      <c r="B937" s="79"/>
      <c r="C937" s="79"/>
      <c r="D937" s="79"/>
      <c r="E937" s="79"/>
      <c r="F937" s="79"/>
      <c r="G937" s="79"/>
      <c r="H937" s="79"/>
      <c r="I937" s="79"/>
      <c r="J937" s="79"/>
      <c r="K937" s="79"/>
      <c r="L937" s="79"/>
      <c r="M937" s="79"/>
      <c r="N937" s="79"/>
      <c r="O937" s="79"/>
      <c r="P937" s="79"/>
      <c r="Q937" s="80"/>
      <c r="R937" s="80"/>
      <c r="S937" s="79"/>
      <c r="T937" s="79"/>
      <c r="U937" s="79"/>
      <c r="V937" s="79"/>
      <c r="W937" s="79"/>
      <c r="X937" s="79"/>
      <c r="Y937" s="79"/>
      <c r="Z937" s="79"/>
      <c r="AA937" s="79"/>
      <c r="AB937" s="79"/>
      <c r="AC937" s="81"/>
      <c r="AD937" s="79"/>
      <c r="AE937" s="79"/>
    </row>
    <row r="938" ht="15.75" customHeight="1">
      <c r="A938" s="79"/>
      <c r="B938" s="79"/>
      <c r="C938" s="79"/>
      <c r="D938" s="79"/>
      <c r="E938" s="79"/>
      <c r="F938" s="79"/>
      <c r="G938" s="79"/>
      <c r="H938" s="79"/>
      <c r="I938" s="79"/>
      <c r="J938" s="79"/>
      <c r="K938" s="79"/>
      <c r="L938" s="79"/>
      <c r="M938" s="79"/>
      <c r="N938" s="79"/>
      <c r="O938" s="79"/>
      <c r="P938" s="79"/>
      <c r="Q938" s="80"/>
      <c r="R938" s="80"/>
      <c r="S938" s="79"/>
      <c r="T938" s="79"/>
      <c r="U938" s="79"/>
      <c r="V938" s="79"/>
      <c r="W938" s="79"/>
      <c r="X938" s="79"/>
      <c r="Y938" s="79"/>
      <c r="Z938" s="79"/>
      <c r="AA938" s="79"/>
      <c r="AB938" s="79"/>
      <c r="AC938" s="81"/>
      <c r="AD938" s="79"/>
      <c r="AE938" s="79"/>
    </row>
    <row r="939" ht="15.75" customHeight="1">
      <c r="A939" s="79"/>
      <c r="B939" s="79"/>
      <c r="C939" s="79"/>
      <c r="D939" s="79"/>
      <c r="E939" s="79"/>
      <c r="F939" s="79"/>
      <c r="G939" s="79"/>
      <c r="H939" s="79"/>
      <c r="I939" s="79"/>
      <c r="J939" s="79"/>
      <c r="K939" s="79"/>
      <c r="L939" s="79"/>
      <c r="M939" s="79"/>
      <c r="N939" s="79"/>
      <c r="O939" s="79"/>
      <c r="P939" s="79"/>
      <c r="Q939" s="80"/>
      <c r="R939" s="80"/>
      <c r="S939" s="79"/>
      <c r="T939" s="79"/>
      <c r="U939" s="79"/>
      <c r="V939" s="79"/>
      <c r="W939" s="79"/>
      <c r="X939" s="79"/>
      <c r="Y939" s="79"/>
      <c r="Z939" s="79"/>
      <c r="AA939" s="79"/>
      <c r="AB939" s="79"/>
      <c r="AC939" s="81"/>
      <c r="AD939" s="79"/>
      <c r="AE939" s="79"/>
    </row>
    <row r="940" ht="15.75" customHeight="1">
      <c r="A940" s="79"/>
      <c r="B940" s="79"/>
      <c r="C940" s="79"/>
      <c r="D940" s="79"/>
      <c r="E940" s="79"/>
      <c r="F940" s="79"/>
      <c r="G940" s="79"/>
      <c r="H940" s="79"/>
      <c r="I940" s="79"/>
      <c r="J940" s="79"/>
      <c r="K940" s="79"/>
      <c r="L940" s="79"/>
      <c r="M940" s="79"/>
      <c r="N940" s="79"/>
      <c r="O940" s="79"/>
      <c r="P940" s="79"/>
      <c r="Q940" s="80"/>
      <c r="R940" s="80"/>
      <c r="S940" s="79"/>
      <c r="T940" s="79"/>
      <c r="U940" s="79"/>
      <c r="V940" s="79"/>
      <c r="W940" s="79"/>
      <c r="X940" s="79"/>
      <c r="Y940" s="79"/>
      <c r="Z940" s="79"/>
      <c r="AA940" s="79"/>
      <c r="AB940" s="79"/>
      <c r="AC940" s="81"/>
      <c r="AD940" s="79"/>
      <c r="AE940" s="79"/>
    </row>
    <row r="941" ht="15.75" customHeight="1">
      <c r="A941" s="79"/>
      <c r="B941" s="79"/>
      <c r="C941" s="79"/>
      <c r="D941" s="79"/>
      <c r="E941" s="79"/>
      <c r="F941" s="79"/>
      <c r="G941" s="79"/>
      <c r="H941" s="79"/>
      <c r="I941" s="79"/>
      <c r="J941" s="79"/>
      <c r="K941" s="79"/>
      <c r="L941" s="79"/>
      <c r="M941" s="79"/>
      <c r="N941" s="79"/>
      <c r="O941" s="79"/>
      <c r="P941" s="79"/>
      <c r="Q941" s="80"/>
      <c r="R941" s="80"/>
      <c r="S941" s="79"/>
      <c r="T941" s="79"/>
      <c r="U941" s="79"/>
      <c r="V941" s="79"/>
      <c r="W941" s="79"/>
      <c r="X941" s="79"/>
      <c r="Y941" s="79"/>
      <c r="Z941" s="79"/>
      <c r="AA941" s="79"/>
      <c r="AB941" s="79"/>
      <c r="AC941" s="81"/>
      <c r="AD941" s="79"/>
      <c r="AE941" s="79"/>
    </row>
    <row r="942" ht="15.75" customHeight="1">
      <c r="A942" s="79"/>
      <c r="B942" s="79"/>
      <c r="C942" s="79"/>
      <c r="D942" s="79"/>
      <c r="E942" s="79"/>
      <c r="F942" s="79"/>
      <c r="G942" s="79"/>
      <c r="H942" s="79"/>
      <c r="I942" s="79"/>
      <c r="J942" s="79"/>
      <c r="K942" s="79"/>
      <c r="L942" s="79"/>
      <c r="M942" s="79"/>
      <c r="N942" s="79"/>
      <c r="O942" s="79"/>
      <c r="P942" s="79"/>
      <c r="Q942" s="80"/>
      <c r="R942" s="80"/>
      <c r="S942" s="79"/>
      <c r="T942" s="79"/>
      <c r="U942" s="79"/>
      <c r="V942" s="79"/>
      <c r="W942" s="79"/>
      <c r="X942" s="79"/>
      <c r="Y942" s="79"/>
      <c r="Z942" s="79"/>
      <c r="AA942" s="79"/>
      <c r="AB942" s="79"/>
      <c r="AC942" s="81"/>
      <c r="AD942" s="79"/>
      <c r="AE942" s="79"/>
    </row>
    <row r="943" ht="15.75" customHeight="1">
      <c r="A943" s="79"/>
      <c r="B943" s="79"/>
      <c r="C943" s="79"/>
      <c r="D943" s="79"/>
      <c r="E943" s="79"/>
      <c r="F943" s="79"/>
      <c r="G943" s="79"/>
      <c r="H943" s="79"/>
      <c r="I943" s="79"/>
      <c r="J943" s="79"/>
      <c r="K943" s="79"/>
      <c r="L943" s="79"/>
      <c r="M943" s="79"/>
      <c r="N943" s="79"/>
      <c r="O943" s="79"/>
      <c r="P943" s="79"/>
      <c r="Q943" s="80"/>
      <c r="R943" s="80"/>
      <c r="S943" s="79"/>
      <c r="T943" s="79"/>
      <c r="U943" s="79"/>
      <c r="V943" s="79"/>
      <c r="W943" s="79"/>
      <c r="X943" s="79"/>
      <c r="Y943" s="79"/>
      <c r="Z943" s="79"/>
      <c r="AA943" s="79"/>
      <c r="AB943" s="79"/>
      <c r="AC943" s="81"/>
      <c r="AD943" s="79"/>
      <c r="AE943" s="79"/>
    </row>
    <row r="944" ht="15.75" customHeight="1">
      <c r="A944" s="79"/>
      <c r="B944" s="79"/>
      <c r="C944" s="79"/>
      <c r="D944" s="79"/>
      <c r="E944" s="79"/>
      <c r="F944" s="79"/>
      <c r="G944" s="79"/>
      <c r="H944" s="79"/>
      <c r="I944" s="79"/>
      <c r="J944" s="79"/>
      <c r="K944" s="79"/>
      <c r="L944" s="79"/>
      <c r="M944" s="79"/>
      <c r="N944" s="79"/>
      <c r="O944" s="79"/>
      <c r="P944" s="79"/>
      <c r="Q944" s="80"/>
      <c r="R944" s="80"/>
      <c r="S944" s="79"/>
      <c r="T944" s="79"/>
      <c r="U944" s="79"/>
      <c r="V944" s="79"/>
      <c r="W944" s="79"/>
      <c r="X944" s="79"/>
      <c r="Y944" s="79"/>
      <c r="Z944" s="79"/>
      <c r="AA944" s="79"/>
      <c r="AB944" s="79"/>
      <c r="AC944" s="81"/>
      <c r="AD944" s="79"/>
      <c r="AE944" s="79"/>
    </row>
    <row r="945" ht="15.75" customHeight="1">
      <c r="A945" s="79"/>
      <c r="B945" s="79"/>
      <c r="C945" s="79"/>
      <c r="D945" s="79"/>
      <c r="E945" s="79"/>
      <c r="F945" s="79"/>
      <c r="G945" s="79"/>
      <c r="H945" s="79"/>
      <c r="I945" s="79"/>
      <c r="J945" s="79"/>
      <c r="K945" s="79"/>
      <c r="L945" s="79"/>
      <c r="M945" s="79"/>
      <c r="N945" s="79"/>
      <c r="O945" s="79"/>
      <c r="P945" s="79"/>
      <c r="Q945" s="80"/>
      <c r="R945" s="80"/>
      <c r="S945" s="79"/>
      <c r="T945" s="79"/>
      <c r="U945" s="79"/>
      <c r="V945" s="79"/>
      <c r="W945" s="79"/>
      <c r="X945" s="79"/>
      <c r="Y945" s="79"/>
      <c r="Z945" s="79"/>
      <c r="AA945" s="79"/>
      <c r="AB945" s="79"/>
      <c r="AC945" s="81"/>
      <c r="AD945" s="79"/>
      <c r="AE945" s="79"/>
    </row>
    <row r="946" ht="15.75" customHeight="1">
      <c r="A946" s="79"/>
      <c r="B946" s="79"/>
      <c r="C946" s="79"/>
      <c r="D946" s="79"/>
      <c r="E946" s="79"/>
      <c r="F946" s="79"/>
      <c r="G946" s="79"/>
      <c r="H946" s="79"/>
      <c r="I946" s="79"/>
      <c r="J946" s="79"/>
      <c r="K946" s="79"/>
      <c r="L946" s="79"/>
      <c r="M946" s="79"/>
      <c r="N946" s="79"/>
      <c r="O946" s="79"/>
      <c r="P946" s="79"/>
      <c r="Q946" s="80"/>
      <c r="R946" s="80"/>
      <c r="S946" s="79"/>
      <c r="T946" s="79"/>
      <c r="U946" s="79"/>
      <c r="V946" s="79"/>
      <c r="W946" s="79"/>
      <c r="X946" s="79"/>
      <c r="Y946" s="79"/>
      <c r="Z946" s="79"/>
      <c r="AA946" s="79"/>
      <c r="AB946" s="79"/>
      <c r="AC946" s="81"/>
      <c r="AD946" s="79"/>
      <c r="AE946" s="79"/>
    </row>
    <row r="947" ht="15.75" customHeight="1">
      <c r="A947" s="79"/>
      <c r="B947" s="79"/>
      <c r="C947" s="79"/>
      <c r="D947" s="79"/>
      <c r="E947" s="79"/>
      <c r="F947" s="79"/>
      <c r="G947" s="79"/>
      <c r="H947" s="79"/>
      <c r="I947" s="79"/>
      <c r="J947" s="79"/>
      <c r="K947" s="79"/>
      <c r="L947" s="79"/>
      <c r="M947" s="79"/>
      <c r="N947" s="79"/>
      <c r="O947" s="79"/>
      <c r="P947" s="79"/>
      <c r="Q947" s="80"/>
      <c r="R947" s="80"/>
      <c r="S947" s="79"/>
      <c r="T947" s="79"/>
      <c r="U947" s="79"/>
      <c r="V947" s="79"/>
      <c r="W947" s="79"/>
      <c r="X947" s="79"/>
      <c r="Y947" s="79"/>
      <c r="Z947" s="79"/>
      <c r="AA947" s="79"/>
      <c r="AB947" s="79"/>
      <c r="AC947" s="81"/>
      <c r="AD947" s="79"/>
      <c r="AE947" s="79"/>
    </row>
    <row r="948" ht="15.75" customHeight="1">
      <c r="A948" s="79"/>
      <c r="B948" s="79"/>
      <c r="C948" s="79"/>
      <c r="D948" s="79"/>
      <c r="E948" s="79"/>
      <c r="F948" s="79"/>
      <c r="G948" s="79"/>
      <c r="H948" s="79"/>
      <c r="I948" s="79"/>
      <c r="J948" s="79"/>
      <c r="K948" s="79"/>
      <c r="L948" s="79"/>
      <c r="M948" s="79"/>
      <c r="N948" s="79"/>
      <c r="O948" s="79"/>
      <c r="P948" s="79"/>
      <c r="Q948" s="80"/>
      <c r="R948" s="80"/>
      <c r="S948" s="79"/>
      <c r="T948" s="79"/>
      <c r="U948" s="79"/>
      <c r="V948" s="79"/>
      <c r="W948" s="79"/>
      <c r="X948" s="79"/>
      <c r="Y948" s="79"/>
      <c r="Z948" s="79"/>
      <c r="AA948" s="79"/>
      <c r="AB948" s="79"/>
      <c r="AC948" s="81"/>
      <c r="AD948" s="79"/>
      <c r="AE948" s="79"/>
    </row>
    <row r="949" ht="15.75" customHeight="1">
      <c r="A949" s="79"/>
      <c r="B949" s="79"/>
      <c r="C949" s="79"/>
      <c r="D949" s="79"/>
      <c r="E949" s="79"/>
      <c r="F949" s="79"/>
      <c r="G949" s="79"/>
      <c r="H949" s="79"/>
      <c r="I949" s="79"/>
      <c r="J949" s="79"/>
      <c r="K949" s="79"/>
      <c r="L949" s="79"/>
      <c r="M949" s="79"/>
      <c r="N949" s="79"/>
      <c r="O949" s="79"/>
      <c r="P949" s="79"/>
      <c r="Q949" s="80"/>
      <c r="R949" s="80"/>
      <c r="S949" s="79"/>
      <c r="T949" s="79"/>
      <c r="U949" s="79"/>
      <c r="V949" s="79"/>
      <c r="W949" s="79"/>
      <c r="X949" s="79"/>
      <c r="Y949" s="79"/>
      <c r="Z949" s="79"/>
      <c r="AA949" s="79"/>
      <c r="AB949" s="79"/>
      <c r="AC949" s="81"/>
      <c r="AD949" s="79"/>
      <c r="AE949" s="79"/>
    </row>
    <row r="950" ht="15.75" customHeight="1">
      <c r="A950" s="79"/>
      <c r="B950" s="79"/>
      <c r="C950" s="79"/>
      <c r="D950" s="79"/>
      <c r="E950" s="79"/>
      <c r="F950" s="79"/>
      <c r="G950" s="79"/>
      <c r="H950" s="79"/>
      <c r="I950" s="79"/>
      <c r="J950" s="79"/>
      <c r="K950" s="79"/>
      <c r="L950" s="79"/>
      <c r="M950" s="79"/>
      <c r="N950" s="79"/>
      <c r="O950" s="79"/>
      <c r="P950" s="79"/>
      <c r="Q950" s="80"/>
      <c r="R950" s="80"/>
      <c r="S950" s="79"/>
      <c r="T950" s="79"/>
      <c r="U950" s="79"/>
      <c r="V950" s="79"/>
      <c r="W950" s="79"/>
      <c r="X950" s="79"/>
      <c r="Y950" s="79"/>
      <c r="Z950" s="79"/>
      <c r="AA950" s="79"/>
      <c r="AB950" s="79"/>
      <c r="AC950" s="81"/>
      <c r="AD950" s="79"/>
      <c r="AE950" s="79"/>
    </row>
    <row r="951" ht="15.75" customHeight="1">
      <c r="A951" s="79"/>
      <c r="B951" s="79"/>
      <c r="C951" s="79"/>
      <c r="D951" s="79"/>
      <c r="E951" s="79"/>
      <c r="F951" s="79"/>
      <c r="G951" s="79"/>
      <c r="H951" s="79"/>
      <c r="I951" s="79"/>
      <c r="J951" s="79"/>
      <c r="K951" s="79"/>
      <c r="L951" s="79"/>
      <c r="M951" s="79"/>
      <c r="N951" s="79"/>
      <c r="O951" s="79"/>
      <c r="P951" s="79"/>
      <c r="Q951" s="80"/>
      <c r="R951" s="80"/>
      <c r="S951" s="79"/>
      <c r="T951" s="79"/>
      <c r="U951" s="79"/>
      <c r="V951" s="79"/>
      <c r="W951" s="79"/>
      <c r="X951" s="79"/>
      <c r="Y951" s="79"/>
      <c r="Z951" s="79"/>
      <c r="AA951" s="79"/>
      <c r="AB951" s="79"/>
      <c r="AC951" s="81"/>
      <c r="AD951" s="79"/>
      <c r="AE951" s="79"/>
    </row>
    <row r="952" ht="15.75" customHeight="1">
      <c r="A952" s="79"/>
      <c r="B952" s="79"/>
      <c r="C952" s="79"/>
      <c r="D952" s="79"/>
      <c r="E952" s="79"/>
      <c r="F952" s="79"/>
      <c r="G952" s="79"/>
      <c r="H952" s="79"/>
      <c r="I952" s="79"/>
      <c r="J952" s="79"/>
      <c r="K952" s="79"/>
      <c r="L952" s="79"/>
      <c r="M952" s="79"/>
      <c r="N952" s="79"/>
      <c r="O952" s="79"/>
      <c r="P952" s="79"/>
      <c r="Q952" s="80"/>
      <c r="R952" s="80"/>
      <c r="S952" s="79"/>
      <c r="T952" s="79"/>
      <c r="U952" s="79"/>
      <c r="V952" s="79"/>
      <c r="W952" s="79"/>
      <c r="X952" s="79"/>
      <c r="Y952" s="79"/>
      <c r="Z952" s="79"/>
      <c r="AA952" s="79"/>
      <c r="AB952" s="79"/>
      <c r="AC952" s="81"/>
      <c r="AD952" s="79"/>
      <c r="AE952" s="79"/>
    </row>
    <row r="953" ht="15.75" customHeight="1">
      <c r="A953" s="79"/>
      <c r="B953" s="79"/>
      <c r="C953" s="79"/>
      <c r="D953" s="79"/>
      <c r="E953" s="79"/>
      <c r="F953" s="79"/>
      <c r="G953" s="79"/>
      <c r="H953" s="79"/>
      <c r="I953" s="79"/>
      <c r="J953" s="79"/>
      <c r="K953" s="79"/>
      <c r="L953" s="79"/>
      <c r="M953" s="79"/>
      <c r="N953" s="79"/>
      <c r="O953" s="79"/>
      <c r="P953" s="79"/>
      <c r="Q953" s="80"/>
      <c r="R953" s="80"/>
      <c r="S953" s="79"/>
      <c r="T953" s="79"/>
      <c r="U953" s="79"/>
      <c r="V953" s="79"/>
      <c r="W953" s="79"/>
      <c r="X953" s="79"/>
      <c r="Y953" s="79"/>
      <c r="Z953" s="79"/>
      <c r="AA953" s="79"/>
      <c r="AB953" s="79"/>
      <c r="AC953" s="81"/>
      <c r="AD953" s="79"/>
      <c r="AE953" s="79"/>
    </row>
    <row r="954" ht="15.75" customHeight="1">
      <c r="A954" s="79"/>
      <c r="B954" s="79"/>
      <c r="C954" s="79"/>
      <c r="D954" s="79"/>
      <c r="E954" s="79"/>
      <c r="F954" s="79"/>
      <c r="G954" s="79"/>
      <c r="H954" s="79"/>
      <c r="I954" s="79"/>
      <c r="J954" s="79"/>
      <c r="K954" s="79"/>
      <c r="L954" s="79"/>
      <c r="M954" s="79"/>
      <c r="N954" s="79"/>
      <c r="O954" s="79"/>
      <c r="P954" s="79"/>
      <c r="Q954" s="80"/>
      <c r="R954" s="80"/>
      <c r="S954" s="79"/>
      <c r="T954" s="79"/>
      <c r="U954" s="79"/>
      <c r="V954" s="79"/>
      <c r="W954" s="79"/>
      <c r="X954" s="79"/>
      <c r="Y954" s="79"/>
      <c r="Z954" s="79"/>
      <c r="AA954" s="79"/>
      <c r="AB954" s="79"/>
      <c r="AC954" s="81"/>
      <c r="AD954" s="79"/>
      <c r="AE954" s="79"/>
    </row>
    <row r="955" ht="15.75" customHeight="1">
      <c r="A955" s="79"/>
      <c r="B955" s="79"/>
      <c r="C955" s="79"/>
      <c r="D955" s="79"/>
      <c r="E955" s="79"/>
      <c r="F955" s="79"/>
      <c r="G955" s="79"/>
      <c r="H955" s="79"/>
      <c r="I955" s="79"/>
      <c r="J955" s="79"/>
      <c r="K955" s="79"/>
      <c r="L955" s="79"/>
      <c r="M955" s="79"/>
      <c r="N955" s="79"/>
      <c r="O955" s="79"/>
      <c r="P955" s="79"/>
      <c r="Q955" s="80"/>
      <c r="R955" s="80"/>
      <c r="S955" s="79"/>
      <c r="T955" s="79"/>
      <c r="U955" s="79"/>
      <c r="V955" s="79"/>
      <c r="W955" s="79"/>
      <c r="X955" s="79"/>
      <c r="Y955" s="79"/>
      <c r="Z955" s="79"/>
      <c r="AA955" s="79"/>
      <c r="AB955" s="79"/>
      <c r="AC955" s="81"/>
      <c r="AD955" s="79"/>
      <c r="AE955" s="79"/>
    </row>
    <row r="956" ht="15.75" customHeight="1">
      <c r="A956" s="79"/>
      <c r="B956" s="79"/>
      <c r="C956" s="79"/>
      <c r="D956" s="79"/>
      <c r="E956" s="79"/>
      <c r="F956" s="79"/>
      <c r="G956" s="79"/>
      <c r="H956" s="79"/>
      <c r="I956" s="79"/>
      <c r="J956" s="79"/>
      <c r="K956" s="79"/>
      <c r="L956" s="79"/>
      <c r="M956" s="79"/>
      <c r="N956" s="79"/>
      <c r="O956" s="79"/>
      <c r="P956" s="79"/>
      <c r="Q956" s="80"/>
      <c r="R956" s="80"/>
      <c r="S956" s="79"/>
      <c r="T956" s="79"/>
      <c r="U956" s="79"/>
      <c r="V956" s="79"/>
      <c r="W956" s="79"/>
      <c r="X956" s="79"/>
      <c r="Y956" s="79"/>
      <c r="Z956" s="79"/>
      <c r="AA956" s="79"/>
      <c r="AB956" s="79"/>
      <c r="AC956" s="81"/>
      <c r="AD956" s="79"/>
      <c r="AE956" s="79"/>
    </row>
    <row r="957" ht="15.75" customHeight="1">
      <c r="A957" s="79"/>
      <c r="B957" s="79"/>
      <c r="C957" s="79"/>
      <c r="D957" s="79"/>
      <c r="E957" s="79"/>
      <c r="F957" s="79"/>
      <c r="G957" s="79"/>
      <c r="H957" s="79"/>
      <c r="I957" s="79"/>
      <c r="J957" s="79"/>
      <c r="K957" s="79"/>
      <c r="L957" s="79"/>
      <c r="M957" s="79"/>
      <c r="N957" s="79"/>
      <c r="O957" s="79"/>
      <c r="P957" s="79"/>
      <c r="Q957" s="80"/>
      <c r="R957" s="80"/>
      <c r="S957" s="79"/>
      <c r="T957" s="79"/>
      <c r="U957" s="79"/>
      <c r="V957" s="79"/>
      <c r="W957" s="79"/>
      <c r="X957" s="79"/>
      <c r="Y957" s="79"/>
      <c r="Z957" s="79"/>
      <c r="AA957" s="79"/>
      <c r="AB957" s="79"/>
      <c r="AC957" s="81"/>
      <c r="AD957" s="79"/>
      <c r="AE957" s="79"/>
    </row>
    <row r="958" ht="15.75" customHeight="1">
      <c r="A958" s="79"/>
      <c r="B958" s="79"/>
      <c r="C958" s="79"/>
      <c r="D958" s="79"/>
      <c r="E958" s="79"/>
      <c r="F958" s="79"/>
      <c r="G958" s="79"/>
      <c r="H958" s="79"/>
      <c r="I958" s="79"/>
      <c r="J958" s="79"/>
      <c r="K958" s="79"/>
      <c r="L958" s="79"/>
      <c r="M958" s="79"/>
      <c r="N958" s="79"/>
      <c r="O958" s="79"/>
      <c r="P958" s="79"/>
      <c r="Q958" s="80"/>
      <c r="R958" s="80"/>
      <c r="S958" s="79"/>
      <c r="T958" s="79"/>
      <c r="U958" s="79"/>
      <c r="V958" s="79"/>
      <c r="W958" s="79"/>
      <c r="X958" s="79"/>
      <c r="Y958" s="79"/>
      <c r="Z958" s="79"/>
      <c r="AA958" s="79"/>
      <c r="AB958" s="79"/>
      <c r="AC958" s="81"/>
      <c r="AD958" s="79"/>
      <c r="AE958" s="79"/>
    </row>
    <row r="959" ht="15.75" customHeight="1">
      <c r="A959" s="79"/>
      <c r="B959" s="79"/>
      <c r="C959" s="79"/>
      <c r="D959" s="79"/>
      <c r="E959" s="79"/>
      <c r="F959" s="79"/>
      <c r="G959" s="79"/>
      <c r="H959" s="79"/>
      <c r="I959" s="79"/>
      <c r="J959" s="79"/>
      <c r="K959" s="79"/>
      <c r="L959" s="79"/>
      <c r="M959" s="79"/>
      <c r="N959" s="79"/>
      <c r="O959" s="79"/>
      <c r="P959" s="79"/>
      <c r="Q959" s="80"/>
      <c r="R959" s="80"/>
      <c r="S959" s="79"/>
      <c r="T959" s="79"/>
      <c r="U959" s="79"/>
      <c r="V959" s="79"/>
      <c r="W959" s="79"/>
      <c r="X959" s="79"/>
      <c r="Y959" s="79"/>
      <c r="Z959" s="79"/>
      <c r="AA959" s="79"/>
      <c r="AB959" s="79"/>
      <c r="AC959" s="81"/>
      <c r="AD959" s="79"/>
      <c r="AE959" s="79"/>
    </row>
    <row r="960" ht="15.75" customHeight="1">
      <c r="A960" s="79"/>
      <c r="B960" s="79"/>
      <c r="C960" s="79"/>
      <c r="D960" s="79"/>
      <c r="E960" s="79"/>
      <c r="F960" s="79"/>
      <c r="G960" s="79"/>
      <c r="H960" s="79"/>
      <c r="I960" s="79"/>
      <c r="J960" s="79"/>
      <c r="K960" s="79"/>
      <c r="L960" s="79"/>
      <c r="M960" s="79"/>
      <c r="N960" s="79"/>
      <c r="O960" s="79"/>
      <c r="P960" s="79"/>
      <c r="Q960" s="80"/>
      <c r="R960" s="80"/>
      <c r="S960" s="79"/>
      <c r="T960" s="79"/>
      <c r="U960" s="79"/>
      <c r="V960" s="79"/>
      <c r="W960" s="79"/>
      <c r="X960" s="79"/>
      <c r="Y960" s="79"/>
      <c r="Z960" s="79"/>
      <c r="AA960" s="79"/>
      <c r="AB960" s="79"/>
      <c r="AC960" s="81"/>
      <c r="AD960" s="79"/>
      <c r="AE960" s="79"/>
    </row>
    <row r="961" ht="15.75" customHeight="1">
      <c r="A961" s="79"/>
      <c r="B961" s="79"/>
      <c r="C961" s="79"/>
      <c r="D961" s="79"/>
      <c r="E961" s="79"/>
      <c r="F961" s="79"/>
      <c r="G961" s="79"/>
      <c r="H961" s="79"/>
      <c r="I961" s="79"/>
      <c r="J961" s="79"/>
      <c r="K961" s="79"/>
      <c r="L961" s="79"/>
      <c r="M961" s="79"/>
      <c r="N961" s="79"/>
      <c r="O961" s="79"/>
      <c r="P961" s="79"/>
      <c r="Q961" s="80"/>
      <c r="R961" s="80"/>
      <c r="S961" s="79"/>
      <c r="T961" s="79"/>
      <c r="U961" s="79"/>
      <c r="V961" s="79"/>
      <c r="W961" s="79"/>
      <c r="X961" s="79"/>
      <c r="Y961" s="79"/>
      <c r="Z961" s="79"/>
      <c r="AA961" s="79"/>
      <c r="AB961" s="79"/>
      <c r="AC961" s="81"/>
      <c r="AD961" s="79"/>
      <c r="AE961" s="79"/>
    </row>
    <row r="962" ht="15.75" customHeight="1">
      <c r="A962" s="79"/>
      <c r="B962" s="79"/>
      <c r="C962" s="79"/>
      <c r="D962" s="79"/>
      <c r="E962" s="79"/>
      <c r="F962" s="79"/>
      <c r="G962" s="79"/>
      <c r="H962" s="79"/>
      <c r="I962" s="79"/>
      <c r="J962" s="79"/>
      <c r="K962" s="79"/>
      <c r="L962" s="79"/>
      <c r="M962" s="79"/>
      <c r="N962" s="79"/>
      <c r="O962" s="79"/>
      <c r="P962" s="79"/>
      <c r="Q962" s="80"/>
      <c r="R962" s="80"/>
      <c r="S962" s="79"/>
      <c r="T962" s="79"/>
      <c r="U962" s="79"/>
      <c r="V962" s="79"/>
      <c r="W962" s="79"/>
      <c r="X962" s="79"/>
      <c r="Y962" s="79"/>
      <c r="Z962" s="79"/>
      <c r="AA962" s="79"/>
      <c r="AB962" s="79"/>
      <c r="AC962" s="81"/>
      <c r="AD962" s="79"/>
      <c r="AE962" s="79"/>
    </row>
    <row r="963" ht="15.75" customHeight="1">
      <c r="A963" s="79"/>
      <c r="B963" s="79"/>
      <c r="C963" s="79"/>
      <c r="D963" s="79"/>
      <c r="E963" s="79"/>
      <c r="F963" s="79"/>
      <c r="G963" s="79"/>
      <c r="H963" s="79"/>
      <c r="I963" s="79"/>
      <c r="J963" s="79"/>
      <c r="K963" s="79"/>
      <c r="L963" s="79"/>
      <c r="M963" s="79"/>
      <c r="N963" s="79"/>
      <c r="O963" s="79"/>
      <c r="P963" s="79"/>
      <c r="Q963" s="80"/>
      <c r="R963" s="80"/>
      <c r="S963" s="79"/>
      <c r="T963" s="79"/>
      <c r="U963" s="79"/>
      <c r="V963" s="79"/>
      <c r="W963" s="79"/>
      <c r="X963" s="79"/>
      <c r="Y963" s="79"/>
      <c r="Z963" s="79"/>
      <c r="AA963" s="79"/>
      <c r="AB963" s="79"/>
      <c r="AC963" s="81"/>
      <c r="AD963" s="79"/>
      <c r="AE963" s="79"/>
    </row>
    <row r="964" ht="15.75" customHeight="1">
      <c r="A964" s="79"/>
      <c r="B964" s="79"/>
      <c r="C964" s="79"/>
      <c r="D964" s="79"/>
      <c r="E964" s="79"/>
      <c r="F964" s="79"/>
      <c r="G964" s="79"/>
      <c r="H964" s="79"/>
      <c r="I964" s="79"/>
      <c r="J964" s="79"/>
      <c r="K964" s="79"/>
      <c r="L964" s="79"/>
      <c r="M964" s="79"/>
      <c r="N964" s="79"/>
      <c r="O964" s="79"/>
      <c r="P964" s="79"/>
      <c r="Q964" s="80"/>
      <c r="R964" s="80"/>
      <c r="S964" s="79"/>
      <c r="T964" s="79"/>
      <c r="U964" s="79"/>
      <c r="V964" s="79"/>
      <c r="W964" s="79"/>
      <c r="X964" s="79"/>
      <c r="Y964" s="79"/>
      <c r="Z964" s="79"/>
      <c r="AA964" s="79"/>
      <c r="AB964" s="79"/>
      <c r="AC964" s="81"/>
      <c r="AD964" s="79"/>
      <c r="AE964" s="79"/>
    </row>
    <row r="965" ht="15.75" customHeight="1">
      <c r="A965" s="79"/>
      <c r="B965" s="79"/>
      <c r="C965" s="79"/>
      <c r="D965" s="79"/>
      <c r="E965" s="79"/>
      <c r="F965" s="79"/>
      <c r="G965" s="79"/>
      <c r="H965" s="79"/>
      <c r="I965" s="79"/>
      <c r="J965" s="79"/>
      <c r="K965" s="79"/>
      <c r="L965" s="79"/>
      <c r="M965" s="79"/>
      <c r="N965" s="79"/>
      <c r="O965" s="79"/>
      <c r="P965" s="79"/>
      <c r="Q965" s="80"/>
      <c r="R965" s="80"/>
      <c r="S965" s="79"/>
      <c r="T965" s="79"/>
      <c r="U965" s="79"/>
      <c r="V965" s="79"/>
      <c r="W965" s="79"/>
      <c r="X965" s="79"/>
      <c r="Y965" s="79"/>
      <c r="Z965" s="79"/>
      <c r="AA965" s="79"/>
      <c r="AB965" s="79"/>
      <c r="AC965" s="81"/>
      <c r="AD965" s="79"/>
      <c r="AE965" s="79"/>
    </row>
    <row r="966" ht="15.75" customHeight="1">
      <c r="A966" s="79"/>
      <c r="B966" s="79"/>
      <c r="C966" s="79"/>
      <c r="D966" s="79"/>
      <c r="E966" s="79"/>
      <c r="F966" s="79"/>
      <c r="G966" s="79"/>
      <c r="H966" s="79"/>
      <c r="I966" s="79"/>
      <c r="J966" s="79"/>
      <c r="K966" s="79"/>
      <c r="L966" s="79"/>
      <c r="M966" s="79"/>
      <c r="N966" s="79"/>
      <c r="O966" s="79"/>
      <c r="P966" s="79"/>
      <c r="Q966" s="80"/>
      <c r="R966" s="80"/>
      <c r="S966" s="79"/>
      <c r="T966" s="79"/>
      <c r="U966" s="79"/>
      <c r="V966" s="79"/>
      <c r="W966" s="79"/>
      <c r="X966" s="79"/>
      <c r="Y966" s="79"/>
      <c r="Z966" s="79"/>
      <c r="AA966" s="79"/>
      <c r="AB966" s="79"/>
      <c r="AC966" s="81"/>
      <c r="AD966" s="79"/>
      <c r="AE966" s="79"/>
    </row>
    <row r="967" ht="15.75" customHeight="1">
      <c r="A967" s="79"/>
      <c r="B967" s="79"/>
      <c r="C967" s="79"/>
      <c r="D967" s="79"/>
      <c r="E967" s="79"/>
      <c r="F967" s="79"/>
      <c r="G967" s="79"/>
      <c r="H967" s="79"/>
      <c r="I967" s="79"/>
      <c r="J967" s="79"/>
      <c r="K967" s="79"/>
      <c r="L967" s="79"/>
      <c r="M967" s="79"/>
      <c r="N967" s="79"/>
      <c r="O967" s="79"/>
      <c r="P967" s="79"/>
      <c r="Q967" s="80"/>
      <c r="R967" s="80"/>
      <c r="S967" s="79"/>
      <c r="T967" s="79"/>
      <c r="U967" s="79"/>
      <c r="V967" s="79"/>
      <c r="W967" s="79"/>
      <c r="X967" s="79"/>
      <c r="Y967" s="79"/>
      <c r="Z967" s="79"/>
      <c r="AA967" s="79"/>
      <c r="AB967" s="79"/>
      <c r="AC967" s="81"/>
      <c r="AD967" s="79"/>
      <c r="AE967" s="79"/>
    </row>
    <row r="968" ht="15.75" customHeight="1">
      <c r="A968" s="79"/>
      <c r="B968" s="79"/>
      <c r="C968" s="79"/>
      <c r="D968" s="79"/>
      <c r="E968" s="79"/>
      <c r="F968" s="79"/>
      <c r="G968" s="79"/>
      <c r="H968" s="79"/>
      <c r="I968" s="79"/>
      <c r="J968" s="79"/>
      <c r="K968" s="79"/>
      <c r="L968" s="79"/>
      <c r="M968" s="79"/>
      <c r="N968" s="79"/>
      <c r="O968" s="79"/>
      <c r="P968" s="79"/>
      <c r="Q968" s="80"/>
      <c r="R968" s="80"/>
      <c r="S968" s="79"/>
      <c r="T968" s="79"/>
      <c r="U968" s="79"/>
      <c r="V968" s="79"/>
      <c r="W968" s="79"/>
      <c r="X968" s="79"/>
      <c r="Y968" s="79"/>
      <c r="Z968" s="79"/>
      <c r="AA968" s="79"/>
      <c r="AB968" s="79"/>
      <c r="AC968" s="81"/>
      <c r="AD968" s="79"/>
      <c r="AE968" s="79"/>
    </row>
    <row r="969" ht="15.75" customHeight="1">
      <c r="A969" s="79"/>
      <c r="B969" s="79"/>
      <c r="C969" s="79"/>
      <c r="D969" s="79"/>
      <c r="E969" s="79"/>
      <c r="F969" s="79"/>
      <c r="G969" s="79"/>
      <c r="H969" s="79"/>
      <c r="I969" s="79"/>
      <c r="J969" s="79"/>
      <c r="K969" s="79"/>
      <c r="L969" s="79"/>
      <c r="M969" s="79"/>
      <c r="N969" s="79"/>
      <c r="O969" s="79"/>
      <c r="P969" s="79"/>
      <c r="Q969" s="80"/>
      <c r="R969" s="80"/>
      <c r="S969" s="79"/>
      <c r="T969" s="79"/>
      <c r="U969" s="79"/>
      <c r="V969" s="79"/>
      <c r="W969" s="79"/>
      <c r="X969" s="79"/>
      <c r="Y969" s="79"/>
      <c r="Z969" s="79"/>
      <c r="AA969" s="79"/>
      <c r="AB969" s="79"/>
      <c r="AC969" s="81"/>
      <c r="AD969" s="79"/>
      <c r="AE969" s="79"/>
    </row>
    <row r="970" ht="15.75" customHeight="1">
      <c r="A970" s="79"/>
      <c r="B970" s="79"/>
      <c r="C970" s="79"/>
      <c r="D970" s="79"/>
      <c r="E970" s="79"/>
      <c r="F970" s="79"/>
      <c r="G970" s="79"/>
      <c r="H970" s="79"/>
      <c r="I970" s="79"/>
      <c r="J970" s="79"/>
      <c r="K970" s="79"/>
      <c r="L970" s="79"/>
      <c r="M970" s="79"/>
      <c r="N970" s="79"/>
      <c r="O970" s="79"/>
      <c r="P970" s="79"/>
      <c r="Q970" s="80"/>
      <c r="R970" s="80"/>
      <c r="S970" s="79"/>
      <c r="T970" s="79"/>
      <c r="U970" s="79"/>
      <c r="V970" s="79"/>
      <c r="W970" s="79"/>
      <c r="X970" s="79"/>
      <c r="Y970" s="79"/>
      <c r="Z970" s="79"/>
      <c r="AA970" s="79"/>
      <c r="AB970" s="79"/>
      <c r="AC970" s="81"/>
      <c r="AD970" s="79"/>
      <c r="AE970" s="79"/>
    </row>
    <row r="971" ht="15.75" customHeight="1">
      <c r="A971" s="79"/>
      <c r="B971" s="79"/>
      <c r="C971" s="79"/>
      <c r="D971" s="79"/>
      <c r="E971" s="79"/>
      <c r="F971" s="79"/>
      <c r="G971" s="79"/>
      <c r="H971" s="79"/>
      <c r="I971" s="79"/>
      <c r="J971" s="79"/>
      <c r="K971" s="79"/>
      <c r="L971" s="79"/>
      <c r="M971" s="79"/>
      <c r="N971" s="79"/>
      <c r="O971" s="79"/>
      <c r="P971" s="79"/>
      <c r="Q971" s="80"/>
      <c r="R971" s="80"/>
      <c r="S971" s="79"/>
      <c r="T971" s="79"/>
      <c r="U971" s="79"/>
      <c r="V971" s="79"/>
      <c r="W971" s="79"/>
      <c r="X971" s="79"/>
      <c r="Y971" s="79"/>
      <c r="Z971" s="79"/>
      <c r="AA971" s="79"/>
      <c r="AB971" s="79"/>
      <c r="AC971" s="81"/>
      <c r="AD971" s="79"/>
      <c r="AE971" s="79"/>
    </row>
    <row r="972" ht="15.75" customHeight="1">
      <c r="A972" s="79"/>
      <c r="B972" s="79"/>
      <c r="C972" s="79"/>
      <c r="D972" s="79"/>
      <c r="E972" s="79"/>
      <c r="F972" s="79"/>
      <c r="G972" s="79"/>
      <c r="H972" s="79"/>
      <c r="I972" s="79"/>
      <c r="J972" s="79"/>
      <c r="K972" s="79"/>
      <c r="L972" s="79"/>
      <c r="M972" s="79"/>
      <c r="N972" s="79"/>
      <c r="O972" s="79"/>
      <c r="P972" s="79"/>
      <c r="Q972" s="80"/>
      <c r="R972" s="80"/>
      <c r="S972" s="79"/>
      <c r="T972" s="79"/>
      <c r="U972" s="79"/>
      <c r="V972" s="79"/>
      <c r="W972" s="79"/>
      <c r="X972" s="79"/>
      <c r="Y972" s="79"/>
      <c r="Z972" s="79"/>
      <c r="AA972" s="79"/>
      <c r="AB972" s="79"/>
      <c r="AC972" s="81"/>
      <c r="AD972" s="79"/>
      <c r="AE972" s="79"/>
    </row>
    <row r="973" ht="15.75" customHeight="1">
      <c r="A973" s="79"/>
      <c r="B973" s="79"/>
      <c r="C973" s="79"/>
      <c r="D973" s="79"/>
      <c r="E973" s="79"/>
      <c r="F973" s="79"/>
      <c r="G973" s="79"/>
      <c r="H973" s="79"/>
      <c r="I973" s="79"/>
      <c r="J973" s="79"/>
      <c r="K973" s="79"/>
      <c r="L973" s="79"/>
      <c r="M973" s="79"/>
      <c r="N973" s="79"/>
      <c r="O973" s="79"/>
      <c r="P973" s="79"/>
      <c r="Q973" s="80"/>
      <c r="R973" s="80"/>
      <c r="S973" s="79"/>
      <c r="T973" s="79"/>
      <c r="U973" s="79"/>
      <c r="V973" s="79"/>
      <c r="W973" s="79"/>
      <c r="X973" s="79"/>
      <c r="Y973" s="79"/>
      <c r="Z973" s="79"/>
      <c r="AA973" s="79"/>
      <c r="AB973" s="79"/>
      <c r="AC973" s="81"/>
      <c r="AD973" s="79"/>
      <c r="AE973" s="79"/>
    </row>
    <row r="974" ht="15.75" customHeight="1">
      <c r="A974" s="79"/>
      <c r="B974" s="79"/>
      <c r="C974" s="79"/>
      <c r="D974" s="79"/>
      <c r="E974" s="79"/>
      <c r="F974" s="79"/>
      <c r="G974" s="79"/>
      <c r="H974" s="79"/>
      <c r="I974" s="79"/>
      <c r="J974" s="79"/>
      <c r="K974" s="79"/>
      <c r="L974" s="79"/>
      <c r="M974" s="79"/>
      <c r="N974" s="79"/>
      <c r="O974" s="79"/>
      <c r="P974" s="79"/>
      <c r="Q974" s="80"/>
      <c r="R974" s="80"/>
      <c r="S974" s="79"/>
      <c r="T974" s="79"/>
      <c r="U974" s="79"/>
      <c r="V974" s="79"/>
      <c r="W974" s="79"/>
      <c r="X974" s="79"/>
      <c r="Y974" s="79"/>
      <c r="Z974" s="79"/>
      <c r="AA974" s="79"/>
      <c r="AB974" s="79"/>
      <c r="AC974" s="81"/>
      <c r="AD974" s="79"/>
      <c r="AE974" s="79"/>
    </row>
    <row r="975" ht="15.75" customHeight="1">
      <c r="A975" s="79"/>
      <c r="B975" s="79"/>
      <c r="C975" s="79"/>
      <c r="D975" s="79"/>
      <c r="E975" s="79"/>
      <c r="F975" s="79"/>
      <c r="G975" s="79"/>
      <c r="H975" s="79"/>
      <c r="I975" s="79"/>
      <c r="J975" s="79"/>
      <c r="K975" s="79"/>
      <c r="L975" s="79"/>
      <c r="M975" s="79"/>
      <c r="N975" s="79"/>
      <c r="O975" s="79"/>
      <c r="P975" s="79"/>
      <c r="Q975" s="80"/>
      <c r="R975" s="80"/>
      <c r="S975" s="79"/>
      <c r="T975" s="79"/>
      <c r="U975" s="79"/>
      <c r="V975" s="79"/>
      <c r="W975" s="79"/>
      <c r="X975" s="79"/>
      <c r="Y975" s="79"/>
      <c r="Z975" s="79"/>
      <c r="AA975" s="79"/>
      <c r="AB975" s="79"/>
      <c r="AC975" s="81"/>
      <c r="AD975" s="79"/>
      <c r="AE975" s="79"/>
    </row>
    <row r="976" ht="15.75" customHeight="1">
      <c r="A976" s="79"/>
      <c r="B976" s="79"/>
      <c r="C976" s="79"/>
      <c r="D976" s="79"/>
      <c r="E976" s="79"/>
      <c r="F976" s="79"/>
      <c r="G976" s="79"/>
      <c r="H976" s="79"/>
      <c r="I976" s="79"/>
      <c r="J976" s="79"/>
      <c r="K976" s="79"/>
      <c r="L976" s="79"/>
      <c r="M976" s="79"/>
      <c r="N976" s="79"/>
      <c r="O976" s="79"/>
      <c r="P976" s="79"/>
      <c r="Q976" s="80"/>
      <c r="R976" s="80"/>
      <c r="S976" s="79"/>
      <c r="T976" s="79"/>
      <c r="U976" s="79"/>
      <c r="V976" s="79"/>
      <c r="W976" s="79"/>
      <c r="X976" s="79"/>
      <c r="Y976" s="79"/>
      <c r="Z976" s="79"/>
      <c r="AA976" s="79"/>
      <c r="AB976" s="79"/>
      <c r="AC976" s="81"/>
      <c r="AD976" s="79"/>
      <c r="AE976" s="79"/>
    </row>
    <row r="977" ht="15.75" customHeight="1">
      <c r="A977" s="79"/>
      <c r="B977" s="79"/>
      <c r="C977" s="79"/>
      <c r="D977" s="79"/>
      <c r="E977" s="79"/>
      <c r="F977" s="79"/>
      <c r="G977" s="79"/>
      <c r="H977" s="79"/>
      <c r="I977" s="79"/>
      <c r="J977" s="79"/>
      <c r="K977" s="79"/>
      <c r="L977" s="79"/>
      <c r="M977" s="79"/>
      <c r="N977" s="79"/>
      <c r="O977" s="79"/>
      <c r="P977" s="79"/>
      <c r="Q977" s="80"/>
      <c r="R977" s="80"/>
      <c r="S977" s="79"/>
      <c r="T977" s="79"/>
      <c r="U977" s="79"/>
      <c r="V977" s="79"/>
      <c r="W977" s="79"/>
      <c r="X977" s="79"/>
      <c r="Y977" s="79"/>
      <c r="Z977" s="79"/>
      <c r="AA977" s="79"/>
      <c r="AB977" s="79"/>
      <c r="AC977" s="81"/>
      <c r="AD977" s="79"/>
      <c r="AE977" s="79"/>
    </row>
    <row r="978" ht="15.75" customHeight="1">
      <c r="A978" s="79"/>
      <c r="B978" s="79"/>
      <c r="C978" s="79"/>
      <c r="D978" s="79"/>
      <c r="E978" s="79"/>
      <c r="F978" s="79"/>
      <c r="G978" s="79"/>
      <c r="H978" s="79"/>
      <c r="I978" s="79"/>
      <c r="J978" s="79"/>
      <c r="K978" s="79"/>
      <c r="L978" s="79"/>
      <c r="M978" s="79"/>
      <c r="N978" s="79"/>
      <c r="O978" s="79"/>
      <c r="P978" s="79"/>
      <c r="Q978" s="80"/>
      <c r="R978" s="80"/>
      <c r="S978" s="79"/>
      <c r="T978" s="79"/>
      <c r="U978" s="79"/>
      <c r="V978" s="79"/>
      <c r="W978" s="79"/>
      <c r="X978" s="79"/>
      <c r="Y978" s="79"/>
      <c r="Z978" s="79"/>
      <c r="AA978" s="79"/>
      <c r="AB978" s="79"/>
      <c r="AC978" s="81"/>
      <c r="AD978" s="79"/>
      <c r="AE978" s="79"/>
    </row>
    <row r="979" ht="15.75" customHeight="1">
      <c r="A979" s="79"/>
      <c r="B979" s="79"/>
      <c r="C979" s="79"/>
      <c r="D979" s="79"/>
      <c r="E979" s="79"/>
      <c r="F979" s="79"/>
      <c r="G979" s="79"/>
      <c r="H979" s="79"/>
      <c r="I979" s="79"/>
      <c r="J979" s="79"/>
      <c r="K979" s="79"/>
      <c r="L979" s="79"/>
      <c r="M979" s="79"/>
      <c r="N979" s="79"/>
      <c r="O979" s="79"/>
      <c r="P979" s="79"/>
      <c r="Q979" s="80"/>
      <c r="R979" s="80"/>
      <c r="S979" s="79"/>
      <c r="T979" s="79"/>
      <c r="U979" s="79"/>
      <c r="V979" s="79"/>
      <c r="W979" s="79"/>
      <c r="X979" s="79"/>
      <c r="Y979" s="79"/>
      <c r="Z979" s="79"/>
      <c r="AA979" s="79"/>
      <c r="AB979" s="79"/>
      <c r="AC979" s="81"/>
      <c r="AD979" s="79"/>
      <c r="AE979" s="79"/>
    </row>
    <row r="980" ht="15.75" customHeight="1">
      <c r="A980" s="79"/>
      <c r="B980" s="79"/>
      <c r="C980" s="79"/>
      <c r="D980" s="79"/>
      <c r="E980" s="79"/>
      <c r="F980" s="79"/>
      <c r="G980" s="79"/>
      <c r="H980" s="79"/>
      <c r="I980" s="79"/>
      <c r="J980" s="79"/>
      <c r="K980" s="79"/>
      <c r="L980" s="79"/>
      <c r="M980" s="79"/>
      <c r="N980" s="79"/>
      <c r="O980" s="79"/>
      <c r="P980" s="79"/>
      <c r="Q980" s="80"/>
      <c r="R980" s="80"/>
      <c r="S980" s="79"/>
      <c r="T980" s="79"/>
      <c r="U980" s="79"/>
      <c r="V980" s="79"/>
      <c r="W980" s="79"/>
      <c r="X980" s="79"/>
      <c r="Y980" s="79"/>
      <c r="Z980" s="79"/>
      <c r="AA980" s="79"/>
      <c r="AB980" s="79"/>
      <c r="AC980" s="81"/>
      <c r="AD980" s="79"/>
      <c r="AE980" s="79"/>
    </row>
    <row r="981" ht="15.75" customHeight="1">
      <c r="A981" s="79"/>
      <c r="B981" s="79"/>
      <c r="C981" s="79"/>
      <c r="D981" s="79"/>
      <c r="E981" s="79"/>
      <c r="F981" s="79"/>
      <c r="G981" s="79"/>
      <c r="H981" s="79"/>
      <c r="I981" s="79"/>
      <c r="J981" s="79"/>
      <c r="K981" s="79"/>
      <c r="L981" s="79"/>
      <c r="M981" s="79"/>
      <c r="N981" s="79"/>
      <c r="O981" s="79"/>
      <c r="P981" s="79"/>
      <c r="Q981" s="80"/>
      <c r="R981" s="80"/>
      <c r="S981" s="79"/>
      <c r="T981" s="79"/>
      <c r="U981" s="79"/>
      <c r="V981" s="79"/>
      <c r="W981" s="79"/>
      <c r="X981" s="79"/>
      <c r="Y981" s="79"/>
      <c r="Z981" s="79"/>
      <c r="AA981" s="79"/>
      <c r="AB981" s="79"/>
      <c r="AC981" s="81"/>
      <c r="AD981" s="79"/>
      <c r="AE981" s="79"/>
    </row>
    <row r="982" ht="15.75" customHeight="1">
      <c r="A982" s="79"/>
      <c r="B982" s="79"/>
      <c r="C982" s="79"/>
      <c r="D982" s="79"/>
      <c r="E982" s="79"/>
      <c r="F982" s="79"/>
      <c r="G982" s="79"/>
      <c r="H982" s="79"/>
      <c r="I982" s="79"/>
      <c r="J982" s="79"/>
      <c r="K982" s="79"/>
      <c r="L982" s="79"/>
      <c r="M982" s="79"/>
      <c r="N982" s="79"/>
      <c r="O982" s="79"/>
      <c r="P982" s="79"/>
      <c r="Q982" s="80"/>
      <c r="R982" s="80"/>
      <c r="S982" s="79"/>
      <c r="T982" s="79"/>
      <c r="U982" s="79"/>
      <c r="V982" s="79"/>
      <c r="W982" s="79"/>
      <c r="X982" s="79"/>
      <c r="Y982" s="79"/>
      <c r="Z982" s="79"/>
      <c r="AA982" s="79"/>
      <c r="AB982" s="79"/>
      <c r="AC982" s="81"/>
      <c r="AD982" s="79"/>
      <c r="AE982" s="79"/>
    </row>
    <row r="983" ht="15.75" customHeight="1">
      <c r="A983" s="79"/>
      <c r="B983" s="79"/>
      <c r="C983" s="79"/>
      <c r="D983" s="79"/>
      <c r="E983" s="79"/>
      <c r="F983" s="79"/>
      <c r="G983" s="79"/>
      <c r="H983" s="79"/>
      <c r="I983" s="79"/>
      <c r="J983" s="79"/>
      <c r="K983" s="79"/>
      <c r="L983" s="79"/>
      <c r="M983" s="79"/>
      <c r="N983" s="79"/>
      <c r="O983" s="79"/>
      <c r="P983" s="79"/>
      <c r="Q983" s="80"/>
      <c r="R983" s="80"/>
      <c r="S983" s="79"/>
      <c r="T983" s="79"/>
      <c r="U983" s="79"/>
      <c r="V983" s="79"/>
      <c r="W983" s="79"/>
      <c r="X983" s="79"/>
      <c r="Y983" s="79"/>
      <c r="Z983" s="79"/>
      <c r="AA983" s="79"/>
      <c r="AB983" s="79"/>
      <c r="AC983" s="81"/>
      <c r="AD983" s="79"/>
      <c r="AE983" s="79"/>
    </row>
    <row r="984" ht="15.75" customHeight="1">
      <c r="A984" s="79"/>
      <c r="B984" s="79"/>
      <c r="C984" s="79"/>
      <c r="D984" s="79"/>
      <c r="E984" s="79"/>
      <c r="F984" s="79"/>
      <c r="G984" s="79"/>
      <c r="H984" s="79"/>
      <c r="I984" s="79"/>
      <c r="J984" s="79"/>
      <c r="K984" s="79"/>
      <c r="L984" s="79"/>
      <c r="M984" s="79"/>
      <c r="N984" s="79"/>
      <c r="O984" s="79"/>
      <c r="P984" s="79"/>
      <c r="Q984" s="80"/>
      <c r="R984" s="80"/>
      <c r="S984" s="79"/>
      <c r="T984" s="79"/>
      <c r="U984" s="79"/>
      <c r="V984" s="79"/>
      <c r="W984" s="79"/>
      <c r="X984" s="79"/>
      <c r="Y984" s="79"/>
      <c r="Z984" s="79"/>
      <c r="AA984" s="79"/>
      <c r="AB984" s="79"/>
      <c r="AC984" s="81"/>
      <c r="AD984" s="79"/>
      <c r="AE984" s="79"/>
    </row>
    <row r="985" ht="15.75" customHeight="1">
      <c r="A985" s="79"/>
      <c r="B985" s="79"/>
      <c r="C985" s="79"/>
      <c r="D985" s="79"/>
      <c r="E985" s="79"/>
      <c r="F985" s="79"/>
      <c r="G985" s="79"/>
      <c r="H985" s="79"/>
      <c r="I985" s="79"/>
      <c r="J985" s="79"/>
      <c r="K985" s="79"/>
      <c r="L985" s="79"/>
      <c r="M985" s="79"/>
      <c r="N985" s="79"/>
      <c r="O985" s="79"/>
      <c r="P985" s="79"/>
      <c r="Q985" s="80"/>
      <c r="R985" s="80"/>
      <c r="S985" s="79"/>
      <c r="T985" s="79"/>
      <c r="U985" s="79"/>
      <c r="V985" s="79"/>
      <c r="W985" s="79"/>
      <c r="X985" s="79"/>
      <c r="Y985" s="79"/>
      <c r="Z985" s="79"/>
      <c r="AA985" s="79"/>
      <c r="AB985" s="79"/>
      <c r="AC985" s="81"/>
      <c r="AD985" s="79"/>
      <c r="AE985" s="79"/>
    </row>
    <row r="986" ht="15.75" customHeight="1">
      <c r="A986" s="79"/>
      <c r="B986" s="79"/>
      <c r="C986" s="79"/>
      <c r="D986" s="79"/>
      <c r="E986" s="79"/>
      <c r="F986" s="79"/>
      <c r="G986" s="79"/>
      <c r="H986" s="79"/>
      <c r="I986" s="79"/>
      <c r="J986" s="79"/>
      <c r="K986" s="79"/>
      <c r="L986" s="79"/>
      <c r="M986" s="79"/>
      <c r="N986" s="79"/>
      <c r="O986" s="79"/>
      <c r="P986" s="79"/>
      <c r="Q986" s="80"/>
      <c r="R986" s="80"/>
      <c r="S986" s="79"/>
      <c r="T986" s="79"/>
      <c r="U986" s="79"/>
      <c r="V986" s="79"/>
      <c r="W986" s="79"/>
      <c r="X986" s="79"/>
      <c r="Y986" s="79"/>
      <c r="Z986" s="79"/>
      <c r="AA986" s="79"/>
      <c r="AB986" s="79"/>
      <c r="AC986" s="81"/>
      <c r="AD986" s="79"/>
      <c r="AE986" s="79"/>
    </row>
    <row r="987" ht="15.75" customHeight="1">
      <c r="A987" s="79"/>
      <c r="B987" s="79"/>
      <c r="C987" s="79"/>
      <c r="D987" s="79"/>
      <c r="E987" s="79"/>
      <c r="F987" s="79"/>
      <c r="G987" s="79"/>
      <c r="H987" s="79"/>
      <c r="I987" s="79"/>
      <c r="J987" s="79"/>
      <c r="K987" s="79"/>
      <c r="L987" s="79"/>
      <c r="M987" s="79"/>
      <c r="N987" s="79"/>
      <c r="O987" s="79"/>
      <c r="P987" s="79"/>
      <c r="Q987" s="80"/>
      <c r="R987" s="80"/>
      <c r="S987" s="79"/>
      <c r="T987" s="79"/>
      <c r="U987" s="79"/>
      <c r="V987" s="79"/>
      <c r="W987" s="79"/>
      <c r="X987" s="79"/>
      <c r="Y987" s="79"/>
      <c r="Z987" s="79"/>
      <c r="AA987" s="79"/>
      <c r="AB987" s="79"/>
      <c r="AC987" s="81"/>
      <c r="AD987" s="79"/>
      <c r="AE987" s="79"/>
    </row>
    <row r="988" ht="15.75" customHeight="1">
      <c r="A988" s="79"/>
      <c r="B988" s="79"/>
      <c r="C988" s="79"/>
      <c r="D988" s="79"/>
      <c r="E988" s="79"/>
      <c r="F988" s="79"/>
      <c r="G988" s="79"/>
      <c r="H988" s="79"/>
      <c r="I988" s="79"/>
      <c r="J988" s="79"/>
      <c r="K988" s="79"/>
      <c r="L988" s="79"/>
      <c r="M988" s="79"/>
      <c r="N988" s="79"/>
      <c r="O988" s="79"/>
      <c r="P988" s="79"/>
      <c r="Q988" s="80"/>
      <c r="R988" s="80"/>
      <c r="S988" s="79"/>
      <c r="T988" s="79"/>
      <c r="U988" s="79"/>
      <c r="V988" s="79"/>
      <c r="W988" s="79"/>
      <c r="X988" s="79"/>
      <c r="Y988" s="79"/>
      <c r="Z988" s="79"/>
      <c r="AA988" s="79"/>
      <c r="AB988" s="79"/>
      <c r="AC988" s="81"/>
      <c r="AD988" s="79"/>
      <c r="AE988" s="79"/>
    </row>
    <row r="989" ht="15.75" customHeight="1">
      <c r="A989" s="79"/>
      <c r="B989" s="79"/>
      <c r="C989" s="79"/>
      <c r="D989" s="79"/>
      <c r="E989" s="79"/>
      <c r="F989" s="79"/>
      <c r="G989" s="79"/>
      <c r="H989" s="79"/>
      <c r="I989" s="79"/>
      <c r="J989" s="79"/>
      <c r="K989" s="79"/>
      <c r="L989" s="79"/>
      <c r="M989" s="79"/>
      <c r="N989" s="79"/>
      <c r="O989" s="79"/>
      <c r="P989" s="79"/>
      <c r="Q989" s="80"/>
      <c r="R989" s="80"/>
      <c r="S989" s="79"/>
      <c r="T989" s="79"/>
      <c r="U989" s="79"/>
      <c r="V989" s="79"/>
      <c r="W989" s="79"/>
      <c r="X989" s="79"/>
      <c r="Y989" s="79"/>
      <c r="Z989" s="79"/>
      <c r="AA989" s="79"/>
      <c r="AB989" s="79"/>
      <c r="AC989" s="81"/>
      <c r="AD989" s="79"/>
      <c r="AE989" s="79"/>
    </row>
    <row r="990" ht="15.75" customHeight="1">
      <c r="A990" s="79"/>
      <c r="B990" s="79"/>
      <c r="C990" s="79"/>
      <c r="D990" s="79"/>
      <c r="E990" s="79"/>
      <c r="F990" s="79"/>
      <c r="G990" s="79"/>
      <c r="H990" s="79"/>
      <c r="I990" s="79"/>
      <c r="J990" s="79"/>
      <c r="K990" s="79"/>
      <c r="L990" s="79"/>
      <c r="M990" s="79"/>
      <c r="N990" s="79"/>
      <c r="O990" s="79"/>
      <c r="P990" s="79"/>
      <c r="Q990" s="80"/>
      <c r="R990" s="80"/>
      <c r="S990" s="79"/>
      <c r="T990" s="79"/>
      <c r="U990" s="79"/>
      <c r="V990" s="79"/>
      <c r="W990" s="79"/>
      <c r="X990" s="79"/>
      <c r="Y990" s="79"/>
      <c r="Z990" s="79"/>
      <c r="AA990" s="79"/>
      <c r="AB990" s="79"/>
      <c r="AC990" s="81"/>
      <c r="AD990" s="79"/>
      <c r="AE990" s="79"/>
    </row>
    <row r="991" ht="15.75" customHeight="1">
      <c r="A991" s="79"/>
      <c r="B991" s="79"/>
      <c r="C991" s="79"/>
      <c r="D991" s="79"/>
      <c r="E991" s="79"/>
      <c r="F991" s="79"/>
      <c r="G991" s="79"/>
      <c r="H991" s="79"/>
      <c r="I991" s="79"/>
      <c r="J991" s="79"/>
      <c r="K991" s="79"/>
      <c r="L991" s="79"/>
      <c r="M991" s="79"/>
      <c r="N991" s="79"/>
      <c r="O991" s="79"/>
      <c r="P991" s="79"/>
      <c r="Q991" s="80"/>
      <c r="R991" s="80"/>
      <c r="S991" s="79"/>
      <c r="T991" s="79"/>
      <c r="U991" s="79"/>
      <c r="V991" s="79"/>
      <c r="W991" s="79"/>
      <c r="X991" s="79"/>
      <c r="Y991" s="79"/>
      <c r="Z991" s="79"/>
      <c r="AA991" s="79"/>
      <c r="AB991" s="79"/>
      <c r="AC991" s="81"/>
      <c r="AD991" s="79"/>
      <c r="AE991" s="79"/>
    </row>
    <row r="992" ht="15.75" customHeight="1">
      <c r="A992" s="79"/>
      <c r="B992" s="79"/>
      <c r="C992" s="79"/>
      <c r="D992" s="79"/>
      <c r="E992" s="79"/>
      <c r="F992" s="79"/>
      <c r="G992" s="79"/>
      <c r="H992" s="79"/>
      <c r="I992" s="79"/>
      <c r="J992" s="79"/>
      <c r="K992" s="79"/>
      <c r="L992" s="79"/>
      <c r="M992" s="79"/>
      <c r="N992" s="79"/>
      <c r="O992" s="79"/>
      <c r="P992" s="79"/>
      <c r="Q992" s="80"/>
      <c r="R992" s="80"/>
      <c r="S992" s="79"/>
      <c r="T992" s="79"/>
      <c r="U992" s="79"/>
      <c r="V992" s="79"/>
      <c r="W992" s="79"/>
      <c r="X992" s="79"/>
      <c r="Y992" s="79"/>
      <c r="Z992" s="79"/>
      <c r="AA992" s="79"/>
      <c r="AB992" s="79"/>
      <c r="AC992" s="81"/>
      <c r="AD992" s="79"/>
      <c r="AE992" s="79"/>
    </row>
    <row r="993" ht="15.75" customHeight="1">
      <c r="A993" s="79"/>
      <c r="B993" s="79"/>
      <c r="C993" s="79"/>
      <c r="D993" s="79"/>
      <c r="E993" s="79"/>
      <c r="F993" s="79"/>
      <c r="G993" s="79"/>
      <c r="H993" s="79"/>
      <c r="I993" s="79"/>
      <c r="J993" s="79"/>
      <c r="K993" s="79"/>
      <c r="L993" s="79"/>
      <c r="M993" s="79"/>
      <c r="N993" s="79"/>
      <c r="O993" s="79"/>
      <c r="P993" s="79"/>
      <c r="Q993" s="80"/>
      <c r="R993" s="80"/>
      <c r="S993" s="79"/>
      <c r="T993" s="79"/>
      <c r="U993" s="79"/>
      <c r="V993" s="79"/>
      <c r="W993" s="79"/>
      <c r="X993" s="79"/>
      <c r="Y993" s="79"/>
      <c r="Z993" s="79"/>
      <c r="AA993" s="79"/>
      <c r="AB993" s="79"/>
      <c r="AC993" s="81"/>
      <c r="AD993" s="79"/>
      <c r="AE993" s="79"/>
    </row>
    <row r="994" ht="15.75" customHeight="1">
      <c r="A994" s="79"/>
      <c r="B994" s="79"/>
      <c r="C994" s="79"/>
      <c r="D994" s="79"/>
      <c r="E994" s="79"/>
      <c r="F994" s="79"/>
      <c r="G994" s="79"/>
      <c r="H994" s="79"/>
      <c r="I994" s="79"/>
      <c r="J994" s="79"/>
      <c r="K994" s="79"/>
      <c r="L994" s="79"/>
      <c r="M994" s="79"/>
      <c r="N994" s="79"/>
      <c r="O994" s="79"/>
      <c r="P994" s="79"/>
      <c r="Q994" s="80"/>
      <c r="R994" s="80"/>
      <c r="S994" s="79"/>
      <c r="T994" s="79"/>
      <c r="U994" s="79"/>
      <c r="V994" s="79"/>
      <c r="W994" s="79"/>
      <c r="X994" s="79"/>
      <c r="Y994" s="79"/>
      <c r="Z994" s="79"/>
      <c r="AA994" s="79"/>
      <c r="AB994" s="79"/>
      <c r="AC994" s="81"/>
      <c r="AD994" s="79"/>
      <c r="AE994" s="79"/>
    </row>
    <row r="995" ht="15.75" customHeight="1">
      <c r="A995" s="79"/>
      <c r="B995" s="79"/>
      <c r="C995" s="79"/>
      <c r="D995" s="79"/>
      <c r="E995" s="79"/>
      <c r="F995" s="79"/>
      <c r="G995" s="79"/>
      <c r="H995" s="79"/>
      <c r="I995" s="79"/>
      <c r="J995" s="79"/>
      <c r="K995" s="79"/>
      <c r="L995" s="79"/>
      <c r="M995" s="79"/>
      <c r="N995" s="79"/>
      <c r="O995" s="79"/>
      <c r="P995" s="79"/>
      <c r="Q995" s="80"/>
      <c r="R995" s="80"/>
      <c r="S995" s="79"/>
      <c r="T995" s="79"/>
      <c r="U995" s="79"/>
      <c r="V995" s="79"/>
      <c r="W995" s="79"/>
      <c r="X995" s="79"/>
      <c r="Y995" s="79"/>
      <c r="Z995" s="79"/>
      <c r="AA995" s="79"/>
      <c r="AB995" s="79"/>
      <c r="AC995" s="81"/>
      <c r="AD995" s="79"/>
      <c r="AE995" s="79"/>
    </row>
    <row r="996" ht="15.75" customHeight="1">
      <c r="A996" s="79"/>
      <c r="B996" s="79"/>
      <c r="C996" s="79"/>
      <c r="D996" s="79"/>
      <c r="E996" s="79"/>
      <c r="F996" s="79"/>
      <c r="G996" s="79"/>
      <c r="H996" s="79"/>
      <c r="I996" s="79"/>
      <c r="J996" s="79"/>
      <c r="K996" s="79"/>
      <c r="L996" s="79"/>
      <c r="M996" s="79"/>
      <c r="N996" s="79"/>
      <c r="O996" s="79"/>
      <c r="P996" s="79"/>
      <c r="Q996" s="80"/>
      <c r="R996" s="80"/>
      <c r="S996" s="79"/>
      <c r="T996" s="79"/>
      <c r="U996" s="79"/>
      <c r="V996" s="79"/>
      <c r="W996" s="79"/>
      <c r="X996" s="79"/>
      <c r="Y996" s="79"/>
      <c r="Z996" s="79"/>
      <c r="AA996" s="79"/>
      <c r="AB996" s="79"/>
      <c r="AC996" s="81"/>
      <c r="AD996" s="79"/>
      <c r="AE996" s="79"/>
    </row>
    <row r="997" ht="15.75" customHeight="1">
      <c r="A997" s="79"/>
      <c r="B997" s="79"/>
      <c r="C997" s="79"/>
      <c r="D997" s="79"/>
      <c r="E997" s="79"/>
      <c r="F997" s="79"/>
      <c r="G997" s="79"/>
      <c r="H997" s="79"/>
      <c r="I997" s="79"/>
      <c r="J997" s="79"/>
      <c r="K997" s="79"/>
      <c r="L997" s="79"/>
      <c r="M997" s="79"/>
      <c r="N997" s="79"/>
      <c r="O997" s="79"/>
      <c r="P997" s="79"/>
      <c r="Q997" s="80"/>
      <c r="R997" s="80"/>
      <c r="S997" s="79"/>
      <c r="T997" s="79"/>
      <c r="U997" s="79"/>
      <c r="V997" s="79"/>
      <c r="W997" s="79"/>
      <c r="X997" s="79"/>
      <c r="Y997" s="79"/>
      <c r="Z997" s="79"/>
      <c r="AA997" s="79"/>
      <c r="AB997" s="79"/>
      <c r="AC997" s="81"/>
      <c r="AD997" s="79"/>
      <c r="AE997" s="79"/>
    </row>
    <row r="998" ht="15.75" customHeight="1">
      <c r="A998" s="79"/>
      <c r="B998" s="79"/>
      <c r="C998" s="79"/>
      <c r="D998" s="79"/>
      <c r="E998" s="79"/>
      <c r="F998" s="79"/>
      <c r="G998" s="79"/>
      <c r="H998" s="79"/>
      <c r="I998" s="79"/>
      <c r="J998" s="79"/>
      <c r="K998" s="79"/>
      <c r="L998" s="79"/>
      <c r="M998" s="79"/>
      <c r="N998" s="79"/>
      <c r="O998" s="79"/>
      <c r="P998" s="79"/>
      <c r="Q998" s="80"/>
      <c r="R998" s="80"/>
      <c r="S998" s="79"/>
      <c r="T998" s="79"/>
      <c r="U998" s="79"/>
      <c r="V998" s="79"/>
      <c r="W998" s="79"/>
      <c r="X998" s="79"/>
      <c r="Y998" s="79"/>
      <c r="Z998" s="79"/>
      <c r="AA998" s="79"/>
      <c r="AB998" s="79"/>
      <c r="AC998" s="81"/>
      <c r="AD998" s="79"/>
      <c r="AE998" s="79"/>
    </row>
    <row r="999" ht="15.75" customHeight="1">
      <c r="A999" s="79"/>
      <c r="B999" s="79"/>
      <c r="C999" s="79"/>
      <c r="D999" s="79"/>
      <c r="E999" s="79"/>
      <c r="F999" s="79"/>
      <c r="G999" s="79"/>
      <c r="H999" s="79"/>
      <c r="I999" s="79"/>
      <c r="J999" s="79"/>
      <c r="K999" s="79"/>
      <c r="L999" s="79"/>
      <c r="M999" s="79"/>
      <c r="N999" s="79"/>
      <c r="O999" s="79"/>
      <c r="P999" s="79"/>
      <c r="Q999" s="80"/>
      <c r="R999" s="80"/>
      <c r="S999" s="79"/>
      <c r="T999" s="79"/>
      <c r="U999" s="79"/>
      <c r="V999" s="79"/>
      <c r="W999" s="79"/>
      <c r="X999" s="79"/>
      <c r="Y999" s="79"/>
      <c r="Z999" s="79"/>
      <c r="AA999" s="79"/>
      <c r="AB999" s="79"/>
      <c r="AC999" s="81"/>
      <c r="AD999" s="79"/>
      <c r="AE999" s="79"/>
    </row>
    <row r="1000" ht="15.75" customHeight="1">
      <c r="A1000" s="79"/>
      <c r="B1000" s="79"/>
      <c r="C1000" s="79"/>
      <c r="D1000" s="79"/>
      <c r="E1000" s="79"/>
      <c r="F1000" s="79"/>
      <c r="G1000" s="79"/>
      <c r="H1000" s="79"/>
      <c r="I1000" s="79"/>
      <c r="J1000" s="79"/>
      <c r="K1000" s="79"/>
      <c r="L1000" s="79"/>
      <c r="M1000" s="79"/>
      <c r="N1000" s="79"/>
      <c r="O1000" s="79"/>
      <c r="P1000" s="79"/>
      <c r="Q1000" s="80"/>
      <c r="R1000" s="80"/>
      <c r="S1000" s="79"/>
      <c r="T1000" s="79"/>
      <c r="U1000" s="79"/>
      <c r="V1000" s="79"/>
      <c r="W1000" s="79"/>
      <c r="X1000" s="79"/>
      <c r="Y1000" s="79"/>
      <c r="Z1000" s="79"/>
      <c r="AA1000" s="79"/>
      <c r="AB1000" s="79"/>
      <c r="AC1000" s="81"/>
      <c r="AD1000" s="79"/>
      <c r="AE1000" s="79"/>
    </row>
    <row r="1001" ht="15.75" customHeight="1">
      <c r="A1001" s="79"/>
      <c r="B1001" s="79"/>
      <c r="C1001" s="79"/>
      <c r="D1001" s="79"/>
      <c r="E1001" s="79"/>
      <c r="F1001" s="79"/>
      <c r="G1001" s="79"/>
      <c r="H1001" s="79"/>
      <c r="I1001" s="79"/>
      <c r="J1001" s="79"/>
      <c r="K1001" s="79"/>
      <c r="L1001" s="79"/>
      <c r="M1001" s="79"/>
      <c r="N1001" s="79"/>
      <c r="O1001" s="79"/>
      <c r="P1001" s="79"/>
      <c r="Q1001" s="80"/>
      <c r="R1001" s="80"/>
      <c r="S1001" s="79"/>
      <c r="T1001" s="79"/>
      <c r="U1001" s="79"/>
      <c r="V1001" s="79"/>
      <c r="W1001" s="79"/>
      <c r="X1001" s="79"/>
      <c r="Y1001" s="79"/>
      <c r="Z1001" s="79"/>
      <c r="AA1001" s="79"/>
      <c r="AB1001" s="79"/>
      <c r="AC1001" s="81"/>
      <c r="AD1001" s="79"/>
      <c r="AE1001" s="79"/>
    </row>
    <row r="1002" ht="15.75" customHeight="1">
      <c r="A1002" s="79"/>
      <c r="B1002" s="79"/>
      <c r="C1002" s="79"/>
      <c r="D1002" s="79"/>
      <c r="E1002" s="79"/>
      <c r="F1002" s="79"/>
      <c r="G1002" s="79"/>
      <c r="H1002" s="79"/>
      <c r="I1002" s="79"/>
      <c r="J1002" s="79"/>
      <c r="K1002" s="79"/>
      <c r="L1002" s="79"/>
      <c r="M1002" s="79"/>
      <c r="N1002" s="79"/>
      <c r="O1002" s="79"/>
      <c r="P1002" s="79"/>
      <c r="Q1002" s="80"/>
      <c r="R1002" s="80"/>
      <c r="S1002" s="79"/>
      <c r="T1002" s="79"/>
      <c r="U1002" s="79"/>
      <c r="V1002" s="79"/>
      <c r="W1002" s="79"/>
      <c r="X1002" s="79"/>
      <c r="Y1002" s="79"/>
      <c r="Z1002" s="79"/>
      <c r="AA1002" s="79"/>
      <c r="AB1002" s="79"/>
      <c r="AC1002" s="81"/>
      <c r="AD1002" s="79"/>
      <c r="AE1002" s="79"/>
    </row>
    <row r="1003" ht="15.75" customHeight="1">
      <c r="A1003" s="79"/>
      <c r="B1003" s="79"/>
      <c r="C1003" s="79"/>
      <c r="D1003" s="79"/>
      <c r="E1003" s="79"/>
      <c r="F1003" s="79"/>
      <c r="G1003" s="79"/>
      <c r="H1003" s="79"/>
      <c r="I1003" s="79"/>
      <c r="J1003" s="79"/>
      <c r="K1003" s="79"/>
      <c r="L1003" s="79"/>
      <c r="M1003" s="79"/>
      <c r="N1003" s="79"/>
      <c r="O1003" s="79"/>
      <c r="P1003" s="79"/>
      <c r="Q1003" s="80"/>
      <c r="R1003" s="80"/>
      <c r="S1003" s="79"/>
      <c r="T1003" s="79"/>
      <c r="U1003" s="79"/>
      <c r="V1003" s="79"/>
      <c r="W1003" s="79"/>
      <c r="X1003" s="79"/>
      <c r="Y1003" s="79"/>
      <c r="Z1003" s="79"/>
      <c r="AA1003" s="79"/>
      <c r="AB1003" s="79"/>
      <c r="AC1003" s="81"/>
      <c r="AD1003" s="79"/>
      <c r="AE1003" s="79"/>
    </row>
    <row r="1004" ht="15.75" customHeight="1">
      <c r="A1004" s="79"/>
      <c r="B1004" s="79"/>
      <c r="C1004" s="79"/>
      <c r="D1004" s="79"/>
      <c r="E1004" s="79"/>
      <c r="F1004" s="79"/>
      <c r="G1004" s="79"/>
      <c r="H1004" s="79"/>
      <c r="I1004" s="79"/>
      <c r="J1004" s="79"/>
      <c r="K1004" s="79"/>
      <c r="L1004" s="79"/>
      <c r="M1004" s="79"/>
      <c r="N1004" s="79"/>
      <c r="O1004" s="79"/>
      <c r="P1004" s="79"/>
      <c r="Q1004" s="80"/>
      <c r="R1004" s="80"/>
      <c r="S1004" s="79"/>
      <c r="T1004" s="79"/>
      <c r="U1004" s="79"/>
      <c r="V1004" s="79"/>
      <c r="W1004" s="79"/>
      <c r="X1004" s="79"/>
      <c r="Y1004" s="79"/>
      <c r="Z1004" s="79"/>
      <c r="AA1004" s="79"/>
      <c r="AB1004" s="79"/>
      <c r="AC1004" s="81"/>
      <c r="AD1004" s="79"/>
      <c r="AE1004" s="79"/>
    </row>
    <row r="1005" ht="15.75" customHeight="1">
      <c r="A1005" s="79"/>
      <c r="B1005" s="79"/>
      <c r="C1005" s="79"/>
      <c r="D1005" s="79"/>
      <c r="E1005" s="79"/>
      <c r="F1005" s="79"/>
      <c r="G1005" s="79"/>
      <c r="H1005" s="79"/>
      <c r="I1005" s="79"/>
      <c r="J1005" s="79"/>
      <c r="K1005" s="79"/>
      <c r="L1005" s="79"/>
      <c r="M1005" s="79"/>
      <c r="N1005" s="79"/>
      <c r="O1005" s="79"/>
      <c r="P1005" s="79"/>
      <c r="Q1005" s="80"/>
      <c r="R1005" s="80"/>
      <c r="S1005" s="79"/>
      <c r="T1005" s="79"/>
      <c r="U1005" s="79"/>
      <c r="V1005" s="79"/>
      <c r="W1005" s="79"/>
      <c r="X1005" s="79"/>
      <c r="Y1005" s="79"/>
      <c r="Z1005" s="79"/>
      <c r="AA1005" s="79"/>
      <c r="AB1005" s="79"/>
      <c r="AC1005" s="81"/>
      <c r="AD1005" s="79"/>
      <c r="AE1005" s="79"/>
    </row>
    <row r="1006" ht="15.75" customHeight="1">
      <c r="A1006" s="79"/>
      <c r="B1006" s="79"/>
      <c r="C1006" s="79"/>
      <c r="D1006" s="79"/>
      <c r="E1006" s="79"/>
      <c r="F1006" s="79"/>
      <c r="G1006" s="79"/>
      <c r="H1006" s="79"/>
      <c r="I1006" s="79"/>
      <c r="J1006" s="79"/>
      <c r="K1006" s="79"/>
      <c r="L1006" s="79"/>
      <c r="M1006" s="79"/>
      <c r="N1006" s="79"/>
      <c r="O1006" s="79"/>
      <c r="P1006" s="79"/>
      <c r="Q1006" s="80"/>
      <c r="R1006" s="80"/>
      <c r="S1006" s="79"/>
      <c r="T1006" s="79"/>
      <c r="U1006" s="79"/>
      <c r="V1006" s="79"/>
      <c r="W1006" s="79"/>
      <c r="X1006" s="79"/>
      <c r="Y1006" s="79"/>
      <c r="Z1006" s="79"/>
      <c r="AA1006" s="79"/>
      <c r="AB1006" s="79"/>
      <c r="AC1006" s="81"/>
      <c r="AD1006" s="79"/>
      <c r="AE1006" s="79"/>
    </row>
    <row r="1007" ht="15.75" customHeight="1">
      <c r="A1007" s="79"/>
      <c r="B1007" s="79"/>
      <c r="C1007" s="79"/>
      <c r="D1007" s="79"/>
      <c r="E1007" s="79"/>
      <c r="F1007" s="79"/>
      <c r="G1007" s="79"/>
      <c r="H1007" s="79"/>
      <c r="I1007" s="79"/>
      <c r="J1007" s="79"/>
      <c r="K1007" s="79"/>
      <c r="L1007" s="79"/>
      <c r="M1007" s="79"/>
      <c r="N1007" s="79"/>
      <c r="O1007" s="79"/>
      <c r="P1007" s="79"/>
      <c r="Q1007" s="80"/>
      <c r="R1007" s="80"/>
      <c r="S1007" s="79"/>
      <c r="T1007" s="79"/>
      <c r="U1007" s="79"/>
      <c r="V1007" s="79"/>
      <c r="W1007" s="79"/>
      <c r="X1007" s="79"/>
      <c r="Y1007" s="79"/>
      <c r="Z1007" s="79"/>
      <c r="AA1007" s="79"/>
      <c r="AB1007" s="79"/>
      <c r="AC1007" s="81"/>
      <c r="AD1007" s="79"/>
      <c r="AE1007" s="79"/>
    </row>
    <row r="1008" ht="15.75" customHeight="1">
      <c r="A1008" s="79"/>
      <c r="B1008" s="79"/>
      <c r="C1008" s="79"/>
      <c r="D1008" s="79"/>
      <c r="E1008" s="79"/>
      <c r="F1008" s="79"/>
      <c r="G1008" s="79"/>
      <c r="H1008" s="79"/>
      <c r="I1008" s="79"/>
      <c r="J1008" s="79"/>
      <c r="K1008" s="79"/>
      <c r="L1008" s="79"/>
      <c r="M1008" s="79"/>
      <c r="N1008" s="79"/>
      <c r="O1008" s="79"/>
      <c r="P1008" s="79"/>
      <c r="Q1008" s="80"/>
      <c r="R1008" s="80"/>
      <c r="S1008" s="79"/>
      <c r="T1008" s="79"/>
      <c r="U1008" s="79"/>
      <c r="V1008" s="79"/>
      <c r="W1008" s="79"/>
      <c r="X1008" s="79"/>
      <c r="Y1008" s="79"/>
      <c r="Z1008" s="79"/>
      <c r="AA1008" s="79"/>
      <c r="AB1008" s="79"/>
      <c r="AC1008" s="81"/>
      <c r="AD1008" s="79"/>
      <c r="AE1008" s="79"/>
    </row>
    <row r="1009" ht="15.75" customHeight="1">
      <c r="A1009" s="79"/>
      <c r="B1009" s="79"/>
      <c r="C1009" s="79"/>
      <c r="D1009" s="79"/>
      <c r="E1009" s="79"/>
      <c r="F1009" s="79"/>
      <c r="G1009" s="79"/>
      <c r="H1009" s="79"/>
      <c r="I1009" s="79"/>
      <c r="J1009" s="79"/>
      <c r="K1009" s="79"/>
      <c r="L1009" s="79"/>
      <c r="M1009" s="79"/>
      <c r="N1009" s="79"/>
      <c r="O1009" s="79"/>
      <c r="P1009" s="79"/>
      <c r="Q1009" s="80"/>
      <c r="R1009" s="80"/>
      <c r="S1009" s="79"/>
      <c r="T1009" s="79"/>
      <c r="U1009" s="79"/>
      <c r="V1009" s="79"/>
      <c r="W1009" s="79"/>
      <c r="X1009" s="79"/>
      <c r="Y1009" s="79"/>
      <c r="Z1009" s="79"/>
      <c r="AA1009" s="79"/>
      <c r="AB1009" s="79"/>
      <c r="AC1009" s="81"/>
      <c r="AD1009" s="79"/>
      <c r="AE1009" s="79"/>
    </row>
    <row r="1010" ht="15.75" customHeight="1">
      <c r="A1010" s="79"/>
      <c r="B1010" s="79"/>
      <c r="C1010" s="79"/>
      <c r="D1010" s="79"/>
      <c r="E1010" s="79"/>
      <c r="F1010" s="79"/>
      <c r="G1010" s="79"/>
      <c r="H1010" s="79"/>
      <c r="I1010" s="79"/>
      <c r="J1010" s="79"/>
      <c r="K1010" s="79"/>
      <c r="L1010" s="79"/>
      <c r="M1010" s="79"/>
      <c r="N1010" s="79"/>
      <c r="O1010" s="79"/>
      <c r="P1010" s="79"/>
      <c r="Q1010" s="80"/>
      <c r="R1010" s="80"/>
      <c r="S1010" s="79"/>
      <c r="T1010" s="79"/>
      <c r="U1010" s="79"/>
      <c r="V1010" s="79"/>
      <c r="W1010" s="79"/>
      <c r="X1010" s="79"/>
      <c r="Y1010" s="79"/>
      <c r="Z1010" s="79"/>
      <c r="AA1010" s="79"/>
      <c r="AB1010" s="79"/>
      <c r="AC1010" s="81"/>
      <c r="AD1010" s="79"/>
      <c r="AE1010" s="79"/>
    </row>
    <row r="1011" ht="15.75" customHeight="1">
      <c r="A1011" s="79"/>
      <c r="B1011" s="79"/>
      <c r="C1011" s="79"/>
      <c r="D1011" s="79"/>
      <c r="E1011" s="79"/>
      <c r="F1011" s="79"/>
      <c r="G1011" s="79"/>
      <c r="H1011" s="79"/>
      <c r="I1011" s="79"/>
      <c r="J1011" s="79"/>
      <c r="K1011" s="79"/>
      <c r="L1011" s="79"/>
      <c r="M1011" s="79"/>
      <c r="N1011" s="79"/>
      <c r="O1011" s="79"/>
      <c r="P1011" s="79"/>
      <c r="Q1011" s="80"/>
      <c r="R1011" s="80"/>
      <c r="S1011" s="79"/>
      <c r="T1011" s="79"/>
      <c r="U1011" s="79"/>
      <c r="V1011" s="79"/>
      <c r="W1011" s="79"/>
      <c r="X1011" s="79"/>
      <c r="Y1011" s="79"/>
      <c r="Z1011" s="79"/>
      <c r="AA1011" s="79"/>
      <c r="AB1011" s="79"/>
      <c r="AC1011" s="81"/>
      <c r="AD1011" s="79"/>
      <c r="AE1011" s="79"/>
    </row>
    <row r="1012" ht="15.75" customHeight="1">
      <c r="A1012" s="79"/>
      <c r="B1012" s="79"/>
      <c r="C1012" s="79"/>
      <c r="D1012" s="79"/>
      <c r="E1012" s="79"/>
      <c r="F1012" s="79"/>
      <c r="G1012" s="79"/>
      <c r="H1012" s="79"/>
      <c r="I1012" s="79"/>
      <c r="J1012" s="79"/>
      <c r="K1012" s="79"/>
      <c r="L1012" s="79"/>
      <c r="M1012" s="79"/>
      <c r="N1012" s="79"/>
      <c r="O1012" s="79"/>
      <c r="P1012" s="79"/>
      <c r="Q1012" s="80"/>
      <c r="R1012" s="80"/>
      <c r="S1012" s="79"/>
      <c r="T1012" s="79"/>
      <c r="U1012" s="79"/>
      <c r="V1012" s="79"/>
      <c r="W1012" s="79"/>
      <c r="X1012" s="79"/>
      <c r="Y1012" s="79"/>
      <c r="Z1012" s="79"/>
      <c r="AA1012" s="79"/>
      <c r="AB1012" s="79"/>
      <c r="AC1012" s="81"/>
      <c r="AD1012" s="79"/>
      <c r="AE1012" s="79"/>
    </row>
    <row r="1013" ht="15.75" customHeight="1">
      <c r="A1013" s="79"/>
      <c r="B1013" s="79"/>
      <c r="C1013" s="79"/>
      <c r="D1013" s="79"/>
      <c r="E1013" s="79"/>
      <c r="F1013" s="79"/>
      <c r="G1013" s="79"/>
      <c r="H1013" s="79"/>
      <c r="I1013" s="79"/>
      <c r="J1013" s="79"/>
      <c r="K1013" s="79"/>
      <c r="L1013" s="79"/>
      <c r="M1013" s="79"/>
      <c r="N1013" s="79"/>
      <c r="O1013" s="79"/>
      <c r="P1013" s="79"/>
      <c r="Q1013" s="80"/>
      <c r="R1013" s="80"/>
      <c r="S1013" s="79"/>
      <c r="T1013" s="79"/>
      <c r="U1013" s="79"/>
      <c r="V1013" s="79"/>
      <c r="W1013" s="79"/>
      <c r="X1013" s="79"/>
      <c r="Y1013" s="79"/>
      <c r="Z1013" s="79"/>
      <c r="AA1013" s="79"/>
      <c r="AB1013" s="79"/>
      <c r="AC1013" s="81"/>
      <c r="AD1013" s="79"/>
      <c r="AE1013" s="79"/>
    </row>
    <row r="1014" ht="15.75" customHeight="1">
      <c r="A1014" s="79"/>
      <c r="B1014" s="79"/>
      <c r="C1014" s="79"/>
      <c r="D1014" s="79"/>
      <c r="E1014" s="79"/>
      <c r="F1014" s="79"/>
      <c r="G1014" s="79"/>
      <c r="H1014" s="79"/>
      <c r="I1014" s="79"/>
      <c r="J1014" s="79"/>
      <c r="K1014" s="79"/>
      <c r="L1014" s="79"/>
      <c r="M1014" s="79"/>
      <c r="N1014" s="79"/>
      <c r="O1014" s="79"/>
      <c r="P1014" s="79"/>
      <c r="Q1014" s="80"/>
      <c r="R1014" s="80"/>
      <c r="S1014" s="79"/>
      <c r="T1014" s="79"/>
      <c r="U1014" s="79"/>
      <c r="V1014" s="79"/>
      <c r="W1014" s="79"/>
      <c r="X1014" s="79"/>
      <c r="Y1014" s="79"/>
      <c r="Z1014" s="79"/>
      <c r="AA1014" s="79"/>
      <c r="AB1014" s="79"/>
      <c r="AC1014" s="81"/>
      <c r="AD1014" s="79"/>
      <c r="AE1014" s="79"/>
    </row>
    <row r="1015" ht="15.75" customHeight="1">
      <c r="A1015" s="79"/>
      <c r="B1015" s="79"/>
      <c r="C1015" s="79"/>
      <c r="D1015" s="79"/>
      <c r="E1015" s="79"/>
      <c r="F1015" s="79"/>
      <c r="G1015" s="79"/>
      <c r="H1015" s="79"/>
      <c r="I1015" s="79"/>
      <c r="J1015" s="79"/>
      <c r="K1015" s="79"/>
      <c r="L1015" s="79"/>
      <c r="M1015" s="79"/>
      <c r="N1015" s="79"/>
      <c r="O1015" s="79"/>
      <c r="P1015" s="79"/>
      <c r="Q1015" s="80"/>
      <c r="R1015" s="80"/>
      <c r="S1015" s="79"/>
      <c r="T1015" s="79"/>
      <c r="U1015" s="79"/>
      <c r="V1015" s="79"/>
      <c r="W1015" s="79"/>
      <c r="X1015" s="79"/>
      <c r="Y1015" s="79"/>
      <c r="Z1015" s="79"/>
      <c r="AA1015" s="79"/>
      <c r="AB1015" s="79"/>
      <c r="AC1015" s="81"/>
      <c r="AD1015" s="79"/>
      <c r="AE1015" s="79"/>
    </row>
    <row r="1016" ht="15.75" customHeight="1">
      <c r="A1016" s="79"/>
      <c r="B1016" s="79"/>
      <c r="C1016" s="79"/>
      <c r="D1016" s="79"/>
      <c r="E1016" s="79"/>
      <c r="F1016" s="79"/>
      <c r="G1016" s="79"/>
      <c r="H1016" s="79"/>
      <c r="I1016" s="79"/>
      <c r="J1016" s="79"/>
      <c r="K1016" s="79"/>
      <c r="L1016" s="79"/>
      <c r="M1016" s="79"/>
      <c r="N1016" s="79"/>
      <c r="O1016" s="79"/>
      <c r="P1016" s="79"/>
      <c r="Q1016" s="80"/>
      <c r="R1016" s="80"/>
      <c r="S1016" s="79"/>
      <c r="T1016" s="79"/>
      <c r="U1016" s="79"/>
      <c r="V1016" s="79"/>
      <c r="W1016" s="79"/>
      <c r="X1016" s="79"/>
      <c r="Y1016" s="79"/>
      <c r="Z1016" s="79"/>
      <c r="AA1016" s="79"/>
      <c r="AB1016" s="79"/>
      <c r="AC1016" s="81"/>
      <c r="AD1016" s="79"/>
      <c r="AE1016" s="79"/>
    </row>
    <row r="1017" ht="15.75" customHeight="1">
      <c r="A1017" s="79"/>
      <c r="B1017" s="79"/>
      <c r="C1017" s="79"/>
      <c r="D1017" s="79"/>
      <c r="E1017" s="79"/>
      <c r="F1017" s="79"/>
      <c r="G1017" s="79"/>
      <c r="H1017" s="79"/>
      <c r="I1017" s="79"/>
      <c r="J1017" s="79"/>
      <c r="K1017" s="79"/>
      <c r="L1017" s="79"/>
      <c r="M1017" s="79"/>
      <c r="N1017" s="79"/>
      <c r="O1017" s="79"/>
      <c r="P1017" s="79"/>
      <c r="Q1017" s="80"/>
      <c r="R1017" s="80"/>
      <c r="S1017" s="79"/>
      <c r="T1017" s="79"/>
      <c r="U1017" s="79"/>
      <c r="V1017" s="79"/>
      <c r="W1017" s="79"/>
      <c r="X1017" s="79"/>
      <c r="Y1017" s="79"/>
      <c r="Z1017" s="79"/>
      <c r="AA1017" s="79"/>
      <c r="AB1017" s="79"/>
      <c r="AC1017" s="81"/>
      <c r="AD1017" s="79"/>
      <c r="AE1017" s="79"/>
    </row>
    <row r="1018" ht="15.75" customHeight="1">
      <c r="A1018" s="79"/>
      <c r="B1018" s="79"/>
      <c r="C1018" s="79"/>
      <c r="D1018" s="79"/>
      <c r="E1018" s="79"/>
      <c r="F1018" s="79"/>
      <c r="G1018" s="79"/>
      <c r="H1018" s="79"/>
      <c r="I1018" s="79"/>
      <c r="J1018" s="79"/>
      <c r="K1018" s="79"/>
      <c r="L1018" s="79"/>
      <c r="M1018" s="79"/>
      <c r="N1018" s="79"/>
      <c r="O1018" s="79"/>
      <c r="P1018" s="79"/>
      <c r="Q1018" s="80"/>
      <c r="R1018" s="80"/>
      <c r="S1018" s="79"/>
      <c r="T1018" s="79"/>
      <c r="U1018" s="79"/>
      <c r="V1018" s="79"/>
      <c r="W1018" s="79"/>
      <c r="X1018" s="79"/>
      <c r="Y1018" s="79"/>
      <c r="Z1018" s="79"/>
      <c r="AA1018" s="79"/>
      <c r="AB1018" s="79"/>
      <c r="AC1018" s="81"/>
      <c r="AD1018" s="79"/>
      <c r="AE1018" s="79"/>
    </row>
    <row r="1019" ht="15.75" customHeight="1">
      <c r="A1019" s="79"/>
      <c r="B1019" s="79"/>
      <c r="C1019" s="79"/>
      <c r="D1019" s="79"/>
      <c r="E1019" s="79"/>
      <c r="F1019" s="79"/>
      <c r="G1019" s="79"/>
      <c r="H1019" s="79"/>
      <c r="I1019" s="79"/>
      <c r="J1019" s="79"/>
      <c r="K1019" s="79"/>
      <c r="L1019" s="79"/>
      <c r="M1019" s="79"/>
      <c r="N1019" s="79"/>
      <c r="O1019" s="79"/>
      <c r="P1019" s="79"/>
      <c r="Q1019" s="80"/>
      <c r="R1019" s="80"/>
      <c r="S1019" s="79"/>
      <c r="T1019" s="79"/>
      <c r="U1019" s="79"/>
      <c r="V1019" s="79"/>
      <c r="W1019" s="79"/>
      <c r="X1019" s="79"/>
      <c r="Y1019" s="79"/>
      <c r="Z1019" s="79"/>
      <c r="AA1019" s="79"/>
      <c r="AB1019" s="79"/>
      <c r="AC1019" s="81"/>
      <c r="AD1019" s="79"/>
      <c r="AE1019" s="79"/>
    </row>
    <row r="1020" ht="15.75" customHeight="1">
      <c r="A1020" s="79"/>
      <c r="B1020" s="79"/>
      <c r="C1020" s="79"/>
      <c r="D1020" s="79"/>
      <c r="E1020" s="79"/>
      <c r="F1020" s="79"/>
      <c r="G1020" s="79"/>
      <c r="H1020" s="79"/>
      <c r="I1020" s="79"/>
      <c r="J1020" s="79"/>
      <c r="K1020" s="79"/>
      <c r="L1020" s="79"/>
      <c r="M1020" s="79"/>
      <c r="N1020" s="79"/>
      <c r="O1020" s="79"/>
      <c r="P1020" s="79"/>
      <c r="Q1020" s="80"/>
      <c r="R1020" s="80"/>
      <c r="S1020" s="79"/>
      <c r="T1020" s="79"/>
      <c r="U1020" s="79"/>
      <c r="V1020" s="79"/>
      <c r="W1020" s="79"/>
      <c r="X1020" s="79"/>
      <c r="Y1020" s="79"/>
      <c r="Z1020" s="79"/>
      <c r="AA1020" s="79"/>
      <c r="AB1020" s="79"/>
      <c r="AC1020" s="81"/>
      <c r="AD1020" s="79"/>
      <c r="AE1020" s="79"/>
    </row>
    <row r="1021" ht="15.75" customHeight="1">
      <c r="A1021" s="79"/>
      <c r="B1021" s="79"/>
      <c r="C1021" s="79"/>
      <c r="D1021" s="79"/>
      <c r="E1021" s="79"/>
      <c r="F1021" s="79"/>
      <c r="G1021" s="79"/>
      <c r="H1021" s="79"/>
      <c r="I1021" s="79"/>
      <c r="J1021" s="79"/>
      <c r="K1021" s="79"/>
      <c r="L1021" s="79"/>
      <c r="M1021" s="79"/>
      <c r="N1021" s="79"/>
      <c r="O1021" s="79"/>
      <c r="P1021" s="79"/>
      <c r="Q1021" s="80"/>
      <c r="R1021" s="80"/>
      <c r="S1021" s="79"/>
      <c r="T1021" s="79"/>
      <c r="U1021" s="79"/>
      <c r="V1021" s="79"/>
      <c r="W1021" s="79"/>
      <c r="X1021" s="79"/>
      <c r="Y1021" s="79"/>
      <c r="Z1021" s="79"/>
      <c r="AA1021" s="79"/>
      <c r="AB1021" s="79"/>
      <c r="AC1021" s="81"/>
      <c r="AD1021" s="79"/>
      <c r="AE1021" s="79"/>
    </row>
    <row r="1022" ht="15.75" customHeight="1">
      <c r="A1022" s="79"/>
      <c r="B1022" s="79"/>
      <c r="C1022" s="79"/>
      <c r="D1022" s="79"/>
      <c r="E1022" s="79"/>
      <c r="F1022" s="79"/>
      <c r="G1022" s="79"/>
      <c r="H1022" s="79"/>
      <c r="I1022" s="79"/>
      <c r="J1022" s="79"/>
      <c r="K1022" s="79"/>
      <c r="L1022" s="79"/>
      <c r="M1022" s="79"/>
      <c r="N1022" s="79"/>
      <c r="O1022" s="79"/>
      <c r="P1022" s="79"/>
      <c r="Q1022" s="80"/>
      <c r="R1022" s="80"/>
      <c r="S1022" s="79"/>
      <c r="T1022" s="79"/>
      <c r="U1022" s="79"/>
      <c r="V1022" s="79"/>
      <c r="W1022" s="79"/>
      <c r="X1022" s="79"/>
      <c r="Y1022" s="79"/>
      <c r="Z1022" s="79"/>
      <c r="AA1022" s="79"/>
      <c r="AB1022" s="79"/>
      <c r="AC1022" s="81"/>
      <c r="AD1022" s="79"/>
      <c r="AE1022" s="79"/>
    </row>
    <row r="1023" ht="15.75" customHeight="1">
      <c r="A1023" s="79"/>
      <c r="B1023" s="79"/>
      <c r="C1023" s="79"/>
      <c r="D1023" s="79"/>
      <c r="E1023" s="79"/>
      <c r="F1023" s="79"/>
      <c r="G1023" s="79"/>
      <c r="H1023" s="79"/>
      <c r="I1023" s="79"/>
      <c r="J1023" s="79"/>
      <c r="K1023" s="79"/>
      <c r="L1023" s="79"/>
      <c r="M1023" s="79"/>
      <c r="N1023" s="79"/>
      <c r="O1023" s="79"/>
      <c r="P1023" s="79"/>
      <c r="Q1023" s="80"/>
      <c r="R1023" s="80"/>
      <c r="S1023" s="79"/>
      <c r="T1023" s="79"/>
      <c r="U1023" s="79"/>
      <c r="V1023" s="79"/>
      <c r="W1023" s="79"/>
      <c r="X1023" s="79"/>
      <c r="Y1023" s="79"/>
      <c r="Z1023" s="79"/>
      <c r="AA1023" s="79"/>
      <c r="AB1023" s="79"/>
      <c r="AC1023" s="81"/>
      <c r="AD1023" s="79"/>
      <c r="AE1023" s="79"/>
    </row>
    <row r="1024" ht="15.75" customHeight="1">
      <c r="A1024" s="79"/>
      <c r="B1024" s="79"/>
      <c r="C1024" s="79"/>
      <c r="D1024" s="79"/>
      <c r="E1024" s="79"/>
      <c r="F1024" s="79"/>
      <c r="G1024" s="79"/>
      <c r="H1024" s="79"/>
      <c r="I1024" s="79"/>
      <c r="J1024" s="79"/>
      <c r="K1024" s="79"/>
      <c r="L1024" s="79"/>
      <c r="M1024" s="79"/>
      <c r="N1024" s="79"/>
      <c r="O1024" s="79"/>
      <c r="P1024" s="79"/>
      <c r="Q1024" s="80"/>
      <c r="R1024" s="80"/>
      <c r="S1024" s="79"/>
      <c r="T1024" s="79"/>
      <c r="U1024" s="79"/>
      <c r="V1024" s="79"/>
      <c r="W1024" s="79"/>
      <c r="X1024" s="79"/>
      <c r="Y1024" s="79"/>
      <c r="Z1024" s="79"/>
      <c r="AA1024" s="79"/>
      <c r="AB1024" s="79"/>
      <c r="AC1024" s="81"/>
      <c r="AD1024" s="79"/>
      <c r="AE1024" s="79"/>
    </row>
    <row r="1025" ht="15.75" customHeight="1">
      <c r="A1025" s="79"/>
      <c r="B1025" s="79"/>
      <c r="C1025" s="79"/>
      <c r="D1025" s="79"/>
      <c r="E1025" s="79"/>
      <c r="F1025" s="79"/>
      <c r="G1025" s="79"/>
      <c r="H1025" s="79"/>
      <c r="I1025" s="79"/>
      <c r="J1025" s="79"/>
      <c r="K1025" s="79"/>
      <c r="L1025" s="79"/>
      <c r="M1025" s="79"/>
      <c r="N1025" s="79"/>
      <c r="O1025" s="79"/>
      <c r="P1025" s="79"/>
      <c r="Q1025" s="80"/>
      <c r="R1025" s="80"/>
      <c r="S1025" s="79"/>
      <c r="T1025" s="79"/>
      <c r="U1025" s="79"/>
      <c r="V1025" s="79"/>
      <c r="W1025" s="79"/>
      <c r="X1025" s="79"/>
      <c r="Y1025" s="79"/>
      <c r="Z1025" s="79"/>
      <c r="AA1025" s="79"/>
      <c r="AB1025" s="79"/>
      <c r="AC1025" s="81"/>
      <c r="AD1025" s="79"/>
      <c r="AE1025" s="79"/>
    </row>
    <row r="1026" ht="15.75" customHeight="1">
      <c r="A1026" s="79"/>
      <c r="B1026" s="79"/>
      <c r="C1026" s="79"/>
      <c r="D1026" s="79"/>
      <c r="E1026" s="79"/>
      <c r="F1026" s="79"/>
      <c r="G1026" s="79"/>
      <c r="H1026" s="79"/>
      <c r="I1026" s="79"/>
      <c r="J1026" s="79"/>
      <c r="K1026" s="79"/>
      <c r="L1026" s="79"/>
      <c r="M1026" s="79"/>
      <c r="N1026" s="79"/>
      <c r="O1026" s="79"/>
      <c r="P1026" s="79"/>
      <c r="Q1026" s="80"/>
      <c r="R1026" s="80"/>
      <c r="S1026" s="79"/>
      <c r="T1026" s="79"/>
      <c r="U1026" s="79"/>
      <c r="V1026" s="79"/>
      <c r="W1026" s="79"/>
      <c r="X1026" s="79"/>
      <c r="Y1026" s="79"/>
      <c r="Z1026" s="79"/>
      <c r="AA1026" s="79"/>
      <c r="AB1026" s="79"/>
      <c r="AC1026" s="81"/>
      <c r="AD1026" s="79"/>
      <c r="AE1026" s="79"/>
    </row>
    <row r="1027" ht="15.75" customHeight="1">
      <c r="A1027" s="79"/>
      <c r="B1027" s="79"/>
      <c r="C1027" s="79"/>
      <c r="D1027" s="79"/>
      <c r="E1027" s="79"/>
      <c r="F1027" s="79"/>
      <c r="G1027" s="79"/>
      <c r="H1027" s="79"/>
      <c r="I1027" s="79"/>
      <c r="J1027" s="79"/>
      <c r="K1027" s="79"/>
      <c r="L1027" s="79"/>
      <c r="M1027" s="79"/>
      <c r="N1027" s="79"/>
      <c r="O1027" s="79"/>
      <c r="P1027" s="79"/>
      <c r="Q1027" s="80"/>
      <c r="R1027" s="80"/>
      <c r="S1027" s="79"/>
      <c r="T1027" s="79"/>
      <c r="U1027" s="79"/>
      <c r="V1027" s="79"/>
      <c r="W1027" s="79"/>
      <c r="X1027" s="79"/>
      <c r="Y1027" s="79"/>
      <c r="Z1027" s="79"/>
      <c r="AA1027" s="79"/>
      <c r="AB1027" s="79"/>
      <c r="AC1027" s="81"/>
      <c r="AD1027" s="79"/>
      <c r="AE1027" s="79"/>
    </row>
    <row r="1028" ht="15.75" customHeight="1">
      <c r="A1028" s="79"/>
      <c r="B1028" s="79"/>
      <c r="C1028" s="79"/>
      <c r="D1028" s="79"/>
      <c r="E1028" s="79"/>
      <c r="F1028" s="79"/>
      <c r="G1028" s="79"/>
      <c r="H1028" s="79"/>
      <c r="I1028" s="79"/>
      <c r="J1028" s="79"/>
      <c r="K1028" s="79"/>
      <c r="L1028" s="79"/>
      <c r="M1028" s="79"/>
      <c r="N1028" s="79"/>
      <c r="O1028" s="79"/>
      <c r="P1028" s="79"/>
      <c r="Q1028" s="80"/>
      <c r="R1028" s="80"/>
      <c r="S1028" s="79"/>
      <c r="T1028" s="79"/>
      <c r="U1028" s="79"/>
      <c r="V1028" s="79"/>
      <c r="W1028" s="79"/>
      <c r="X1028" s="79"/>
      <c r="Y1028" s="79"/>
      <c r="Z1028" s="79"/>
      <c r="AA1028" s="79"/>
      <c r="AB1028" s="79"/>
      <c r="AC1028" s="81"/>
      <c r="AD1028" s="79"/>
      <c r="AE1028" s="79"/>
    </row>
    <row r="1029" ht="15.75" customHeight="1">
      <c r="A1029" s="79"/>
      <c r="B1029" s="79"/>
      <c r="C1029" s="79"/>
      <c r="D1029" s="79"/>
      <c r="E1029" s="79"/>
      <c r="F1029" s="79"/>
      <c r="G1029" s="79"/>
      <c r="H1029" s="79"/>
      <c r="I1029" s="79"/>
      <c r="J1029" s="79"/>
      <c r="K1029" s="79"/>
      <c r="L1029" s="79"/>
      <c r="M1029" s="79"/>
      <c r="N1029" s="79"/>
      <c r="O1029" s="79"/>
      <c r="P1029" s="79"/>
      <c r="Q1029" s="80"/>
      <c r="R1029" s="80"/>
      <c r="S1029" s="79"/>
      <c r="T1029" s="79"/>
      <c r="U1029" s="79"/>
      <c r="V1029" s="79"/>
      <c r="W1029" s="79"/>
      <c r="X1029" s="79"/>
      <c r="Y1029" s="79"/>
      <c r="Z1029" s="79"/>
      <c r="AA1029" s="79"/>
      <c r="AB1029" s="79"/>
      <c r="AC1029" s="81"/>
      <c r="AD1029" s="79"/>
      <c r="AE1029" s="79"/>
    </row>
    <row r="1030" ht="15.75" customHeight="1">
      <c r="A1030" s="79"/>
      <c r="B1030" s="79"/>
      <c r="C1030" s="79"/>
      <c r="D1030" s="79"/>
      <c r="E1030" s="79"/>
      <c r="F1030" s="79"/>
      <c r="G1030" s="79"/>
      <c r="H1030" s="79"/>
      <c r="I1030" s="79"/>
      <c r="J1030" s="79"/>
      <c r="K1030" s="79"/>
      <c r="L1030" s="79"/>
      <c r="M1030" s="79"/>
      <c r="N1030" s="79"/>
      <c r="O1030" s="79"/>
      <c r="P1030" s="79"/>
      <c r="Q1030" s="80"/>
      <c r="R1030" s="80"/>
      <c r="S1030" s="79"/>
      <c r="T1030" s="79"/>
      <c r="U1030" s="79"/>
      <c r="V1030" s="79"/>
      <c r="W1030" s="79"/>
      <c r="X1030" s="79"/>
      <c r="Y1030" s="79"/>
      <c r="Z1030" s="79"/>
      <c r="AA1030" s="79"/>
      <c r="AB1030" s="79"/>
      <c r="AC1030" s="81"/>
      <c r="AD1030" s="79"/>
      <c r="AE1030" s="79"/>
    </row>
    <row r="1031" ht="15.75" customHeight="1">
      <c r="A1031" s="79"/>
      <c r="B1031" s="79"/>
      <c r="C1031" s="79"/>
      <c r="D1031" s="79"/>
      <c r="E1031" s="79"/>
      <c r="F1031" s="79"/>
      <c r="G1031" s="79"/>
      <c r="H1031" s="79"/>
      <c r="I1031" s="79"/>
      <c r="J1031" s="79"/>
      <c r="K1031" s="79"/>
      <c r="L1031" s="79"/>
      <c r="M1031" s="79"/>
      <c r="N1031" s="79"/>
      <c r="O1031" s="79"/>
      <c r="P1031" s="79"/>
      <c r="Q1031" s="80"/>
      <c r="R1031" s="80"/>
      <c r="S1031" s="79"/>
      <c r="T1031" s="79"/>
      <c r="U1031" s="79"/>
      <c r="V1031" s="79"/>
      <c r="W1031" s="79"/>
      <c r="X1031" s="79"/>
      <c r="Y1031" s="79"/>
      <c r="Z1031" s="79"/>
      <c r="AA1031" s="79"/>
      <c r="AB1031" s="79"/>
      <c r="AC1031" s="81"/>
      <c r="AD1031" s="79"/>
      <c r="AE1031" s="79"/>
    </row>
    <row r="1032" ht="15.75" customHeight="1">
      <c r="A1032" s="79"/>
      <c r="B1032" s="79"/>
      <c r="C1032" s="79"/>
      <c r="D1032" s="79"/>
      <c r="E1032" s="79"/>
      <c r="F1032" s="79"/>
      <c r="G1032" s="79"/>
      <c r="H1032" s="79"/>
      <c r="I1032" s="79"/>
      <c r="J1032" s="79"/>
      <c r="K1032" s="79"/>
      <c r="L1032" s="79"/>
      <c r="M1032" s="79"/>
      <c r="N1032" s="79"/>
      <c r="O1032" s="79"/>
      <c r="P1032" s="79"/>
      <c r="Q1032" s="80"/>
      <c r="R1032" s="80"/>
      <c r="S1032" s="79"/>
      <c r="T1032" s="79"/>
      <c r="U1032" s="79"/>
      <c r="V1032" s="79"/>
      <c r="W1032" s="79"/>
      <c r="X1032" s="79"/>
      <c r="Y1032" s="79"/>
      <c r="Z1032" s="79"/>
      <c r="AA1032" s="79"/>
      <c r="AB1032" s="79"/>
      <c r="AC1032" s="81"/>
      <c r="AD1032" s="79"/>
      <c r="AE1032" s="79"/>
    </row>
    <row r="1033" ht="15.75" customHeight="1">
      <c r="A1033" s="79"/>
      <c r="B1033" s="79"/>
      <c r="C1033" s="79"/>
      <c r="D1033" s="79"/>
      <c r="E1033" s="79"/>
      <c r="F1033" s="79"/>
      <c r="G1033" s="79"/>
      <c r="H1033" s="79"/>
      <c r="I1033" s="79"/>
      <c r="J1033" s="79"/>
      <c r="K1033" s="79"/>
      <c r="L1033" s="79"/>
      <c r="M1033" s="79"/>
      <c r="N1033" s="79"/>
      <c r="O1033" s="79"/>
      <c r="P1033" s="79"/>
      <c r="Q1033" s="80"/>
      <c r="R1033" s="80"/>
      <c r="S1033" s="79"/>
      <c r="T1033" s="79"/>
      <c r="U1033" s="79"/>
      <c r="V1033" s="79"/>
      <c r="W1033" s="79"/>
      <c r="X1033" s="79"/>
      <c r="Y1033" s="79"/>
      <c r="Z1033" s="79"/>
      <c r="AA1033" s="79"/>
      <c r="AB1033" s="79"/>
      <c r="AC1033" s="81"/>
      <c r="AD1033" s="79"/>
      <c r="AE1033" s="79"/>
    </row>
    <row r="1034" ht="15.75" customHeight="1">
      <c r="A1034" s="79"/>
      <c r="B1034" s="79"/>
      <c r="C1034" s="79"/>
      <c r="D1034" s="79"/>
      <c r="E1034" s="79"/>
      <c r="F1034" s="79"/>
      <c r="G1034" s="79"/>
      <c r="H1034" s="79"/>
      <c r="I1034" s="79"/>
      <c r="J1034" s="79"/>
      <c r="K1034" s="79"/>
      <c r="L1034" s="79"/>
      <c r="M1034" s="79"/>
      <c r="N1034" s="79"/>
      <c r="O1034" s="79"/>
      <c r="P1034" s="79"/>
      <c r="Q1034" s="80"/>
      <c r="R1034" s="80"/>
      <c r="S1034" s="79"/>
      <c r="T1034" s="79"/>
      <c r="U1034" s="79"/>
      <c r="V1034" s="79"/>
      <c r="W1034" s="79"/>
      <c r="X1034" s="79"/>
      <c r="Y1034" s="79"/>
      <c r="Z1034" s="79"/>
      <c r="AA1034" s="79"/>
      <c r="AB1034" s="79"/>
      <c r="AC1034" s="81"/>
      <c r="AD1034" s="79"/>
      <c r="AE1034" s="79"/>
    </row>
    <row r="1035" ht="15.75" customHeight="1">
      <c r="A1035" s="79"/>
      <c r="B1035" s="79"/>
      <c r="C1035" s="79"/>
      <c r="D1035" s="79"/>
      <c r="E1035" s="79"/>
      <c r="F1035" s="79"/>
      <c r="G1035" s="79"/>
      <c r="H1035" s="79"/>
      <c r="I1035" s="79"/>
      <c r="J1035" s="79"/>
      <c r="K1035" s="79"/>
      <c r="L1035" s="79"/>
      <c r="M1035" s="79"/>
      <c r="N1035" s="79"/>
      <c r="O1035" s="79"/>
      <c r="P1035" s="79"/>
      <c r="Q1035" s="80"/>
      <c r="R1035" s="80"/>
      <c r="S1035" s="79"/>
      <c r="T1035" s="79"/>
      <c r="U1035" s="79"/>
      <c r="V1035" s="79"/>
      <c r="W1035" s="79"/>
      <c r="X1035" s="79"/>
      <c r="Y1035" s="79"/>
      <c r="Z1035" s="79"/>
      <c r="AA1035" s="79"/>
      <c r="AB1035" s="79"/>
      <c r="AC1035" s="81"/>
      <c r="AD1035" s="79"/>
      <c r="AE1035" s="79"/>
    </row>
    <row r="1036" ht="15.75" customHeight="1">
      <c r="A1036" s="79"/>
      <c r="B1036" s="79"/>
      <c r="C1036" s="79"/>
      <c r="D1036" s="79"/>
      <c r="E1036" s="79"/>
      <c r="F1036" s="79"/>
      <c r="G1036" s="79"/>
      <c r="H1036" s="79"/>
      <c r="I1036" s="79"/>
      <c r="J1036" s="79"/>
      <c r="K1036" s="79"/>
      <c r="L1036" s="79"/>
      <c r="M1036" s="79"/>
      <c r="N1036" s="79"/>
      <c r="O1036" s="79"/>
      <c r="P1036" s="79"/>
      <c r="Q1036" s="80"/>
      <c r="R1036" s="80"/>
      <c r="S1036" s="79"/>
      <c r="T1036" s="79"/>
      <c r="U1036" s="79"/>
      <c r="V1036" s="79"/>
      <c r="W1036" s="79"/>
      <c r="X1036" s="79"/>
      <c r="Y1036" s="79"/>
      <c r="Z1036" s="79"/>
      <c r="AA1036" s="79"/>
      <c r="AB1036" s="79"/>
      <c r="AC1036" s="81"/>
      <c r="AD1036" s="79"/>
      <c r="AE1036" s="79"/>
    </row>
    <row r="1037" ht="15.75" customHeight="1">
      <c r="A1037" s="79"/>
      <c r="B1037" s="79"/>
      <c r="C1037" s="79"/>
      <c r="D1037" s="79"/>
      <c r="E1037" s="79"/>
      <c r="F1037" s="79"/>
      <c r="G1037" s="79"/>
      <c r="H1037" s="79"/>
      <c r="I1037" s="79"/>
      <c r="J1037" s="79"/>
      <c r="K1037" s="79"/>
      <c r="L1037" s="79"/>
      <c r="M1037" s="79"/>
      <c r="N1037" s="79"/>
      <c r="O1037" s="79"/>
      <c r="P1037" s="79"/>
      <c r="Q1037" s="80"/>
      <c r="R1037" s="80"/>
      <c r="S1037" s="79"/>
      <c r="T1037" s="79"/>
      <c r="U1037" s="79"/>
      <c r="V1037" s="79"/>
      <c r="W1037" s="79"/>
      <c r="X1037" s="79"/>
      <c r="Y1037" s="79"/>
      <c r="Z1037" s="79"/>
      <c r="AA1037" s="79"/>
      <c r="AB1037" s="79"/>
      <c r="AC1037" s="81"/>
      <c r="AD1037" s="79"/>
      <c r="AE1037" s="79"/>
    </row>
    <row r="1038" ht="15.75" customHeight="1">
      <c r="A1038" s="79"/>
      <c r="B1038" s="79"/>
      <c r="C1038" s="79"/>
      <c r="D1038" s="79"/>
      <c r="E1038" s="79"/>
      <c r="F1038" s="79"/>
      <c r="G1038" s="79"/>
      <c r="H1038" s="79"/>
      <c r="I1038" s="79"/>
      <c r="J1038" s="79"/>
      <c r="K1038" s="79"/>
      <c r="L1038" s="79"/>
      <c r="M1038" s="79"/>
      <c r="N1038" s="79"/>
      <c r="O1038" s="79"/>
      <c r="P1038" s="79"/>
      <c r="Q1038" s="80"/>
      <c r="R1038" s="80"/>
      <c r="S1038" s="79"/>
      <c r="T1038" s="79"/>
      <c r="U1038" s="79"/>
      <c r="V1038" s="79"/>
      <c r="W1038" s="79"/>
      <c r="X1038" s="79"/>
      <c r="Y1038" s="79"/>
      <c r="Z1038" s="79"/>
      <c r="AA1038" s="79"/>
      <c r="AB1038" s="79"/>
      <c r="AC1038" s="81"/>
      <c r="AD1038" s="79"/>
      <c r="AE1038" s="79"/>
    </row>
    <row r="1039" ht="15.75" customHeight="1">
      <c r="A1039" s="79"/>
      <c r="B1039" s="79"/>
      <c r="C1039" s="79"/>
      <c r="D1039" s="79"/>
      <c r="E1039" s="79"/>
      <c r="F1039" s="79"/>
      <c r="G1039" s="79"/>
      <c r="H1039" s="79"/>
      <c r="I1039" s="79"/>
      <c r="J1039" s="79"/>
      <c r="K1039" s="79"/>
      <c r="L1039" s="79"/>
      <c r="M1039" s="79"/>
      <c r="N1039" s="79"/>
      <c r="O1039" s="79"/>
      <c r="P1039" s="79"/>
      <c r="Q1039" s="80"/>
      <c r="R1039" s="80"/>
      <c r="S1039" s="79"/>
      <c r="T1039" s="79"/>
      <c r="U1039" s="79"/>
      <c r="V1039" s="79"/>
      <c r="W1039" s="79"/>
      <c r="X1039" s="79"/>
      <c r="Y1039" s="79"/>
      <c r="Z1039" s="79"/>
      <c r="AA1039" s="79"/>
      <c r="AB1039" s="79"/>
      <c r="AC1039" s="81"/>
      <c r="AD1039" s="79"/>
      <c r="AE1039" s="79"/>
    </row>
    <row r="1040" ht="15.75" customHeight="1">
      <c r="A1040" s="79"/>
      <c r="B1040" s="79"/>
      <c r="C1040" s="79"/>
      <c r="D1040" s="79"/>
      <c r="E1040" s="79"/>
      <c r="F1040" s="79"/>
      <c r="G1040" s="79"/>
      <c r="H1040" s="79"/>
      <c r="I1040" s="79"/>
      <c r="J1040" s="79"/>
      <c r="K1040" s="79"/>
      <c r="L1040" s="79"/>
      <c r="M1040" s="79"/>
      <c r="N1040" s="79"/>
      <c r="O1040" s="79"/>
      <c r="P1040" s="79"/>
      <c r="Q1040" s="80"/>
      <c r="R1040" s="80"/>
      <c r="S1040" s="79"/>
      <c r="T1040" s="79"/>
      <c r="U1040" s="79"/>
      <c r="V1040" s="79"/>
      <c r="W1040" s="79"/>
      <c r="X1040" s="79"/>
      <c r="Y1040" s="79"/>
      <c r="Z1040" s="79"/>
      <c r="AA1040" s="79"/>
      <c r="AB1040" s="79"/>
      <c r="AC1040" s="81"/>
      <c r="AD1040" s="79"/>
      <c r="AE1040" s="79"/>
    </row>
    <row r="1041" ht="15.75" customHeight="1">
      <c r="A1041" s="79"/>
      <c r="B1041" s="79"/>
      <c r="C1041" s="79"/>
      <c r="D1041" s="79"/>
      <c r="E1041" s="79"/>
      <c r="F1041" s="79"/>
      <c r="G1041" s="79"/>
      <c r="H1041" s="79"/>
      <c r="I1041" s="79"/>
      <c r="J1041" s="79"/>
      <c r="K1041" s="79"/>
      <c r="L1041" s="79"/>
      <c r="M1041" s="79"/>
      <c r="N1041" s="79"/>
      <c r="O1041" s="79"/>
      <c r="P1041" s="79"/>
      <c r="Q1041" s="80"/>
      <c r="R1041" s="80"/>
      <c r="S1041" s="79"/>
      <c r="T1041" s="79"/>
      <c r="U1041" s="79"/>
      <c r="V1041" s="79"/>
      <c r="W1041" s="79"/>
      <c r="X1041" s="79"/>
      <c r="Y1041" s="79"/>
      <c r="Z1041" s="79"/>
      <c r="AA1041" s="79"/>
      <c r="AB1041" s="79"/>
      <c r="AC1041" s="81"/>
      <c r="AD1041" s="79"/>
      <c r="AE1041" s="79"/>
    </row>
    <row r="1042" ht="15.75" customHeight="1">
      <c r="A1042" s="79"/>
      <c r="B1042" s="79"/>
      <c r="C1042" s="79"/>
      <c r="D1042" s="79"/>
      <c r="E1042" s="79"/>
      <c r="F1042" s="79"/>
      <c r="G1042" s="79"/>
      <c r="H1042" s="79"/>
      <c r="I1042" s="79"/>
      <c r="J1042" s="79"/>
      <c r="K1042" s="79"/>
      <c r="L1042" s="79"/>
      <c r="M1042" s="79"/>
      <c r="N1042" s="79"/>
      <c r="O1042" s="79"/>
      <c r="P1042" s="79"/>
      <c r="Q1042" s="80"/>
      <c r="R1042" s="80"/>
      <c r="S1042" s="79"/>
      <c r="T1042" s="79"/>
      <c r="U1042" s="79"/>
      <c r="V1042" s="79"/>
      <c r="W1042" s="79"/>
      <c r="X1042" s="79"/>
      <c r="Y1042" s="79"/>
      <c r="Z1042" s="79"/>
      <c r="AA1042" s="79"/>
      <c r="AB1042" s="79"/>
      <c r="AC1042" s="81"/>
      <c r="AD1042" s="79"/>
      <c r="AE1042" s="79"/>
    </row>
    <row r="1043" ht="15.75" customHeight="1">
      <c r="A1043" s="79"/>
      <c r="B1043" s="79"/>
      <c r="C1043" s="79"/>
      <c r="D1043" s="79"/>
      <c r="E1043" s="79"/>
      <c r="F1043" s="79"/>
      <c r="G1043" s="79"/>
      <c r="H1043" s="79"/>
      <c r="I1043" s="79"/>
      <c r="J1043" s="79"/>
      <c r="K1043" s="79"/>
      <c r="L1043" s="79"/>
      <c r="M1043" s="79"/>
      <c r="N1043" s="79"/>
      <c r="O1043" s="79"/>
      <c r="P1043" s="79"/>
      <c r="Q1043" s="80"/>
      <c r="R1043" s="80"/>
      <c r="S1043" s="79"/>
      <c r="T1043" s="79"/>
      <c r="U1043" s="79"/>
      <c r="V1043" s="79"/>
      <c r="W1043" s="79"/>
      <c r="X1043" s="79"/>
      <c r="Y1043" s="79"/>
      <c r="Z1043" s="79"/>
      <c r="AA1043" s="79"/>
      <c r="AB1043" s="79"/>
      <c r="AC1043" s="81"/>
      <c r="AD1043" s="79"/>
      <c r="AE1043" s="79"/>
    </row>
    <row r="1044" ht="15.75" customHeight="1">
      <c r="A1044" s="79"/>
      <c r="B1044" s="79"/>
      <c r="C1044" s="79"/>
      <c r="D1044" s="79"/>
      <c r="E1044" s="79"/>
      <c r="F1044" s="79"/>
      <c r="G1044" s="79"/>
      <c r="H1044" s="79"/>
      <c r="I1044" s="79"/>
      <c r="J1044" s="79"/>
      <c r="K1044" s="79"/>
      <c r="L1044" s="79"/>
      <c r="M1044" s="79"/>
      <c r="N1044" s="79"/>
      <c r="O1044" s="79"/>
      <c r="P1044" s="79"/>
      <c r="Q1044" s="80"/>
      <c r="R1044" s="80"/>
      <c r="S1044" s="79"/>
      <c r="T1044" s="79"/>
      <c r="U1044" s="79"/>
      <c r="V1044" s="79"/>
      <c r="W1044" s="79"/>
      <c r="X1044" s="79"/>
      <c r="Y1044" s="79"/>
      <c r="Z1044" s="79"/>
      <c r="AA1044" s="79"/>
      <c r="AB1044" s="79"/>
      <c r="AC1044" s="81"/>
      <c r="AD1044" s="79"/>
      <c r="AE1044" s="79"/>
    </row>
    <row r="1045" ht="15.75" customHeight="1">
      <c r="A1045" s="79"/>
      <c r="B1045" s="79"/>
      <c r="C1045" s="79"/>
      <c r="D1045" s="79"/>
      <c r="E1045" s="79"/>
      <c r="F1045" s="79"/>
      <c r="G1045" s="79"/>
      <c r="H1045" s="79"/>
      <c r="I1045" s="79"/>
      <c r="J1045" s="79"/>
      <c r="K1045" s="79"/>
      <c r="L1045" s="79"/>
      <c r="M1045" s="79"/>
      <c r="N1045" s="79"/>
      <c r="O1045" s="79"/>
      <c r="P1045" s="79"/>
      <c r="Q1045" s="80"/>
      <c r="R1045" s="80"/>
      <c r="S1045" s="79"/>
      <c r="T1045" s="79"/>
      <c r="U1045" s="79"/>
      <c r="V1045" s="79"/>
      <c r="W1045" s="79"/>
      <c r="X1045" s="79"/>
      <c r="Y1045" s="79"/>
      <c r="Z1045" s="79"/>
      <c r="AA1045" s="79"/>
      <c r="AB1045" s="79"/>
      <c r="AC1045" s="81"/>
      <c r="AD1045" s="79"/>
      <c r="AE1045" s="79"/>
    </row>
    <row r="1046" ht="15.75" customHeight="1">
      <c r="A1046" s="79"/>
      <c r="B1046" s="79"/>
      <c r="C1046" s="79"/>
      <c r="D1046" s="79"/>
      <c r="E1046" s="79"/>
      <c r="F1046" s="79"/>
      <c r="G1046" s="79"/>
      <c r="H1046" s="79"/>
      <c r="I1046" s="79"/>
      <c r="J1046" s="79"/>
      <c r="K1046" s="79"/>
      <c r="L1046" s="79"/>
      <c r="M1046" s="79"/>
      <c r="N1046" s="79"/>
      <c r="O1046" s="79"/>
      <c r="P1046" s="79"/>
      <c r="Q1046" s="80"/>
      <c r="R1046" s="80"/>
      <c r="S1046" s="79"/>
      <c r="T1046" s="79"/>
      <c r="U1046" s="79"/>
      <c r="V1046" s="79"/>
      <c r="W1046" s="79"/>
      <c r="X1046" s="79"/>
      <c r="Y1046" s="79"/>
      <c r="Z1046" s="79"/>
      <c r="AA1046" s="79"/>
      <c r="AB1046" s="79"/>
      <c r="AC1046" s="81"/>
      <c r="AD1046" s="79"/>
      <c r="AE1046" s="79"/>
    </row>
    <row r="1047" ht="15.75" customHeight="1">
      <c r="A1047" s="79"/>
      <c r="B1047" s="79"/>
      <c r="C1047" s="79"/>
      <c r="D1047" s="79"/>
      <c r="E1047" s="79"/>
      <c r="F1047" s="79"/>
      <c r="G1047" s="79"/>
      <c r="H1047" s="79"/>
      <c r="I1047" s="79"/>
      <c r="J1047" s="79"/>
      <c r="K1047" s="79"/>
      <c r="L1047" s="79"/>
      <c r="M1047" s="79"/>
      <c r="N1047" s="79"/>
      <c r="O1047" s="79"/>
      <c r="P1047" s="79"/>
      <c r="Q1047" s="80"/>
      <c r="R1047" s="80"/>
      <c r="S1047" s="79"/>
      <c r="T1047" s="79"/>
      <c r="U1047" s="79"/>
      <c r="V1047" s="79"/>
      <c r="W1047" s="79"/>
      <c r="X1047" s="79"/>
      <c r="Y1047" s="79"/>
      <c r="Z1047" s="79"/>
      <c r="AA1047" s="79"/>
      <c r="AB1047" s="79"/>
      <c r="AC1047" s="81"/>
      <c r="AD1047" s="79"/>
      <c r="AE1047" s="79"/>
    </row>
    <row r="1048" ht="15.75" customHeight="1">
      <c r="A1048" s="79"/>
      <c r="B1048" s="79"/>
      <c r="C1048" s="79"/>
      <c r="D1048" s="79"/>
      <c r="E1048" s="79"/>
      <c r="F1048" s="79"/>
      <c r="G1048" s="79"/>
      <c r="H1048" s="79"/>
      <c r="I1048" s="79"/>
      <c r="J1048" s="79"/>
      <c r="K1048" s="79"/>
      <c r="L1048" s="79"/>
      <c r="M1048" s="79"/>
      <c r="N1048" s="79"/>
      <c r="O1048" s="79"/>
      <c r="P1048" s="79"/>
      <c r="Q1048" s="80"/>
      <c r="R1048" s="80"/>
      <c r="S1048" s="79"/>
      <c r="T1048" s="79"/>
      <c r="U1048" s="79"/>
      <c r="V1048" s="79"/>
      <c r="W1048" s="79"/>
      <c r="X1048" s="79"/>
      <c r="Y1048" s="79"/>
      <c r="Z1048" s="79"/>
      <c r="AA1048" s="79"/>
      <c r="AB1048" s="79"/>
      <c r="AC1048" s="81"/>
      <c r="AD1048" s="79"/>
      <c r="AE1048" s="79"/>
    </row>
    <row r="1049" ht="15.75" customHeight="1">
      <c r="A1049" s="79"/>
      <c r="B1049" s="79"/>
      <c r="C1049" s="79"/>
      <c r="D1049" s="79"/>
      <c r="E1049" s="79"/>
      <c r="F1049" s="79"/>
      <c r="G1049" s="79"/>
      <c r="H1049" s="79"/>
      <c r="I1049" s="79"/>
      <c r="J1049" s="79"/>
      <c r="K1049" s="79"/>
      <c r="L1049" s="79"/>
      <c r="M1049" s="79"/>
      <c r="N1049" s="79"/>
      <c r="O1049" s="79"/>
      <c r="P1049" s="79"/>
      <c r="Q1049" s="80"/>
      <c r="R1049" s="80"/>
      <c r="S1049" s="79"/>
      <c r="T1049" s="79"/>
      <c r="U1049" s="79"/>
      <c r="V1049" s="79"/>
      <c r="W1049" s="79"/>
      <c r="X1049" s="79"/>
      <c r="Y1049" s="79"/>
      <c r="Z1049" s="79"/>
      <c r="AA1049" s="79"/>
      <c r="AB1049" s="79"/>
      <c r="AC1049" s="81"/>
      <c r="AD1049" s="79"/>
      <c r="AE1049" s="79"/>
    </row>
    <row r="1050" ht="15.75" customHeight="1">
      <c r="A1050" s="79"/>
      <c r="B1050" s="79"/>
      <c r="C1050" s="79"/>
      <c r="D1050" s="79"/>
      <c r="E1050" s="79"/>
      <c r="F1050" s="79"/>
      <c r="G1050" s="79"/>
      <c r="H1050" s="79"/>
      <c r="I1050" s="79"/>
      <c r="J1050" s="79"/>
      <c r="K1050" s="79"/>
      <c r="L1050" s="79"/>
      <c r="M1050" s="79"/>
      <c r="N1050" s="79"/>
      <c r="O1050" s="79"/>
      <c r="P1050" s="79"/>
      <c r="Q1050" s="80"/>
      <c r="R1050" s="80"/>
      <c r="S1050" s="79"/>
      <c r="T1050" s="79"/>
      <c r="U1050" s="79"/>
      <c r="V1050" s="79"/>
      <c r="W1050" s="79"/>
      <c r="X1050" s="79"/>
      <c r="Y1050" s="79"/>
      <c r="Z1050" s="79"/>
      <c r="AA1050" s="79"/>
      <c r="AB1050" s="79"/>
      <c r="AC1050" s="81"/>
      <c r="AD1050" s="79"/>
      <c r="AE1050" s="79"/>
    </row>
    <row r="1051" ht="15.75" customHeight="1">
      <c r="A1051" s="79"/>
      <c r="B1051" s="79"/>
      <c r="C1051" s="79"/>
      <c r="D1051" s="79"/>
      <c r="E1051" s="79"/>
      <c r="F1051" s="79"/>
      <c r="G1051" s="79"/>
      <c r="H1051" s="79"/>
      <c r="I1051" s="79"/>
      <c r="J1051" s="79"/>
      <c r="K1051" s="79"/>
      <c r="L1051" s="79"/>
      <c r="M1051" s="79"/>
      <c r="N1051" s="79"/>
      <c r="O1051" s="79"/>
      <c r="P1051" s="79"/>
      <c r="Q1051" s="80"/>
      <c r="R1051" s="80"/>
      <c r="S1051" s="79"/>
      <c r="T1051" s="79"/>
      <c r="U1051" s="79"/>
      <c r="V1051" s="79"/>
      <c r="W1051" s="79"/>
      <c r="X1051" s="79"/>
      <c r="Y1051" s="79"/>
      <c r="Z1051" s="79"/>
      <c r="AA1051" s="79"/>
      <c r="AB1051" s="79"/>
      <c r="AC1051" s="81"/>
      <c r="AD1051" s="79"/>
      <c r="AE1051" s="79"/>
    </row>
    <row r="1052" ht="15.75" customHeight="1">
      <c r="A1052" s="79"/>
      <c r="B1052" s="79"/>
      <c r="C1052" s="79"/>
      <c r="D1052" s="79"/>
      <c r="E1052" s="79"/>
      <c r="F1052" s="79"/>
      <c r="G1052" s="79"/>
      <c r="H1052" s="79"/>
      <c r="I1052" s="79"/>
      <c r="J1052" s="79"/>
      <c r="K1052" s="79"/>
      <c r="L1052" s="79"/>
      <c r="M1052" s="79"/>
      <c r="N1052" s="79"/>
      <c r="O1052" s="79"/>
      <c r="P1052" s="79"/>
      <c r="Q1052" s="80"/>
      <c r="R1052" s="80"/>
      <c r="S1052" s="79"/>
      <c r="T1052" s="79"/>
      <c r="U1052" s="79"/>
      <c r="V1052" s="79"/>
      <c r="W1052" s="79"/>
      <c r="X1052" s="79"/>
      <c r="Y1052" s="79"/>
      <c r="Z1052" s="79"/>
      <c r="AA1052" s="79"/>
      <c r="AB1052" s="79"/>
      <c r="AC1052" s="81"/>
      <c r="AD1052" s="79"/>
      <c r="AE1052" s="79"/>
    </row>
    <row r="1053" ht="15.75" customHeight="1">
      <c r="A1053" s="79"/>
      <c r="B1053" s="79"/>
      <c r="C1053" s="79"/>
      <c r="D1053" s="79"/>
      <c r="E1053" s="79"/>
      <c r="F1053" s="79"/>
      <c r="G1053" s="79"/>
      <c r="H1053" s="79"/>
      <c r="I1053" s="79"/>
      <c r="J1053" s="79"/>
      <c r="K1053" s="79"/>
      <c r="L1053" s="79"/>
      <c r="M1053" s="79"/>
      <c r="N1053" s="79"/>
      <c r="O1053" s="79"/>
      <c r="P1053" s="79"/>
      <c r="Q1053" s="80"/>
      <c r="R1053" s="80"/>
      <c r="S1053" s="79"/>
      <c r="T1053" s="79"/>
      <c r="U1053" s="79"/>
      <c r="V1053" s="79"/>
      <c r="W1053" s="79"/>
      <c r="X1053" s="79"/>
      <c r="Y1053" s="79"/>
      <c r="Z1053" s="79"/>
      <c r="AA1053" s="79"/>
      <c r="AB1053" s="79"/>
      <c r="AC1053" s="81"/>
      <c r="AD1053" s="79"/>
      <c r="AE1053" s="79"/>
    </row>
    <row r="1054" ht="15.75" customHeight="1">
      <c r="A1054" s="79"/>
      <c r="B1054" s="79"/>
      <c r="C1054" s="79"/>
      <c r="D1054" s="79"/>
      <c r="E1054" s="79"/>
      <c r="F1054" s="79"/>
      <c r="G1054" s="79"/>
      <c r="H1054" s="79"/>
      <c r="I1054" s="79"/>
      <c r="J1054" s="79"/>
      <c r="K1054" s="79"/>
      <c r="L1054" s="79"/>
      <c r="M1054" s="79"/>
      <c r="N1054" s="79"/>
      <c r="O1054" s="79"/>
      <c r="P1054" s="79"/>
      <c r="Q1054" s="80"/>
      <c r="R1054" s="80"/>
      <c r="S1054" s="79"/>
      <c r="T1054" s="79"/>
      <c r="U1054" s="79"/>
      <c r="V1054" s="79"/>
      <c r="W1054" s="79"/>
      <c r="X1054" s="79"/>
      <c r="Y1054" s="79"/>
      <c r="Z1054" s="79"/>
      <c r="AA1054" s="79"/>
      <c r="AB1054" s="79"/>
      <c r="AC1054" s="81"/>
      <c r="AD1054" s="79"/>
      <c r="AE1054" s="79"/>
    </row>
    <row r="1055" ht="15.75" customHeight="1">
      <c r="A1055" s="79"/>
      <c r="B1055" s="79"/>
      <c r="C1055" s="79"/>
      <c r="D1055" s="79"/>
      <c r="E1055" s="79"/>
      <c r="F1055" s="79"/>
      <c r="G1055" s="79"/>
      <c r="H1055" s="79"/>
      <c r="I1055" s="79"/>
      <c r="J1055" s="79"/>
      <c r="K1055" s="79"/>
      <c r="L1055" s="79"/>
      <c r="M1055" s="79"/>
      <c r="N1055" s="79"/>
      <c r="O1055" s="79"/>
      <c r="P1055" s="79"/>
      <c r="Q1055" s="80"/>
      <c r="R1055" s="80"/>
      <c r="S1055" s="79"/>
      <c r="T1055" s="79"/>
      <c r="U1055" s="79"/>
      <c r="V1055" s="79"/>
      <c r="W1055" s="79"/>
      <c r="X1055" s="79"/>
      <c r="Y1055" s="79"/>
      <c r="Z1055" s="79"/>
      <c r="AA1055" s="79"/>
      <c r="AB1055" s="79"/>
      <c r="AC1055" s="81"/>
      <c r="AD1055" s="79"/>
      <c r="AE1055" s="79"/>
    </row>
    <row r="1056" ht="15.75" customHeight="1">
      <c r="A1056" s="79"/>
      <c r="B1056" s="79"/>
      <c r="C1056" s="79"/>
      <c r="D1056" s="79"/>
      <c r="E1056" s="79"/>
      <c r="F1056" s="79"/>
      <c r="G1056" s="79"/>
      <c r="H1056" s="79"/>
      <c r="I1056" s="79"/>
      <c r="J1056" s="79"/>
      <c r="K1056" s="79"/>
      <c r="L1056" s="79"/>
      <c r="M1056" s="79"/>
      <c r="N1056" s="79"/>
      <c r="O1056" s="79"/>
      <c r="P1056" s="79"/>
      <c r="Q1056" s="80"/>
      <c r="R1056" s="80"/>
      <c r="S1056" s="79"/>
      <c r="T1056" s="79"/>
      <c r="U1056" s="79"/>
      <c r="V1056" s="79"/>
      <c r="W1056" s="79"/>
      <c r="X1056" s="79"/>
      <c r="Y1056" s="79"/>
      <c r="Z1056" s="79"/>
      <c r="AA1056" s="79"/>
      <c r="AB1056" s="79"/>
      <c r="AC1056" s="81"/>
      <c r="AD1056" s="79"/>
      <c r="AE1056" s="79"/>
    </row>
    <row r="1057" ht="15.75" customHeight="1">
      <c r="A1057" s="79"/>
      <c r="B1057" s="79"/>
      <c r="C1057" s="79"/>
      <c r="D1057" s="79"/>
      <c r="E1057" s="79"/>
      <c r="F1057" s="79"/>
      <c r="G1057" s="79"/>
      <c r="H1057" s="79"/>
      <c r="I1057" s="79"/>
      <c r="J1057" s="79"/>
      <c r="K1057" s="79"/>
      <c r="L1057" s="79"/>
      <c r="M1057" s="79"/>
      <c r="N1057" s="79"/>
      <c r="O1057" s="79"/>
      <c r="P1057" s="79"/>
      <c r="Q1057" s="80"/>
      <c r="R1057" s="80"/>
      <c r="S1057" s="79"/>
      <c r="T1057" s="79"/>
      <c r="U1057" s="79"/>
      <c r="V1057" s="79"/>
      <c r="W1057" s="79"/>
      <c r="X1057" s="79"/>
      <c r="Y1057" s="79"/>
      <c r="Z1057" s="79"/>
      <c r="AA1057" s="79"/>
      <c r="AB1057" s="79"/>
      <c r="AC1057" s="81"/>
      <c r="AD1057" s="79"/>
      <c r="AE1057" s="79"/>
    </row>
    <row r="1058" ht="15.75" customHeight="1">
      <c r="A1058" s="79"/>
      <c r="B1058" s="79"/>
      <c r="C1058" s="79"/>
      <c r="D1058" s="79"/>
      <c r="E1058" s="79"/>
      <c r="F1058" s="79"/>
      <c r="G1058" s="79"/>
      <c r="H1058" s="79"/>
      <c r="I1058" s="79"/>
      <c r="J1058" s="79"/>
      <c r="K1058" s="79"/>
      <c r="L1058" s="79"/>
      <c r="M1058" s="79"/>
      <c r="N1058" s="79"/>
      <c r="O1058" s="79"/>
      <c r="P1058" s="79"/>
      <c r="Q1058" s="80"/>
      <c r="R1058" s="80"/>
      <c r="S1058" s="79"/>
      <c r="T1058" s="79"/>
      <c r="U1058" s="79"/>
      <c r="V1058" s="79"/>
      <c r="W1058" s="79"/>
      <c r="X1058" s="79"/>
      <c r="Y1058" s="79"/>
      <c r="Z1058" s="79"/>
      <c r="AA1058" s="79"/>
      <c r="AB1058" s="79"/>
      <c r="AC1058" s="81"/>
      <c r="AD1058" s="79"/>
      <c r="AE1058" s="79"/>
    </row>
    <row r="1059" ht="15.75" customHeight="1">
      <c r="A1059" s="79"/>
      <c r="B1059" s="79"/>
      <c r="C1059" s="79"/>
      <c r="D1059" s="79"/>
      <c r="E1059" s="79"/>
      <c r="F1059" s="79"/>
      <c r="G1059" s="79"/>
      <c r="H1059" s="79"/>
      <c r="I1059" s="79"/>
      <c r="J1059" s="79"/>
      <c r="K1059" s="79"/>
      <c r="L1059" s="79"/>
      <c r="M1059" s="79"/>
      <c r="N1059" s="79"/>
      <c r="O1059" s="79"/>
      <c r="P1059" s="79"/>
      <c r="Q1059" s="80"/>
      <c r="R1059" s="80"/>
      <c r="S1059" s="79"/>
      <c r="T1059" s="79"/>
      <c r="U1059" s="79"/>
      <c r="V1059" s="79"/>
      <c r="W1059" s="79"/>
      <c r="X1059" s="79"/>
      <c r="Y1059" s="79"/>
      <c r="Z1059" s="79"/>
      <c r="AA1059" s="79"/>
      <c r="AB1059" s="79"/>
      <c r="AC1059" s="81"/>
      <c r="AD1059" s="79"/>
      <c r="AE1059" s="79"/>
    </row>
    <row r="1060" ht="15.75" customHeight="1">
      <c r="A1060" s="79"/>
      <c r="B1060" s="79"/>
      <c r="C1060" s="79"/>
      <c r="D1060" s="79"/>
      <c r="E1060" s="79"/>
      <c r="F1060" s="79"/>
      <c r="G1060" s="79"/>
      <c r="H1060" s="79"/>
      <c r="I1060" s="79"/>
      <c r="J1060" s="79"/>
      <c r="K1060" s="79"/>
      <c r="L1060" s="79"/>
      <c r="M1060" s="79"/>
      <c r="N1060" s="79"/>
      <c r="O1060" s="79"/>
      <c r="P1060" s="79"/>
      <c r="Q1060" s="80"/>
      <c r="R1060" s="80"/>
      <c r="S1060" s="79"/>
      <c r="T1060" s="79"/>
      <c r="U1060" s="79"/>
      <c r="V1060" s="79"/>
      <c r="W1060" s="79"/>
      <c r="X1060" s="79"/>
      <c r="Y1060" s="79"/>
      <c r="Z1060" s="79"/>
      <c r="AA1060" s="79"/>
      <c r="AB1060" s="79"/>
      <c r="AC1060" s="81"/>
      <c r="AD1060" s="79"/>
      <c r="AE1060" s="79"/>
    </row>
    <row r="1061" ht="15.75" customHeight="1">
      <c r="A1061" s="79"/>
      <c r="B1061" s="79"/>
      <c r="C1061" s="79"/>
      <c r="D1061" s="79"/>
      <c r="E1061" s="79"/>
      <c r="F1061" s="79"/>
      <c r="G1061" s="79"/>
      <c r="H1061" s="79"/>
      <c r="I1061" s="79"/>
      <c r="J1061" s="79"/>
      <c r="K1061" s="79"/>
      <c r="L1061" s="79"/>
      <c r="M1061" s="79"/>
      <c r="N1061" s="79"/>
      <c r="O1061" s="79"/>
      <c r="P1061" s="79"/>
      <c r="Q1061" s="80"/>
      <c r="R1061" s="80"/>
      <c r="S1061" s="79"/>
      <c r="T1061" s="79"/>
      <c r="U1061" s="79"/>
      <c r="V1061" s="79"/>
      <c r="W1061" s="79"/>
      <c r="X1061" s="79"/>
      <c r="Y1061" s="79"/>
      <c r="Z1061" s="79"/>
      <c r="AA1061" s="79"/>
      <c r="AB1061" s="79"/>
      <c r="AC1061" s="81"/>
      <c r="AD1061" s="79"/>
      <c r="AE1061" s="79"/>
    </row>
    <row r="1062" ht="15.75" customHeight="1">
      <c r="A1062" s="79"/>
      <c r="B1062" s="79"/>
      <c r="C1062" s="79"/>
      <c r="D1062" s="79"/>
      <c r="E1062" s="79"/>
      <c r="F1062" s="79"/>
      <c r="G1062" s="79"/>
      <c r="H1062" s="79"/>
      <c r="I1062" s="79"/>
      <c r="J1062" s="79"/>
      <c r="K1062" s="79"/>
      <c r="L1062" s="79"/>
      <c r="M1062" s="79"/>
      <c r="N1062" s="79"/>
      <c r="O1062" s="79"/>
      <c r="P1062" s="79"/>
      <c r="Q1062" s="80"/>
      <c r="R1062" s="80"/>
      <c r="S1062" s="79"/>
      <c r="T1062" s="79"/>
      <c r="U1062" s="79"/>
      <c r="V1062" s="79"/>
      <c r="W1062" s="79"/>
      <c r="X1062" s="79"/>
      <c r="Y1062" s="79"/>
      <c r="Z1062" s="79"/>
      <c r="AA1062" s="79"/>
      <c r="AB1062" s="79"/>
      <c r="AC1062" s="81"/>
      <c r="AD1062" s="79"/>
      <c r="AE1062" s="79"/>
    </row>
    <row r="1063" ht="15.75" customHeight="1">
      <c r="A1063" s="79"/>
      <c r="B1063" s="79"/>
      <c r="C1063" s="79"/>
      <c r="D1063" s="79"/>
      <c r="E1063" s="79"/>
      <c r="F1063" s="79"/>
      <c r="G1063" s="79"/>
      <c r="H1063" s="79"/>
      <c r="I1063" s="79"/>
      <c r="J1063" s="79"/>
      <c r="K1063" s="79"/>
      <c r="L1063" s="79"/>
      <c r="M1063" s="79"/>
      <c r="N1063" s="79"/>
      <c r="O1063" s="79"/>
      <c r="P1063" s="79"/>
      <c r="Q1063" s="80"/>
      <c r="R1063" s="80"/>
      <c r="S1063" s="79"/>
      <c r="T1063" s="79"/>
      <c r="U1063" s="79"/>
      <c r="V1063" s="79"/>
      <c r="W1063" s="79"/>
      <c r="X1063" s="79"/>
      <c r="Y1063" s="79"/>
      <c r="Z1063" s="79"/>
      <c r="AA1063" s="79"/>
      <c r="AB1063" s="79"/>
      <c r="AC1063" s="81"/>
      <c r="AD1063" s="79"/>
      <c r="AE1063" s="79"/>
    </row>
    <row r="1064" ht="15.75" customHeight="1">
      <c r="A1064" s="79"/>
      <c r="B1064" s="79"/>
      <c r="C1064" s="79"/>
      <c r="D1064" s="79"/>
      <c r="E1064" s="79"/>
      <c r="F1064" s="79"/>
      <c r="G1064" s="79"/>
      <c r="H1064" s="79"/>
      <c r="I1064" s="79"/>
      <c r="J1064" s="79"/>
      <c r="K1064" s="79"/>
      <c r="L1064" s="79"/>
      <c r="M1064" s="79"/>
      <c r="N1064" s="79"/>
      <c r="O1064" s="79"/>
      <c r="P1064" s="79"/>
      <c r="Q1064" s="80"/>
      <c r="R1064" s="80"/>
      <c r="S1064" s="79"/>
      <c r="T1064" s="79"/>
      <c r="U1064" s="79"/>
      <c r="V1064" s="79"/>
      <c r="W1064" s="79"/>
      <c r="X1064" s="79"/>
      <c r="Y1064" s="79"/>
      <c r="Z1064" s="79"/>
      <c r="AA1064" s="79"/>
      <c r="AB1064" s="79"/>
      <c r="AC1064" s="81"/>
      <c r="AD1064" s="79"/>
      <c r="AE1064" s="79"/>
    </row>
    <row r="1065" ht="15.75" customHeight="1">
      <c r="A1065" s="79"/>
      <c r="B1065" s="79"/>
      <c r="C1065" s="79"/>
      <c r="D1065" s="79"/>
      <c r="E1065" s="79"/>
      <c r="F1065" s="79"/>
      <c r="G1065" s="79"/>
      <c r="H1065" s="79"/>
      <c r="I1065" s="79"/>
      <c r="J1065" s="79"/>
      <c r="K1065" s="79"/>
      <c r="L1065" s="79"/>
      <c r="M1065" s="79"/>
      <c r="N1065" s="79"/>
      <c r="O1065" s="79"/>
      <c r="P1065" s="79"/>
      <c r="Q1065" s="80"/>
      <c r="R1065" s="80"/>
      <c r="S1065" s="79"/>
      <c r="T1065" s="79"/>
      <c r="U1065" s="79"/>
      <c r="V1065" s="79"/>
      <c r="W1065" s="79"/>
      <c r="X1065" s="79"/>
      <c r="Y1065" s="79"/>
      <c r="Z1065" s="79"/>
      <c r="AA1065" s="79"/>
      <c r="AB1065" s="79"/>
      <c r="AC1065" s="81"/>
      <c r="AD1065" s="79"/>
      <c r="AE1065" s="79"/>
    </row>
    <row r="1066" ht="15.75" customHeight="1">
      <c r="A1066" s="79"/>
      <c r="B1066" s="79"/>
      <c r="C1066" s="79"/>
      <c r="D1066" s="79"/>
      <c r="E1066" s="79"/>
      <c r="F1066" s="79"/>
      <c r="G1066" s="79"/>
      <c r="H1066" s="79"/>
      <c r="I1066" s="79"/>
      <c r="J1066" s="79"/>
      <c r="K1066" s="79"/>
      <c r="L1066" s="79"/>
      <c r="M1066" s="79"/>
      <c r="N1066" s="79"/>
      <c r="O1066" s="79"/>
      <c r="P1066" s="79"/>
      <c r="Q1066" s="80"/>
      <c r="R1066" s="80"/>
      <c r="S1066" s="79"/>
      <c r="T1066" s="79"/>
      <c r="U1066" s="79"/>
      <c r="V1066" s="79"/>
      <c r="W1066" s="79"/>
      <c r="X1066" s="79"/>
      <c r="Y1066" s="79"/>
      <c r="Z1066" s="79"/>
      <c r="AA1066" s="79"/>
      <c r="AB1066" s="79"/>
      <c r="AC1066" s="81"/>
      <c r="AD1066" s="79"/>
      <c r="AE1066" s="79"/>
    </row>
    <row r="1067" ht="15.75" customHeight="1">
      <c r="A1067" s="79"/>
      <c r="B1067" s="79"/>
      <c r="C1067" s="79"/>
      <c r="D1067" s="79"/>
      <c r="E1067" s="79"/>
      <c r="F1067" s="79"/>
      <c r="G1067" s="79"/>
      <c r="H1067" s="79"/>
      <c r="I1067" s="79"/>
      <c r="J1067" s="79"/>
      <c r="K1067" s="79"/>
      <c r="L1067" s="79"/>
      <c r="M1067" s="79"/>
      <c r="N1067" s="79"/>
      <c r="O1067" s="79"/>
      <c r="P1067" s="79"/>
      <c r="Q1067" s="80"/>
      <c r="R1067" s="80"/>
      <c r="S1067" s="79"/>
      <c r="T1067" s="79"/>
      <c r="U1067" s="79"/>
      <c r="V1067" s="79"/>
      <c r="W1067" s="79"/>
      <c r="X1067" s="79"/>
      <c r="Y1067" s="79"/>
      <c r="Z1067" s="79"/>
      <c r="AA1067" s="79"/>
      <c r="AB1067" s="79"/>
      <c r="AC1067" s="81"/>
      <c r="AD1067" s="79"/>
      <c r="AE1067" s="79"/>
    </row>
    <row r="1068" ht="15.75" customHeight="1">
      <c r="A1068" s="79"/>
      <c r="B1068" s="79"/>
      <c r="C1068" s="79"/>
      <c r="D1068" s="79"/>
      <c r="E1068" s="79"/>
      <c r="F1068" s="79"/>
      <c r="G1068" s="79"/>
      <c r="H1068" s="79"/>
      <c r="I1068" s="79"/>
      <c r="J1068" s="79"/>
      <c r="K1068" s="79"/>
      <c r="L1068" s="79"/>
      <c r="M1068" s="79"/>
      <c r="N1068" s="79"/>
      <c r="O1068" s="79"/>
      <c r="P1068" s="79"/>
      <c r="Q1068" s="80"/>
      <c r="R1068" s="80"/>
      <c r="S1068" s="79"/>
      <c r="T1068" s="79"/>
      <c r="U1068" s="79"/>
      <c r="V1068" s="79"/>
      <c r="W1068" s="79"/>
      <c r="X1068" s="79"/>
      <c r="Y1068" s="79"/>
      <c r="Z1068" s="79"/>
      <c r="AA1068" s="79"/>
      <c r="AB1068" s="79"/>
      <c r="AC1068" s="81"/>
      <c r="AD1068" s="79"/>
      <c r="AE1068" s="79"/>
    </row>
    <row r="1069" ht="15.75" customHeight="1">
      <c r="A1069" s="79"/>
      <c r="B1069" s="79"/>
      <c r="C1069" s="79"/>
      <c r="D1069" s="79"/>
      <c r="E1069" s="79"/>
      <c r="F1069" s="79"/>
      <c r="G1069" s="79"/>
      <c r="H1069" s="79"/>
      <c r="I1069" s="79"/>
      <c r="J1069" s="79"/>
      <c r="K1069" s="79"/>
      <c r="L1069" s="79"/>
      <c r="M1069" s="79"/>
      <c r="N1069" s="79"/>
      <c r="O1069" s="79"/>
      <c r="P1069" s="79"/>
      <c r="Q1069" s="80"/>
      <c r="R1069" s="80"/>
      <c r="S1069" s="79"/>
      <c r="T1069" s="79"/>
      <c r="U1069" s="79"/>
      <c r="V1069" s="79"/>
      <c r="W1069" s="79"/>
      <c r="X1069" s="79"/>
      <c r="Y1069" s="79"/>
      <c r="Z1069" s="79"/>
      <c r="AA1069" s="79"/>
      <c r="AB1069" s="79"/>
      <c r="AC1069" s="81"/>
      <c r="AD1069" s="79"/>
      <c r="AE1069" s="79"/>
    </row>
    <row r="1070" ht="15.75" customHeight="1">
      <c r="A1070" s="79"/>
      <c r="B1070" s="79"/>
      <c r="C1070" s="79"/>
      <c r="D1070" s="79"/>
      <c r="E1070" s="79"/>
      <c r="F1070" s="79"/>
      <c r="G1070" s="79"/>
      <c r="H1070" s="79"/>
      <c r="I1070" s="79"/>
      <c r="J1070" s="79"/>
      <c r="K1070" s="79"/>
      <c r="L1070" s="79"/>
      <c r="M1070" s="79"/>
      <c r="N1070" s="79"/>
      <c r="O1070" s="79"/>
      <c r="P1070" s="79"/>
      <c r="Q1070" s="80"/>
      <c r="R1070" s="80"/>
      <c r="S1070" s="79"/>
      <c r="T1070" s="79"/>
      <c r="U1070" s="79"/>
      <c r="V1070" s="79"/>
      <c r="W1070" s="79"/>
      <c r="X1070" s="79"/>
      <c r="Y1070" s="79"/>
      <c r="Z1070" s="79"/>
      <c r="AA1070" s="79"/>
      <c r="AB1070" s="79"/>
      <c r="AC1070" s="81"/>
      <c r="AD1070" s="79"/>
      <c r="AE1070" s="79"/>
    </row>
    <row r="1071" ht="15.75" customHeight="1">
      <c r="A1071" s="79"/>
      <c r="B1071" s="79"/>
      <c r="C1071" s="79"/>
      <c r="D1071" s="79"/>
      <c r="E1071" s="79"/>
      <c r="F1071" s="79"/>
      <c r="G1071" s="79"/>
      <c r="H1071" s="79"/>
      <c r="I1071" s="79"/>
      <c r="J1071" s="79"/>
      <c r="K1071" s="79"/>
      <c r="L1071" s="79"/>
      <c r="M1071" s="79"/>
      <c r="N1071" s="79"/>
      <c r="O1071" s="79"/>
      <c r="P1071" s="79"/>
      <c r="Q1071" s="80"/>
      <c r="R1071" s="80"/>
      <c r="S1071" s="79"/>
      <c r="T1071" s="79"/>
      <c r="U1071" s="79"/>
      <c r="V1071" s="79"/>
      <c r="W1071" s="79"/>
      <c r="X1071" s="79"/>
      <c r="Y1071" s="79"/>
      <c r="Z1071" s="79"/>
      <c r="AA1071" s="79"/>
      <c r="AB1071" s="79"/>
      <c r="AC1071" s="81"/>
      <c r="AD1071" s="79"/>
      <c r="AE1071" s="79"/>
    </row>
    <row r="1072" ht="15.75" customHeight="1">
      <c r="A1072" s="79"/>
      <c r="B1072" s="79"/>
      <c r="C1072" s="79"/>
      <c r="D1072" s="79"/>
      <c r="E1072" s="79"/>
      <c r="F1072" s="79"/>
      <c r="G1072" s="79"/>
      <c r="H1072" s="79"/>
      <c r="I1072" s="79"/>
      <c r="J1072" s="79"/>
      <c r="K1072" s="79"/>
      <c r="L1072" s="79"/>
      <c r="M1072" s="79"/>
      <c r="N1072" s="79"/>
      <c r="O1072" s="79"/>
      <c r="P1072" s="79"/>
      <c r="Q1072" s="80"/>
      <c r="R1072" s="80"/>
      <c r="S1072" s="79"/>
      <c r="T1072" s="79"/>
      <c r="U1072" s="79"/>
      <c r="V1072" s="79"/>
      <c r="W1072" s="79"/>
      <c r="X1072" s="79"/>
      <c r="Y1072" s="79"/>
      <c r="Z1072" s="79"/>
      <c r="AA1072" s="79"/>
      <c r="AB1072" s="79"/>
      <c r="AC1072" s="81"/>
      <c r="AD1072" s="79"/>
      <c r="AE1072" s="79"/>
    </row>
    <row r="1073" ht="15.75" customHeight="1">
      <c r="A1073" s="79"/>
      <c r="B1073" s="79"/>
      <c r="C1073" s="79"/>
      <c r="D1073" s="79"/>
      <c r="E1073" s="79"/>
      <c r="F1073" s="79"/>
      <c r="G1073" s="79"/>
      <c r="H1073" s="79"/>
      <c r="I1073" s="79"/>
      <c r="J1073" s="79"/>
      <c r="K1073" s="79"/>
      <c r="L1073" s="79"/>
      <c r="M1073" s="79"/>
      <c r="N1073" s="79"/>
      <c r="O1073" s="79"/>
      <c r="P1073" s="79"/>
      <c r="Q1073" s="80"/>
      <c r="R1073" s="80"/>
      <c r="S1073" s="79"/>
      <c r="T1073" s="79"/>
      <c r="U1073" s="79"/>
      <c r="V1073" s="79"/>
      <c r="W1073" s="79"/>
      <c r="X1073" s="79"/>
      <c r="Y1073" s="79"/>
      <c r="Z1073" s="79"/>
      <c r="AA1073" s="79"/>
      <c r="AB1073" s="79"/>
      <c r="AC1073" s="81"/>
      <c r="AD1073" s="79"/>
      <c r="AE1073" s="79"/>
    </row>
    <row r="1074" ht="15.75" customHeight="1">
      <c r="A1074" s="79"/>
      <c r="B1074" s="79"/>
      <c r="C1074" s="79"/>
      <c r="D1074" s="79"/>
      <c r="E1074" s="79"/>
      <c r="F1074" s="79"/>
      <c r="G1074" s="79"/>
      <c r="H1074" s="79"/>
      <c r="I1074" s="79"/>
      <c r="J1074" s="79"/>
      <c r="K1074" s="79"/>
      <c r="L1074" s="79"/>
      <c r="M1074" s="79"/>
      <c r="N1074" s="79"/>
      <c r="O1074" s="79"/>
      <c r="P1074" s="79"/>
      <c r="Q1074" s="80"/>
      <c r="R1074" s="80"/>
      <c r="S1074" s="79"/>
      <c r="T1074" s="79"/>
      <c r="U1074" s="79"/>
      <c r="V1074" s="79"/>
      <c r="W1074" s="79"/>
      <c r="X1074" s="79"/>
      <c r="Y1074" s="79"/>
      <c r="Z1074" s="79"/>
      <c r="AA1074" s="79"/>
      <c r="AB1074" s="79"/>
      <c r="AC1074" s="81"/>
      <c r="AD1074" s="79"/>
      <c r="AE1074" s="79"/>
    </row>
    <row r="1075" ht="15.75" customHeight="1">
      <c r="A1075" s="79"/>
      <c r="B1075" s="79"/>
      <c r="C1075" s="79"/>
      <c r="D1075" s="79"/>
      <c r="E1075" s="79"/>
      <c r="F1075" s="79"/>
      <c r="G1075" s="79"/>
      <c r="H1075" s="79"/>
      <c r="I1075" s="79"/>
      <c r="J1075" s="79"/>
      <c r="K1075" s="79"/>
      <c r="L1075" s="79"/>
      <c r="M1075" s="79"/>
      <c r="N1075" s="79"/>
      <c r="O1075" s="79"/>
      <c r="P1075" s="79"/>
      <c r="Q1075" s="80"/>
      <c r="R1075" s="80"/>
      <c r="S1075" s="79"/>
      <c r="T1075" s="79"/>
      <c r="U1075" s="79"/>
      <c r="V1075" s="79"/>
      <c r="W1075" s="79"/>
      <c r="X1075" s="79"/>
      <c r="Y1075" s="79"/>
      <c r="Z1075" s="79"/>
      <c r="AA1075" s="79"/>
      <c r="AB1075" s="79"/>
      <c r="AC1075" s="81"/>
      <c r="AD1075" s="79"/>
      <c r="AE1075" s="79"/>
    </row>
    <row r="1076" ht="15.75" customHeight="1">
      <c r="A1076" s="79"/>
      <c r="B1076" s="79"/>
      <c r="C1076" s="79"/>
      <c r="D1076" s="79"/>
      <c r="E1076" s="79"/>
      <c r="F1076" s="79"/>
      <c r="G1076" s="79"/>
      <c r="H1076" s="79"/>
      <c r="I1076" s="79"/>
      <c r="J1076" s="79"/>
      <c r="K1076" s="79"/>
      <c r="L1076" s="79"/>
      <c r="M1076" s="79"/>
      <c r="N1076" s="79"/>
      <c r="O1076" s="79"/>
      <c r="P1076" s="79"/>
      <c r="Q1076" s="80"/>
      <c r="R1076" s="80"/>
      <c r="S1076" s="79"/>
      <c r="T1076" s="79"/>
      <c r="U1076" s="79"/>
      <c r="V1076" s="79"/>
      <c r="W1076" s="79"/>
      <c r="X1076" s="79"/>
      <c r="Y1076" s="79"/>
      <c r="Z1076" s="79"/>
      <c r="AA1076" s="79"/>
      <c r="AB1076" s="79"/>
      <c r="AC1076" s="81"/>
      <c r="AD1076" s="79"/>
      <c r="AE1076" s="79"/>
    </row>
    <row r="1077" ht="15.75" customHeight="1">
      <c r="A1077" s="79"/>
      <c r="B1077" s="79"/>
      <c r="C1077" s="79"/>
      <c r="D1077" s="79"/>
      <c r="E1077" s="79"/>
      <c r="F1077" s="79"/>
      <c r="G1077" s="79"/>
      <c r="H1077" s="79"/>
      <c r="I1077" s="79"/>
      <c r="J1077" s="79"/>
      <c r="K1077" s="79"/>
      <c r="L1077" s="79"/>
      <c r="M1077" s="79"/>
      <c r="N1077" s="79"/>
      <c r="O1077" s="79"/>
      <c r="P1077" s="79"/>
      <c r="Q1077" s="80"/>
      <c r="R1077" s="80"/>
      <c r="S1077" s="79"/>
      <c r="T1077" s="79"/>
      <c r="U1077" s="79"/>
      <c r="V1077" s="79"/>
      <c r="W1077" s="79"/>
      <c r="X1077" s="79"/>
      <c r="Y1077" s="79"/>
      <c r="Z1077" s="79"/>
      <c r="AA1077" s="79"/>
      <c r="AB1077" s="79"/>
      <c r="AC1077" s="81"/>
      <c r="AD1077" s="79"/>
      <c r="AE1077" s="79"/>
    </row>
    <row r="1078" ht="15.75" customHeight="1">
      <c r="A1078" s="79"/>
      <c r="B1078" s="79"/>
      <c r="C1078" s="79"/>
      <c r="D1078" s="79"/>
      <c r="E1078" s="79"/>
      <c r="F1078" s="79"/>
      <c r="G1078" s="79"/>
      <c r="H1078" s="79"/>
      <c r="I1078" s="79"/>
      <c r="J1078" s="79"/>
      <c r="K1078" s="79"/>
      <c r="L1078" s="79"/>
      <c r="M1078" s="79"/>
      <c r="N1078" s="79"/>
      <c r="O1078" s="79"/>
      <c r="P1078" s="79"/>
      <c r="Q1078" s="80"/>
      <c r="R1078" s="80"/>
      <c r="S1078" s="79"/>
      <c r="T1078" s="79"/>
      <c r="U1078" s="79"/>
      <c r="V1078" s="79"/>
      <c r="W1078" s="79"/>
      <c r="X1078" s="79"/>
      <c r="Y1078" s="79"/>
      <c r="Z1078" s="79"/>
      <c r="AA1078" s="79"/>
      <c r="AB1078" s="79"/>
      <c r="AC1078" s="81"/>
      <c r="AD1078" s="79"/>
      <c r="AE1078" s="79"/>
    </row>
    <row r="1079" ht="15.75" customHeight="1">
      <c r="A1079" s="79"/>
      <c r="B1079" s="79"/>
      <c r="C1079" s="79"/>
      <c r="D1079" s="79"/>
      <c r="E1079" s="79"/>
      <c r="F1079" s="79"/>
      <c r="G1079" s="79"/>
      <c r="H1079" s="79"/>
      <c r="I1079" s="79"/>
      <c r="J1079" s="79"/>
      <c r="K1079" s="79"/>
      <c r="L1079" s="79"/>
      <c r="M1079" s="79"/>
      <c r="N1079" s="79"/>
      <c r="O1079" s="79"/>
      <c r="P1079" s="79"/>
      <c r="Q1079" s="80"/>
      <c r="R1079" s="80"/>
      <c r="S1079" s="79"/>
      <c r="T1079" s="79"/>
      <c r="U1079" s="79"/>
      <c r="V1079" s="79"/>
      <c r="W1079" s="79"/>
      <c r="X1079" s="79"/>
      <c r="Y1079" s="79"/>
      <c r="Z1079" s="79"/>
      <c r="AA1079" s="79"/>
      <c r="AB1079" s="79"/>
      <c r="AC1079" s="81"/>
      <c r="AD1079" s="79"/>
      <c r="AE1079" s="79"/>
    </row>
    <row r="1080" ht="15.75" customHeight="1">
      <c r="A1080" s="79"/>
      <c r="B1080" s="79"/>
      <c r="C1080" s="79"/>
      <c r="D1080" s="79"/>
      <c r="E1080" s="79"/>
      <c r="F1080" s="79"/>
      <c r="G1080" s="79"/>
      <c r="H1080" s="79"/>
      <c r="I1080" s="79"/>
      <c r="J1080" s="79"/>
      <c r="K1080" s="79"/>
      <c r="L1080" s="79"/>
      <c r="M1080" s="79"/>
      <c r="N1080" s="79"/>
      <c r="O1080" s="79"/>
      <c r="P1080" s="79"/>
      <c r="Q1080" s="80"/>
      <c r="R1080" s="80"/>
      <c r="S1080" s="79"/>
      <c r="T1080" s="79"/>
      <c r="U1080" s="79"/>
      <c r="V1080" s="79"/>
      <c r="W1080" s="79"/>
      <c r="X1080" s="79"/>
      <c r="Y1080" s="79"/>
      <c r="Z1080" s="79"/>
      <c r="AA1080" s="79"/>
      <c r="AB1080" s="79"/>
      <c r="AC1080" s="81"/>
      <c r="AD1080" s="79"/>
      <c r="AE1080" s="79"/>
    </row>
    <row r="1081" ht="15.75" customHeight="1">
      <c r="A1081" s="79"/>
      <c r="B1081" s="79"/>
      <c r="C1081" s="79"/>
      <c r="D1081" s="79"/>
      <c r="E1081" s="79"/>
      <c r="F1081" s="79"/>
      <c r="G1081" s="79"/>
      <c r="H1081" s="79"/>
      <c r="I1081" s="79"/>
      <c r="J1081" s="79"/>
      <c r="K1081" s="79"/>
      <c r="L1081" s="79"/>
      <c r="M1081" s="79"/>
      <c r="N1081" s="79"/>
      <c r="O1081" s="79"/>
      <c r="P1081" s="79"/>
      <c r="Q1081" s="80"/>
      <c r="R1081" s="80"/>
      <c r="S1081" s="79"/>
      <c r="T1081" s="79"/>
      <c r="U1081" s="79"/>
      <c r="V1081" s="79"/>
      <c r="W1081" s="79"/>
      <c r="X1081" s="79"/>
      <c r="Y1081" s="79"/>
      <c r="Z1081" s="79"/>
      <c r="AA1081" s="79"/>
      <c r="AB1081" s="79"/>
      <c r="AC1081" s="81"/>
      <c r="AD1081" s="79"/>
      <c r="AE1081" s="79"/>
    </row>
    <row r="1082" ht="15.75" customHeight="1">
      <c r="A1082" s="79"/>
      <c r="B1082" s="79"/>
      <c r="C1082" s="79"/>
      <c r="D1082" s="79"/>
      <c r="E1082" s="79"/>
      <c r="F1082" s="79"/>
      <c r="G1082" s="79"/>
      <c r="H1082" s="79"/>
      <c r="I1082" s="79"/>
      <c r="J1082" s="79"/>
      <c r="K1082" s="79"/>
      <c r="L1082" s="79"/>
      <c r="M1082" s="79"/>
      <c r="N1082" s="79"/>
      <c r="O1082" s="79"/>
      <c r="P1082" s="79"/>
      <c r="Q1082" s="80"/>
      <c r="R1082" s="80"/>
      <c r="S1082" s="79"/>
      <c r="T1082" s="79"/>
      <c r="U1082" s="79"/>
      <c r="V1082" s="79"/>
      <c r="W1082" s="79"/>
      <c r="X1082" s="79"/>
      <c r="Y1082" s="79"/>
      <c r="Z1082" s="79"/>
      <c r="AA1082" s="79"/>
      <c r="AB1082" s="79"/>
      <c r="AC1082" s="81"/>
      <c r="AD1082" s="79"/>
      <c r="AE1082" s="79"/>
    </row>
    <row r="1083" ht="15.75" customHeight="1">
      <c r="A1083" s="79"/>
      <c r="B1083" s="79"/>
      <c r="C1083" s="79"/>
      <c r="D1083" s="79"/>
      <c r="E1083" s="79"/>
      <c r="F1083" s="79"/>
      <c r="G1083" s="79"/>
      <c r="H1083" s="79"/>
      <c r="I1083" s="79"/>
      <c r="J1083" s="79"/>
      <c r="K1083" s="79"/>
      <c r="L1083" s="79"/>
      <c r="M1083" s="79"/>
      <c r="N1083" s="79"/>
      <c r="O1083" s="79"/>
      <c r="P1083" s="79"/>
      <c r="Q1083" s="80"/>
      <c r="R1083" s="80"/>
      <c r="S1083" s="79"/>
      <c r="T1083" s="79"/>
      <c r="U1083" s="79"/>
      <c r="V1083" s="79"/>
      <c r="W1083" s="79"/>
      <c r="X1083" s="79"/>
      <c r="Y1083" s="79"/>
      <c r="Z1083" s="79"/>
      <c r="AA1083" s="79"/>
      <c r="AB1083" s="79"/>
      <c r="AC1083" s="81"/>
      <c r="AD1083" s="79"/>
      <c r="AE1083" s="79"/>
    </row>
    <row r="1084" ht="15.75" customHeight="1">
      <c r="A1084" s="79"/>
      <c r="B1084" s="79"/>
      <c r="C1084" s="79"/>
      <c r="D1084" s="79"/>
      <c r="E1084" s="79"/>
      <c r="F1084" s="79"/>
      <c r="G1084" s="79"/>
      <c r="H1084" s="79"/>
      <c r="I1084" s="79"/>
      <c r="J1084" s="79"/>
      <c r="K1084" s="79"/>
      <c r="L1084" s="79"/>
      <c r="M1084" s="79"/>
      <c r="N1084" s="79"/>
      <c r="O1084" s="79"/>
      <c r="P1084" s="79"/>
      <c r="Q1084" s="80"/>
      <c r="R1084" s="80"/>
      <c r="S1084" s="79"/>
      <c r="T1084" s="79"/>
      <c r="U1084" s="79"/>
      <c r="V1084" s="79"/>
      <c r="W1084" s="79"/>
      <c r="X1084" s="79"/>
      <c r="Y1084" s="79"/>
      <c r="Z1084" s="79"/>
      <c r="AA1084" s="79"/>
      <c r="AB1084" s="79"/>
      <c r="AC1084" s="81"/>
      <c r="AD1084" s="79"/>
      <c r="AE1084" s="79"/>
    </row>
    <row r="1085" ht="15.75" customHeight="1">
      <c r="A1085" s="79"/>
      <c r="B1085" s="79"/>
      <c r="C1085" s="79"/>
      <c r="D1085" s="79"/>
      <c r="E1085" s="79"/>
      <c r="F1085" s="79"/>
      <c r="G1085" s="79"/>
      <c r="H1085" s="79"/>
      <c r="I1085" s="79"/>
      <c r="J1085" s="79"/>
      <c r="K1085" s="79"/>
      <c r="L1085" s="79"/>
      <c r="M1085" s="79"/>
      <c r="N1085" s="79"/>
      <c r="O1085" s="79"/>
      <c r="P1085" s="79"/>
      <c r="Q1085" s="80"/>
      <c r="R1085" s="80"/>
      <c r="S1085" s="79"/>
      <c r="T1085" s="79"/>
      <c r="U1085" s="79"/>
      <c r="V1085" s="79"/>
      <c r="W1085" s="79"/>
      <c r="X1085" s="79"/>
      <c r="Y1085" s="79"/>
      <c r="Z1085" s="79"/>
      <c r="AA1085" s="79"/>
      <c r="AB1085" s="79"/>
      <c r="AC1085" s="81"/>
      <c r="AD1085" s="79"/>
      <c r="AE1085" s="79"/>
    </row>
    <row r="1086" ht="15.75" customHeight="1">
      <c r="A1086" s="79"/>
      <c r="B1086" s="79"/>
      <c r="C1086" s="79"/>
      <c r="D1086" s="79"/>
      <c r="E1086" s="79"/>
      <c r="F1086" s="79"/>
      <c r="G1086" s="79"/>
      <c r="H1086" s="79"/>
      <c r="I1086" s="79"/>
      <c r="J1086" s="79"/>
      <c r="K1086" s="79"/>
      <c r="L1086" s="79"/>
      <c r="M1086" s="79"/>
      <c r="N1086" s="79"/>
      <c r="O1086" s="79"/>
      <c r="P1086" s="79"/>
      <c r="Q1086" s="80"/>
      <c r="R1086" s="80"/>
      <c r="S1086" s="79"/>
      <c r="T1086" s="79"/>
      <c r="U1086" s="79"/>
      <c r="V1086" s="79"/>
      <c r="W1086" s="79"/>
      <c r="X1086" s="79"/>
      <c r="Y1086" s="79"/>
      <c r="Z1086" s="79"/>
      <c r="AA1086" s="79"/>
      <c r="AB1086" s="79"/>
      <c r="AC1086" s="81"/>
      <c r="AD1086" s="79"/>
      <c r="AE1086" s="79"/>
    </row>
    <row r="1087" ht="15.75" customHeight="1">
      <c r="A1087" s="79"/>
      <c r="B1087" s="79"/>
      <c r="C1087" s="79"/>
      <c r="D1087" s="79"/>
      <c r="E1087" s="79"/>
      <c r="F1087" s="79"/>
      <c r="G1087" s="79"/>
      <c r="H1087" s="79"/>
      <c r="I1087" s="79"/>
      <c r="J1087" s="79"/>
      <c r="K1087" s="79"/>
      <c r="L1087" s="79"/>
      <c r="M1087" s="79"/>
      <c r="N1087" s="79"/>
      <c r="O1087" s="79"/>
      <c r="P1087" s="79"/>
      <c r="Q1087" s="80"/>
      <c r="R1087" s="80"/>
      <c r="S1087" s="79"/>
      <c r="T1087" s="79"/>
      <c r="U1087" s="79"/>
      <c r="V1087" s="79"/>
      <c r="W1087" s="79"/>
      <c r="X1087" s="79"/>
      <c r="Y1087" s="79"/>
      <c r="Z1087" s="79"/>
      <c r="AA1087" s="79"/>
      <c r="AB1087" s="79"/>
      <c r="AC1087" s="81"/>
      <c r="AD1087" s="79"/>
      <c r="AE1087" s="79"/>
    </row>
    <row r="1088" ht="15.75" customHeight="1">
      <c r="A1088" s="79"/>
      <c r="B1088" s="79"/>
      <c r="C1088" s="79"/>
      <c r="D1088" s="79"/>
      <c r="E1088" s="79"/>
      <c r="F1088" s="79"/>
      <c r="G1088" s="79"/>
      <c r="H1088" s="79"/>
      <c r="I1088" s="79"/>
      <c r="J1088" s="79"/>
      <c r="K1088" s="79"/>
      <c r="L1088" s="79"/>
      <c r="M1088" s="79"/>
      <c r="N1088" s="79"/>
      <c r="O1088" s="79"/>
      <c r="P1088" s="79"/>
      <c r="Q1088" s="80"/>
      <c r="R1088" s="80"/>
      <c r="S1088" s="79"/>
      <c r="T1088" s="79"/>
      <c r="U1088" s="79"/>
      <c r="V1088" s="79"/>
      <c r="W1088" s="79"/>
      <c r="X1088" s="79"/>
      <c r="Y1088" s="79"/>
      <c r="Z1088" s="79"/>
      <c r="AA1088" s="79"/>
      <c r="AB1088" s="79"/>
      <c r="AC1088" s="81"/>
      <c r="AD1088" s="79"/>
      <c r="AE1088" s="79"/>
    </row>
    <row r="1089" ht="15.75" customHeight="1">
      <c r="A1089" s="79"/>
      <c r="B1089" s="79"/>
      <c r="C1089" s="79"/>
      <c r="D1089" s="79"/>
      <c r="E1089" s="79"/>
      <c r="F1089" s="79"/>
      <c r="G1089" s="79"/>
      <c r="H1089" s="79"/>
      <c r="I1089" s="79"/>
      <c r="J1089" s="79"/>
      <c r="K1089" s="79"/>
      <c r="L1089" s="79"/>
      <c r="M1089" s="79"/>
      <c r="N1089" s="79"/>
      <c r="O1089" s="79"/>
      <c r="P1089" s="79"/>
      <c r="Q1089" s="80"/>
      <c r="R1089" s="80"/>
      <c r="S1089" s="79"/>
      <c r="T1089" s="79"/>
      <c r="U1089" s="79"/>
      <c r="V1089" s="79"/>
      <c r="W1089" s="79"/>
      <c r="X1089" s="79"/>
      <c r="Y1089" s="79"/>
      <c r="Z1089" s="79"/>
      <c r="AA1089" s="79"/>
      <c r="AB1089" s="79"/>
      <c r="AC1089" s="81"/>
      <c r="AD1089" s="79"/>
      <c r="AE1089" s="79"/>
    </row>
    <row r="1090" ht="15.75" customHeight="1">
      <c r="A1090" s="79"/>
      <c r="B1090" s="79"/>
      <c r="C1090" s="79"/>
      <c r="D1090" s="79"/>
      <c r="E1090" s="79"/>
      <c r="F1090" s="79"/>
      <c r="G1090" s="79"/>
      <c r="H1090" s="79"/>
      <c r="I1090" s="79"/>
      <c r="J1090" s="79"/>
      <c r="K1090" s="79"/>
      <c r="L1090" s="79"/>
      <c r="M1090" s="79"/>
      <c r="N1090" s="79"/>
      <c r="O1090" s="79"/>
      <c r="P1090" s="79"/>
      <c r="Q1090" s="80"/>
      <c r="R1090" s="80"/>
      <c r="S1090" s="79"/>
      <c r="T1090" s="79"/>
      <c r="U1090" s="79"/>
      <c r="V1090" s="79"/>
      <c r="W1090" s="79"/>
      <c r="X1090" s="79"/>
      <c r="Y1090" s="79"/>
      <c r="Z1090" s="79"/>
      <c r="AA1090" s="79"/>
      <c r="AB1090" s="79"/>
      <c r="AC1090" s="81"/>
      <c r="AD1090" s="79"/>
      <c r="AE1090" s="79"/>
    </row>
    <row r="1091" ht="15.75" customHeight="1">
      <c r="A1091" s="79"/>
      <c r="B1091" s="79"/>
      <c r="C1091" s="79"/>
      <c r="D1091" s="79"/>
      <c r="E1091" s="79"/>
      <c r="F1091" s="79"/>
      <c r="G1091" s="79"/>
      <c r="H1091" s="79"/>
      <c r="I1091" s="79"/>
      <c r="J1091" s="79"/>
      <c r="K1091" s="79"/>
      <c r="L1091" s="79"/>
      <c r="M1091" s="79"/>
      <c r="N1091" s="79"/>
      <c r="O1091" s="79"/>
      <c r="P1091" s="79"/>
      <c r="Q1091" s="80"/>
      <c r="R1091" s="80"/>
      <c r="S1091" s="79"/>
      <c r="T1091" s="79"/>
      <c r="U1091" s="79"/>
      <c r="V1091" s="79"/>
      <c r="W1091" s="79"/>
      <c r="X1091" s="79"/>
      <c r="Y1091" s="79"/>
      <c r="Z1091" s="79"/>
      <c r="AA1091" s="79"/>
      <c r="AB1091" s="79"/>
      <c r="AC1091" s="81"/>
      <c r="AD1091" s="79"/>
      <c r="AE1091" s="79"/>
    </row>
    <row r="1092" ht="15.75" customHeight="1">
      <c r="A1092" s="79"/>
      <c r="B1092" s="79"/>
      <c r="C1092" s="79"/>
      <c r="D1092" s="79"/>
      <c r="E1092" s="79"/>
      <c r="F1092" s="79"/>
      <c r="G1092" s="79"/>
      <c r="H1092" s="79"/>
      <c r="I1092" s="79"/>
      <c r="J1092" s="79"/>
      <c r="K1092" s="79"/>
      <c r="L1092" s="79"/>
      <c r="M1092" s="79"/>
      <c r="N1092" s="79"/>
      <c r="O1092" s="79"/>
      <c r="P1092" s="79"/>
      <c r="Q1092" s="80"/>
      <c r="R1092" s="80"/>
      <c r="S1092" s="79"/>
      <c r="T1092" s="79"/>
      <c r="U1092" s="79"/>
      <c r="V1092" s="79"/>
      <c r="W1092" s="79"/>
      <c r="X1092" s="79"/>
      <c r="Y1092" s="79"/>
      <c r="Z1092" s="79"/>
      <c r="AA1092" s="79"/>
      <c r="AB1092" s="79"/>
      <c r="AC1092" s="81"/>
      <c r="AD1092" s="79"/>
      <c r="AE1092" s="79"/>
    </row>
    <row r="1093" ht="15.75" customHeight="1">
      <c r="A1093" s="79"/>
      <c r="B1093" s="79"/>
      <c r="C1093" s="79"/>
      <c r="D1093" s="79"/>
      <c r="E1093" s="79"/>
      <c r="F1093" s="79"/>
      <c r="G1093" s="79"/>
      <c r="H1093" s="79"/>
      <c r="I1093" s="79"/>
      <c r="J1093" s="79"/>
      <c r="K1093" s="79"/>
      <c r="L1093" s="79"/>
      <c r="M1093" s="79"/>
      <c r="N1093" s="79"/>
      <c r="O1093" s="79"/>
      <c r="P1093" s="79"/>
      <c r="Q1093" s="80"/>
      <c r="R1093" s="80"/>
      <c r="S1093" s="79"/>
      <c r="T1093" s="79"/>
      <c r="U1093" s="79"/>
      <c r="V1093" s="79"/>
      <c r="W1093" s="79"/>
      <c r="X1093" s="79"/>
      <c r="Y1093" s="79"/>
      <c r="Z1093" s="79"/>
      <c r="AA1093" s="79"/>
      <c r="AB1093" s="79"/>
      <c r="AC1093" s="81"/>
      <c r="AD1093" s="79"/>
      <c r="AE1093" s="79"/>
    </row>
    <row r="1094" ht="15.75" customHeight="1">
      <c r="A1094" s="79"/>
      <c r="B1094" s="79"/>
      <c r="C1094" s="79"/>
      <c r="D1094" s="79"/>
      <c r="E1094" s="79"/>
      <c r="F1094" s="79"/>
      <c r="G1094" s="79"/>
      <c r="H1094" s="79"/>
      <c r="I1094" s="79"/>
      <c r="J1094" s="79"/>
      <c r="K1094" s="79"/>
      <c r="L1094" s="79"/>
      <c r="M1094" s="79"/>
      <c r="N1094" s="79"/>
      <c r="O1094" s="79"/>
      <c r="P1094" s="79"/>
      <c r="Q1094" s="80"/>
      <c r="R1094" s="80"/>
      <c r="S1094" s="79"/>
      <c r="T1094" s="79"/>
      <c r="U1094" s="79"/>
      <c r="V1094" s="79"/>
      <c r="W1094" s="79"/>
      <c r="X1094" s="79"/>
      <c r="Y1094" s="79"/>
      <c r="Z1094" s="79"/>
      <c r="AA1094" s="79"/>
      <c r="AB1094" s="79"/>
      <c r="AC1094" s="81"/>
      <c r="AD1094" s="79"/>
      <c r="AE1094" s="79"/>
    </row>
    <row r="1095" ht="15.75" customHeight="1">
      <c r="A1095" s="79"/>
      <c r="B1095" s="79"/>
      <c r="C1095" s="79"/>
      <c r="D1095" s="79"/>
      <c r="E1095" s="79"/>
      <c r="F1095" s="79"/>
      <c r="G1095" s="79"/>
      <c r="H1095" s="79"/>
      <c r="I1095" s="79"/>
      <c r="J1095" s="79"/>
      <c r="K1095" s="79"/>
      <c r="L1095" s="79"/>
      <c r="M1095" s="79"/>
      <c r="N1095" s="79"/>
      <c r="O1095" s="79"/>
      <c r="P1095" s="79"/>
      <c r="Q1095" s="80"/>
      <c r="R1095" s="80"/>
      <c r="S1095" s="79"/>
      <c r="T1095" s="79"/>
      <c r="U1095" s="79"/>
      <c r="V1095" s="79"/>
      <c r="W1095" s="79"/>
      <c r="X1095" s="79"/>
      <c r="Y1095" s="79"/>
      <c r="Z1095" s="79"/>
      <c r="AA1095" s="79"/>
      <c r="AB1095" s="79"/>
      <c r="AC1095" s="81"/>
      <c r="AD1095" s="79"/>
      <c r="AE1095" s="79"/>
    </row>
    <row r="1096" ht="15.75" customHeight="1">
      <c r="A1096" s="79"/>
      <c r="B1096" s="79"/>
      <c r="C1096" s="79"/>
      <c r="D1096" s="79"/>
      <c r="E1096" s="79"/>
      <c r="F1096" s="79"/>
      <c r="G1096" s="79"/>
      <c r="H1096" s="79"/>
      <c r="I1096" s="79"/>
      <c r="J1096" s="79"/>
      <c r="K1096" s="79"/>
      <c r="L1096" s="79"/>
      <c r="M1096" s="79"/>
      <c r="N1096" s="79"/>
      <c r="O1096" s="79"/>
      <c r="P1096" s="79"/>
      <c r="Q1096" s="80"/>
      <c r="R1096" s="80"/>
      <c r="S1096" s="79"/>
      <c r="T1096" s="79"/>
      <c r="U1096" s="79"/>
      <c r="V1096" s="79"/>
      <c r="W1096" s="79"/>
      <c r="X1096" s="79"/>
      <c r="Y1096" s="79"/>
      <c r="Z1096" s="79"/>
      <c r="AA1096" s="79"/>
      <c r="AB1096" s="79"/>
      <c r="AC1096" s="81"/>
      <c r="AD1096" s="79"/>
      <c r="AE1096" s="79"/>
    </row>
    <row r="1097" ht="15.75" customHeight="1">
      <c r="A1097" s="79"/>
      <c r="B1097" s="79"/>
      <c r="C1097" s="79"/>
      <c r="D1097" s="79"/>
      <c r="E1097" s="79"/>
      <c r="F1097" s="79"/>
      <c r="G1097" s="79"/>
      <c r="H1097" s="79"/>
      <c r="I1097" s="79"/>
      <c r="J1097" s="79"/>
      <c r="K1097" s="79"/>
      <c r="L1097" s="79"/>
      <c r="M1097" s="79"/>
      <c r="N1097" s="79"/>
      <c r="O1097" s="79"/>
      <c r="P1097" s="79"/>
      <c r="Q1097" s="80"/>
      <c r="R1097" s="80"/>
      <c r="S1097" s="79"/>
      <c r="T1097" s="79"/>
      <c r="U1097" s="79"/>
      <c r="V1097" s="79"/>
      <c r="W1097" s="79"/>
      <c r="X1097" s="79"/>
      <c r="Y1097" s="79"/>
      <c r="Z1097" s="79"/>
      <c r="AA1097" s="79"/>
      <c r="AB1097" s="79"/>
      <c r="AC1097" s="81"/>
      <c r="AD1097" s="79"/>
      <c r="AE1097" s="79"/>
    </row>
    <row r="1098" ht="15.75" customHeight="1">
      <c r="A1098" s="79"/>
      <c r="B1098" s="79"/>
      <c r="C1098" s="79"/>
      <c r="D1098" s="79"/>
      <c r="E1098" s="79"/>
      <c r="F1098" s="79"/>
      <c r="G1098" s="79"/>
      <c r="H1098" s="79"/>
      <c r="I1098" s="79"/>
      <c r="J1098" s="79"/>
      <c r="K1098" s="79"/>
      <c r="L1098" s="79"/>
      <c r="M1098" s="79"/>
      <c r="N1098" s="79"/>
      <c r="O1098" s="79"/>
      <c r="P1098" s="79"/>
      <c r="Q1098" s="80"/>
      <c r="R1098" s="80"/>
      <c r="S1098" s="79"/>
      <c r="T1098" s="79"/>
      <c r="U1098" s="79"/>
      <c r="V1098" s="79"/>
      <c r="W1098" s="79"/>
      <c r="X1098" s="79"/>
      <c r="Y1098" s="79"/>
      <c r="Z1098" s="79"/>
      <c r="AA1098" s="79"/>
      <c r="AB1098" s="79"/>
      <c r="AC1098" s="81"/>
      <c r="AD1098" s="79"/>
      <c r="AE1098" s="79"/>
    </row>
    <row r="1099" ht="15.75" customHeight="1">
      <c r="A1099" s="79"/>
      <c r="B1099" s="79"/>
      <c r="C1099" s="79"/>
      <c r="D1099" s="79"/>
      <c r="E1099" s="79"/>
      <c r="F1099" s="79"/>
      <c r="G1099" s="79"/>
      <c r="H1099" s="79"/>
      <c r="I1099" s="79"/>
      <c r="J1099" s="79"/>
      <c r="K1099" s="79"/>
      <c r="L1099" s="79"/>
      <c r="M1099" s="79"/>
      <c r="N1099" s="79"/>
      <c r="O1099" s="79"/>
      <c r="P1099" s="79"/>
      <c r="Q1099" s="80"/>
      <c r="R1099" s="80"/>
      <c r="S1099" s="79"/>
      <c r="T1099" s="79"/>
      <c r="U1099" s="79"/>
      <c r="V1099" s="79"/>
      <c r="W1099" s="79"/>
      <c r="X1099" s="79"/>
      <c r="Y1099" s="79"/>
      <c r="Z1099" s="79"/>
      <c r="AA1099" s="79"/>
      <c r="AB1099" s="79"/>
      <c r="AC1099" s="81"/>
      <c r="AD1099" s="79"/>
      <c r="AE1099" s="79"/>
    </row>
    <row r="1100" ht="15.75" customHeight="1">
      <c r="A1100" s="79"/>
      <c r="B1100" s="79"/>
      <c r="C1100" s="79"/>
      <c r="D1100" s="79"/>
      <c r="E1100" s="79"/>
      <c r="F1100" s="79"/>
      <c r="G1100" s="79"/>
      <c r="H1100" s="79"/>
      <c r="I1100" s="79"/>
      <c r="J1100" s="79"/>
      <c r="K1100" s="79"/>
      <c r="L1100" s="79"/>
      <c r="M1100" s="79"/>
      <c r="N1100" s="79"/>
      <c r="O1100" s="79"/>
      <c r="P1100" s="79"/>
      <c r="Q1100" s="80"/>
      <c r="R1100" s="80"/>
      <c r="S1100" s="79"/>
      <c r="T1100" s="79"/>
      <c r="U1100" s="79"/>
      <c r="V1100" s="79"/>
      <c r="W1100" s="79"/>
      <c r="X1100" s="79"/>
      <c r="Y1100" s="79"/>
      <c r="Z1100" s="79"/>
      <c r="AA1100" s="79"/>
      <c r="AB1100" s="79"/>
      <c r="AC1100" s="81"/>
      <c r="AD1100" s="79"/>
      <c r="AE1100" s="79"/>
    </row>
    <row r="1101" ht="15.75" customHeight="1">
      <c r="A1101" s="79"/>
      <c r="B1101" s="79"/>
      <c r="C1101" s="79"/>
      <c r="D1101" s="79"/>
      <c r="E1101" s="79"/>
      <c r="F1101" s="79"/>
      <c r="G1101" s="79"/>
      <c r="H1101" s="79"/>
      <c r="I1101" s="79"/>
      <c r="J1101" s="79"/>
      <c r="K1101" s="79"/>
      <c r="L1101" s="79"/>
      <c r="M1101" s="79"/>
      <c r="N1101" s="79"/>
      <c r="O1101" s="79"/>
      <c r="P1101" s="79"/>
      <c r="Q1101" s="80"/>
      <c r="R1101" s="80"/>
      <c r="S1101" s="79"/>
      <c r="T1101" s="79"/>
      <c r="U1101" s="79"/>
      <c r="V1101" s="79"/>
      <c r="W1101" s="79"/>
      <c r="X1101" s="79"/>
      <c r="Y1101" s="79"/>
      <c r="Z1101" s="79"/>
      <c r="AA1101" s="79"/>
      <c r="AB1101" s="79"/>
      <c r="AC1101" s="81"/>
      <c r="AD1101" s="79"/>
      <c r="AE1101" s="79"/>
    </row>
    <row r="1102" ht="15.75" customHeight="1">
      <c r="A1102" s="79"/>
      <c r="B1102" s="79"/>
      <c r="C1102" s="79"/>
      <c r="D1102" s="79"/>
      <c r="E1102" s="79"/>
      <c r="F1102" s="79"/>
      <c r="G1102" s="79"/>
      <c r="H1102" s="79"/>
      <c r="I1102" s="79"/>
      <c r="J1102" s="79"/>
      <c r="K1102" s="79"/>
      <c r="L1102" s="79"/>
      <c r="M1102" s="79"/>
      <c r="N1102" s="79"/>
      <c r="O1102" s="79"/>
      <c r="P1102" s="79"/>
      <c r="Q1102" s="80"/>
      <c r="R1102" s="80"/>
      <c r="S1102" s="79"/>
      <c r="T1102" s="79"/>
      <c r="U1102" s="79"/>
      <c r="V1102" s="79"/>
      <c r="W1102" s="79"/>
      <c r="X1102" s="79"/>
      <c r="Y1102" s="79"/>
      <c r="Z1102" s="79"/>
      <c r="AA1102" s="79"/>
      <c r="AB1102" s="79"/>
      <c r="AC1102" s="81"/>
      <c r="AD1102" s="79"/>
      <c r="AE1102" s="79"/>
    </row>
    <row r="1103" ht="15.75" customHeight="1">
      <c r="A1103" s="79"/>
      <c r="B1103" s="79"/>
      <c r="C1103" s="79"/>
      <c r="D1103" s="79"/>
      <c r="E1103" s="79"/>
      <c r="F1103" s="79"/>
      <c r="G1103" s="79"/>
      <c r="H1103" s="79"/>
      <c r="I1103" s="79"/>
      <c r="J1103" s="79"/>
      <c r="K1103" s="79"/>
      <c r="L1103" s="79"/>
      <c r="M1103" s="79"/>
      <c r="N1103" s="79"/>
      <c r="O1103" s="79"/>
      <c r="P1103" s="79"/>
      <c r="Q1103" s="80"/>
      <c r="R1103" s="80"/>
      <c r="S1103" s="79"/>
      <c r="T1103" s="79"/>
      <c r="U1103" s="79"/>
      <c r="V1103" s="79"/>
      <c r="W1103" s="79"/>
      <c r="X1103" s="79"/>
      <c r="Y1103" s="79"/>
      <c r="Z1103" s="79"/>
      <c r="AA1103" s="79"/>
      <c r="AB1103" s="79"/>
      <c r="AC1103" s="81"/>
      <c r="AD1103" s="79"/>
      <c r="AE1103" s="79"/>
    </row>
    <row r="1104" ht="15.75" customHeight="1">
      <c r="A1104" s="79"/>
      <c r="B1104" s="79"/>
      <c r="C1104" s="79"/>
      <c r="D1104" s="79"/>
      <c r="E1104" s="79"/>
      <c r="F1104" s="79"/>
      <c r="G1104" s="79"/>
      <c r="H1104" s="79"/>
      <c r="I1104" s="79"/>
      <c r="J1104" s="79"/>
      <c r="K1104" s="79"/>
      <c r="L1104" s="79"/>
      <c r="M1104" s="79"/>
      <c r="N1104" s="79"/>
      <c r="O1104" s="79"/>
      <c r="P1104" s="79"/>
      <c r="Q1104" s="80"/>
      <c r="R1104" s="80"/>
      <c r="S1104" s="79"/>
      <c r="T1104" s="79"/>
      <c r="U1104" s="79"/>
      <c r="V1104" s="79"/>
      <c r="W1104" s="79"/>
      <c r="X1104" s="79"/>
      <c r="Y1104" s="79"/>
      <c r="Z1104" s="79"/>
      <c r="AA1104" s="79"/>
      <c r="AB1104" s="79"/>
      <c r="AC1104" s="81"/>
      <c r="AD1104" s="79"/>
      <c r="AE1104" s="79"/>
    </row>
    <row r="1105" ht="15.75" customHeight="1">
      <c r="A1105" s="79"/>
      <c r="B1105" s="79"/>
      <c r="C1105" s="79"/>
      <c r="D1105" s="79"/>
      <c r="E1105" s="79"/>
      <c r="F1105" s="79"/>
      <c r="G1105" s="79"/>
      <c r="H1105" s="79"/>
      <c r="I1105" s="79"/>
      <c r="J1105" s="79"/>
      <c r="K1105" s="79"/>
      <c r="L1105" s="79"/>
      <c r="M1105" s="79"/>
      <c r="N1105" s="79"/>
      <c r="O1105" s="79"/>
      <c r="P1105" s="79"/>
      <c r="Q1105" s="80"/>
      <c r="R1105" s="80"/>
      <c r="S1105" s="79"/>
      <c r="T1105" s="79"/>
      <c r="U1105" s="79"/>
      <c r="V1105" s="79"/>
      <c r="W1105" s="79"/>
      <c r="X1105" s="79"/>
      <c r="Y1105" s="79"/>
      <c r="Z1105" s="79"/>
      <c r="AA1105" s="79"/>
      <c r="AB1105" s="79"/>
      <c r="AC1105" s="81"/>
      <c r="AD1105" s="79"/>
      <c r="AE1105" s="79"/>
    </row>
    <row r="1106" ht="15.75" customHeight="1">
      <c r="A1106" s="79"/>
      <c r="B1106" s="79"/>
      <c r="C1106" s="79"/>
      <c r="D1106" s="79"/>
      <c r="E1106" s="79"/>
      <c r="F1106" s="79"/>
      <c r="G1106" s="79"/>
      <c r="H1106" s="79"/>
      <c r="I1106" s="79"/>
      <c r="J1106" s="79"/>
      <c r="K1106" s="79"/>
      <c r="L1106" s="79"/>
      <c r="M1106" s="79"/>
      <c r="N1106" s="79"/>
      <c r="O1106" s="79"/>
      <c r="P1106" s="79"/>
      <c r="Q1106" s="80"/>
      <c r="R1106" s="80"/>
      <c r="S1106" s="79"/>
      <c r="T1106" s="79"/>
      <c r="U1106" s="79"/>
      <c r="V1106" s="79"/>
      <c r="W1106" s="79"/>
      <c r="X1106" s="79"/>
      <c r="Y1106" s="79"/>
      <c r="Z1106" s="79"/>
      <c r="AA1106" s="79"/>
      <c r="AB1106" s="79"/>
      <c r="AC1106" s="81"/>
      <c r="AD1106" s="79"/>
      <c r="AE1106" s="79"/>
    </row>
    <row r="1107" ht="15.75" customHeight="1">
      <c r="A1107" s="79"/>
      <c r="B1107" s="79"/>
      <c r="C1107" s="79"/>
      <c r="D1107" s="79"/>
      <c r="E1107" s="79"/>
      <c r="F1107" s="79"/>
      <c r="G1107" s="79"/>
      <c r="H1107" s="79"/>
      <c r="I1107" s="79"/>
      <c r="J1107" s="79"/>
      <c r="K1107" s="79"/>
      <c r="L1107" s="79"/>
      <c r="M1107" s="79"/>
      <c r="N1107" s="79"/>
      <c r="O1107" s="79"/>
      <c r="P1107" s="79"/>
      <c r="Q1107" s="80"/>
      <c r="R1107" s="80"/>
      <c r="S1107" s="79"/>
      <c r="T1107" s="79"/>
      <c r="U1107" s="79"/>
      <c r="V1107" s="79"/>
      <c r="W1107" s="79"/>
      <c r="X1107" s="79"/>
      <c r="Y1107" s="79"/>
      <c r="Z1107" s="79"/>
      <c r="AA1107" s="79"/>
      <c r="AB1107" s="79"/>
      <c r="AC1107" s="81"/>
      <c r="AD1107" s="79"/>
      <c r="AE1107" s="79"/>
    </row>
    <row r="1108" ht="15.75" customHeight="1">
      <c r="A1108" s="79"/>
      <c r="B1108" s="79"/>
      <c r="C1108" s="79"/>
      <c r="D1108" s="79"/>
      <c r="E1108" s="79"/>
      <c r="F1108" s="79"/>
      <c r="G1108" s="79"/>
      <c r="H1108" s="79"/>
      <c r="I1108" s="79"/>
      <c r="J1108" s="79"/>
      <c r="K1108" s="79"/>
      <c r="L1108" s="79"/>
      <c r="M1108" s="79"/>
      <c r="N1108" s="79"/>
      <c r="O1108" s="79"/>
      <c r="P1108" s="79"/>
      <c r="Q1108" s="80"/>
      <c r="R1108" s="80"/>
      <c r="S1108" s="79"/>
      <c r="T1108" s="79"/>
      <c r="U1108" s="79"/>
      <c r="V1108" s="79"/>
      <c r="W1108" s="79"/>
      <c r="X1108" s="79"/>
      <c r="Y1108" s="79"/>
      <c r="Z1108" s="79"/>
      <c r="AA1108" s="79"/>
      <c r="AB1108" s="79"/>
      <c r="AC1108" s="81"/>
      <c r="AD1108" s="79"/>
      <c r="AE1108" s="79"/>
    </row>
    <row r="1109" ht="15.75" customHeight="1">
      <c r="A1109" s="79"/>
      <c r="B1109" s="79"/>
      <c r="C1109" s="79"/>
      <c r="D1109" s="79"/>
      <c r="E1109" s="79"/>
      <c r="F1109" s="79"/>
      <c r="G1109" s="79"/>
      <c r="H1109" s="79"/>
      <c r="I1109" s="79"/>
      <c r="J1109" s="79"/>
      <c r="K1109" s="79"/>
      <c r="L1109" s="79"/>
      <c r="M1109" s="79"/>
      <c r="N1109" s="79"/>
      <c r="O1109" s="79"/>
      <c r="P1109" s="79"/>
      <c r="Q1109" s="80"/>
      <c r="R1109" s="80"/>
      <c r="S1109" s="79"/>
      <c r="T1109" s="79"/>
      <c r="U1109" s="79"/>
      <c r="V1109" s="79"/>
      <c r="W1109" s="79"/>
      <c r="X1109" s="79"/>
      <c r="Y1109" s="79"/>
      <c r="Z1109" s="79"/>
      <c r="AA1109" s="79"/>
      <c r="AB1109" s="79"/>
      <c r="AC1109" s="81"/>
      <c r="AD1109" s="79"/>
      <c r="AE1109" s="79"/>
    </row>
    <row r="1110" ht="15.75" customHeight="1">
      <c r="A1110" s="79"/>
      <c r="B1110" s="79"/>
      <c r="C1110" s="79"/>
      <c r="D1110" s="79"/>
      <c r="E1110" s="79"/>
      <c r="F1110" s="79"/>
      <c r="G1110" s="79"/>
      <c r="H1110" s="79"/>
      <c r="I1110" s="79"/>
      <c r="J1110" s="79"/>
      <c r="K1110" s="79"/>
      <c r="L1110" s="79"/>
      <c r="M1110" s="79"/>
      <c r="N1110" s="79"/>
      <c r="O1110" s="79"/>
      <c r="P1110" s="79"/>
      <c r="Q1110" s="80"/>
      <c r="R1110" s="80"/>
      <c r="S1110" s="79"/>
      <c r="T1110" s="79"/>
      <c r="U1110" s="79"/>
      <c r="V1110" s="79"/>
      <c r="W1110" s="79"/>
      <c r="X1110" s="79"/>
      <c r="Y1110" s="79"/>
      <c r="Z1110" s="79"/>
      <c r="AA1110" s="79"/>
      <c r="AB1110" s="79"/>
      <c r="AC1110" s="81"/>
      <c r="AD1110" s="79"/>
      <c r="AE1110" s="79"/>
    </row>
    <row r="1111" ht="15.75" customHeight="1">
      <c r="A1111" s="79"/>
      <c r="B1111" s="79"/>
      <c r="C1111" s="79"/>
      <c r="D1111" s="79"/>
      <c r="E1111" s="79"/>
      <c r="F1111" s="79"/>
      <c r="G1111" s="79"/>
      <c r="H1111" s="79"/>
      <c r="I1111" s="79"/>
      <c r="J1111" s="79"/>
      <c r="K1111" s="79"/>
      <c r="L1111" s="79"/>
      <c r="M1111" s="79"/>
      <c r="N1111" s="79"/>
      <c r="O1111" s="79"/>
      <c r="P1111" s="79"/>
      <c r="Q1111" s="80"/>
      <c r="R1111" s="80"/>
      <c r="S1111" s="79"/>
      <c r="T1111" s="79"/>
      <c r="U1111" s="79"/>
      <c r="V1111" s="79"/>
      <c r="W1111" s="79"/>
      <c r="X1111" s="79"/>
      <c r="Y1111" s="79"/>
      <c r="Z1111" s="79"/>
      <c r="AA1111" s="79"/>
      <c r="AB1111" s="79"/>
      <c r="AC1111" s="81"/>
      <c r="AD1111" s="79"/>
      <c r="AE1111" s="79"/>
    </row>
    <row r="1112" ht="15.75" customHeight="1">
      <c r="A1112" s="79"/>
      <c r="B1112" s="79"/>
      <c r="C1112" s="79"/>
      <c r="D1112" s="79"/>
      <c r="E1112" s="79"/>
      <c r="F1112" s="79"/>
      <c r="G1112" s="79"/>
      <c r="H1112" s="79"/>
      <c r="I1112" s="79"/>
      <c r="J1112" s="79"/>
      <c r="K1112" s="79"/>
      <c r="L1112" s="79"/>
      <c r="M1112" s="79"/>
      <c r="N1112" s="79"/>
      <c r="O1112" s="79"/>
      <c r="P1112" s="79"/>
      <c r="Q1112" s="80"/>
      <c r="R1112" s="80"/>
      <c r="S1112" s="79"/>
      <c r="T1112" s="79"/>
      <c r="U1112" s="79"/>
      <c r="V1112" s="79"/>
      <c r="W1112" s="79"/>
      <c r="X1112" s="79"/>
      <c r="Y1112" s="79"/>
      <c r="Z1112" s="79"/>
      <c r="AA1112" s="79"/>
      <c r="AB1112" s="79"/>
      <c r="AC1112" s="81"/>
      <c r="AD1112" s="79"/>
      <c r="AE1112" s="79"/>
    </row>
    <row r="1113" ht="15.75" customHeight="1">
      <c r="A1113" s="79"/>
      <c r="B1113" s="79"/>
      <c r="C1113" s="79"/>
      <c r="D1113" s="79"/>
      <c r="E1113" s="79"/>
      <c r="F1113" s="79"/>
      <c r="G1113" s="79"/>
      <c r="H1113" s="79"/>
      <c r="I1113" s="79"/>
      <c r="J1113" s="79"/>
      <c r="K1113" s="79"/>
      <c r="L1113" s="79"/>
      <c r="M1113" s="79"/>
      <c r="N1113" s="79"/>
      <c r="O1113" s="79"/>
      <c r="P1113" s="79"/>
      <c r="Q1113" s="80"/>
      <c r="R1113" s="80"/>
      <c r="S1113" s="79"/>
      <c r="T1113" s="79"/>
      <c r="U1113" s="79"/>
      <c r="V1113" s="79"/>
      <c r="W1113" s="79"/>
      <c r="X1113" s="79"/>
      <c r="Y1113" s="79"/>
      <c r="Z1113" s="79"/>
      <c r="AA1113" s="79"/>
      <c r="AB1113" s="79"/>
      <c r="AC1113" s="81"/>
      <c r="AD1113" s="79"/>
      <c r="AE1113" s="79"/>
    </row>
    <row r="1114" ht="15.75" customHeight="1">
      <c r="A1114" s="79"/>
      <c r="B1114" s="79"/>
      <c r="C1114" s="79"/>
      <c r="D1114" s="79"/>
      <c r="E1114" s="79"/>
      <c r="F1114" s="79"/>
      <c r="G1114" s="79"/>
      <c r="H1114" s="79"/>
      <c r="I1114" s="79"/>
      <c r="J1114" s="79"/>
      <c r="K1114" s="79"/>
      <c r="L1114" s="79"/>
      <c r="M1114" s="79"/>
      <c r="N1114" s="79"/>
      <c r="O1114" s="79"/>
      <c r="P1114" s="79"/>
      <c r="Q1114" s="80"/>
      <c r="R1114" s="80"/>
      <c r="S1114" s="79"/>
      <c r="T1114" s="79"/>
      <c r="U1114" s="79"/>
      <c r="V1114" s="79"/>
      <c r="W1114" s="79"/>
      <c r="X1114" s="79"/>
      <c r="Y1114" s="79"/>
      <c r="Z1114" s="79"/>
      <c r="AA1114" s="79"/>
      <c r="AB1114" s="79"/>
      <c r="AC1114" s="81"/>
      <c r="AD1114" s="79"/>
      <c r="AE1114" s="79"/>
    </row>
    <row r="1115" ht="15.75" customHeight="1">
      <c r="A1115" s="79"/>
      <c r="B1115" s="79"/>
      <c r="C1115" s="79"/>
      <c r="D1115" s="79"/>
      <c r="E1115" s="79"/>
      <c r="F1115" s="79"/>
      <c r="G1115" s="79"/>
      <c r="H1115" s="79"/>
      <c r="I1115" s="79"/>
      <c r="J1115" s="79"/>
      <c r="K1115" s="79"/>
      <c r="L1115" s="79"/>
      <c r="M1115" s="79"/>
      <c r="N1115" s="79"/>
      <c r="O1115" s="79"/>
      <c r="P1115" s="79"/>
      <c r="Q1115" s="80"/>
      <c r="R1115" s="80"/>
      <c r="S1115" s="79"/>
      <c r="T1115" s="79"/>
      <c r="U1115" s="79"/>
      <c r="V1115" s="79"/>
      <c r="W1115" s="79"/>
      <c r="X1115" s="79"/>
      <c r="Y1115" s="79"/>
      <c r="Z1115" s="79"/>
      <c r="AA1115" s="79"/>
      <c r="AB1115" s="79"/>
      <c r="AC1115" s="81"/>
      <c r="AD1115" s="79"/>
      <c r="AE1115" s="79"/>
    </row>
    <row r="1116" ht="15.75" customHeight="1">
      <c r="A1116" s="79"/>
      <c r="B1116" s="79"/>
      <c r="C1116" s="79"/>
      <c r="D1116" s="79"/>
      <c r="E1116" s="79"/>
      <c r="F1116" s="79"/>
      <c r="G1116" s="79"/>
      <c r="H1116" s="79"/>
      <c r="I1116" s="79"/>
      <c r="J1116" s="79"/>
      <c r="K1116" s="79"/>
      <c r="L1116" s="79"/>
      <c r="M1116" s="79"/>
      <c r="N1116" s="79"/>
      <c r="O1116" s="79"/>
      <c r="P1116" s="79"/>
      <c r="Q1116" s="80"/>
      <c r="R1116" s="80"/>
      <c r="S1116" s="79"/>
      <c r="T1116" s="79"/>
      <c r="U1116" s="79"/>
      <c r="V1116" s="79"/>
      <c r="W1116" s="79"/>
      <c r="X1116" s="79"/>
      <c r="Y1116" s="79"/>
      <c r="Z1116" s="79"/>
      <c r="AA1116" s="79"/>
      <c r="AB1116" s="79"/>
      <c r="AC1116" s="81"/>
      <c r="AD1116" s="79"/>
      <c r="AE1116" s="79"/>
    </row>
    <row r="1117" ht="15.75" customHeight="1">
      <c r="A1117" s="79"/>
      <c r="B1117" s="79"/>
      <c r="C1117" s="79"/>
      <c r="D1117" s="79"/>
      <c r="E1117" s="79"/>
      <c r="F1117" s="79"/>
      <c r="G1117" s="79"/>
      <c r="H1117" s="79"/>
      <c r="I1117" s="79"/>
      <c r="J1117" s="79"/>
      <c r="K1117" s="79"/>
      <c r="L1117" s="79"/>
      <c r="M1117" s="79"/>
      <c r="N1117" s="79"/>
      <c r="O1117" s="79"/>
      <c r="P1117" s="79"/>
      <c r="Q1117" s="80"/>
      <c r="R1117" s="80"/>
      <c r="S1117" s="79"/>
      <c r="T1117" s="79"/>
      <c r="U1117" s="79"/>
      <c r="V1117" s="79"/>
      <c r="W1117" s="79"/>
      <c r="X1117" s="79"/>
      <c r="Y1117" s="79"/>
      <c r="Z1117" s="79"/>
      <c r="AA1117" s="79"/>
      <c r="AB1117" s="79"/>
      <c r="AC1117" s="81"/>
      <c r="AD1117" s="79"/>
      <c r="AE1117" s="79"/>
    </row>
    <row r="1118" ht="15.75" customHeight="1">
      <c r="A1118" s="79"/>
      <c r="B1118" s="79"/>
      <c r="C1118" s="79"/>
      <c r="D1118" s="79"/>
      <c r="E1118" s="79"/>
      <c r="F1118" s="79"/>
      <c r="G1118" s="79"/>
      <c r="H1118" s="79"/>
      <c r="I1118" s="79"/>
      <c r="J1118" s="79"/>
      <c r="K1118" s="79"/>
      <c r="L1118" s="79"/>
      <c r="M1118" s="79"/>
      <c r="N1118" s="79"/>
      <c r="O1118" s="79"/>
      <c r="P1118" s="79"/>
      <c r="Q1118" s="80"/>
      <c r="R1118" s="80"/>
      <c r="S1118" s="79"/>
      <c r="T1118" s="79"/>
      <c r="U1118" s="79"/>
      <c r="V1118" s="79"/>
      <c r="W1118" s="79"/>
      <c r="X1118" s="79"/>
      <c r="Y1118" s="79"/>
      <c r="Z1118" s="79"/>
      <c r="AA1118" s="79"/>
      <c r="AB1118" s="79"/>
      <c r="AC1118" s="81"/>
      <c r="AD1118" s="79"/>
      <c r="AE1118" s="79"/>
    </row>
    <row r="1119" ht="15.75" customHeight="1">
      <c r="A1119" s="79"/>
      <c r="B1119" s="79"/>
      <c r="C1119" s="79"/>
      <c r="D1119" s="79"/>
      <c r="E1119" s="79"/>
      <c r="F1119" s="79"/>
      <c r="G1119" s="79"/>
      <c r="H1119" s="79"/>
      <c r="I1119" s="79"/>
      <c r="J1119" s="79"/>
      <c r="K1119" s="79"/>
      <c r="L1119" s="79"/>
      <c r="M1119" s="79"/>
      <c r="N1119" s="79"/>
      <c r="O1119" s="79"/>
      <c r="P1119" s="79"/>
      <c r="Q1119" s="80"/>
      <c r="R1119" s="80"/>
      <c r="S1119" s="79"/>
      <c r="T1119" s="79"/>
      <c r="U1119" s="79"/>
      <c r="V1119" s="79"/>
      <c r="W1119" s="79"/>
      <c r="X1119" s="79"/>
      <c r="Y1119" s="79"/>
      <c r="Z1119" s="79"/>
      <c r="AA1119" s="79"/>
      <c r="AB1119" s="79"/>
      <c r="AC1119" s="81"/>
      <c r="AD1119" s="79"/>
      <c r="AE1119" s="79"/>
    </row>
    <row r="1120" ht="15.75" customHeight="1">
      <c r="A1120" s="79"/>
      <c r="B1120" s="79"/>
      <c r="C1120" s="79"/>
      <c r="D1120" s="79"/>
      <c r="E1120" s="79"/>
      <c r="F1120" s="79"/>
      <c r="G1120" s="79"/>
      <c r="H1120" s="79"/>
      <c r="I1120" s="79"/>
      <c r="J1120" s="79"/>
      <c r="K1120" s="79"/>
      <c r="L1120" s="79"/>
      <c r="M1120" s="79"/>
      <c r="N1120" s="79"/>
      <c r="O1120" s="79"/>
      <c r="P1120" s="79"/>
      <c r="Q1120" s="80"/>
      <c r="R1120" s="80"/>
      <c r="S1120" s="79"/>
      <c r="T1120" s="79"/>
      <c r="U1120" s="79"/>
      <c r="V1120" s="79"/>
      <c r="W1120" s="79"/>
      <c r="X1120" s="79"/>
      <c r="Y1120" s="79"/>
      <c r="Z1120" s="79"/>
      <c r="AA1120" s="79"/>
      <c r="AB1120" s="79"/>
      <c r="AC1120" s="81"/>
      <c r="AD1120" s="79"/>
      <c r="AE1120" s="79"/>
    </row>
    <row r="1121" ht="15.75" customHeight="1">
      <c r="A1121" s="79"/>
      <c r="B1121" s="79"/>
      <c r="C1121" s="79"/>
      <c r="D1121" s="79"/>
      <c r="E1121" s="79"/>
      <c r="F1121" s="79"/>
      <c r="G1121" s="79"/>
      <c r="H1121" s="79"/>
      <c r="I1121" s="79"/>
      <c r="J1121" s="79"/>
      <c r="K1121" s="79"/>
      <c r="L1121" s="79"/>
      <c r="M1121" s="79"/>
      <c r="N1121" s="79"/>
      <c r="O1121" s="79"/>
      <c r="P1121" s="79"/>
      <c r="Q1121" s="80"/>
      <c r="R1121" s="80"/>
      <c r="S1121" s="79"/>
      <c r="T1121" s="79"/>
      <c r="U1121" s="79"/>
      <c r="V1121" s="79"/>
      <c r="W1121" s="79"/>
      <c r="X1121" s="79"/>
      <c r="Y1121" s="79"/>
      <c r="Z1121" s="79"/>
      <c r="AA1121" s="79"/>
      <c r="AB1121" s="79"/>
      <c r="AC1121" s="81"/>
      <c r="AD1121" s="79"/>
      <c r="AE1121" s="79"/>
    </row>
    <row r="1122" ht="15.75" customHeight="1">
      <c r="A1122" s="79"/>
      <c r="B1122" s="79"/>
      <c r="C1122" s="79"/>
      <c r="D1122" s="79"/>
      <c r="E1122" s="79"/>
      <c r="F1122" s="79"/>
      <c r="G1122" s="79"/>
      <c r="H1122" s="79"/>
      <c r="I1122" s="79"/>
      <c r="J1122" s="79"/>
      <c r="K1122" s="79"/>
      <c r="L1122" s="79"/>
      <c r="M1122" s="79"/>
      <c r="N1122" s="79"/>
      <c r="O1122" s="79"/>
      <c r="P1122" s="79"/>
      <c r="Q1122" s="80"/>
      <c r="R1122" s="80"/>
      <c r="S1122" s="79"/>
      <c r="T1122" s="79"/>
      <c r="U1122" s="79"/>
      <c r="V1122" s="79"/>
      <c r="W1122" s="79"/>
      <c r="X1122" s="79"/>
      <c r="Y1122" s="79"/>
      <c r="Z1122" s="79"/>
      <c r="AA1122" s="79"/>
      <c r="AB1122" s="79"/>
      <c r="AC1122" s="81"/>
      <c r="AD1122" s="79"/>
      <c r="AE1122" s="79"/>
    </row>
    <row r="1123" ht="15.75" customHeight="1">
      <c r="A1123" s="79"/>
      <c r="B1123" s="79"/>
      <c r="C1123" s="79"/>
      <c r="D1123" s="79"/>
      <c r="E1123" s="79"/>
      <c r="F1123" s="79"/>
      <c r="G1123" s="79"/>
      <c r="H1123" s="79"/>
      <c r="I1123" s="79"/>
      <c r="J1123" s="79"/>
      <c r="K1123" s="79"/>
      <c r="L1123" s="79"/>
      <c r="M1123" s="79"/>
      <c r="N1123" s="79"/>
      <c r="O1123" s="79"/>
      <c r="P1123" s="79"/>
      <c r="Q1123" s="80"/>
      <c r="R1123" s="80"/>
      <c r="S1123" s="79"/>
      <c r="T1123" s="79"/>
      <c r="U1123" s="79"/>
      <c r="V1123" s="79"/>
      <c r="W1123" s="79"/>
      <c r="X1123" s="79"/>
      <c r="Y1123" s="79"/>
      <c r="Z1123" s="79"/>
      <c r="AA1123" s="79"/>
      <c r="AB1123" s="79"/>
      <c r="AC1123" s="81"/>
      <c r="AD1123" s="79"/>
      <c r="AE1123" s="79"/>
    </row>
    <row r="1124" ht="15.75" customHeight="1">
      <c r="A1124" s="79"/>
      <c r="B1124" s="79"/>
      <c r="C1124" s="79"/>
      <c r="D1124" s="79"/>
      <c r="E1124" s="79"/>
      <c r="F1124" s="79"/>
      <c r="G1124" s="79"/>
      <c r="H1124" s="79"/>
      <c r="I1124" s="79"/>
      <c r="J1124" s="79"/>
      <c r="K1124" s="79"/>
      <c r="L1124" s="79"/>
      <c r="M1124" s="79"/>
      <c r="N1124" s="79"/>
      <c r="O1124" s="79"/>
      <c r="P1124" s="79"/>
      <c r="Q1124" s="80"/>
      <c r="R1124" s="80"/>
      <c r="S1124" s="79"/>
      <c r="T1124" s="79"/>
      <c r="U1124" s="79"/>
      <c r="V1124" s="79"/>
      <c r="W1124" s="79"/>
      <c r="X1124" s="79"/>
      <c r="Y1124" s="79"/>
      <c r="Z1124" s="79"/>
      <c r="AA1124" s="79"/>
      <c r="AB1124" s="79"/>
      <c r="AC1124" s="81"/>
      <c r="AD1124" s="79"/>
      <c r="AE1124" s="79"/>
    </row>
    <row r="1125" ht="15.75" customHeight="1">
      <c r="A1125" s="79"/>
      <c r="B1125" s="79"/>
      <c r="C1125" s="79"/>
      <c r="D1125" s="79"/>
      <c r="E1125" s="79"/>
      <c r="F1125" s="79"/>
      <c r="G1125" s="79"/>
      <c r="H1125" s="79"/>
      <c r="I1125" s="79"/>
      <c r="J1125" s="79"/>
      <c r="K1125" s="79"/>
      <c r="L1125" s="79"/>
      <c r="M1125" s="79"/>
      <c r="N1125" s="79"/>
      <c r="O1125" s="79"/>
      <c r="P1125" s="79"/>
      <c r="Q1125" s="80"/>
      <c r="R1125" s="80"/>
      <c r="S1125" s="79"/>
      <c r="T1125" s="79"/>
      <c r="U1125" s="79"/>
      <c r="V1125" s="79"/>
      <c r="W1125" s="79"/>
      <c r="X1125" s="79"/>
      <c r="Y1125" s="79"/>
      <c r="Z1125" s="79"/>
      <c r="AA1125" s="79"/>
      <c r="AB1125" s="79"/>
      <c r="AC1125" s="81"/>
      <c r="AD1125" s="79"/>
      <c r="AE1125" s="79"/>
    </row>
    <row r="1126" ht="15.75" customHeight="1">
      <c r="A1126" s="79"/>
      <c r="B1126" s="79"/>
      <c r="C1126" s="79"/>
      <c r="D1126" s="79"/>
      <c r="E1126" s="79"/>
      <c r="F1126" s="79"/>
      <c r="G1126" s="79"/>
      <c r="H1126" s="79"/>
      <c r="I1126" s="79"/>
      <c r="J1126" s="79"/>
      <c r="K1126" s="79"/>
      <c r="L1126" s="79"/>
      <c r="M1126" s="79"/>
      <c r="N1126" s="79"/>
      <c r="O1126" s="79"/>
      <c r="P1126" s="79"/>
      <c r="Q1126" s="80"/>
      <c r="R1126" s="80"/>
      <c r="S1126" s="79"/>
      <c r="T1126" s="79"/>
      <c r="U1126" s="79"/>
      <c r="V1126" s="79"/>
      <c r="W1126" s="79"/>
      <c r="X1126" s="79"/>
      <c r="Y1126" s="79"/>
      <c r="Z1126" s="79"/>
      <c r="AA1126" s="79"/>
      <c r="AB1126" s="79"/>
      <c r="AC1126" s="81"/>
      <c r="AD1126" s="79"/>
      <c r="AE1126" s="79"/>
    </row>
    <row r="1127" ht="15.75" customHeight="1">
      <c r="A1127" s="79"/>
      <c r="B1127" s="79"/>
      <c r="C1127" s="79"/>
      <c r="D1127" s="79"/>
      <c r="E1127" s="79"/>
      <c r="F1127" s="79"/>
      <c r="G1127" s="79"/>
      <c r="H1127" s="79"/>
      <c r="I1127" s="79"/>
      <c r="J1127" s="79"/>
      <c r="K1127" s="79"/>
      <c r="L1127" s="79"/>
      <c r="M1127" s="79"/>
      <c r="N1127" s="79"/>
      <c r="O1127" s="79"/>
      <c r="P1127" s="79"/>
      <c r="Q1127" s="80"/>
      <c r="R1127" s="80"/>
      <c r="S1127" s="79"/>
      <c r="T1127" s="79"/>
      <c r="U1127" s="79"/>
      <c r="V1127" s="79"/>
      <c r="W1127" s="79"/>
      <c r="X1127" s="79"/>
      <c r="Y1127" s="79"/>
      <c r="Z1127" s="79"/>
      <c r="AA1127" s="79"/>
      <c r="AB1127" s="79"/>
      <c r="AC1127" s="81"/>
      <c r="AD1127" s="79"/>
      <c r="AE1127" s="79"/>
    </row>
    <row r="1128" ht="15.75" customHeight="1">
      <c r="A1128" s="79"/>
      <c r="B1128" s="79"/>
      <c r="C1128" s="79"/>
      <c r="D1128" s="79"/>
      <c r="E1128" s="79"/>
      <c r="F1128" s="79"/>
      <c r="G1128" s="79"/>
      <c r="H1128" s="79"/>
      <c r="I1128" s="79"/>
      <c r="J1128" s="79"/>
      <c r="K1128" s="79"/>
      <c r="L1128" s="79"/>
      <c r="M1128" s="79"/>
      <c r="N1128" s="79"/>
      <c r="O1128" s="79"/>
      <c r="P1128" s="79"/>
      <c r="Q1128" s="80"/>
      <c r="R1128" s="80"/>
      <c r="S1128" s="79"/>
      <c r="T1128" s="79"/>
      <c r="U1128" s="79"/>
      <c r="V1128" s="79"/>
      <c r="W1128" s="79"/>
      <c r="X1128" s="79"/>
      <c r="Y1128" s="79"/>
      <c r="Z1128" s="79"/>
      <c r="AA1128" s="79"/>
      <c r="AB1128" s="79"/>
      <c r="AC1128" s="81"/>
      <c r="AD1128" s="79"/>
      <c r="AE1128" s="79"/>
    </row>
    <row r="1129" ht="15.75" customHeight="1">
      <c r="A1129" s="79"/>
      <c r="B1129" s="79"/>
      <c r="C1129" s="79"/>
      <c r="D1129" s="79"/>
      <c r="E1129" s="79"/>
      <c r="F1129" s="79"/>
      <c r="G1129" s="79"/>
      <c r="H1129" s="79"/>
      <c r="I1129" s="79"/>
      <c r="J1129" s="79"/>
      <c r="K1129" s="79"/>
      <c r="L1129" s="79"/>
      <c r="M1129" s="79"/>
      <c r="N1129" s="79"/>
      <c r="O1129" s="79"/>
      <c r="P1129" s="79"/>
      <c r="Q1129" s="80"/>
      <c r="R1129" s="80"/>
      <c r="S1129" s="79"/>
      <c r="T1129" s="79"/>
      <c r="U1129" s="79"/>
      <c r="V1129" s="79"/>
      <c r="W1129" s="79"/>
      <c r="X1129" s="79"/>
      <c r="Y1129" s="79"/>
      <c r="Z1129" s="79"/>
      <c r="AA1129" s="79"/>
      <c r="AB1129" s="79"/>
      <c r="AC1129" s="81"/>
      <c r="AD1129" s="79"/>
      <c r="AE1129" s="79"/>
    </row>
    <row r="1130" ht="15.75" customHeight="1">
      <c r="A1130" s="79"/>
      <c r="B1130" s="79"/>
      <c r="C1130" s="79"/>
      <c r="D1130" s="79"/>
      <c r="E1130" s="79"/>
      <c r="F1130" s="79"/>
      <c r="G1130" s="79"/>
      <c r="H1130" s="79"/>
      <c r="I1130" s="79"/>
      <c r="J1130" s="79"/>
      <c r="K1130" s="79"/>
      <c r="L1130" s="79"/>
      <c r="M1130" s="79"/>
      <c r="N1130" s="79"/>
      <c r="O1130" s="79"/>
      <c r="P1130" s="79"/>
      <c r="Q1130" s="80"/>
      <c r="R1130" s="80"/>
      <c r="S1130" s="79"/>
      <c r="T1130" s="79"/>
      <c r="U1130" s="79"/>
      <c r="V1130" s="79"/>
      <c r="W1130" s="79"/>
      <c r="X1130" s="79"/>
      <c r="Y1130" s="79"/>
      <c r="Z1130" s="79"/>
      <c r="AA1130" s="79"/>
      <c r="AB1130" s="79"/>
      <c r="AC1130" s="81"/>
      <c r="AD1130" s="79"/>
      <c r="AE1130" s="79"/>
    </row>
    <row r="1131" ht="15.75" customHeight="1">
      <c r="A1131" s="79"/>
      <c r="B1131" s="79"/>
      <c r="C1131" s="79"/>
      <c r="D1131" s="79"/>
      <c r="E1131" s="79"/>
      <c r="F1131" s="79"/>
      <c r="G1131" s="79"/>
      <c r="H1131" s="79"/>
      <c r="I1131" s="79"/>
      <c r="J1131" s="79"/>
      <c r="K1131" s="79"/>
      <c r="L1131" s="79"/>
      <c r="M1131" s="79"/>
      <c r="N1131" s="79"/>
      <c r="O1131" s="79"/>
      <c r="P1131" s="79"/>
      <c r="Q1131" s="80"/>
      <c r="R1131" s="80"/>
      <c r="S1131" s="79"/>
      <c r="T1131" s="79"/>
      <c r="U1131" s="79"/>
      <c r="V1131" s="79"/>
      <c r="W1131" s="79"/>
      <c r="X1131" s="79"/>
      <c r="Y1131" s="79"/>
      <c r="Z1131" s="79"/>
      <c r="AA1131" s="79"/>
      <c r="AB1131" s="79"/>
      <c r="AC1131" s="81"/>
      <c r="AD1131" s="79"/>
      <c r="AE1131" s="79"/>
    </row>
    <row r="1132" ht="15.75" customHeight="1">
      <c r="A1132" s="79"/>
      <c r="B1132" s="79"/>
      <c r="C1132" s="79"/>
      <c r="D1132" s="79"/>
      <c r="E1132" s="79"/>
      <c r="F1132" s="79"/>
      <c r="G1132" s="79"/>
      <c r="H1132" s="79"/>
      <c r="I1132" s="79"/>
      <c r="J1132" s="79"/>
      <c r="K1132" s="79"/>
      <c r="L1132" s="79"/>
      <c r="M1132" s="79"/>
      <c r="N1132" s="79"/>
      <c r="O1132" s="79"/>
      <c r="P1132" s="79"/>
      <c r="Q1132" s="80"/>
      <c r="R1132" s="80"/>
      <c r="S1132" s="79"/>
      <c r="T1132" s="79"/>
      <c r="U1132" s="79"/>
      <c r="V1132" s="79"/>
      <c r="W1132" s="79"/>
      <c r="X1132" s="79"/>
      <c r="Y1132" s="79"/>
      <c r="Z1132" s="79"/>
      <c r="AA1132" s="79"/>
      <c r="AB1132" s="79"/>
      <c r="AC1132" s="81"/>
      <c r="AD1132" s="79"/>
      <c r="AE1132" s="79"/>
    </row>
    <row r="1133" ht="15.75" customHeight="1">
      <c r="A1133" s="79"/>
      <c r="B1133" s="79"/>
      <c r="C1133" s="79"/>
      <c r="D1133" s="79"/>
      <c r="E1133" s="79"/>
      <c r="F1133" s="79"/>
      <c r="G1133" s="79"/>
      <c r="H1133" s="79"/>
      <c r="I1133" s="79"/>
      <c r="J1133" s="79"/>
      <c r="K1133" s="79"/>
      <c r="L1133" s="79"/>
      <c r="M1133" s="79"/>
      <c r="N1133" s="79"/>
      <c r="O1133" s="79"/>
      <c r="P1133" s="79"/>
      <c r="Q1133" s="80"/>
      <c r="R1133" s="80"/>
      <c r="S1133" s="79"/>
      <c r="T1133" s="79"/>
      <c r="U1133" s="79"/>
      <c r="V1133" s="79"/>
      <c r="W1133" s="79"/>
      <c r="X1133" s="79"/>
      <c r="Y1133" s="79"/>
      <c r="Z1133" s="79"/>
      <c r="AA1133" s="79"/>
      <c r="AB1133" s="79"/>
      <c r="AC1133" s="81"/>
      <c r="AD1133" s="79"/>
      <c r="AE1133" s="79"/>
    </row>
    <row r="1134" ht="15.75" customHeight="1">
      <c r="A1134" s="79"/>
      <c r="B1134" s="79"/>
      <c r="C1134" s="79"/>
      <c r="D1134" s="79"/>
      <c r="E1134" s="79"/>
      <c r="F1134" s="79"/>
      <c r="G1134" s="79"/>
      <c r="H1134" s="79"/>
      <c r="I1134" s="79"/>
      <c r="J1134" s="79"/>
      <c r="K1134" s="79"/>
      <c r="L1134" s="79"/>
      <c r="M1134" s="79"/>
      <c r="N1134" s="79"/>
      <c r="O1134" s="79"/>
      <c r="P1134" s="79"/>
      <c r="Q1134" s="80"/>
      <c r="R1134" s="80"/>
      <c r="S1134" s="79"/>
      <c r="T1134" s="79"/>
      <c r="U1134" s="79"/>
      <c r="V1134" s="79"/>
      <c r="W1134" s="79"/>
      <c r="X1134" s="79"/>
      <c r="Y1134" s="79"/>
      <c r="Z1134" s="79"/>
      <c r="AA1134" s="79"/>
      <c r="AB1134" s="79"/>
      <c r="AC1134" s="81"/>
      <c r="AD1134" s="79"/>
      <c r="AE1134" s="79"/>
    </row>
    <row r="1135" ht="15.75" customHeight="1">
      <c r="A1135" s="79"/>
      <c r="B1135" s="79"/>
      <c r="C1135" s="79"/>
      <c r="D1135" s="79"/>
      <c r="E1135" s="79"/>
      <c r="F1135" s="79"/>
      <c r="G1135" s="79"/>
      <c r="H1135" s="79"/>
      <c r="I1135" s="79"/>
      <c r="J1135" s="79"/>
      <c r="K1135" s="79"/>
      <c r="L1135" s="79"/>
      <c r="M1135" s="79"/>
      <c r="N1135" s="79"/>
      <c r="O1135" s="79"/>
      <c r="P1135" s="79"/>
      <c r="Q1135" s="80"/>
      <c r="R1135" s="80"/>
      <c r="S1135" s="79"/>
      <c r="T1135" s="79"/>
      <c r="U1135" s="79"/>
      <c r="V1135" s="79"/>
      <c r="W1135" s="79"/>
      <c r="X1135" s="79"/>
      <c r="Y1135" s="79"/>
      <c r="Z1135" s="79"/>
      <c r="AA1135" s="79"/>
      <c r="AB1135" s="79"/>
      <c r="AC1135" s="81"/>
      <c r="AD1135" s="79"/>
      <c r="AE1135" s="79"/>
    </row>
    <row r="1136" ht="15.75" customHeight="1">
      <c r="A1136" s="79"/>
      <c r="B1136" s="79"/>
      <c r="C1136" s="79"/>
      <c r="D1136" s="79"/>
      <c r="E1136" s="79"/>
      <c r="F1136" s="79"/>
      <c r="G1136" s="79"/>
      <c r="H1136" s="79"/>
      <c r="I1136" s="79"/>
      <c r="J1136" s="79"/>
      <c r="K1136" s="79"/>
      <c r="L1136" s="79"/>
      <c r="M1136" s="79"/>
      <c r="N1136" s="79"/>
      <c r="O1136" s="79"/>
      <c r="P1136" s="79"/>
      <c r="Q1136" s="80"/>
      <c r="R1136" s="80"/>
      <c r="S1136" s="79"/>
      <c r="T1136" s="79"/>
      <c r="U1136" s="79"/>
      <c r="V1136" s="79"/>
      <c r="W1136" s="79"/>
      <c r="X1136" s="79"/>
      <c r="Y1136" s="79"/>
      <c r="Z1136" s="79"/>
      <c r="AA1136" s="79"/>
      <c r="AB1136" s="79"/>
      <c r="AC1136" s="81"/>
      <c r="AD1136" s="79"/>
      <c r="AE1136" s="79"/>
    </row>
    <row r="1137" ht="15.75" customHeight="1">
      <c r="A1137" s="79"/>
      <c r="B1137" s="79"/>
      <c r="C1137" s="79"/>
      <c r="D1137" s="79"/>
      <c r="E1137" s="79"/>
      <c r="F1137" s="79"/>
      <c r="G1137" s="79"/>
      <c r="H1137" s="79"/>
      <c r="I1137" s="79"/>
      <c r="J1137" s="79"/>
      <c r="K1137" s="79"/>
      <c r="L1137" s="79"/>
      <c r="M1137" s="79"/>
      <c r="N1137" s="79"/>
      <c r="O1137" s="79"/>
      <c r="P1137" s="79"/>
      <c r="Q1137" s="80"/>
      <c r="R1137" s="80"/>
      <c r="S1137" s="79"/>
      <c r="T1137" s="79"/>
      <c r="U1137" s="79"/>
      <c r="V1137" s="79"/>
      <c r="W1137" s="79"/>
      <c r="X1137" s="79"/>
      <c r="Y1137" s="79"/>
      <c r="Z1137" s="79"/>
      <c r="AA1137" s="79"/>
      <c r="AB1137" s="79"/>
      <c r="AC1137" s="81"/>
      <c r="AD1137" s="79"/>
      <c r="AE1137" s="79"/>
    </row>
    <row r="1138" ht="15.75" customHeight="1">
      <c r="A1138" s="79"/>
      <c r="B1138" s="79"/>
      <c r="C1138" s="79"/>
      <c r="D1138" s="79"/>
      <c r="E1138" s="79"/>
      <c r="F1138" s="79"/>
      <c r="G1138" s="79"/>
      <c r="H1138" s="79"/>
      <c r="I1138" s="79"/>
      <c r="J1138" s="79"/>
      <c r="K1138" s="79"/>
      <c r="L1138" s="79"/>
      <c r="M1138" s="79"/>
      <c r="N1138" s="79"/>
      <c r="O1138" s="79"/>
      <c r="P1138" s="79"/>
      <c r="Q1138" s="80"/>
      <c r="R1138" s="80"/>
      <c r="S1138" s="79"/>
      <c r="T1138" s="79"/>
      <c r="U1138" s="79"/>
      <c r="V1138" s="79"/>
      <c r="W1138" s="79"/>
      <c r="X1138" s="79"/>
      <c r="Y1138" s="79"/>
      <c r="Z1138" s="79"/>
      <c r="AA1138" s="79"/>
      <c r="AB1138" s="79"/>
      <c r="AC1138" s="81"/>
      <c r="AD1138" s="79"/>
      <c r="AE1138" s="79"/>
    </row>
    <row r="1139" ht="15.75" customHeight="1">
      <c r="A1139" s="79"/>
      <c r="B1139" s="79"/>
      <c r="C1139" s="79"/>
      <c r="D1139" s="79"/>
      <c r="E1139" s="79"/>
      <c r="F1139" s="79"/>
      <c r="G1139" s="79"/>
      <c r="H1139" s="79"/>
      <c r="I1139" s="79"/>
      <c r="J1139" s="79"/>
      <c r="K1139" s="79"/>
      <c r="L1139" s="79"/>
      <c r="M1139" s="79"/>
      <c r="N1139" s="79"/>
      <c r="O1139" s="79"/>
      <c r="P1139" s="79"/>
      <c r="Q1139" s="80"/>
      <c r="R1139" s="80"/>
      <c r="S1139" s="79"/>
      <c r="T1139" s="79"/>
      <c r="U1139" s="79"/>
      <c r="V1139" s="79"/>
      <c r="W1139" s="79"/>
      <c r="X1139" s="79"/>
      <c r="Y1139" s="79"/>
      <c r="Z1139" s="79"/>
      <c r="AA1139" s="79"/>
      <c r="AB1139" s="79"/>
      <c r="AC1139" s="81"/>
      <c r="AD1139" s="79"/>
      <c r="AE1139" s="79"/>
    </row>
    <row r="1140" ht="15.75" customHeight="1">
      <c r="A1140" s="79"/>
      <c r="B1140" s="79"/>
      <c r="C1140" s="79"/>
      <c r="D1140" s="79"/>
      <c r="E1140" s="79"/>
      <c r="F1140" s="79"/>
      <c r="G1140" s="79"/>
      <c r="H1140" s="79"/>
      <c r="I1140" s="79"/>
      <c r="J1140" s="79"/>
      <c r="K1140" s="79"/>
      <c r="L1140" s="79"/>
      <c r="M1140" s="79"/>
      <c r="N1140" s="79"/>
      <c r="O1140" s="79"/>
      <c r="P1140" s="79"/>
      <c r="Q1140" s="80"/>
      <c r="R1140" s="80"/>
      <c r="S1140" s="79"/>
      <c r="T1140" s="79"/>
      <c r="U1140" s="79"/>
      <c r="V1140" s="79"/>
      <c r="W1140" s="79"/>
      <c r="X1140" s="79"/>
      <c r="Y1140" s="79"/>
      <c r="Z1140" s="79"/>
      <c r="AA1140" s="79"/>
      <c r="AB1140" s="79"/>
      <c r="AC1140" s="81"/>
      <c r="AD1140" s="79"/>
      <c r="AE1140" s="79"/>
    </row>
    <row r="1141" ht="15.75" customHeight="1">
      <c r="A1141" s="79"/>
      <c r="B1141" s="79"/>
      <c r="C1141" s="79"/>
      <c r="D1141" s="79"/>
      <c r="E1141" s="79"/>
      <c r="F1141" s="79"/>
      <c r="G1141" s="79"/>
      <c r="H1141" s="79"/>
      <c r="I1141" s="79"/>
      <c r="J1141" s="79"/>
      <c r="K1141" s="79"/>
      <c r="L1141" s="79"/>
      <c r="M1141" s="79"/>
      <c r="N1141" s="79"/>
      <c r="O1141" s="79"/>
      <c r="P1141" s="79"/>
      <c r="Q1141" s="80"/>
      <c r="R1141" s="80"/>
      <c r="S1141" s="79"/>
      <c r="T1141" s="79"/>
      <c r="U1141" s="79"/>
      <c r="V1141" s="79"/>
      <c r="W1141" s="79"/>
      <c r="X1141" s="79"/>
      <c r="Y1141" s="79"/>
      <c r="Z1141" s="79"/>
      <c r="AA1141" s="79"/>
      <c r="AB1141" s="79"/>
      <c r="AC1141" s="81"/>
      <c r="AD1141" s="79"/>
      <c r="AE1141" s="79"/>
    </row>
    <row r="1142" ht="15.75" customHeight="1">
      <c r="A1142" s="79"/>
      <c r="B1142" s="79"/>
      <c r="C1142" s="79"/>
      <c r="D1142" s="79"/>
      <c r="E1142" s="79"/>
      <c r="F1142" s="79"/>
      <c r="G1142" s="79"/>
      <c r="H1142" s="79"/>
      <c r="I1142" s="79"/>
      <c r="J1142" s="79"/>
      <c r="K1142" s="79"/>
      <c r="L1142" s="79"/>
      <c r="M1142" s="79"/>
      <c r="N1142" s="79"/>
      <c r="O1142" s="79"/>
      <c r="P1142" s="79"/>
      <c r="Q1142" s="80"/>
      <c r="R1142" s="80"/>
      <c r="S1142" s="79"/>
      <c r="T1142" s="79"/>
      <c r="U1142" s="79"/>
      <c r="V1142" s="79"/>
      <c r="W1142" s="79"/>
      <c r="X1142" s="79"/>
      <c r="Y1142" s="79"/>
      <c r="Z1142" s="79"/>
      <c r="AA1142" s="79"/>
      <c r="AB1142" s="79"/>
      <c r="AC1142" s="81"/>
      <c r="AD1142" s="79"/>
      <c r="AE1142" s="79"/>
    </row>
    <row r="1143" ht="15.75" customHeight="1">
      <c r="A1143" s="79"/>
      <c r="B1143" s="79"/>
      <c r="C1143" s="79"/>
      <c r="D1143" s="79"/>
      <c r="E1143" s="79"/>
      <c r="F1143" s="79"/>
      <c r="G1143" s="79"/>
      <c r="H1143" s="79"/>
      <c r="I1143" s="79"/>
      <c r="J1143" s="79"/>
      <c r="K1143" s="79"/>
      <c r="L1143" s="79"/>
      <c r="M1143" s="79"/>
      <c r="N1143" s="79"/>
      <c r="O1143" s="79"/>
      <c r="P1143" s="79"/>
      <c r="Q1143" s="80"/>
      <c r="R1143" s="80"/>
      <c r="S1143" s="79"/>
      <c r="T1143" s="79"/>
      <c r="U1143" s="79"/>
      <c r="V1143" s="79"/>
      <c r="W1143" s="79"/>
      <c r="X1143" s="79"/>
      <c r="Y1143" s="79"/>
      <c r="Z1143" s="79"/>
      <c r="AA1143" s="79"/>
      <c r="AB1143" s="79"/>
      <c r="AC1143" s="81"/>
      <c r="AD1143" s="79"/>
      <c r="AE1143" s="79"/>
    </row>
    <row r="1144" ht="15.75" customHeight="1">
      <c r="A1144" s="79"/>
      <c r="B1144" s="79"/>
      <c r="C1144" s="79"/>
      <c r="D1144" s="79"/>
      <c r="E1144" s="79"/>
      <c r="F1144" s="79"/>
      <c r="G1144" s="79"/>
      <c r="H1144" s="79"/>
      <c r="I1144" s="79"/>
      <c r="J1144" s="79"/>
      <c r="K1144" s="79"/>
      <c r="L1144" s="79"/>
      <c r="M1144" s="79"/>
      <c r="N1144" s="79"/>
      <c r="O1144" s="79"/>
      <c r="P1144" s="79"/>
      <c r="Q1144" s="80"/>
      <c r="R1144" s="80"/>
      <c r="S1144" s="79"/>
      <c r="T1144" s="79"/>
      <c r="U1144" s="79"/>
      <c r="V1144" s="79"/>
      <c r="W1144" s="79"/>
      <c r="X1144" s="79"/>
      <c r="Y1144" s="79"/>
      <c r="Z1144" s="79"/>
      <c r="AA1144" s="79"/>
      <c r="AB1144" s="79"/>
      <c r="AC1144" s="81"/>
      <c r="AD1144" s="79"/>
      <c r="AE1144" s="79"/>
    </row>
    <row r="1145" ht="15.75" customHeight="1">
      <c r="A1145" s="79"/>
      <c r="B1145" s="79"/>
      <c r="C1145" s="79"/>
      <c r="D1145" s="79"/>
      <c r="E1145" s="79"/>
      <c r="F1145" s="79"/>
      <c r="G1145" s="79"/>
      <c r="H1145" s="79"/>
      <c r="I1145" s="79"/>
      <c r="J1145" s="79"/>
      <c r="K1145" s="79"/>
      <c r="L1145" s="79"/>
      <c r="M1145" s="79"/>
      <c r="N1145" s="79"/>
      <c r="O1145" s="79"/>
      <c r="P1145" s="79"/>
      <c r="Q1145" s="80"/>
      <c r="R1145" s="80"/>
      <c r="S1145" s="79"/>
      <c r="T1145" s="79"/>
      <c r="U1145" s="79"/>
      <c r="V1145" s="79"/>
      <c r="W1145" s="79"/>
      <c r="X1145" s="79"/>
      <c r="Y1145" s="79"/>
      <c r="Z1145" s="79"/>
      <c r="AA1145" s="79"/>
      <c r="AB1145" s="79"/>
      <c r="AC1145" s="81"/>
      <c r="AD1145" s="79"/>
      <c r="AE1145" s="79"/>
    </row>
    <row r="1146" ht="15.75" customHeight="1">
      <c r="A1146" s="79"/>
      <c r="B1146" s="79"/>
      <c r="C1146" s="79"/>
      <c r="D1146" s="79"/>
      <c r="E1146" s="79"/>
      <c r="F1146" s="79"/>
      <c r="G1146" s="79"/>
      <c r="H1146" s="79"/>
      <c r="I1146" s="79"/>
      <c r="J1146" s="79"/>
      <c r="K1146" s="79"/>
      <c r="L1146" s="79"/>
      <c r="M1146" s="79"/>
      <c r="N1146" s="79"/>
      <c r="O1146" s="79"/>
      <c r="P1146" s="79"/>
      <c r="Q1146" s="80"/>
      <c r="R1146" s="80"/>
      <c r="S1146" s="79"/>
      <c r="T1146" s="79"/>
      <c r="U1146" s="79"/>
      <c r="V1146" s="79"/>
      <c r="W1146" s="79"/>
      <c r="X1146" s="79"/>
      <c r="Y1146" s="79"/>
      <c r="Z1146" s="79"/>
      <c r="AA1146" s="79"/>
      <c r="AB1146" s="79"/>
      <c r="AC1146" s="81"/>
      <c r="AD1146" s="79"/>
      <c r="AE1146" s="79"/>
    </row>
    <row r="1147" ht="15.75" customHeight="1">
      <c r="A1147" s="79"/>
      <c r="B1147" s="79"/>
      <c r="C1147" s="79"/>
      <c r="D1147" s="79"/>
      <c r="E1147" s="79"/>
      <c r="F1147" s="79"/>
      <c r="G1147" s="79"/>
      <c r="H1147" s="79"/>
      <c r="I1147" s="79"/>
      <c r="J1147" s="79"/>
      <c r="K1147" s="79"/>
      <c r="L1147" s="79"/>
      <c r="M1147" s="79"/>
      <c r="N1147" s="79"/>
      <c r="O1147" s="79"/>
      <c r="P1147" s="79"/>
      <c r="Q1147" s="80"/>
      <c r="R1147" s="80"/>
      <c r="S1147" s="79"/>
      <c r="T1147" s="79"/>
      <c r="U1147" s="79"/>
      <c r="V1147" s="79"/>
      <c r="W1147" s="79"/>
      <c r="X1147" s="79"/>
      <c r="Y1147" s="79"/>
      <c r="Z1147" s="79"/>
      <c r="AA1147" s="79"/>
      <c r="AB1147" s="79"/>
      <c r="AC1147" s="81"/>
      <c r="AD1147" s="79"/>
      <c r="AE1147" s="79"/>
    </row>
    <row r="1148" ht="15.75" customHeight="1">
      <c r="A1148" s="79"/>
      <c r="B1148" s="79"/>
      <c r="C1148" s="79"/>
      <c r="D1148" s="79"/>
      <c r="E1148" s="79"/>
      <c r="F1148" s="79"/>
      <c r="G1148" s="79"/>
      <c r="H1148" s="79"/>
      <c r="I1148" s="79"/>
      <c r="J1148" s="79"/>
      <c r="K1148" s="79"/>
      <c r="L1148" s="79"/>
      <c r="M1148" s="79"/>
      <c r="N1148" s="79"/>
      <c r="O1148" s="79"/>
      <c r="P1148" s="79"/>
      <c r="Q1148" s="80"/>
      <c r="R1148" s="80"/>
      <c r="S1148" s="79"/>
      <c r="T1148" s="79"/>
      <c r="U1148" s="79"/>
      <c r="V1148" s="79"/>
      <c r="W1148" s="79"/>
      <c r="X1148" s="79"/>
      <c r="Y1148" s="79"/>
      <c r="Z1148" s="79"/>
      <c r="AA1148" s="79"/>
      <c r="AB1148" s="79"/>
      <c r="AC1148" s="81"/>
      <c r="AD1148" s="79"/>
      <c r="AE1148" s="79"/>
    </row>
    <row r="1149" ht="15.75" customHeight="1">
      <c r="A1149" s="79"/>
      <c r="B1149" s="79"/>
      <c r="C1149" s="79"/>
      <c r="D1149" s="79"/>
      <c r="E1149" s="79"/>
      <c r="F1149" s="79"/>
      <c r="G1149" s="79"/>
      <c r="H1149" s="79"/>
      <c r="I1149" s="79"/>
      <c r="J1149" s="79"/>
      <c r="K1149" s="79"/>
      <c r="L1149" s="79"/>
      <c r="M1149" s="79"/>
      <c r="N1149" s="79"/>
      <c r="O1149" s="79"/>
      <c r="P1149" s="79"/>
      <c r="Q1149" s="80"/>
      <c r="R1149" s="80"/>
      <c r="S1149" s="79"/>
      <c r="T1149" s="79"/>
      <c r="U1149" s="79"/>
      <c r="V1149" s="79"/>
      <c r="W1149" s="79"/>
      <c r="X1149" s="79"/>
      <c r="Y1149" s="79"/>
      <c r="Z1149" s="79"/>
      <c r="AA1149" s="79"/>
      <c r="AB1149" s="79"/>
      <c r="AC1149" s="81"/>
      <c r="AD1149" s="79"/>
      <c r="AE1149" s="79"/>
    </row>
    <row r="1150" ht="15.75" customHeight="1">
      <c r="A1150" s="79"/>
      <c r="B1150" s="79"/>
      <c r="C1150" s="79"/>
      <c r="D1150" s="79"/>
      <c r="E1150" s="79"/>
      <c r="F1150" s="79"/>
      <c r="G1150" s="79"/>
      <c r="H1150" s="79"/>
      <c r="I1150" s="79"/>
      <c r="J1150" s="79"/>
      <c r="K1150" s="79"/>
      <c r="L1150" s="79"/>
      <c r="M1150" s="79"/>
      <c r="N1150" s="79"/>
      <c r="O1150" s="79"/>
      <c r="P1150" s="79"/>
      <c r="Q1150" s="80"/>
      <c r="R1150" s="80"/>
      <c r="S1150" s="79"/>
      <c r="T1150" s="79"/>
      <c r="U1150" s="79"/>
      <c r="V1150" s="79"/>
      <c r="W1150" s="79"/>
      <c r="X1150" s="79"/>
      <c r="Y1150" s="79"/>
      <c r="Z1150" s="79"/>
      <c r="AA1150" s="79"/>
      <c r="AB1150" s="79"/>
      <c r="AC1150" s="81"/>
      <c r="AD1150" s="79"/>
      <c r="AE1150" s="79"/>
    </row>
    <row r="1151" ht="15.75" customHeight="1">
      <c r="A1151" s="79"/>
      <c r="B1151" s="79"/>
      <c r="C1151" s="79"/>
      <c r="D1151" s="79"/>
      <c r="E1151" s="79"/>
      <c r="F1151" s="79"/>
      <c r="G1151" s="79"/>
      <c r="H1151" s="79"/>
      <c r="I1151" s="79"/>
      <c r="J1151" s="79"/>
      <c r="K1151" s="79"/>
      <c r="L1151" s="79"/>
      <c r="M1151" s="79"/>
      <c r="N1151" s="79"/>
      <c r="O1151" s="79"/>
      <c r="P1151" s="79"/>
      <c r="Q1151" s="80"/>
      <c r="R1151" s="80"/>
      <c r="S1151" s="79"/>
      <c r="T1151" s="79"/>
      <c r="U1151" s="79"/>
      <c r="V1151" s="79"/>
      <c r="W1151" s="79"/>
      <c r="X1151" s="79"/>
      <c r="Y1151" s="79"/>
      <c r="Z1151" s="79"/>
      <c r="AA1151" s="79"/>
      <c r="AB1151" s="79"/>
      <c r="AC1151" s="81"/>
      <c r="AD1151" s="79"/>
      <c r="AE1151" s="79"/>
    </row>
    <row r="1152" ht="15.75" customHeight="1">
      <c r="A1152" s="79"/>
      <c r="B1152" s="79"/>
      <c r="C1152" s="79"/>
      <c r="D1152" s="79"/>
      <c r="E1152" s="79"/>
      <c r="F1152" s="79"/>
      <c r="G1152" s="79"/>
      <c r="H1152" s="79"/>
      <c r="I1152" s="79"/>
      <c r="J1152" s="79"/>
      <c r="K1152" s="79"/>
      <c r="L1152" s="79"/>
      <c r="M1152" s="79"/>
      <c r="N1152" s="79"/>
      <c r="O1152" s="79"/>
      <c r="P1152" s="79"/>
      <c r="Q1152" s="80"/>
      <c r="R1152" s="80"/>
      <c r="S1152" s="79"/>
      <c r="T1152" s="79"/>
      <c r="U1152" s="79"/>
      <c r="V1152" s="79"/>
      <c r="W1152" s="79"/>
      <c r="X1152" s="79"/>
      <c r="Y1152" s="79"/>
      <c r="Z1152" s="79"/>
      <c r="AA1152" s="79"/>
      <c r="AB1152" s="79"/>
      <c r="AC1152" s="81"/>
      <c r="AD1152" s="79"/>
      <c r="AE1152" s="79"/>
    </row>
    <row r="1153" ht="15.75" customHeight="1">
      <c r="A1153" s="79"/>
      <c r="B1153" s="79"/>
      <c r="C1153" s="79"/>
      <c r="D1153" s="79"/>
      <c r="E1153" s="79"/>
      <c r="F1153" s="79"/>
      <c r="G1153" s="79"/>
      <c r="H1153" s="79"/>
      <c r="I1153" s="79"/>
      <c r="J1153" s="79"/>
      <c r="K1153" s="79"/>
      <c r="L1153" s="79"/>
      <c r="M1153" s="79"/>
      <c r="N1153" s="79"/>
      <c r="O1153" s="79"/>
      <c r="P1153" s="79"/>
      <c r="Q1153" s="80"/>
      <c r="R1153" s="80"/>
      <c r="S1153" s="79"/>
      <c r="T1153" s="79"/>
      <c r="U1153" s="79"/>
      <c r="V1153" s="79"/>
      <c r="W1153" s="79"/>
      <c r="X1153" s="79"/>
      <c r="Y1153" s="79"/>
      <c r="Z1153" s="79"/>
      <c r="AA1153" s="79"/>
      <c r="AB1153" s="79"/>
      <c r="AC1153" s="81"/>
      <c r="AD1153" s="79"/>
      <c r="AE1153" s="79"/>
    </row>
    <row r="1154" ht="15.75" customHeight="1">
      <c r="A1154" s="79"/>
      <c r="B1154" s="79"/>
      <c r="C1154" s="79"/>
      <c r="D1154" s="79"/>
      <c r="E1154" s="79"/>
      <c r="F1154" s="79"/>
      <c r="G1154" s="79"/>
      <c r="H1154" s="79"/>
      <c r="I1154" s="79"/>
      <c r="J1154" s="79"/>
      <c r="K1154" s="79"/>
      <c r="L1154" s="79"/>
      <c r="M1154" s="79"/>
      <c r="N1154" s="79"/>
      <c r="O1154" s="79"/>
      <c r="P1154" s="79"/>
      <c r="Q1154" s="80"/>
      <c r="R1154" s="80"/>
      <c r="S1154" s="79"/>
      <c r="T1154" s="79"/>
      <c r="U1154" s="79"/>
      <c r="V1154" s="79"/>
      <c r="W1154" s="79"/>
      <c r="X1154" s="79"/>
      <c r="Y1154" s="79"/>
      <c r="Z1154" s="79"/>
      <c r="AA1154" s="79"/>
      <c r="AB1154" s="79"/>
      <c r="AC1154" s="81"/>
      <c r="AD1154" s="79"/>
      <c r="AE1154" s="79"/>
    </row>
    <row r="1155" ht="15.75" customHeight="1">
      <c r="A1155" s="79"/>
      <c r="B1155" s="79"/>
      <c r="C1155" s="79"/>
      <c r="D1155" s="79"/>
      <c r="E1155" s="79"/>
      <c r="F1155" s="79"/>
      <c r="G1155" s="79"/>
      <c r="H1155" s="79"/>
      <c r="I1155" s="79"/>
      <c r="J1155" s="79"/>
      <c r="K1155" s="79"/>
      <c r="L1155" s="79"/>
      <c r="M1155" s="79"/>
      <c r="N1155" s="79"/>
      <c r="O1155" s="79"/>
      <c r="P1155" s="79"/>
      <c r="Q1155" s="80"/>
      <c r="R1155" s="80"/>
      <c r="S1155" s="79"/>
      <c r="T1155" s="79"/>
      <c r="U1155" s="79"/>
      <c r="V1155" s="79"/>
      <c r="W1155" s="79"/>
      <c r="X1155" s="79"/>
      <c r="Y1155" s="79"/>
      <c r="Z1155" s="79"/>
      <c r="AA1155" s="79"/>
      <c r="AB1155" s="79"/>
      <c r="AC1155" s="81"/>
      <c r="AD1155" s="79"/>
      <c r="AE1155" s="79"/>
    </row>
    <row r="1156" ht="15.75" customHeight="1">
      <c r="A1156" s="79"/>
      <c r="B1156" s="79"/>
      <c r="C1156" s="79"/>
      <c r="D1156" s="79"/>
      <c r="E1156" s="79"/>
      <c r="F1156" s="79"/>
      <c r="G1156" s="79"/>
      <c r="H1156" s="79"/>
      <c r="I1156" s="79"/>
      <c r="J1156" s="79"/>
      <c r="K1156" s="79"/>
      <c r="L1156" s="79"/>
      <c r="M1156" s="79"/>
      <c r="N1156" s="79"/>
      <c r="O1156" s="79"/>
      <c r="P1156" s="79"/>
      <c r="Q1156" s="80"/>
      <c r="R1156" s="80"/>
      <c r="S1156" s="79"/>
      <c r="T1156" s="79"/>
      <c r="U1156" s="79"/>
      <c r="V1156" s="79"/>
      <c r="W1156" s="79"/>
      <c r="X1156" s="79"/>
      <c r="Y1156" s="79"/>
      <c r="Z1156" s="79"/>
      <c r="AA1156" s="79"/>
      <c r="AB1156" s="79"/>
      <c r="AC1156" s="81"/>
      <c r="AD1156" s="79"/>
      <c r="AE1156" s="79"/>
    </row>
    <row r="1157" ht="15.75" customHeight="1">
      <c r="A1157" s="79"/>
      <c r="B1157" s="79"/>
      <c r="C1157" s="79"/>
      <c r="D1157" s="79"/>
      <c r="E1157" s="79"/>
      <c r="F1157" s="79"/>
      <c r="G1157" s="79"/>
      <c r="H1157" s="79"/>
      <c r="I1157" s="79"/>
      <c r="J1157" s="79"/>
      <c r="K1157" s="79"/>
      <c r="L1157" s="79"/>
      <c r="M1157" s="79"/>
      <c r="N1157" s="79"/>
      <c r="O1157" s="79"/>
      <c r="P1157" s="79"/>
      <c r="Q1157" s="80"/>
      <c r="R1157" s="80"/>
      <c r="S1157" s="79"/>
      <c r="T1157" s="79"/>
      <c r="U1157" s="79"/>
      <c r="V1157" s="79"/>
      <c r="W1157" s="79"/>
      <c r="X1157" s="79"/>
      <c r="Y1157" s="79"/>
      <c r="Z1157" s="79"/>
      <c r="AA1157" s="79"/>
      <c r="AB1157" s="79"/>
      <c r="AC1157" s="81"/>
      <c r="AD1157" s="79"/>
      <c r="AE1157" s="79"/>
    </row>
    <row r="1158" ht="15.75" customHeight="1">
      <c r="A1158" s="79"/>
      <c r="B1158" s="79"/>
      <c r="C1158" s="79"/>
      <c r="D1158" s="79"/>
      <c r="E1158" s="79"/>
      <c r="F1158" s="79"/>
      <c r="G1158" s="79"/>
      <c r="H1158" s="79"/>
      <c r="I1158" s="79"/>
      <c r="J1158" s="79"/>
      <c r="K1158" s="79"/>
      <c r="L1158" s="79"/>
      <c r="M1158" s="79"/>
      <c r="N1158" s="79"/>
      <c r="O1158" s="79"/>
      <c r="P1158" s="79"/>
      <c r="Q1158" s="80"/>
      <c r="R1158" s="80"/>
      <c r="S1158" s="79"/>
      <c r="T1158" s="79"/>
      <c r="U1158" s="79"/>
      <c r="V1158" s="79"/>
      <c r="W1158" s="79"/>
      <c r="X1158" s="79"/>
      <c r="Y1158" s="79"/>
      <c r="Z1158" s="79"/>
      <c r="AA1158" s="79"/>
      <c r="AB1158" s="79"/>
      <c r="AC1158" s="81"/>
      <c r="AD1158" s="79"/>
      <c r="AE1158" s="79"/>
    </row>
    <row r="1159" ht="15.75" customHeight="1">
      <c r="A1159" s="79"/>
      <c r="B1159" s="79"/>
      <c r="C1159" s="79"/>
      <c r="D1159" s="79"/>
      <c r="E1159" s="79"/>
      <c r="F1159" s="79"/>
      <c r="G1159" s="79"/>
      <c r="H1159" s="79"/>
      <c r="I1159" s="79"/>
      <c r="J1159" s="79"/>
      <c r="K1159" s="79"/>
      <c r="L1159" s="79"/>
      <c r="M1159" s="79"/>
      <c r="N1159" s="79"/>
      <c r="O1159" s="79"/>
      <c r="P1159" s="79"/>
      <c r="Q1159" s="80"/>
      <c r="R1159" s="80"/>
      <c r="S1159" s="79"/>
      <c r="T1159" s="79"/>
      <c r="U1159" s="79"/>
      <c r="V1159" s="79"/>
      <c r="W1159" s="79"/>
      <c r="X1159" s="79"/>
      <c r="Y1159" s="79"/>
      <c r="Z1159" s="79"/>
      <c r="AA1159" s="79"/>
      <c r="AB1159" s="79"/>
      <c r="AC1159" s="81"/>
      <c r="AD1159" s="79"/>
      <c r="AE1159" s="79"/>
    </row>
    <row r="1160" ht="15.75" customHeight="1">
      <c r="A1160" s="79"/>
      <c r="B1160" s="79"/>
      <c r="C1160" s="79"/>
      <c r="D1160" s="79"/>
      <c r="E1160" s="79"/>
      <c r="F1160" s="79"/>
      <c r="G1160" s="79"/>
      <c r="H1160" s="79"/>
      <c r="I1160" s="79"/>
      <c r="J1160" s="79"/>
      <c r="K1160" s="79"/>
      <c r="L1160" s="79"/>
      <c r="M1160" s="79"/>
      <c r="N1160" s="79"/>
      <c r="O1160" s="79"/>
      <c r="P1160" s="79"/>
      <c r="Q1160" s="80"/>
      <c r="R1160" s="80"/>
      <c r="S1160" s="79"/>
      <c r="T1160" s="79"/>
      <c r="U1160" s="79"/>
      <c r="V1160" s="79"/>
      <c r="W1160" s="79"/>
      <c r="X1160" s="79"/>
      <c r="Y1160" s="79"/>
      <c r="Z1160" s="79"/>
      <c r="AA1160" s="79"/>
      <c r="AB1160" s="79"/>
      <c r="AC1160" s="81"/>
      <c r="AD1160" s="79"/>
      <c r="AE1160" s="79"/>
    </row>
  </sheetData>
  <autoFilter ref="$A$1:$AD$607"/>
  <conditionalFormatting sqref="A1:AE1">
    <cfRule type="notContainsBlanks" dxfId="0" priority="1">
      <formula>LEN(TRIM(A1))&gt;0</formula>
    </cfRule>
  </conditionalFormatting>
  <conditionalFormatting sqref="A1:AE1">
    <cfRule type="notContainsBlanks" dxfId="0" priority="2">
      <formula>LEN(TRIM(A1))&gt;0</formula>
    </cfRule>
  </conditionalFormatting>
  <dataValidations>
    <dataValidation type="list" allowBlank="1" sqref="P2:P466 P468:P601 P603:P607">
      <formula1>Names!$B$2:$B$998</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8.78"/>
    <col customWidth="1" min="2" max="2" width="64.44"/>
  </cols>
  <sheetData>
    <row r="1">
      <c r="A1" s="82" t="s">
        <v>4363</v>
      </c>
      <c r="B1" s="83" t="s">
        <v>4364</v>
      </c>
      <c r="C1" s="84"/>
      <c r="D1" s="84"/>
      <c r="E1" s="84"/>
      <c r="F1" s="84"/>
      <c r="G1" s="84"/>
      <c r="H1" s="84"/>
      <c r="I1" s="84"/>
      <c r="J1" s="84"/>
      <c r="K1" s="84"/>
      <c r="L1" s="84"/>
      <c r="M1" s="84"/>
      <c r="N1" s="84"/>
      <c r="O1" s="84"/>
      <c r="P1" s="84"/>
      <c r="Q1" s="84"/>
      <c r="R1" s="84"/>
      <c r="S1" s="84"/>
      <c r="T1" s="84"/>
      <c r="U1" s="84"/>
      <c r="V1" s="84"/>
      <c r="W1" s="84"/>
      <c r="X1" s="84"/>
      <c r="Y1" s="84"/>
      <c r="Z1" s="84"/>
    </row>
    <row r="2">
      <c r="A2" s="85" t="s">
        <v>4365</v>
      </c>
      <c r="B2" s="86" t="s">
        <v>4366</v>
      </c>
      <c r="C2" s="87"/>
      <c r="D2" s="87"/>
      <c r="E2" s="87"/>
      <c r="F2" s="87"/>
      <c r="G2" s="87"/>
      <c r="H2" s="87"/>
      <c r="I2" s="87"/>
      <c r="J2" s="87"/>
      <c r="K2" s="87"/>
      <c r="L2" s="87"/>
      <c r="M2" s="87"/>
      <c r="N2" s="87"/>
      <c r="O2" s="87"/>
      <c r="P2" s="87"/>
      <c r="Q2" s="87"/>
      <c r="R2" s="87"/>
      <c r="S2" s="87"/>
      <c r="T2" s="87"/>
      <c r="U2" s="87"/>
      <c r="V2" s="87"/>
      <c r="W2" s="87"/>
      <c r="X2" s="87"/>
      <c r="Y2" s="87"/>
      <c r="Z2" s="87"/>
    </row>
    <row r="3">
      <c r="A3" s="85" t="s">
        <v>4367</v>
      </c>
      <c r="B3" s="86"/>
      <c r="C3" s="87"/>
      <c r="D3" s="87"/>
      <c r="E3" s="87"/>
      <c r="F3" s="87"/>
      <c r="G3" s="87"/>
      <c r="H3" s="87"/>
      <c r="I3" s="87"/>
      <c r="J3" s="87"/>
      <c r="K3" s="87"/>
      <c r="L3" s="87"/>
      <c r="M3" s="87"/>
      <c r="N3" s="87"/>
      <c r="O3" s="87"/>
      <c r="P3" s="87"/>
      <c r="Q3" s="87"/>
      <c r="R3" s="87"/>
      <c r="S3" s="87"/>
      <c r="T3" s="87"/>
      <c r="U3" s="87"/>
      <c r="V3" s="87"/>
      <c r="W3" s="87"/>
      <c r="X3" s="87"/>
      <c r="Y3" s="87"/>
      <c r="Z3" s="87"/>
    </row>
    <row r="4">
      <c r="A4" s="85" t="s">
        <v>4368</v>
      </c>
      <c r="B4" s="86"/>
      <c r="C4" s="87"/>
      <c r="D4" s="87"/>
      <c r="E4" s="87"/>
      <c r="F4" s="87"/>
      <c r="G4" s="87"/>
      <c r="H4" s="87"/>
      <c r="I4" s="87"/>
      <c r="J4" s="87"/>
      <c r="K4" s="87"/>
      <c r="L4" s="87"/>
      <c r="M4" s="87"/>
      <c r="N4" s="87"/>
      <c r="O4" s="87"/>
      <c r="P4" s="87"/>
      <c r="Q4" s="87"/>
      <c r="R4" s="87"/>
      <c r="S4" s="87"/>
      <c r="T4" s="87"/>
      <c r="U4" s="87"/>
      <c r="V4" s="87"/>
      <c r="W4" s="87"/>
      <c r="X4" s="87"/>
      <c r="Y4" s="87"/>
      <c r="Z4" s="87"/>
    </row>
    <row r="5">
      <c r="A5" s="85" t="s">
        <v>4369</v>
      </c>
      <c r="B5" s="86"/>
      <c r="C5" s="87"/>
      <c r="D5" s="87"/>
      <c r="E5" s="87"/>
      <c r="F5" s="87"/>
      <c r="G5" s="87"/>
      <c r="H5" s="87"/>
      <c r="I5" s="87"/>
      <c r="J5" s="87"/>
      <c r="K5" s="87"/>
      <c r="L5" s="87"/>
      <c r="M5" s="87"/>
      <c r="N5" s="87"/>
      <c r="O5" s="87"/>
      <c r="P5" s="87"/>
      <c r="Q5" s="87"/>
      <c r="R5" s="87"/>
      <c r="S5" s="87"/>
      <c r="T5" s="87"/>
      <c r="U5" s="87"/>
      <c r="V5" s="87"/>
      <c r="W5" s="87"/>
      <c r="X5" s="87"/>
      <c r="Y5" s="87"/>
      <c r="Z5" s="87"/>
    </row>
    <row r="6">
      <c r="A6" s="85" t="s">
        <v>4370</v>
      </c>
      <c r="B6" s="86"/>
      <c r="C6" s="87"/>
      <c r="D6" s="87"/>
      <c r="E6" s="87"/>
      <c r="F6" s="87"/>
      <c r="G6" s="87"/>
      <c r="H6" s="87"/>
      <c r="I6" s="87"/>
      <c r="J6" s="87"/>
      <c r="K6" s="87"/>
      <c r="L6" s="87"/>
      <c r="M6" s="87"/>
      <c r="N6" s="87"/>
      <c r="O6" s="87"/>
      <c r="P6" s="87"/>
      <c r="Q6" s="87"/>
      <c r="R6" s="87"/>
      <c r="S6" s="87"/>
      <c r="T6" s="87"/>
      <c r="U6" s="87"/>
      <c r="V6" s="87"/>
      <c r="W6" s="87"/>
      <c r="X6" s="87"/>
      <c r="Y6" s="87"/>
      <c r="Z6" s="87"/>
    </row>
    <row r="7">
      <c r="A7" s="85" t="s">
        <v>4371</v>
      </c>
      <c r="B7" s="86"/>
      <c r="C7" s="87"/>
      <c r="D7" s="87"/>
      <c r="E7" s="87"/>
      <c r="F7" s="87"/>
      <c r="G7" s="87"/>
      <c r="H7" s="87"/>
      <c r="I7" s="87"/>
      <c r="J7" s="87"/>
      <c r="K7" s="87"/>
      <c r="L7" s="87"/>
      <c r="M7" s="87"/>
      <c r="N7" s="87"/>
      <c r="O7" s="87"/>
      <c r="P7" s="87"/>
      <c r="Q7" s="87"/>
      <c r="R7" s="87"/>
      <c r="S7" s="87"/>
      <c r="T7" s="87"/>
      <c r="U7" s="87"/>
      <c r="V7" s="87"/>
      <c r="W7" s="87"/>
      <c r="X7" s="87"/>
      <c r="Y7" s="87"/>
      <c r="Z7" s="87"/>
    </row>
    <row r="8">
      <c r="A8" s="85" t="s">
        <v>4372</v>
      </c>
      <c r="B8" s="86"/>
      <c r="C8" s="87"/>
      <c r="D8" s="87"/>
      <c r="E8" s="87"/>
      <c r="F8" s="87"/>
      <c r="G8" s="87"/>
      <c r="H8" s="87"/>
      <c r="I8" s="87"/>
      <c r="J8" s="87"/>
      <c r="K8" s="87"/>
      <c r="L8" s="87"/>
      <c r="M8" s="87"/>
      <c r="N8" s="87"/>
      <c r="O8" s="87"/>
      <c r="P8" s="87"/>
      <c r="Q8" s="87"/>
      <c r="R8" s="87"/>
      <c r="S8" s="87"/>
      <c r="T8" s="87"/>
      <c r="U8" s="87"/>
      <c r="V8" s="87"/>
      <c r="W8" s="87"/>
      <c r="X8" s="87"/>
      <c r="Y8" s="87"/>
      <c r="Z8" s="87"/>
    </row>
    <row r="9">
      <c r="A9" s="85" t="s">
        <v>4373</v>
      </c>
      <c r="B9" s="86"/>
      <c r="C9" s="87"/>
      <c r="D9" s="87"/>
      <c r="E9" s="87"/>
      <c r="F9" s="87"/>
      <c r="G9" s="87"/>
      <c r="H9" s="87"/>
      <c r="I9" s="87"/>
      <c r="J9" s="87"/>
      <c r="K9" s="87"/>
      <c r="L9" s="87"/>
      <c r="M9" s="87"/>
      <c r="N9" s="87"/>
      <c r="O9" s="87"/>
      <c r="P9" s="87"/>
      <c r="Q9" s="87"/>
      <c r="R9" s="87"/>
      <c r="S9" s="87"/>
      <c r="T9" s="87"/>
      <c r="U9" s="87"/>
      <c r="V9" s="87"/>
      <c r="W9" s="87"/>
      <c r="X9" s="87"/>
      <c r="Y9" s="87"/>
      <c r="Z9" s="87"/>
    </row>
    <row r="10">
      <c r="A10" s="85" t="s">
        <v>4374</v>
      </c>
      <c r="B10" s="86"/>
      <c r="C10" s="87"/>
      <c r="D10" s="87"/>
      <c r="E10" s="87"/>
      <c r="F10" s="87"/>
      <c r="G10" s="87"/>
      <c r="H10" s="87"/>
      <c r="I10" s="87"/>
      <c r="J10" s="87"/>
      <c r="K10" s="87"/>
      <c r="L10" s="87"/>
      <c r="M10" s="87"/>
      <c r="N10" s="87"/>
      <c r="O10" s="87"/>
      <c r="P10" s="87"/>
      <c r="Q10" s="87"/>
      <c r="R10" s="87"/>
      <c r="S10" s="87"/>
      <c r="T10" s="87"/>
      <c r="U10" s="87"/>
      <c r="V10" s="87"/>
      <c r="W10" s="87"/>
      <c r="X10" s="87"/>
      <c r="Y10" s="87"/>
      <c r="Z10" s="87"/>
    </row>
    <row r="11">
      <c r="A11" s="85" t="s">
        <v>4375</v>
      </c>
      <c r="B11" s="86"/>
      <c r="C11" s="87"/>
      <c r="D11" s="87"/>
      <c r="E11" s="87"/>
      <c r="F11" s="87"/>
      <c r="G11" s="87"/>
      <c r="H11" s="87"/>
      <c r="I11" s="87"/>
      <c r="J11" s="87"/>
      <c r="K11" s="87"/>
      <c r="L11" s="87"/>
      <c r="M11" s="87"/>
      <c r="N11" s="87"/>
      <c r="O11" s="87"/>
      <c r="P11" s="87"/>
      <c r="Q11" s="87"/>
      <c r="R11" s="87"/>
      <c r="S11" s="87"/>
      <c r="T11" s="87"/>
      <c r="U11" s="87"/>
      <c r="V11" s="87"/>
      <c r="W11" s="87"/>
      <c r="X11" s="87"/>
      <c r="Y11" s="87"/>
      <c r="Z11" s="87"/>
    </row>
    <row r="12">
      <c r="A12" s="85" t="s">
        <v>4376</v>
      </c>
      <c r="B12" s="86"/>
      <c r="C12" s="87"/>
      <c r="D12" s="87"/>
      <c r="E12" s="87"/>
      <c r="F12" s="87"/>
      <c r="G12" s="87"/>
      <c r="H12" s="87"/>
      <c r="I12" s="87"/>
      <c r="J12" s="87"/>
      <c r="K12" s="87"/>
      <c r="L12" s="87"/>
      <c r="M12" s="87"/>
      <c r="N12" s="87"/>
      <c r="O12" s="87"/>
      <c r="P12" s="87"/>
      <c r="Q12" s="87"/>
      <c r="R12" s="87"/>
      <c r="S12" s="87"/>
      <c r="T12" s="87"/>
      <c r="U12" s="87"/>
      <c r="V12" s="87"/>
      <c r="W12" s="87"/>
      <c r="X12" s="87"/>
      <c r="Y12" s="87"/>
      <c r="Z12" s="87"/>
    </row>
    <row r="13">
      <c r="A13" s="85" t="s">
        <v>4377</v>
      </c>
      <c r="B13" s="86"/>
      <c r="C13" s="87"/>
      <c r="D13" s="87"/>
      <c r="E13" s="87"/>
      <c r="F13" s="87"/>
      <c r="G13" s="87"/>
      <c r="H13" s="87"/>
      <c r="I13" s="87"/>
      <c r="J13" s="87"/>
      <c r="K13" s="87"/>
      <c r="L13" s="87"/>
      <c r="M13" s="87"/>
      <c r="N13" s="87"/>
      <c r="O13" s="87"/>
      <c r="P13" s="87"/>
      <c r="Q13" s="87"/>
      <c r="R13" s="87"/>
      <c r="S13" s="87"/>
      <c r="T13" s="87"/>
      <c r="U13" s="87"/>
      <c r="V13" s="87"/>
      <c r="W13" s="87"/>
      <c r="X13" s="87"/>
      <c r="Y13" s="87"/>
      <c r="Z13" s="87"/>
    </row>
    <row r="14">
      <c r="A14" s="85" t="s">
        <v>4378</v>
      </c>
      <c r="B14" s="86"/>
      <c r="C14" s="87"/>
      <c r="D14" s="87"/>
      <c r="E14" s="87"/>
      <c r="F14" s="87"/>
      <c r="G14" s="87"/>
      <c r="H14" s="87"/>
      <c r="I14" s="87"/>
      <c r="J14" s="87"/>
      <c r="K14" s="87"/>
      <c r="L14" s="87"/>
      <c r="M14" s="87"/>
      <c r="N14" s="87"/>
      <c r="O14" s="87"/>
      <c r="P14" s="87"/>
      <c r="Q14" s="87"/>
      <c r="R14" s="87"/>
      <c r="S14" s="87"/>
      <c r="T14" s="87"/>
      <c r="U14" s="87"/>
      <c r="V14" s="87"/>
      <c r="W14" s="87"/>
      <c r="X14" s="87"/>
      <c r="Y14" s="87"/>
      <c r="Z14" s="87"/>
    </row>
    <row r="15">
      <c r="A15" s="85" t="s">
        <v>1559</v>
      </c>
      <c r="B15" s="86"/>
      <c r="C15" s="87"/>
      <c r="D15" s="87"/>
      <c r="E15" s="87"/>
      <c r="F15" s="87"/>
      <c r="G15" s="87"/>
      <c r="H15" s="87"/>
      <c r="I15" s="87"/>
      <c r="J15" s="87"/>
      <c r="K15" s="87"/>
      <c r="L15" s="87"/>
      <c r="M15" s="87"/>
      <c r="N15" s="87"/>
      <c r="O15" s="87"/>
      <c r="P15" s="87"/>
      <c r="Q15" s="87"/>
      <c r="R15" s="87"/>
      <c r="S15" s="87"/>
      <c r="T15" s="87"/>
      <c r="U15" s="87"/>
      <c r="V15" s="87"/>
      <c r="W15" s="87"/>
      <c r="X15" s="87"/>
      <c r="Y15" s="87"/>
      <c r="Z15" s="87"/>
    </row>
    <row r="16">
      <c r="A16" s="85" t="s">
        <v>4379</v>
      </c>
      <c r="B16" s="86"/>
      <c r="C16" s="87"/>
      <c r="D16" s="87"/>
      <c r="E16" s="87"/>
      <c r="F16" s="87"/>
      <c r="G16" s="87"/>
      <c r="H16" s="87"/>
      <c r="I16" s="87"/>
      <c r="J16" s="87"/>
      <c r="K16" s="87"/>
      <c r="L16" s="87"/>
      <c r="M16" s="87"/>
      <c r="N16" s="87"/>
      <c r="O16" s="87"/>
      <c r="P16" s="87"/>
      <c r="Q16" s="87"/>
      <c r="R16" s="87"/>
      <c r="S16" s="87"/>
      <c r="T16" s="87"/>
      <c r="U16" s="87"/>
      <c r="V16" s="87"/>
      <c r="W16" s="87"/>
      <c r="X16" s="87"/>
      <c r="Y16" s="87"/>
      <c r="Z16" s="87"/>
    </row>
    <row r="17">
      <c r="A17" s="85" t="s">
        <v>638</v>
      </c>
      <c r="B17" s="86" t="s">
        <v>4380</v>
      </c>
      <c r="C17" s="87"/>
      <c r="D17" s="87"/>
      <c r="E17" s="87"/>
      <c r="F17" s="87"/>
      <c r="G17" s="87"/>
      <c r="H17" s="87"/>
      <c r="I17" s="87"/>
      <c r="J17" s="87"/>
      <c r="K17" s="87"/>
      <c r="L17" s="87"/>
      <c r="M17" s="87"/>
      <c r="N17" s="87"/>
      <c r="O17" s="87"/>
      <c r="P17" s="87"/>
      <c r="Q17" s="87"/>
      <c r="R17" s="87"/>
      <c r="S17" s="87"/>
      <c r="T17" s="87"/>
      <c r="U17" s="87"/>
      <c r="V17" s="87"/>
      <c r="W17" s="87"/>
      <c r="X17" s="87"/>
      <c r="Y17" s="87"/>
      <c r="Z17" s="87"/>
    </row>
    <row r="18">
      <c r="A18" s="85" t="s">
        <v>4381</v>
      </c>
      <c r="B18" s="86" t="s">
        <v>4382</v>
      </c>
      <c r="C18" s="87"/>
      <c r="D18" s="87"/>
      <c r="E18" s="87"/>
      <c r="F18" s="87"/>
      <c r="G18" s="87"/>
      <c r="H18" s="87"/>
      <c r="I18" s="87"/>
      <c r="J18" s="87"/>
      <c r="K18" s="87"/>
      <c r="L18" s="87"/>
      <c r="M18" s="87"/>
      <c r="N18" s="87"/>
      <c r="O18" s="87"/>
      <c r="P18" s="87"/>
      <c r="Q18" s="87"/>
      <c r="R18" s="87"/>
      <c r="S18" s="87"/>
      <c r="T18" s="87"/>
      <c r="U18" s="87"/>
      <c r="V18" s="87"/>
      <c r="W18" s="87"/>
      <c r="X18" s="87"/>
      <c r="Y18" s="87"/>
      <c r="Z18" s="87"/>
    </row>
    <row r="19">
      <c r="A19" s="85" t="s">
        <v>333</v>
      </c>
      <c r="B19" s="86"/>
      <c r="C19" s="87"/>
      <c r="D19" s="87"/>
      <c r="E19" s="87"/>
      <c r="F19" s="87"/>
      <c r="G19" s="87"/>
      <c r="H19" s="87"/>
      <c r="I19" s="87"/>
      <c r="J19" s="87"/>
      <c r="K19" s="87"/>
      <c r="L19" s="87"/>
      <c r="M19" s="87"/>
      <c r="N19" s="87"/>
      <c r="O19" s="87"/>
      <c r="P19" s="87"/>
      <c r="Q19" s="87"/>
      <c r="R19" s="87"/>
      <c r="S19" s="87"/>
      <c r="T19" s="87"/>
      <c r="U19" s="87"/>
      <c r="V19" s="87"/>
      <c r="W19" s="87"/>
      <c r="X19" s="87"/>
      <c r="Y19" s="87"/>
      <c r="Z19" s="87"/>
    </row>
    <row r="20">
      <c r="A20" s="85" t="s">
        <v>4383</v>
      </c>
      <c r="B20" s="86"/>
      <c r="C20" s="87"/>
      <c r="D20" s="87"/>
      <c r="E20" s="87"/>
      <c r="F20" s="87"/>
      <c r="G20" s="87"/>
      <c r="H20" s="87"/>
      <c r="I20" s="87"/>
      <c r="J20" s="87"/>
      <c r="K20" s="87"/>
      <c r="L20" s="87"/>
      <c r="M20" s="87"/>
      <c r="N20" s="87"/>
      <c r="O20" s="87"/>
      <c r="P20" s="87"/>
      <c r="Q20" s="87"/>
      <c r="R20" s="87"/>
      <c r="S20" s="87"/>
      <c r="T20" s="87"/>
      <c r="U20" s="87"/>
      <c r="V20" s="87"/>
      <c r="W20" s="87"/>
      <c r="X20" s="87"/>
      <c r="Y20" s="87"/>
      <c r="Z20" s="87"/>
    </row>
    <row r="21">
      <c r="A21" s="85" t="s">
        <v>4384</v>
      </c>
      <c r="B21" s="86"/>
      <c r="C21" s="87"/>
      <c r="D21" s="87"/>
      <c r="E21" s="87"/>
      <c r="F21" s="87"/>
      <c r="G21" s="87"/>
      <c r="H21" s="87"/>
      <c r="I21" s="87"/>
      <c r="J21" s="87"/>
      <c r="K21" s="87"/>
      <c r="L21" s="87"/>
      <c r="M21" s="87"/>
      <c r="N21" s="87"/>
      <c r="O21" s="87"/>
      <c r="P21" s="87"/>
      <c r="Q21" s="87"/>
      <c r="R21" s="87"/>
      <c r="S21" s="87"/>
      <c r="T21" s="87"/>
      <c r="U21" s="87"/>
      <c r="V21" s="87"/>
      <c r="W21" s="87"/>
      <c r="X21" s="87"/>
      <c r="Y21" s="87"/>
      <c r="Z21" s="87"/>
    </row>
    <row r="22">
      <c r="A22" s="85" t="s">
        <v>4385</v>
      </c>
      <c r="B22" s="86"/>
      <c r="C22" s="87"/>
      <c r="D22" s="87"/>
      <c r="E22" s="87"/>
      <c r="F22" s="87"/>
      <c r="G22" s="87"/>
      <c r="H22" s="87"/>
      <c r="I22" s="87"/>
      <c r="J22" s="87"/>
      <c r="K22" s="87"/>
      <c r="L22" s="87"/>
      <c r="M22" s="87"/>
      <c r="N22" s="87"/>
      <c r="O22" s="87"/>
      <c r="P22" s="87"/>
      <c r="Q22" s="87"/>
      <c r="R22" s="87"/>
      <c r="S22" s="87"/>
      <c r="T22" s="87"/>
      <c r="U22" s="87"/>
      <c r="V22" s="87"/>
      <c r="W22" s="87"/>
      <c r="X22" s="87"/>
      <c r="Y22" s="87"/>
      <c r="Z22" s="87"/>
    </row>
    <row r="23">
      <c r="A23" s="85" t="s">
        <v>406</v>
      </c>
      <c r="B23" s="86"/>
      <c r="C23" s="87"/>
      <c r="D23" s="87"/>
      <c r="E23" s="87"/>
      <c r="F23" s="87"/>
      <c r="G23" s="87"/>
      <c r="H23" s="87"/>
      <c r="I23" s="87"/>
      <c r="J23" s="87"/>
      <c r="K23" s="87"/>
      <c r="L23" s="87"/>
      <c r="M23" s="87"/>
      <c r="N23" s="87"/>
      <c r="O23" s="87"/>
      <c r="P23" s="87"/>
      <c r="Q23" s="87"/>
      <c r="R23" s="87"/>
      <c r="S23" s="87"/>
      <c r="T23" s="87"/>
      <c r="U23" s="87"/>
      <c r="V23" s="87"/>
      <c r="W23" s="87"/>
      <c r="X23" s="87"/>
      <c r="Y23" s="87"/>
      <c r="Z23" s="87"/>
    </row>
    <row r="24">
      <c r="A24" s="85" t="s">
        <v>4386</v>
      </c>
      <c r="B24" s="86"/>
      <c r="C24" s="87"/>
      <c r="D24" s="87"/>
      <c r="E24" s="87"/>
      <c r="F24" s="87"/>
      <c r="G24" s="87"/>
      <c r="H24" s="87"/>
      <c r="I24" s="87"/>
      <c r="J24" s="87"/>
      <c r="K24" s="87"/>
      <c r="L24" s="87"/>
      <c r="M24" s="87"/>
      <c r="N24" s="87"/>
      <c r="O24" s="87"/>
      <c r="P24" s="87"/>
      <c r="Q24" s="87"/>
      <c r="R24" s="87"/>
      <c r="S24" s="87"/>
      <c r="T24" s="87"/>
      <c r="U24" s="87"/>
      <c r="V24" s="87"/>
      <c r="W24" s="87"/>
      <c r="X24" s="87"/>
      <c r="Y24" s="87"/>
      <c r="Z24" s="87"/>
    </row>
    <row r="25">
      <c r="A25" s="85" t="s">
        <v>4387</v>
      </c>
      <c r="B25" s="86"/>
      <c r="C25" s="87"/>
      <c r="D25" s="87"/>
      <c r="E25" s="87"/>
      <c r="F25" s="87"/>
      <c r="G25" s="87"/>
      <c r="H25" s="87"/>
      <c r="I25" s="87"/>
      <c r="J25" s="87"/>
      <c r="K25" s="87"/>
      <c r="L25" s="87"/>
      <c r="M25" s="87"/>
      <c r="N25" s="87"/>
      <c r="O25" s="87"/>
      <c r="P25" s="87"/>
      <c r="Q25" s="87"/>
      <c r="R25" s="87"/>
      <c r="S25" s="87"/>
      <c r="T25" s="87"/>
      <c r="U25" s="87"/>
      <c r="V25" s="87"/>
      <c r="W25" s="87"/>
      <c r="X25" s="87"/>
      <c r="Y25" s="87"/>
      <c r="Z25" s="87"/>
    </row>
    <row r="26">
      <c r="A26" s="85" t="s">
        <v>4388</v>
      </c>
      <c r="B26" s="86"/>
      <c r="C26" s="87"/>
      <c r="D26" s="87"/>
      <c r="E26" s="87"/>
      <c r="F26" s="87"/>
      <c r="G26" s="87"/>
      <c r="H26" s="87"/>
      <c r="I26" s="87"/>
      <c r="J26" s="87"/>
      <c r="K26" s="87"/>
      <c r="L26" s="87"/>
      <c r="M26" s="87"/>
      <c r="N26" s="87"/>
      <c r="O26" s="87"/>
      <c r="P26" s="87"/>
      <c r="Q26" s="87"/>
      <c r="R26" s="87"/>
      <c r="S26" s="87"/>
      <c r="T26" s="87"/>
      <c r="U26" s="87"/>
      <c r="V26" s="87"/>
      <c r="W26" s="87"/>
      <c r="X26" s="87"/>
      <c r="Y26" s="87"/>
      <c r="Z26" s="87"/>
    </row>
    <row r="27">
      <c r="A27" s="85" t="s">
        <v>1177</v>
      </c>
      <c r="B27" s="86"/>
      <c r="C27" s="87"/>
      <c r="D27" s="87"/>
      <c r="E27" s="87"/>
      <c r="F27" s="87"/>
      <c r="G27" s="87"/>
      <c r="H27" s="87"/>
      <c r="I27" s="87"/>
      <c r="J27" s="87"/>
      <c r="K27" s="87"/>
      <c r="L27" s="87"/>
      <c r="M27" s="87"/>
      <c r="N27" s="87"/>
      <c r="O27" s="87"/>
      <c r="P27" s="87"/>
      <c r="Q27" s="87"/>
      <c r="R27" s="87"/>
      <c r="S27" s="87"/>
      <c r="T27" s="87"/>
      <c r="U27" s="87"/>
      <c r="V27" s="87"/>
      <c r="W27" s="87"/>
      <c r="X27" s="87"/>
      <c r="Y27" s="87"/>
      <c r="Z27" s="87"/>
    </row>
    <row r="28">
      <c r="A28" s="85" t="s">
        <v>4389</v>
      </c>
      <c r="B28" s="86"/>
      <c r="C28" s="87"/>
      <c r="D28" s="87"/>
      <c r="E28" s="87"/>
      <c r="F28" s="87"/>
      <c r="G28" s="87"/>
      <c r="H28" s="87"/>
      <c r="I28" s="87"/>
      <c r="J28" s="87"/>
      <c r="K28" s="87"/>
      <c r="L28" s="87"/>
      <c r="M28" s="87"/>
      <c r="N28" s="87"/>
      <c r="O28" s="87"/>
      <c r="P28" s="87"/>
      <c r="Q28" s="87"/>
      <c r="R28" s="87"/>
      <c r="S28" s="87"/>
      <c r="T28" s="87"/>
      <c r="U28" s="87"/>
      <c r="V28" s="87"/>
      <c r="W28" s="87"/>
      <c r="X28" s="87"/>
      <c r="Y28" s="87"/>
      <c r="Z28" s="87"/>
    </row>
    <row r="29">
      <c r="A29" s="85" t="s">
        <v>4390</v>
      </c>
      <c r="B29" s="86"/>
      <c r="C29" s="87"/>
      <c r="D29" s="87"/>
      <c r="E29" s="87"/>
      <c r="F29" s="87"/>
      <c r="G29" s="87"/>
      <c r="H29" s="87"/>
      <c r="I29" s="87"/>
      <c r="J29" s="87"/>
      <c r="K29" s="87"/>
      <c r="L29" s="87"/>
      <c r="M29" s="87"/>
      <c r="N29" s="87"/>
      <c r="O29" s="87"/>
      <c r="P29" s="87"/>
      <c r="Q29" s="87"/>
      <c r="R29" s="87"/>
      <c r="S29" s="87"/>
      <c r="T29" s="87"/>
      <c r="U29" s="87"/>
      <c r="V29" s="87"/>
      <c r="W29" s="87"/>
      <c r="X29" s="87"/>
      <c r="Y29" s="87"/>
      <c r="Z29" s="87"/>
    </row>
    <row r="30">
      <c r="A30" s="85" t="s">
        <v>4391</v>
      </c>
      <c r="B30" s="86"/>
      <c r="C30" s="87"/>
      <c r="D30" s="87"/>
      <c r="E30" s="87"/>
      <c r="F30" s="87"/>
      <c r="G30" s="87"/>
      <c r="H30" s="87"/>
      <c r="I30" s="87"/>
      <c r="J30" s="87"/>
      <c r="K30" s="87"/>
      <c r="L30" s="87"/>
      <c r="M30" s="87"/>
      <c r="N30" s="87"/>
      <c r="O30" s="87"/>
      <c r="P30" s="87"/>
      <c r="Q30" s="87"/>
      <c r="R30" s="87"/>
      <c r="S30" s="87"/>
      <c r="T30" s="87"/>
      <c r="U30" s="87"/>
      <c r="V30" s="87"/>
      <c r="W30" s="87"/>
      <c r="X30" s="87"/>
      <c r="Y30" s="87"/>
      <c r="Z30" s="87"/>
    </row>
    <row r="31">
      <c r="A31" s="85" t="s">
        <v>4392</v>
      </c>
      <c r="B31" s="86" t="s">
        <v>4393</v>
      </c>
      <c r="C31" s="87"/>
      <c r="D31" s="87"/>
      <c r="E31" s="87"/>
      <c r="F31" s="87"/>
      <c r="G31" s="87"/>
      <c r="H31" s="87"/>
      <c r="I31" s="87"/>
      <c r="J31" s="87"/>
      <c r="K31" s="87"/>
      <c r="L31" s="87"/>
      <c r="M31" s="87"/>
      <c r="N31" s="87"/>
      <c r="O31" s="87"/>
      <c r="P31" s="87"/>
      <c r="Q31" s="87"/>
      <c r="R31" s="87"/>
      <c r="S31" s="87"/>
      <c r="T31" s="87"/>
      <c r="U31" s="87"/>
      <c r="V31" s="87"/>
      <c r="W31" s="87"/>
      <c r="X31" s="87"/>
      <c r="Y31" s="87"/>
      <c r="Z31" s="87"/>
    </row>
    <row r="32">
      <c r="A32" s="85" t="s">
        <v>523</v>
      </c>
      <c r="B32" s="86" t="s">
        <v>4394</v>
      </c>
      <c r="C32" s="87"/>
      <c r="D32" s="87"/>
      <c r="E32" s="87"/>
      <c r="F32" s="87"/>
      <c r="G32" s="87"/>
      <c r="H32" s="87"/>
      <c r="I32" s="87"/>
      <c r="J32" s="87"/>
      <c r="K32" s="87"/>
      <c r="L32" s="87"/>
      <c r="M32" s="87"/>
      <c r="N32" s="87"/>
      <c r="O32" s="87"/>
      <c r="P32" s="87"/>
      <c r="Q32" s="87"/>
      <c r="R32" s="87"/>
      <c r="S32" s="87"/>
      <c r="T32" s="87"/>
      <c r="U32" s="87"/>
      <c r="V32" s="87"/>
      <c r="W32" s="87"/>
      <c r="X32" s="87"/>
      <c r="Y32" s="87"/>
      <c r="Z32" s="87"/>
    </row>
    <row r="33">
      <c r="A33" s="85" t="s">
        <v>496</v>
      </c>
      <c r="B33" s="86" t="s">
        <v>4395</v>
      </c>
      <c r="C33" s="87"/>
      <c r="D33" s="87"/>
      <c r="E33" s="87"/>
      <c r="F33" s="87"/>
      <c r="G33" s="87"/>
      <c r="H33" s="87"/>
      <c r="I33" s="87"/>
      <c r="J33" s="87"/>
      <c r="K33" s="87"/>
      <c r="L33" s="87"/>
      <c r="M33" s="87"/>
      <c r="N33" s="87"/>
      <c r="O33" s="87"/>
      <c r="P33" s="87"/>
      <c r="Q33" s="87"/>
      <c r="R33" s="87"/>
      <c r="S33" s="87"/>
      <c r="T33" s="87"/>
      <c r="U33" s="87"/>
      <c r="V33" s="87"/>
      <c r="W33" s="87"/>
      <c r="X33" s="87"/>
      <c r="Y33" s="87"/>
      <c r="Z33" s="87"/>
    </row>
    <row r="34">
      <c r="A34" s="85" t="s">
        <v>783</v>
      </c>
      <c r="B34" s="86" t="s">
        <v>4396</v>
      </c>
      <c r="C34" s="87"/>
      <c r="D34" s="87"/>
      <c r="E34" s="87"/>
      <c r="F34" s="87"/>
      <c r="G34" s="87"/>
      <c r="H34" s="87"/>
      <c r="I34" s="87"/>
      <c r="J34" s="87"/>
      <c r="K34" s="87"/>
      <c r="L34" s="87"/>
      <c r="M34" s="87"/>
      <c r="N34" s="87"/>
      <c r="O34" s="87"/>
      <c r="P34" s="87"/>
      <c r="Q34" s="87"/>
      <c r="R34" s="87"/>
      <c r="S34" s="87"/>
      <c r="T34" s="87"/>
      <c r="U34" s="87"/>
      <c r="V34" s="87"/>
      <c r="W34" s="87"/>
      <c r="X34" s="87"/>
      <c r="Y34" s="87"/>
      <c r="Z34" s="87"/>
    </row>
    <row r="35">
      <c r="A35" s="85" t="s">
        <v>4397</v>
      </c>
      <c r="B35" s="86"/>
      <c r="C35" s="87"/>
      <c r="D35" s="87"/>
      <c r="E35" s="87"/>
      <c r="F35" s="87"/>
      <c r="G35" s="87"/>
      <c r="H35" s="87"/>
      <c r="I35" s="87"/>
      <c r="J35" s="87"/>
      <c r="K35" s="87"/>
      <c r="L35" s="87"/>
      <c r="M35" s="87"/>
      <c r="N35" s="87"/>
      <c r="O35" s="87"/>
      <c r="P35" s="87"/>
      <c r="Q35" s="87"/>
      <c r="R35" s="87"/>
      <c r="S35" s="87"/>
      <c r="T35" s="87"/>
      <c r="U35" s="87"/>
      <c r="V35" s="87"/>
      <c r="W35" s="87"/>
      <c r="X35" s="87"/>
      <c r="Y35" s="87"/>
      <c r="Z35" s="87"/>
    </row>
    <row r="36">
      <c r="A36" s="85" t="s">
        <v>4398</v>
      </c>
      <c r="B36" s="86"/>
      <c r="C36" s="87"/>
      <c r="D36" s="87"/>
      <c r="E36" s="87"/>
      <c r="F36" s="87"/>
      <c r="G36" s="87"/>
      <c r="H36" s="87"/>
      <c r="I36" s="87"/>
      <c r="J36" s="87"/>
      <c r="K36" s="87"/>
      <c r="L36" s="87"/>
      <c r="M36" s="87"/>
      <c r="N36" s="87"/>
      <c r="O36" s="87"/>
      <c r="P36" s="87"/>
      <c r="Q36" s="87"/>
      <c r="R36" s="87"/>
      <c r="S36" s="87"/>
      <c r="T36" s="87"/>
      <c r="U36" s="87"/>
      <c r="V36" s="87"/>
      <c r="W36" s="87"/>
      <c r="X36" s="87"/>
      <c r="Y36" s="87"/>
      <c r="Z36" s="87"/>
    </row>
    <row r="37">
      <c r="A37" s="85" t="s">
        <v>4399</v>
      </c>
      <c r="B37" s="86"/>
      <c r="C37" s="87"/>
      <c r="D37" s="87"/>
      <c r="E37" s="87"/>
      <c r="F37" s="87"/>
      <c r="G37" s="87"/>
      <c r="H37" s="87"/>
      <c r="I37" s="87"/>
      <c r="J37" s="87"/>
      <c r="K37" s="87"/>
      <c r="L37" s="87"/>
      <c r="M37" s="87"/>
      <c r="N37" s="87"/>
      <c r="O37" s="87"/>
      <c r="P37" s="87"/>
      <c r="Q37" s="87"/>
      <c r="R37" s="87"/>
      <c r="S37" s="87"/>
      <c r="T37" s="87"/>
      <c r="U37" s="87"/>
      <c r="V37" s="87"/>
      <c r="W37" s="87"/>
      <c r="X37" s="87"/>
      <c r="Y37" s="87"/>
      <c r="Z37" s="87"/>
    </row>
    <row r="38">
      <c r="A38" s="85" t="s">
        <v>4400</v>
      </c>
      <c r="B38" s="86"/>
      <c r="C38" s="87"/>
      <c r="D38" s="87"/>
      <c r="E38" s="87"/>
      <c r="F38" s="87"/>
      <c r="G38" s="87"/>
      <c r="H38" s="87"/>
      <c r="I38" s="87"/>
      <c r="J38" s="87"/>
      <c r="K38" s="87"/>
      <c r="L38" s="87"/>
      <c r="M38" s="87"/>
      <c r="N38" s="87"/>
      <c r="O38" s="87"/>
      <c r="P38" s="87"/>
      <c r="Q38" s="87"/>
      <c r="R38" s="87"/>
      <c r="S38" s="87"/>
      <c r="T38" s="87"/>
      <c r="U38" s="87"/>
      <c r="V38" s="87"/>
      <c r="W38" s="87"/>
      <c r="X38" s="87"/>
      <c r="Y38" s="87"/>
      <c r="Z38" s="87"/>
    </row>
    <row r="39">
      <c r="A39" s="85" t="s">
        <v>4401</v>
      </c>
      <c r="B39" s="86"/>
      <c r="C39" s="87"/>
      <c r="D39" s="87"/>
      <c r="E39" s="87"/>
      <c r="F39" s="87"/>
      <c r="G39" s="87"/>
      <c r="H39" s="87"/>
      <c r="I39" s="87"/>
      <c r="J39" s="87"/>
      <c r="K39" s="87"/>
      <c r="L39" s="87"/>
      <c r="M39" s="87"/>
      <c r="N39" s="87"/>
      <c r="O39" s="87"/>
      <c r="P39" s="87"/>
      <c r="Q39" s="87"/>
      <c r="R39" s="87"/>
      <c r="S39" s="87"/>
      <c r="T39" s="87"/>
      <c r="U39" s="87"/>
      <c r="V39" s="87"/>
      <c r="W39" s="87"/>
      <c r="X39" s="87"/>
      <c r="Y39" s="87"/>
      <c r="Z39" s="87"/>
    </row>
    <row r="40">
      <c r="A40" s="85" t="s">
        <v>4402</v>
      </c>
      <c r="B40" s="88"/>
      <c r="C40" s="87"/>
      <c r="D40" s="87"/>
      <c r="E40" s="87"/>
      <c r="F40" s="87"/>
      <c r="G40" s="87"/>
      <c r="H40" s="87"/>
      <c r="I40" s="87"/>
      <c r="J40" s="87"/>
      <c r="K40" s="87"/>
      <c r="L40" s="87"/>
      <c r="M40" s="87"/>
      <c r="N40" s="87"/>
      <c r="O40" s="87"/>
      <c r="P40" s="87"/>
      <c r="Q40" s="87"/>
      <c r="R40" s="87"/>
      <c r="S40" s="87"/>
      <c r="T40" s="87"/>
      <c r="U40" s="87"/>
      <c r="V40" s="87"/>
      <c r="W40" s="87"/>
      <c r="X40" s="87"/>
      <c r="Y40" s="87"/>
      <c r="Z40" s="87"/>
    </row>
    <row r="41">
      <c r="A41" s="85" t="s">
        <v>4403</v>
      </c>
      <c r="B41" s="88"/>
      <c r="C41" s="87"/>
      <c r="D41" s="87"/>
      <c r="E41" s="87"/>
      <c r="F41" s="87"/>
      <c r="G41" s="87"/>
      <c r="H41" s="87"/>
      <c r="I41" s="87"/>
      <c r="J41" s="87"/>
      <c r="K41" s="87"/>
      <c r="L41" s="87"/>
      <c r="M41" s="87"/>
      <c r="N41" s="87"/>
      <c r="O41" s="87"/>
      <c r="P41" s="87"/>
      <c r="Q41" s="87"/>
      <c r="R41" s="87"/>
      <c r="S41" s="87"/>
      <c r="T41" s="87"/>
      <c r="U41" s="87"/>
      <c r="V41" s="87"/>
      <c r="W41" s="87"/>
      <c r="X41" s="87"/>
      <c r="Y41" s="87"/>
      <c r="Z41" s="87"/>
    </row>
    <row r="42">
      <c r="A42" s="85" t="s">
        <v>189</v>
      </c>
      <c r="B42" s="86" t="s">
        <v>4404</v>
      </c>
      <c r="C42" s="87"/>
      <c r="D42" s="87"/>
      <c r="E42" s="87"/>
      <c r="F42" s="87"/>
      <c r="G42" s="87"/>
      <c r="H42" s="87"/>
      <c r="I42" s="87"/>
      <c r="J42" s="87"/>
      <c r="K42" s="87"/>
      <c r="L42" s="87"/>
      <c r="M42" s="87"/>
      <c r="N42" s="87"/>
      <c r="O42" s="87"/>
      <c r="P42" s="87"/>
      <c r="Q42" s="87"/>
      <c r="R42" s="87"/>
      <c r="S42" s="87"/>
      <c r="T42" s="87"/>
      <c r="U42" s="87"/>
      <c r="V42" s="87"/>
      <c r="W42" s="87"/>
      <c r="X42" s="87"/>
      <c r="Y42" s="87"/>
      <c r="Z42" s="87"/>
    </row>
    <row r="43">
      <c r="A43" s="85" t="s">
        <v>4405</v>
      </c>
      <c r="B43" s="86" t="s">
        <v>4406</v>
      </c>
      <c r="C43" s="87"/>
      <c r="D43" s="87"/>
      <c r="E43" s="87"/>
      <c r="F43" s="87"/>
      <c r="G43" s="87"/>
      <c r="H43" s="87"/>
      <c r="I43" s="87"/>
      <c r="J43" s="87"/>
      <c r="K43" s="87"/>
      <c r="L43" s="87"/>
      <c r="M43" s="87"/>
      <c r="N43" s="87"/>
      <c r="O43" s="87"/>
      <c r="P43" s="87"/>
      <c r="Q43" s="87"/>
      <c r="R43" s="87"/>
      <c r="S43" s="87"/>
      <c r="T43" s="87"/>
      <c r="U43" s="87"/>
      <c r="V43" s="87"/>
      <c r="W43" s="87"/>
      <c r="X43" s="87"/>
      <c r="Y43" s="87"/>
      <c r="Z43" s="87"/>
    </row>
    <row r="44">
      <c r="A44" s="85" t="s">
        <v>4407</v>
      </c>
      <c r="B44" s="88"/>
      <c r="C44" s="87"/>
      <c r="D44" s="87"/>
      <c r="E44" s="87"/>
      <c r="F44" s="87"/>
      <c r="G44" s="87"/>
      <c r="H44" s="87"/>
      <c r="I44" s="87"/>
      <c r="J44" s="87"/>
      <c r="K44" s="87"/>
      <c r="L44" s="87"/>
      <c r="M44" s="87"/>
      <c r="N44" s="87"/>
      <c r="O44" s="87"/>
      <c r="P44" s="87"/>
      <c r="Q44" s="87"/>
      <c r="R44" s="87"/>
      <c r="S44" s="87"/>
      <c r="T44" s="87"/>
      <c r="U44" s="87"/>
      <c r="V44" s="87"/>
      <c r="W44" s="87"/>
      <c r="X44" s="87"/>
      <c r="Y44" s="87"/>
      <c r="Z44" s="87"/>
    </row>
    <row r="45">
      <c r="A45" s="85" t="s">
        <v>4408</v>
      </c>
      <c r="B45" s="86" t="s">
        <v>4409</v>
      </c>
      <c r="C45" s="87"/>
      <c r="D45" s="87"/>
      <c r="E45" s="87"/>
      <c r="F45" s="87"/>
      <c r="G45" s="87"/>
      <c r="H45" s="87"/>
      <c r="I45" s="87"/>
      <c r="J45" s="87"/>
      <c r="K45" s="87"/>
      <c r="L45" s="87"/>
      <c r="M45" s="87"/>
      <c r="N45" s="87"/>
      <c r="O45" s="87"/>
      <c r="P45" s="87"/>
      <c r="Q45" s="87"/>
      <c r="R45" s="87"/>
      <c r="S45" s="87"/>
      <c r="T45" s="87"/>
      <c r="U45" s="87"/>
      <c r="V45" s="87"/>
      <c r="W45" s="87"/>
      <c r="X45" s="87"/>
      <c r="Y45" s="87"/>
      <c r="Z45" s="87"/>
    </row>
    <row r="46">
      <c r="A46" s="85" t="s">
        <v>351</v>
      </c>
      <c r="B46" s="88"/>
      <c r="C46" s="87"/>
      <c r="D46" s="87"/>
      <c r="E46" s="87"/>
      <c r="F46" s="87"/>
      <c r="G46" s="87"/>
      <c r="H46" s="87"/>
      <c r="I46" s="87"/>
      <c r="J46" s="87"/>
      <c r="K46" s="87"/>
      <c r="L46" s="87"/>
      <c r="M46" s="87"/>
      <c r="N46" s="87"/>
      <c r="O46" s="87"/>
      <c r="P46" s="87"/>
      <c r="Q46" s="87"/>
      <c r="R46" s="87"/>
      <c r="S46" s="87"/>
      <c r="T46" s="87"/>
      <c r="U46" s="87"/>
      <c r="V46" s="87"/>
      <c r="W46" s="87"/>
      <c r="X46" s="87"/>
      <c r="Y46" s="87"/>
      <c r="Z46" s="87"/>
    </row>
    <row r="47">
      <c r="A47" s="85" t="s">
        <v>4410</v>
      </c>
      <c r="B47" s="86" t="s">
        <v>4411</v>
      </c>
      <c r="C47" s="87"/>
      <c r="D47" s="87"/>
      <c r="E47" s="87"/>
      <c r="F47" s="87"/>
      <c r="G47" s="87"/>
      <c r="H47" s="87"/>
      <c r="I47" s="87"/>
      <c r="J47" s="87"/>
      <c r="K47" s="87"/>
      <c r="L47" s="87"/>
      <c r="M47" s="87"/>
      <c r="N47" s="87"/>
      <c r="O47" s="87"/>
      <c r="P47" s="87"/>
      <c r="Q47" s="87"/>
      <c r="R47" s="87"/>
      <c r="S47" s="87"/>
      <c r="T47" s="87"/>
      <c r="U47" s="87"/>
      <c r="V47" s="87"/>
      <c r="W47" s="87"/>
      <c r="X47" s="87"/>
      <c r="Y47" s="87"/>
      <c r="Z47" s="87"/>
    </row>
    <row r="48">
      <c r="A48" s="85" t="s">
        <v>1931</v>
      </c>
      <c r="B48" s="88"/>
      <c r="C48" s="87"/>
      <c r="D48" s="87"/>
      <c r="E48" s="87"/>
      <c r="F48" s="87"/>
      <c r="G48" s="87"/>
      <c r="H48" s="87"/>
      <c r="I48" s="87"/>
      <c r="J48" s="87"/>
      <c r="K48" s="87"/>
      <c r="L48" s="87"/>
      <c r="M48" s="87"/>
      <c r="N48" s="87"/>
      <c r="O48" s="87"/>
      <c r="P48" s="87"/>
      <c r="Q48" s="87"/>
      <c r="R48" s="87"/>
      <c r="S48" s="87"/>
      <c r="T48" s="87"/>
      <c r="U48" s="87"/>
      <c r="V48" s="87"/>
      <c r="W48" s="87"/>
      <c r="X48" s="87"/>
      <c r="Y48" s="87"/>
      <c r="Z48" s="87"/>
    </row>
    <row r="49">
      <c r="A49" s="85" t="s">
        <v>4412</v>
      </c>
      <c r="B49" s="88"/>
      <c r="C49" s="87"/>
      <c r="D49" s="87"/>
      <c r="E49" s="87"/>
      <c r="F49" s="87"/>
      <c r="G49" s="87"/>
      <c r="H49" s="87"/>
      <c r="I49" s="87"/>
      <c r="J49" s="87"/>
      <c r="K49" s="87"/>
      <c r="L49" s="87"/>
      <c r="M49" s="87"/>
      <c r="N49" s="87"/>
      <c r="O49" s="87"/>
      <c r="P49" s="87"/>
      <c r="Q49" s="87"/>
      <c r="R49" s="87"/>
      <c r="S49" s="87"/>
      <c r="T49" s="87"/>
      <c r="U49" s="87"/>
      <c r="V49" s="87"/>
      <c r="W49" s="87"/>
      <c r="X49" s="87"/>
      <c r="Y49" s="87"/>
      <c r="Z49" s="87"/>
    </row>
    <row r="50">
      <c r="A50" s="85" t="s">
        <v>1087</v>
      </c>
      <c r="B50" s="88"/>
      <c r="C50" s="87"/>
      <c r="D50" s="87"/>
      <c r="E50" s="87"/>
      <c r="F50" s="87"/>
      <c r="G50" s="87"/>
      <c r="H50" s="87"/>
      <c r="I50" s="87"/>
      <c r="J50" s="87"/>
      <c r="K50" s="87"/>
      <c r="L50" s="87"/>
      <c r="M50" s="87"/>
      <c r="N50" s="87"/>
      <c r="O50" s="87"/>
      <c r="P50" s="87"/>
      <c r="Q50" s="87"/>
      <c r="R50" s="87"/>
      <c r="S50" s="87"/>
      <c r="T50" s="87"/>
      <c r="U50" s="87"/>
      <c r="V50" s="87"/>
      <c r="W50" s="87"/>
      <c r="X50" s="87"/>
      <c r="Y50" s="87"/>
      <c r="Z50" s="87"/>
    </row>
    <row r="51">
      <c r="A51" s="85" t="s">
        <v>1959</v>
      </c>
      <c r="B51" s="86" t="s">
        <v>4413</v>
      </c>
      <c r="C51" s="87"/>
      <c r="D51" s="87"/>
      <c r="E51" s="87"/>
      <c r="F51" s="87"/>
      <c r="G51" s="87"/>
      <c r="H51" s="87"/>
      <c r="I51" s="87"/>
      <c r="J51" s="87"/>
      <c r="K51" s="87"/>
      <c r="L51" s="87"/>
      <c r="M51" s="87"/>
      <c r="N51" s="87"/>
      <c r="O51" s="87"/>
      <c r="P51" s="87"/>
      <c r="Q51" s="87"/>
      <c r="R51" s="87"/>
      <c r="S51" s="87"/>
      <c r="T51" s="87"/>
      <c r="U51" s="87"/>
      <c r="V51" s="87"/>
      <c r="W51" s="87"/>
      <c r="X51" s="87"/>
      <c r="Y51" s="87"/>
      <c r="Z51" s="87"/>
    </row>
    <row r="52">
      <c r="A52" s="85" t="s">
        <v>4414</v>
      </c>
      <c r="B52" s="88"/>
      <c r="C52" s="87"/>
      <c r="D52" s="87"/>
      <c r="E52" s="87"/>
      <c r="F52" s="87"/>
      <c r="G52" s="87"/>
      <c r="H52" s="87"/>
      <c r="I52" s="87"/>
      <c r="J52" s="87"/>
      <c r="K52" s="87"/>
      <c r="L52" s="87"/>
      <c r="M52" s="87"/>
      <c r="N52" s="87"/>
      <c r="O52" s="87"/>
      <c r="P52" s="87"/>
      <c r="Q52" s="87"/>
      <c r="R52" s="87"/>
      <c r="S52" s="87"/>
      <c r="T52" s="87"/>
      <c r="U52" s="87"/>
      <c r="V52" s="87"/>
      <c r="W52" s="87"/>
      <c r="X52" s="87"/>
      <c r="Y52" s="87"/>
      <c r="Z52" s="87"/>
    </row>
    <row r="53">
      <c r="A53" s="85" t="s">
        <v>1127</v>
      </c>
      <c r="B53" s="88"/>
      <c r="C53" s="87"/>
      <c r="D53" s="87"/>
      <c r="E53" s="87"/>
      <c r="F53" s="87"/>
      <c r="G53" s="87"/>
      <c r="H53" s="87"/>
      <c r="I53" s="87"/>
      <c r="J53" s="87"/>
      <c r="K53" s="87"/>
      <c r="L53" s="87"/>
      <c r="M53" s="87"/>
      <c r="N53" s="87"/>
      <c r="O53" s="87"/>
      <c r="P53" s="87"/>
      <c r="Q53" s="87"/>
      <c r="R53" s="87"/>
      <c r="S53" s="87"/>
      <c r="T53" s="87"/>
      <c r="U53" s="87"/>
      <c r="V53" s="87"/>
      <c r="W53" s="87"/>
      <c r="X53" s="87"/>
      <c r="Y53" s="87"/>
      <c r="Z53" s="87"/>
    </row>
    <row r="54">
      <c r="A54" s="85" t="s">
        <v>1515</v>
      </c>
      <c r="B54" s="86" t="s">
        <v>4415</v>
      </c>
      <c r="C54" s="87"/>
      <c r="D54" s="87"/>
      <c r="E54" s="87"/>
      <c r="F54" s="87"/>
      <c r="G54" s="87"/>
      <c r="H54" s="87"/>
      <c r="I54" s="87"/>
      <c r="J54" s="87"/>
      <c r="K54" s="87"/>
      <c r="L54" s="87"/>
      <c r="M54" s="87"/>
      <c r="N54" s="87"/>
      <c r="O54" s="87"/>
      <c r="P54" s="87"/>
      <c r="Q54" s="87"/>
      <c r="R54" s="87"/>
      <c r="S54" s="87"/>
      <c r="T54" s="87"/>
      <c r="U54" s="87"/>
      <c r="V54" s="87"/>
      <c r="W54" s="87"/>
      <c r="X54" s="87"/>
      <c r="Y54" s="87"/>
      <c r="Z54" s="87"/>
    </row>
    <row r="55">
      <c r="A55" s="85" t="s">
        <v>4416</v>
      </c>
      <c r="B55" s="88"/>
      <c r="C55" s="87"/>
      <c r="D55" s="87"/>
      <c r="E55" s="87"/>
      <c r="F55" s="87"/>
      <c r="G55" s="87"/>
      <c r="H55" s="87"/>
      <c r="I55" s="87"/>
      <c r="J55" s="87"/>
      <c r="K55" s="87"/>
      <c r="L55" s="87"/>
      <c r="M55" s="87"/>
      <c r="N55" s="87"/>
      <c r="O55" s="87"/>
      <c r="P55" s="87"/>
      <c r="Q55" s="87"/>
      <c r="R55" s="87"/>
      <c r="S55" s="87"/>
      <c r="T55" s="87"/>
      <c r="U55" s="87"/>
      <c r="V55" s="87"/>
      <c r="W55" s="87"/>
      <c r="X55" s="87"/>
      <c r="Y55" s="87"/>
      <c r="Z55" s="87"/>
    </row>
    <row r="56">
      <c r="A56" s="85" t="s">
        <v>1429</v>
      </c>
      <c r="B56" s="86" t="s">
        <v>4417</v>
      </c>
      <c r="C56" s="87"/>
      <c r="D56" s="87"/>
      <c r="E56" s="87"/>
      <c r="F56" s="87"/>
      <c r="G56" s="87"/>
      <c r="H56" s="87"/>
      <c r="I56" s="87"/>
      <c r="J56" s="87"/>
      <c r="K56" s="87"/>
      <c r="L56" s="87"/>
      <c r="M56" s="87"/>
      <c r="N56" s="87"/>
      <c r="O56" s="87"/>
      <c r="P56" s="87"/>
      <c r="Q56" s="87"/>
      <c r="R56" s="87"/>
      <c r="S56" s="87"/>
      <c r="T56" s="87"/>
      <c r="U56" s="87"/>
      <c r="V56" s="87"/>
      <c r="W56" s="87"/>
      <c r="X56" s="87"/>
      <c r="Y56" s="87"/>
      <c r="Z56" s="87"/>
    </row>
    <row r="57">
      <c r="A57" s="85" t="s">
        <v>4418</v>
      </c>
      <c r="B57" s="88"/>
      <c r="C57" s="87"/>
      <c r="D57" s="87"/>
      <c r="E57" s="87"/>
      <c r="F57" s="87"/>
      <c r="G57" s="87"/>
      <c r="H57" s="87"/>
      <c r="I57" s="87"/>
      <c r="J57" s="87"/>
      <c r="K57" s="87"/>
      <c r="L57" s="87"/>
      <c r="M57" s="87"/>
      <c r="N57" s="87"/>
      <c r="O57" s="87"/>
      <c r="P57" s="87"/>
      <c r="Q57" s="87"/>
      <c r="R57" s="87"/>
      <c r="S57" s="87"/>
      <c r="T57" s="87"/>
      <c r="U57" s="87"/>
      <c r="V57" s="87"/>
      <c r="W57" s="87"/>
      <c r="X57" s="87"/>
      <c r="Y57" s="87"/>
      <c r="Z57" s="87"/>
    </row>
    <row r="58">
      <c r="A58" s="85" t="s">
        <v>4419</v>
      </c>
      <c r="B58" s="88"/>
      <c r="C58" s="87"/>
      <c r="D58" s="87"/>
      <c r="E58" s="87"/>
      <c r="F58" s="87"/>
      <c r="G58" s="87"/>
      <c r="H58" s="87"/>
      <c r="I58" s="87"/>
      <c r="J58" s="87"/>
      <c r="K58" s="87"/>
      <c r="L58" s="87"/>
      <c r="M58" s="87"/>
      <c r="N58" s="87"/>
      <c r="O58" s="87"/>
      <c r="P58" s="87"/>
      <c r="Q58" s="87"/>
      <c r="R58" s="87"/>
      <c r="S58" s="87"/>
      <c r="T58" s="87"/>
      <c r="U58" s="87"/>
      <c r="V58" s="87"/>
      <c r="W58" s="87"/>
      <c r="X58" s="87"/>
      <c r="Y58" s="87"/>
      <c r="Z58" s="87"/>
    </row>
    <row r="59">
      <c r="A59" s="85" t="s">
        <v>4420</v>
      </c>
      <c r="B59" s="88"/>
      <c r="C59" s="87"/>
      <c r="D59" s="87"/>
      <c r="E59" s="87"/>
      <c r="F59" s="87"/>
      <c r="G59" s="87"/>
      <c r="H59" s="87"/>
      <c r="I59" s="87"/>
      <c r="J59" s="87"/>
      <c r="K59" s="87"/>
      <c r="L59" s="87"/>
      <c r="M59" s="87"/>
      <c r="N59" s="87"/>
      <c r="O59" s="87"/>
      <c r="P59" s="87"/>
      <c r="Q59" s="87"/>
      <c r="R59" s="87"/>
      <c r="S59" s="87"/>
      <c r="T59" s="87"/>
      <c r="U59" s="87"/>
      <c r="V59" s="87"/>
      <c r="W59" s="87"/>
      <c r="X59" s="87"/>
      <c r="Y59" s="87"/>
      <c r="Z59" s="87"/>
    </row>
    <row r="60">
      <c r="A60" s="85" t="s">
        <v>4421</v>
      </c>
      <c r="B60" s="88"/>
      <c r="C60" s="87"/>
      <c r="D60" s="87"/>
      <c r="E60" s="87"/>
      <c r="F60" s="87"/>
      <c r="G60" s="87"/>
      <c r="H60" s="87"/>
      <c r="I60" s="87"/>
      <c r="J60" s="87"/>
      <c r="K60" s="87"/>
      <c r="L60" s="87"/>
      <c r="M60" s="87"/>
      <c r="N60" s="87"/>
      <c r="O60" s="87"/>
      <c r="P60" s="87"/>
      <c r="Q60" s="87"/>
      <c r="R60" s="87"/>
      <c r="S60" s="87"/>
      <c r="T60" s="87"/>
      <c r="U60" s="87"/>
      <c r="V60" s="87"/>
      <c r="W60" s="87"/>
      <c r="X60" s="87"/>
      <c r="Y60" s="87"/>
      <c r="Z60" s="87"/>
    </row>
    <row r="61">
      <c r="A61" s="85" t="s">
        <v>4422</v>
      </c>
      <c r="B61" s="88"/>
      <c r="C61" s="87"/>
      <c r="D61" s="87"/>
      <c r="E61" s="87"/>
      <c r="F61" s="87"/>
      <c r="G61" s="87"/>
      <c r="H61" s="87"/>
      <c r="I61" s="87"/>
      <c r="J61" s="87"/>
      <c r="K61" s="87"/>
      <c r="L61" s="87"/>
      <c r="M61" s="87"/>
      <c r="N61" s="87"/>
      <c r="O61" s="87"/>
      <c r="P61" s="87"/>
      <c r="Q61" s="87"/>
      <c r="R61" s="87"/>
      <c r="S61" s="87"/>
      <c r="T61" s="87"/>
      <c r="U61" s="87"/>
      <c r="V61" s="87"/>
      <c r="W61" s="87"/>
      <c r="X61" s="87"/>
      <c r="Y61" s="87"/>
      <c r="Z61" s="87"/>
    </row>
    <row r="62">
      <c r="A62" s="85" t="s">
        <v>4423</v>
      </c>
      <c r="B62" s="86" t="s">
        <v>4424</v>
      </c>
      <c r="C62" s="87"/>
      <c r="D62" s="87"/>
      <c r="E62" s="87"/>
      <c r="F62" s="87"/>
      <c r="G62" s="87"/>
      <c r="H62" s="87"/>
      <c r="I62" s="87"/>
      <c r="J62" s="87"/>
      <c r="K62" s="87"/>
      <c r="L62" s="87"/>
      <c r="M62" s="87"/>
      <c r="N62" s="87"/>
      <c r="O62" s="87"/>
      <c r="P62" s="87"/>
      <c r="Q62" s="87"/>
      <c r="R62" s="87"/>
      <c r="S62" s="87"/>
      <c r="T62" s="87"/>
      <c r="U62" s="87"/>
      <c r="V62" s="87"/>
      <c r="W62" s="87"/>
      <c r="X62" s="87"/>
      <c r="Y62" s="87"/>
      <c r="Z62" s="87"/>
    </row>
    <row r="63">
      <c r="A63" s="85" t="s">
        <v>4425</v>
      </c>
      <c r="B63" s="85" t="s">
        <v>4426</v>
      </c>
      <c r="C63" s="87"/>
      <c r="D63" s="87"/>
      <c r="E63" s="87"/>
      <c r="F63" s="87"/>
      <c r="G63" s="87"/>
      <c r="H63" s="87"/>
      <c r="I63" s="87"/>
      <c r="J63" s="87"/>
      <c r="K63" s="87"/>
      <c r="L63" s="87"/>
      <c r="M63" s="87"/>
      <c r="N63" s="87"/>
      <c r="O63" s="87"/>
      <c r="P63" s="87"/>
      <c r="Q63" s="87"/>
      <c r="R63" s="87"/>
      <c r="S63" s="87"/>
      <c r="T63" s="87"/>
      <c r="U63" s="87"/>
      <c r="V63" s="87"/>
      <c r="W63" s="87"/>
      <c r="X63" s="87"/>
      <c r="Y63" s="87"/>
      <c r="Z63" s="87"/>
    </row>
    <row r="64">
      <c r="A64" s="85" t="s">
        <v>4427</v>
      </c>
      <c r="B64" s="86" t="s">
        <v>4428</v>
      </c>
      <c r="C64" s="87"/>
      <c r="D64" s="87"/>
      <c r="E64" s="87"/>
      <c r="F64" s="87"/>
      <c r="G64" s="87"/>
      <c r="H64" s="87"/>
      <c r="I64" s="87"/>
      <c r="J64" s="87"/>
      <c r="K64" s="87"/>
      <c r="L64" s="87"/>
      <c r="M64" s="87"/>
      <c r="N64" s="87"/>
      <c r="O64" s="87"/>
      <c r="P64" s="87"/>
      <c r="Q64" s="87"/>
      <c r="R64" s="87"/>
      <c r="S64" s="87"/>
      <c r="T64" s="87"/>
      <c r="U64" s="87"/>
      <c r="V64" s="87"/>
      <c r="W64" s="87"/>
      <c r="X64" s="87"/>
      <c r="Y64" s="87"/>
      <c r="Z64" s="87"/>
    </row>
    <row r="65">
      <c r="A65" s="85" t="s">
        <v>4429</v>
      </c>
      <c r="B65" s="88"/>
      <c r="C65" s="87"/>
      <c r="D65" s="87"/>
      <c r="E65" s="87"/>
      <c r="F65" s="87"/>
      <c r="G65" s="87"/>
      <c r="H65" s="87"/>
      <c r="I65" s="87"/>
      <c r="J65" s="87"/>
      <c r="K65" s="87"/>
      <c r="L65" s="87"/>
      <c r="M65" s="87"/>
      <c r="N65" s="87"/>
      <c r="O65" s="87"/>
      <c r="P65" s="87"/>
      <c r="Q65" s="87"/>
      <c r="R65" s="87"/>
      <c r="S65" s="87"/>
      <c r="T65" s="87"/>
      <c r="U65" s="87"/>
      <c r="V65" s="87"/>
      <c r="W65" s="87"/>
      <c r="X65" s="87"/>
      <c r="Y65" s="87"/>
      <c r="Z65" s="87"/>
    </row>
    <row r="66">
      <c r="A66" s="87"/>
      <c r="B66" s="88"/>
      <c r="C66" s="87"/>
      <c r="D66" s="87"/>
      <c r="E66" s="87"/>
      <c r="F66" s="87"/>
      <c r="G66" s="87"/>
      <c r="H66" s="87"/>
      <c r="I66" s="87"/>
      <c r="J66" s="87"/>
      <c r="K66" s="87"/>
      <c r="L66" s="87"/>
      <c r="M66" s="87"/>
      <c r="N66" s="87"/>
      <c r="O66" s="87"/>
      <c r="P66" s="87"/>
      <c r="Q66" s="87"/>
      <c r="R66" s="87"/>
      <c r="S66" s="87"/>
      <c r="T66" s="87"/>
      <c r="U66" s="87"/>
      <c r="V66" s="87"/>
      <c r="W66" s="87"/>
      <c r="X66" s="87"/>
      <c r="Y66" s="87"/>
      <c r="Z66" s="87"/>
    </row>
    <row r="67">
      <c r="A67" s="87"/>
      <c r="B67" s="88"/>
      <c r="C67" s="87"/>
      <c r="D67" s="87"/>
      <c r="E67" s="87"/>
      <c r="F67" s="87"/>
      <c r="G67" s="87"/>
      <c r="H67" s="87"/>
      <c r="I67" s="87"/>
      <c r="J67" s="87"/>
      <c r="K67" s="87"/>
      <c r="L67" s="87"/>
      <c r="M67" s="87"/>
      <c r="N67" s="87"/>
      <c r="O67" s="87"/>
      <c r="P67" s="87"/>
      <c r="Q67" s="87"/>
      <c r="R67" s="87"/>
      <c r="S67" s="87"/>
      <c r="T67" s="87"/>
      <c r="U67" s="87"/>
      <c r="V67" s="87"/>
      <c r="W67" s="87"/>
      <c r="X67" s="87"/>
      <c r="Y67" s="87"/>
      <c r="Z67" s="87"/>
    </row>
    <row r="68">
      <c r="A68" s="87"/>
      <c r="B68" s="88"/>
      <c r="C68" s="87"/>
      <c r="D68" s="87"/>
      <c r="E68" s="87"/>
      <c r="F68" s="87"/>
      <c r="G68" s="87"/>
      <c r="H68" s="87"/>
      <c r="I68" s="87"/>
      <c r="J68" s="87"/>
      <c r="K68" s="87"/>
      <c r="L68" s="87"/>
      <c r="M68" s="87"/>
      <c r="N68" s="87"/>
      <c r="O68" s="87"/>
      <c r="P68" s="87"/>
      <c r="Q68" s="87"/>
      <c r="R68" s="87"/>
      <c r="S68" s="87"/>
      <c r="T68" s="87"/>
      <c r="U68" s="87"/>
      <c r="V68" s="87"/>
      <c r="W68" s="87"/>
      <c r="X68" s="87"/>
      <c r="Y68" s="87"/>
      <c r="Z68" s="87"/>
    </row>
    <row r="69">
      <c r="A69" s="87"/>
      <c r="B69" s="88"/>
      <c r="C69" s="87"/>
      <c r="D69" s="87"/>
      <c r="E69" s="87"/>
      <c r="F69" s="87"/>
      <c r="G69" s="87"/>
      <c r="H69" s="87"/>
      <c r="I69" s="87"/>
      <c r="J69" s="87"/>
      <c r="K69" s="87"/>
      <c r="L69" s="87"/>
      <c r="M69" s="87"/>
      <c r="N69" s="87"/>
      <c r="O69" s="87"/>
      <c r="P69" s="87"/>
      <c r="Q69" s="87"/>
      <c r="R69" s="87"/>
      <c r="S69" s="87"/>
      <c r="T69" s="87"/>
      <c r="U69" s="87"/>
      <c r="V69" s="87"/>
      <c r="W69" s="87"/>
      <c r="X69" s="87"/>
      <c r="Y69" s="87"/>
      <c r="Z69" s="87"/>
    </row>
    <row r="70">
      <c r="A70" s="87"/>
      <c r="B70" s="88"/>
      <c r="C70" s="87"/>
      <c r="D70" s="87"/>
      <c r="E70" s="87"/>
      <c r="F70" s="87"/>
      <c r="G70" s="87"/>
      <c r="H70" s="87"/>
      <c r="I70" s="87"/>
      <c r="J70" s="87"/>
      <c r="K70" s="87"/>
      <c r="L70" s="87"/>
      <c r="M70" s="87"/>
      <c r="N70" s="87"/>
      <c r="O70" s="87"/>
      <c r="P70" s="87"/>
      <c r="Q70" s="87"/>
      <c r="R70" s="87"/>
      <c r="S70" s="87"/>
      <c r="T70" s="87"/>
      <c r="U70" s="87"/>
      <c r="V70" s="87"/>
      <c r="W70" s="87"/>
      <c r="X70" s="87"/>
      <c r="Y70" s="87"/>
      <c r="Z70" s="87"/>
    </row>
    <row r="71">
      <c r="A71" s="87"/>
      <c r="B71" s="88"/>
      <c r="C71" s="87"/>
      <c r="D71" s="87"/>
      <c r="E71" s="87"/>
      <c r="F71" s="87"/>
      <c r="G71" s="87"/>
      <c r="H71" s="87"/>
      <c r="I71" s="87"/>
      <c r="J71" s="87"/>
      <c r="K71" s="87"/>
      <c r="L71" s="87"/>
      <c r="M71" s="87"/>
      <c r="N71" s="87"/>
      <c r="O71" s="87"/>
      <c r="P71" s="87"/>
      <c r="Q71" s="87"/>
      <c r="R71" s="87"/>
      <c r="S71" s="87"/>
      <c r="T71" s="87"/>
      <c r="U71" s="87"/>
      <c r="V71" s="87"/>
      <c r="W71" s="87"/>
      <c r="X71" s="87"/>
      <c r="Y71" s="87"/>
      <c r="Z71" s="87"/>
    </row>
    <row r="72">
      <c r="A72" s="87"/>
      <c r="B72" s="88"/>
      <c r="C72" s="87"/>
      <c r="D72" s="87"/>
      <c r="E72" s="87"/>
      <c r="F72" s="87"/>
      <c r="G72" s="87"/>
      <c r="H72" s="87"/>
      <c r="I72" s="87"/>
      <c r="J72" s="87"/>
      <c r="K72" s="87"/>
      <c r="L72" s="87"/>
      <c r="M72" s="87"/>
      <c r="N72" s="87"/>
      <c r="O72" s="87"/>
      <c r="P72" s="87"/>
      <c r="Q72" s="87"/>
      <c r="R72" s="87"/>
      <c r="S72" s="87"/>
      <c r="T72" s="87"/>
      <c r="U72" s="87"/>
      <c r="V72" s="87"/>
      <c r="W72" s="87"/>
      <c r="X72" s="87"/>
      <c r="Y72" s="87"/>
      <c r="Z72" s="87"/>
    </row>
    <row r="73">
      <c r="A73" s="87"/>
      <c r="B73" s="88"/>
      <c r="C73" s="87"/>
      <c r="D73" s="87"/>
      <c r="E73" s="87"/>
      <c r="F73" s="87"/>
      <c r="G73" s="87"/>
      <c r="H73" s="87"/>
      <c r="I73" s="87"/>
      <c r="J73" s="87"/>
      <c r="K73" s="87"/>
      <c r="L73" s="87"/>
      <c r="M73" s="87"/>
      <c r="N73" s="87"/>
      <c r="O73" s="87"/>
      <c r="P73" s="87"/>
      <c r="Q73" s="87"/>
      <c r="R73" s="87"/>
      <c r="S73" s="87"/>
      <c r="T73" s="87"/>
      <c r="U73" s="87"/>
      <c r="V73" s="87"/>
      <c r="W73" s="87"/>
      <c r="X73" s="87"/>
      <c r="Y73" s="87"/>
      <c r="Z73" s="87"/>
    </row>
    <row r="74">
      <c r="A74" s="87"/>
      <c r="B74" s="88"/>
      <c r="C74" s="87"/>
      <c r="D74" s="87"/>
      <c r="E74" s="87"/>
      <c r="F74" s="87"/>
      <c r="G74" s="87"/>
      <c r="H74" s="87"/>
      <c r="I74" s="87"/>
      <c r="J74" s="87"/>
      <c r="K74" s="87"/>
      <c r="L74" s="87"/>
      <c r="M74" s="87"/>
      <c r="N74" s="87"/>
      <c r="O74" s="87"/>
      <c r="P74" s="87"/>
      <c r="Q74" s="87"/>
      <c r="R74" s="87"/>
      <c r="S74" s="87"/>
      <c r="T74" s="87"/>
      <c r="U74" s="87"/>
      <c r="V74" s="87"/>
      <c r="W74" s="87"/>
      <c r="X74" s="87"/>
      <c r="Y74" s="87"/>
      <c r="Z74" s="87"/>
    </row>
    <row r="75">
      <c r="A75" s="87"/>
      <c r="B75" s="88"/>
      <c r="C75" s="87"/>
      <c r="D75" s="87"/>
      <c r="E75" s="87"/>
      <c r="F75" s="87"/>
      <c r="G75" s="87"/>
      <c r="H75" s="87"/>
      <c r="I75" s="87"/>
      <c r="J75" s="87"/>
      <c r="K75" s="87"/>
      <c r="L75" s="87"/>
      <c r="M75" s="87"/>
      <c r="N75" s="87"/>
      <c r="O75" s="87"/>
      <c r="P75" s="87"/>
      <c r="Q75" s="87"/>
      <c r="R75" s="87"/>
      <c r="S75" s="87"/>
      <c r="T75" s="87"/>
      <c r="U75" s="87"/>
      <c r="V75" s="87"/>
      <c r="W75" s="87"/>
      <c r="X75" s="87"/>
      <c r="Y75" s="87"/>
      <c r="Z75" s="87"/>
    </row>
    <row r="76">
      <c r="A76" s="87"/>
      <c r="B76" s="88"/>
      <c r="C76" s="87"/>
      <c r="D76" s="87"/>
      <c r="E76" s="87"/>
      <c r="F76" s="87"/>
      <c r="G76" s="87"/>
      <c r="H76" s="87"/>
      <c r="I76" s="87"/>
      <c r="J76" s="87"/>
      <c r="K76" s="87"/>
      <c r="L76" s="87"/>
      <c r="M76" s="87"/>
      <c r="N76" s="87"/>
      <c r="O76" s="87"/>
      <c r="P76" s="87"/>
      <c r="Q76" s="87"/>
      <c r="R76" s="87"/>
      <c r="S76" s="87"/>
      <c r="T76" s="87"/>
      <c r="U76" s="87"/>
      <c r="V76" s="87"/>
      <c r="W76" s="87"/>
      <c r="X76" s="87"/>
      <c r="Y76" s="87"/>
      <c r="Z76" s="87"/>
    </row>
    <row r="77">
      <c r="A77" s="87"/>
      <c r="B77" s="88"/>
      <c r="C77" s="87"/>
      <c r="D77" s="87"/>
      <c r="E77" s="87"/>
      <c r="F77" s="87"/>
      <c r="G77" s="87"/>
      <c r="H77" s="87"/>
      <c r="I77" s="87"/>
      <c r="J77" s="87"/>
      <c r="K77" s="87"/>
      <c r="L77" s="87"/>
      <c r="M77" s="87"/>
      <c r="N77" s="87"/>
      <c r="O77" s="87"/>
      <c r="P77" s="87"/>
      <c r="Q77" s="87"/>
      <c r="R77" s="87"/>
      <c r="S77" s="87"/>
      <c r="T77" s="87"/>
      <c r="U77" s="87"/>
      <c r="V77" s="87"/>
      <c r="W77" s="87"/>
      <c r="X77" s="87"/>
      <c r="Y77" s="87"/>
      <c r="Z77" s="87"/>
    </row>
    <row r="78">
      <c r="A78" s="87"/>
      <c r="B78" s="88"/>
      <c r="C78" s="87"/>
      <c r="D78" s="87"/>
      <c r="E78" s="87"/>
      <c r="F78" s="87"/>
      <c r="G78" s="87"/>
      <c r="H78" s="87"/>
      <c r="I78" s="87"/>
      <c r="J78" s="87"/>
      <c r="K78" s="87"/>
      <c r="L78" s="87"/>
      <c r="M78" s="87"/>
      <c r="N78" s="87"/>
      <c r="O78" s="87"/>
      <c r="P78" s="87"/>
      <c r="Q78" s="87"/>
      <c r="R78" s="87"/>
      <c r="S78" s="87"/>
      <c r="T78" s="87"/>
      <c r="U78" s="87"/>
      <c r="V78" s="87"/>
      <c r="W78" s="87"/>
      <c r="X78" s="87"/>
      <c r="Y78" s="87"/>
      <c r="Z78" s="87"/>
    </row>
    <row r="79">
      <c r="A79" s="87"/>
      <c r="B79" s="88"/>
      <c r="C79" s="87"/>
      <c r="D79" s="87"/>
      <c r="E79" s="87"/>
      <c r="F79" s="87"/>
      <c r="G79" s="87"/>
      <c r="H79" s="87"/>
      <c r="I79" s="87"/>
      <c r="J79" s="87"/>
      <c r="K79" s="87"/>
      <c r="L79" s="87"/>
      <c r="M79" s="87"/>
      <c r="N79" s="87"/>
      <c r="O79" s="87"/>
      <c r="P79" s="87"/>
      <c r="Q79" s="87"/>
      <c r="R79" s="87"/>
      <c r="S79" s="87"/>
      <c r="T79" s="87"/>
      <c r="U79" s="87"/>
      <c r="V79" s="87"/>
      <c r="W79" s="87"/>
      <c r="X79" s="87"/>
      <c r="Y79" s="87"/>
      <c r="Z79" s="87"/>
    </row>
    <row r="80">
      <c r="A80" s="87"/>
      <c r="B80" s="88"/>
      <c r="C80" s="87"/>
      <c r="D80" s="87"/>
      <c r="E80" s="87"/>
      <c r="F80" s="87"/>
      <c r="G80" s="87"/>
      <c r="H80" s="87"/>
      <c r="I80" s="87"/>
      <c r="J80" s="87"/>
      <c r="K80" s="87"/>
      <c r="L80" s="87"/>
      <c r="M80" s="87"/>
      <c r="N80" s="87"/>
      <c r="O80" s="87"/>
      <c r="P80" s="87"/>
      <c r="Q80" s="87"/>
      <c r="R80" s="87"/>
      <c r="S80" s="87"/>
      <c r="T80" s="87"/>
      <c r="U80" s="87"/>
      <c r="V80" s="87"/>
      <c r="W80" s="87"/>
      <c r="X80" s="87"/>
      <c r="Y80" s="87"/>
      <c r="Z80" s="87"/>
    </row>
    <row r="81">
      <c r="A81" s="87"/>
      <c r="B81" s="88"/>
      <c r="C81" s="87"/>
      <c r="D81" s="87"/>
      <c r="E81" s="87"/>
      <c r="F81" s="87"/>
      <c r="G81" s="87"/>
      <c r="H81" s="87"/>
      <c r="I81" s="87"/>
      <c r="J81" s="87"/>
      <c r="K81" s="87"/>
      <c r="L81" s="87"/>
      <c r="M81" s="87"/>
      <c r="N81" s="87"/>
      <c r="O81" s="87"/>
      <c r="P81" s="87"/>
      <c r="Q81" s="87"/>
      <c r="R81" s="87"/>
      <c r="S81" s="87"/>
      <c r="T81" s="87"/>
      <c r="U81" s="87"/>
      <c r="V81" s="87"/>
      <c r="W81" s="87"/>
      <c r="X81" s="87"/>
      <c r="Y81" s="87"/>
      <c r="Z81" s="87"/>
    </row>
    <row r="82">
      <c r="A82" s="87"/>
      <c r="B82" s="88"/>
      <c r="C82" s="87"/>
      <c r="D82" s="87"/>
      <c r="E82" s="87"/>
      <c r="F82" s="87"/>
      <c r="G82" s="87"/>
      <c r="H82" s="87"/>
      <c r="I82" s="87"/>
      <c r="J82" s="87"/>
      <c r="K82" s="87"/>
      <c r="L82" s="87"/>
      <c r="M82" s="87"/>
      <c r="N82" s="87"/>
      <c r="O82" s="87"/>
      <c r="P82" s="87"/>
      <c r="Q82" s="87"/>
      <c r="R82" s="87"/>
      <c r="S82" s="87"/>
      <c r="T82" s="87"/>
      <c r="U82" s="87"/>
      <c r="V82" s="87"/>
      <c r="W82" s="87"/>
      <c r="X82" s="87"/>
      <c r="Y82" s="87"/>
      <c r="Z82" s="87"/>
    </row>
    <row r="83">
      <c r="A83" s="87"/>
      <c r="B83" s="88"/>
      <c r="C83" s="87"/>
      <c r="D83" s="87"/>
      <c r="E83" s="87"/>
      <c r="F83" s="87"/>
      <c r="G83" s="87"/>
      <c r="H83" s="87"/>
      <c r="I83" s="87"/>
      <c r="J83" s="87"/>
      <c r="K83" s="87"/>
      <c r="L83" s="87"/>
      <c r="M83" s="87"/>
      <c r="N83" s="87"/>
      <c r="O83" s="87"/>
      <c r="P83" s="87"/>
      <c r="Q83" s="87"/>
      <c r="R83" s="87"/>
      <c r="S83" s="87"/>
      <c r="T83" s="87"/>
      <c r="U83" s="87"/>
      <c r="V83" s="87"/>
      <c r="W83" s="87"/>
      <c r="X83" s="87"/>
      <c r="Y83" s="87"/>
      <c r="Z83" s="87"/>
    </row>
    <row r="84">
      <c r="A84" s="87"/>
      <c r="B84" s="88"/>
      <c r="C84" s="87"/>
      <c r="D84" s="87"/>
      <c r="E84" s="87"/>
      <c r="F84" s="87"/>
      <c r="G84" s="87"/>
      <c r="H84" s="87"/>
      <c r="I84" s="87"/>
      <c r="J84" s="87"/>
      <c r="K84" s="87"/>
      <c r="L84" s="87"/>
      <c r="M84" s="87"/>
      <c r="N84" s="87"/>
      <c r="O84" s="87"/>
      <c r="P84" s="87"/>
      <c r="Q84" s="87"/>
      <c r="R84" s="87"/>
      <c r="S84" s="87"/>
      <c r="T84" s="87"/>
      <c r="U84" s="87"/>
      <c r="V84" s="87"/>
      <c r="W84" s="87"/>
      <c r="X84" s="87"/>
      <c r="Y84" s="87"/>
      <c r="Z84" s="87"/>
    </row>
    <row r="85">
      <c r="A85" s="87"/>
      <c r="B85" s="88"/>
      <c r="C85" s="87"/>
      <c r="D85" s="87"/>
      <c r="E85" s="87"/>
      <c r="F85" s="87"/>
      <c r="G85" s="87"/>
      <c r="H85" s="87"/>
      <c r="I85" s="87"/>
      <c r="J85" s="87"/>
      <c r="K85" s="87"/>
      <c r="L85" s="87"/>
      <c r="M85" s="87"/>
      <c r="N85" s="87"/>
      <c r="O85" s="87"/>
      <c r="P85" s="87"/>
      <c r="Q85" s="87"/>
      <c r="R85" s="87"/>
      <c r="S85" s="87"/>
      <c r="T85" s="87"/>
      <c r="U85" s="87"/>
      <c r="V85" s="87"/>
      <c r="W85" s="87"/>
      <c r="X85" s="87"/>
      <c r="Y85" s="87"/>
      <c r="Z85" s="87"/>
    </row>
    <row r="86">
      <c r="A86" s="87"/>
      <c r="B86" s="88"/>
      <c r="C86" s="87"/>
      <c r="D86" s="87"/>
      <c r="E86" s="87"/>
      <c r="F86" s="87"/>
      <c r="G86" s="87"/>
      <c r="H86" s="87"/>
      <c r="I86" s="87"/>
      <c r="J86" s="87"/>
      <c r="K86" s="87"/>
      <c r="L86" s="87"/>
      <c r="M86" s="87"/>
      <c r="N86" s="87"/>
      <c r="O86" s="87"/>
      <c r="P86" s="87"/>
      <c r="Q86" s="87"/>
      <c r="R86" s="87"/>
      <c r="S86" s="87"/>
      <c r="T86" s="87"/>
      <c r="U86" s="87"/>
      <c r="V86" s="87"/>
      <c r="W86" s="87"/>
      <c r="X86" s="87"/>
      <c r="Y86" s="87"/>
      <c r="Z86" s="87"/>
    </row>
    <row r="87">
      <c r="A87" s="87"/>
      <c r="B87" s="88"/>
      <c r="C87" s="87"/>
      <c r="D87" s="87"/>
      <c r="E87" s="87"/>
      <c r="F87" s="87"/>
      <c r="G87" s="87"/>
      <c r="H87" s="87"/>
      <c r="I87" s="87"/>
      <c r="J87" s="87"/>
      <c r="K87" s="87"/>
      <c r="L87" s="87"/>
      <c r="M87" s="87"/>
      <c r="N87" s="87"/>
      <c r="O87" s="87"/>
      <c r="P87" s="87"/>
      <c r="Q87" s="87"/>
      <c r="R87" s="87"/>
      <c r="S87" s="87"/>
      <c r="T87" s="87"/>
      <c r="U87" s="87"/>
      <c r="V87" s="87"/>
      <c r="W87" s="87"/>
      <c r="X87" s="87"/>
      <c r="Y87" s="87"/>
      <c r="Z87" s="87"/>
    </row>
    <row r="88">
      <c r="A88" s="87"/>
      <c r="B88" s="88"/>
      <c r="C88" s="87"/>
      <c r="D88" s="87"/>
      <c r="E88" s="87"/>
      <c r="F88" s="87"/>
      <c r="G88" s="87"/>
      <c r="H88" s="87"/>
      <c r="I88" s="87"/>
      <c r="J88" s="87"/>
      <c r="K88" s="87"/>
      <c r="L88" s="87"/>
      <c r="M88" s="87"/>
      <c r="N88" s="87"/>
      <c r="O88" s="87"/>
      <c r="P88" s="87"/>
      <c r="Q88" s="87"/>
      <c r="R88" s="87"/>
      <c r="S88" s="87"/>
      <c r="T88" s="87"/>
      <c r="U88" s="87"/>
      <c r="V88" s="87"/>
      <c r="W88" s="87"/>
      <c r="X88" s="87"/>
      <c r="Y88" s="87"/>
      <c r="Z88" s="87"/>
    </row>
    <row r="89">
      <c r="A89" s="87"/>
      <c r="B89" s="88"/>
      <c r="C89" s="87"/>
      <c r="D89" s="87"/>
      <c r="E89" s="87"/>
      <c r="F89" s="87"/>
      <c r="G89" s="87"/>
      <c r="H89" s="87"/>
      <c r="I89" s="87"/>
      <c r="J89" s="87"/>
      <c r="K89" s="87"/>
      <c r="L89" s="87"/>
      <c r="M89" s="87"/>
      <c r="N89" s="87"/>
      <c r="O89" s="87"/>
      <c r="P89" s="87"/>
      <c r="Q89" s="87"/>
      <c r="R89" s="87"/>
      <c r="S89" s="87"/>
      <c r="T89" s="87"/>
      <c r="U89" s="87"/>
      <c r="V89" s="87"/>
      <c r="W89" s="87"/>
      <c r="X89" s="87"/>
      <c r="Y89" s="87"/>
      <c r="Z89" s="87"/>
    </row>
    <row r="90">
      <c r="A90" s="87"/>
      <c r="B90" s="88"/>
      <c r="C90" s="87"/>
      <c r="D90" s="87"/>
      <c r="E90" s="87"/>
      <c r="F90" s="87"/>
      <c r="G90" s="87"/>
      <c r="H90" s="87"/>
      <c r="I90" s="87"/>
      <c r="J90" s="87"/>
      <c r="K90" s="87"/>
      <c r="L90" s="87"/>
      <c r="M90" s="87"/>
      <c r="N90" s="87"/>
      <c r="O90" s="87"/>
      <c r="P90" s="87"/>
      <c r="Q90" s="87"/>
      <c r="R90" s="87"/>
      <c r="S90" s="87"/>
      <c r="T90" s="87"/>
      <c r="U90" s="87"/>
      <c r="V90" s="87"/>
      <c r="W90" s="87"/>
      <c r="X90" s="87"/>
      <c r="Y90" s="87"/>
      <c r="Z90" s="87"/>
    </row>
    <row r="91">
      <c r="A91" s="87"/>
      <c r="B91" s="88"/>
      <c r="C91" s="87"/>
      <c r="D91" s="87"/>
      <c r="E91" s="87"/>
      <c r="F91" s="87"/>
      <c r="G91" s="87"/>
      <c r="H91" s="87"/>
      <c r="I91" s="87"/>
      <c r="J91" s="87"/>
      <c r="K91" s="87"/>
      <c r="L91" s="87"/>
      <c r="M91" s="87"/>
      <c r="N91" s="87"/>
      <c r="O91" s="87"/>
      <c r="P91" s="87"/>
      <c r="Q91" s="87"/>
      <c r="R91" s="87"/>
      <c r="S91" s="87"/>
      <c r="T91" s="87"/>
      <c r="U91" s="87"/>
      <c r="V91" s="87"/>
      <c r="W91" s="87"/>
      <c r="X91" s="87"/>
      <c r="Y91" s="87"/>
      <c r="Z91" s="87"/>
    </row>
    <row r="92">
      <c r="A92" s="87"/>
      <c r="B92" s="88"/>
      <c r="C92" s="87"/>
      <c r="D92" s="87"/>
      <c r="E92" s="87"/>
      <c r="F92" s="87"/>
      <c r="G92" s="87"/>
      <c r="H92" s="87"/>
      <c r="I92" s="87"/>
      <c r="J92" s="87"/>
      <c r="K92" s="87"/>
      <c r="L92" s="87"/>
      <c r="M92" s="87"/>
      <c r="N92" s="87"/>
      <c r="O92" s="87"/>
      <c r="P92" s="87"/>
      <c r="Q92" s="87"/>
      <c r="R92" s="87"/>
      <c r="S92" s="87"/>
      <c r="T92" s="87"/>
      <c r="U92" s="87"/>
      <c r="V92" s="87"/>
      <c r="W92" s="87"/>
      <c r="X92" s="87"/>
      <c r="Y92" s="87"/>
      <c r="Z92" s="87"/>
    </row>
    <row r="93">
      <c r="A93" s="87"/>
      <c r="B93" s="88"/>
      <c r="C93" s="87"/>
      <c r="D93" s="87"/>
      <c r="E93" s="87"/>
      <c r="F93" s="87"/>
      <c r="G93" s="87"/>
      <c r="H93" s="87"/>
      <c r="I93" s="87"/>
      <c r="J93" s="87"/>
      <c r="K93" s="87"/>
      <c r="L93" s="87"/>
      <c r="M93" s="87"/>
      <c r="N93" s="87"/>
      <c r="O93" s="87"/>
      <c r="P93" s="87"/>
      <c r="Q93" s="87"/>
      <c r="R93" s="87"/>
      <c r="S93" s="87"/>
      <c r="T93" s="87"/>
      <c r="U93" s="87"/>
      <c r="V93" s="87"/>
      <c r="W93" s="87"/>
      <c r="X93" s="87"/>
      <c r="Y93" s="87"/>
      <c r="Z93" s="87"/>
    </row>
    <row r="94">
      <c r="A94" s="87"/>
      <c r="B94" s="88"/>
      <c r="C94" s="87"/>
      <c r="D94" s="87"/>
      <c r="E94" s="87"/>
      <c r="F94" s="87"/>
      <c r="G94" s="87"/>
      <c r="H94" s="87"/>
      <c r="I94" s="87"/>
      <c r="J94" s="87"/>
      <c r="K94" s="87"/>
      <c r="L94" s="87"/>
      <c r="M94" s="87"/>
      <c r="N94" s="87"/>
      <c r="O94" s="87"/>
      <c r="P94" s="87"/>
      <c r="Q94" s="87"/>
      <c r="R94" s="87"/>
      <c r="S94" s="87"/>
      <c r="T94" s="87"/>
      <c r="U94" s="87"/>
      <c r="V94" s="87"/>
      <c r="W94" s="87"/>
      <c r="X94" s="87"/>
      <c r="Y94" s="87"/>
      <c r="Z94" s="87"/>
    </row>
    <row r="95">
      <c r="A95" s="87"/>
      <c r="B95" s="88"/>
      <c r="C95" s="87"/>
      <c r="D95" s="87"/>
      <c r="E95" s="87"/>
      <c r="F95" s="87"/>
      <c r="G95" s="87"/>
      <c r="H95" s="87"/>
      <c r="I95" s="87"/>
      <c r="J95" s="87"/>
      <c r="K95" s="87"/>
      <c r="L95" s="87"/>
      <c r="M95" s="87"/>
      <c r="N95" s="87"/>
      <c r="O95" s="87"/>
      <c r="P95" s="87"/>
      <c r="Q95" s="87"/>
      <c r="R95" s="87"/>
      <c r="S95" s="87"/>
      <c r="T95" s="87"/>
      <c r="U95" s="87"/>
      <c r="V95" s="87"/>
      <c r="W95" s="87"/>
      <c r="X95" s="87"/>
      <c r="Y95" s="87"/>
      <c r="Z95" s="87"/>
    </row>
    <row r="96">
      <c r="A96" s="87"/>
      <c r="B96" s="88"/>
      <c r="C96" s="87"/>
      <c r="D96" s="87"/>
      <c r="E96" s="87"/>
      <c r="F96" s="87"/>
      <c r="G96" s="87"/>
      <c r="H96" s="87"/>
      <c r="I96" s="87"/>
      <c r="J96" s="87"/>
      <c r="K96" s="87"/>
      <c r="L96" s="87"/>
      <c r="M96" s="87"/>
      <c r="N96" s="87"/>
      <c r="O96" s="87"/>
      <c r="P96" s="87"/>
      <c r="Q96" s="87"/>
      <c r="R96" s="87"/>
      <c r="S96" s="87"/>
      <c r="T96" s="87"/>
      <c r="U96" s="87"/>
      <c r="V96" s="87"/>
      <c r="W96" s="87"/>
      <c r="X96" s="87"/>
      <c r="Y96" s="87"/>
      <c r="Z96" s="87"/>
    </row>
    <row r="97">
      <c r="A97" s="87"/>
      <c r="B97" s="88"/>
      <c r="C97" s="87"/>
      <c r="D97" s="87"/>
      <c r="E97" s="87"/>
      <c r="F97" s="87"/>
      <c r="G97" s="87"/>
      <c r="H97" s="87"/>
      <c r="I97" s="87"/>
      <c r="J97" s="87"/>
      <c r="K97" s="87"/>
      <c r="L97" s="87"/>
      <c r="M97" s="87"/>
      <c r="N97" s="87"/>
      <c r="O97" s="87"/>
      <c r="P97" s="87"/>
      <c r="Q97" s="87"/>
      <c r="R97" s="87"/>
      <c r="S97" s="87"/>
      <c r="T97" s="87"/>
      <c r="U97" s="87"/>
      <c r="V97" s="87"/>
      <c r="W97" s="87"/>
      <c r="X97" s="87"/>
      <c r="Y97" s="87"/>
      <c r="Z97" s="87"/>
    </row>
    <row r="98">
      <c r="A98" s="87"/>
      <c r="B98" s="88"/>
      <c r="C98" s="87"/>
      <c r="D98" s="87"/>
      <c r="E98" s="87"/>
      <c r="F98" s="87"/>
      <c r="G98" s="87"/>
      <c r="H98" s="87"/>
      <c r="I98" s="87"/>
      <c r="J98" s="87"/>
      <c r="K98" s="87"/>
      <c r="L98" s="87"/>
      <c r="M98" s="87"/>
      <c r="N98" s="87"/>
      <c r="O98" s="87"/>
      <c r="P98" s="87"/>
      <c r="Q98" s="87"/>
      <c r="R98" s="87"/>
      <c r="S98" s="87"/>
      <c r="T98" s="87"/>
      <c r="U98" s="87"/>
      <c r="V98" s="87"/>
      <c r="W98" s="87"/>
      <c r="X98" s="87"/>
      <c r="Y98" s="87"/>
      <c r="Z98" s="87"/>
    </row>
    <row r="99">
      <c r="A99" s="87"/>
      <c r="B99" s="88"/>
      <c r="C99" s="87"/>
      <c r="D99" s="87"/>
      <c r="E99" s="87"/>
      <c r="F99" s="87"/>
      <c r="G99" s="87"/>
      <c r="H99" s="87"/>
      <c r="I99" s="87"/>
      <c r="J99" s="87"/>
      <c r="K99" s="87"/>
      <c r="L99" s="87"/>
      <c r="M99" s="87"/>
      <c r="N99" s="87"/>
      <c r="O99" s="87"/>
      <c r="P99" s="87"/>
      <c r="Q99" s="87"/>
      <c r="R99" s="87"/>
      <c r="S99" s="87"/>
      <c r="T99" s="87"/>
      <c r="U99" s="87"/>
      <c r="V99" s="87"/>
      <c r="W99" s="87"/>
      <c r="X99" s="87"/>
      <c r="Y99" s="87"/>
      <c r="Z99" s="87"/>
    </row>
    <row r="100">
      <c r="A100" s="87"/>
      <c r="B100" s="88"/>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c r="A101" s="87"/>
      <c r="B101" s="88"/>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c r="A102" s="87"/>
      <c r="B102" s="88"/>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c r="A103" s="87"/>
      <c r="B103" s="88"/>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c r="A104" s="87"/>
      <c r="B104" s="88"/>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c r="A105" s="87"/>
      <c r="B105" s="88"/>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c r="A106" s="87"/>
      <c r="B106" s="88"/>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c r="A107" s="87"/>
      <c r="B107" s="88"/>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c r="A108" s="87"/>
      <c r="B108" s="88"/>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c r="A109" s="87"/>
      <c r="B109" s="88"/>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c r="A110" s="87"/>
      <c r="B110" s="88"/>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c r="A111" s="87"/>
      <c r="B111" s="88"/>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c r="A112" s="87"/>
      <c r="B112" s="88"/>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c r="A113" s="87"/>
      <c r="B113" s="88"/>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c r="A114" s="87"/>
      <c r="B114" s="88"/>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c r="A115" s="87"/>
      <c r="B115" s="88"/>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c r="A116" s="87"/>
      <c r="B116" s="88"/>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c r="A117" s="87"/>
      <c r="B117" s="88"/>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c r="A118" s="87"/>
      <c r="B118" s="88"/>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c r="A119" s="87"/>
      <c r="B119" s="88"/>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c r="A120" s="87"/>
      <c r="B120" s="88"/>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c r="A121" s="87"/>
      <c r="B121" s="88"/>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c r="A122" s="87"/>
      <c r="B122" s="88"/>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c r="A123" s="87"/>
      <c r="B123" s="88"/>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c r="A124" s="87"/>
      <c r="B124" s="88"/>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c r="A125" s="87"/>
      <c r="B125" s="88"/>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c r="A126" s="87"/>
      <c r="B126" s="88"/>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c r="A127" s="87"/>
      <c r="B127" s="88"/>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c r="A128" s="87"/>
      <c r="B128" s="88"/>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c r="A129" s="87"/>
      <c r="B129" s="88"/>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c r="A130" s="87"/>
      <c r="B130" s="88"/>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c r="A131" s="87"/>
      <c r="B131" s="88"/>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c r="A132" s="87"/>
      <c r="B132" s="88"/>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c r="A133" s="87"/>
      <c r="B133" s="88"/>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c r="A134" s="87"/>
      <c r="B134" s="88"/>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c r="A135" s="87"/>
      <c r="B135" s="88"/>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c r="A136" s="87"/>
      <c r="B136" s="88"/>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c r="A137" s="87"/>
      <c r="B137" s="88"/>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c r="A138" s="87"/>
      <c r="B138" s="88"/>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c r="A139" s="87"/>
      <c r="B139" s="88"/>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c r="A140" s="87"/>
      <c r="B140" s="88"/>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c r="A141" s="87"/>
      <c r="B141" s="88"/>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c r="A142" s="87"/>
      <c r="B142" s="88"/>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c r="A143" s="87"/>
      <c r="B143" s="88"/>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c r="A144" s="87"/>
      <c r="B144" s="88"/>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c r="A145" s="87"/>
      <c r="B145" s="88"/>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c r="A146" s="87"/>
      <c r="B146" s="88"/>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c r="A147" s="87"/>
      <c r="B147" s="88"/>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c r="A148" s="87"/>
      <c r="B148" s="88"/>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c r="A149" s="87"/>
      <c r="B149" s="88"/>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c r="A150" s="87"/>
      <c r="B150" s="88"/>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c r="A151" s="87"/>
      <c r="B151" s="88"/>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c r="A152" s="87"/>
      <c r="B152" s="88"/>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c r="A153" s="87"/>
      <c r="B153" s="88"/>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c r="A154" s="87"/>
      <c r="B154" s="88"/>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c r="A155" s="87"/>
      <c r="B155" s="88"/>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c r="A156" s="87"/>
      <c r="B156" s="88"/>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c r="A157" s="87"/>
      <c r="B157" s="88"/>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c r="A158" s="87"/>
      <c r="B158" s="88"/>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c r="A159" s="87"/>
      <c r="B159" s="88"/>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c r="A160" s="87"/>
      <c r="B160" s="88"/>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c r="A161" s="87"/>
      <c r="B161" s="88"/>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c r="A162" s="87"/>
      <c r="B162" s="88"/>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c r="A163" s="87"/>
      <c r="B163" s="88"/>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c r="A164" s="87"/>
      <c r="B164" s="88"/>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c r="A165" s="87"/>
      <c r="B165" s="88"/>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c r="A166" s="87"/>
      <c r="B166" s="88"/>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c r="A167" s="87"/>
      <c r="B167" s="88"/>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c r="A168" s="87"/>
      <c r="B168" s="88"/>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c r="A169" s="87"/>
      <c r="B169" s="88"/>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c r="A170" s="87"/>
      <c r="B170" s="88"/>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c r="A171" s="87"/>
      <c r="B171" s="88"/>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c r="A172" s="87"/>
      <c r="B172" s="88"/>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c r="A173" s="87"/>
      <c r="B173" s="88"/>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c r="A174" s="87"/>
      <c r="B174" s="88"/>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c r="A175" s="87"/>
      <c r="B175" s="88"/>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c r="A176" s="87"/>
      <c r="B176" s="88"/>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c r="A177" s="87"/>
      <c r="B177" s="88"/>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c r="A178" s="87"/>
      <c r="B178" s="88"/>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c r="A179" s="87"/>
      <c r="B179" s="88"/>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c r="A180" s="87"/>
      <c r="B180" s="88"/>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c r="A181" s="87"/>
      <c r="B181" s="88"/>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c r="A182" s="87"/>
      <c r="B182" s="88"/>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c r="A183" s="87"/>
      <c r="B183" s="88"/>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c r="A184" s="87"/>
      <c r="B184" s="88"/>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c r="A185" s="87"/>
      <c r="B185" s="88"/>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c r="A186" s="87"/>
      <c r="B186" s="88"/>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c r="A187" s="87"/>
      <c r="B187" s="88"/>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c r="A188" s="87"/>
      <c r="B188" s="88"/>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c r="A189" s="87"/>
      <c r="B189" s="88"/>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c r="A190" s="87"/>
      <c r="B190" s="88"/>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c r="A191" s="87"/>
      <c r="B191" s="88"/>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c r="A192" s="87"/>
      <c r="B192" s="88"/>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c r="A193" s="87"/>
      <c r="B193" s="88"/>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c r="A194" s="87"/>
      <c r="B194" s="88"/>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c r="A195" s="87"/>
      <c r="B195" s="88"/>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c r="A196" s="87"/>
      <c r="B196" s="88"/>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c r="A197" s="87"/>
      <c r="B197" s="88"/>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c r="A198" s="87"/>
      <c r="B198" s="88"/>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c r="A199" s="87"/>
      <c r="B199" s="88"/>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c r="A200" s="87"/>
      <c r="B200" s="88"/>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c r="A201" s="87"/>
      <c r="B201" s="88"/>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c r="A202" s="87"/>
      <c r="B202" s="88"/>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c r="A203" s="87"/>
      <c r="B203" s="88"/>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c r="A204" s="87"/>
      <c r="B204" s="88"/>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c r="A205" s="87"/>
      <c r="B205" s="88"/>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c r="A206" s="87"/>
      <c r="B206" s="88"/>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c r="A207" s="87"/>
      <c r="B207" s="88"/>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c r="A208" s="87"/>
      <c r="B208" s="88"/>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c r="A209" s="87"/>
      <c r="B209" s="88"/>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c r="A210" s="87"/>
      <c r="B210" s="88"/>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c r="A211" s="87"/>
      <c r="B211" s="88"/>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c r="A212" s="87"/>
      <c r="B212" s="88"/>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c r="A213" s="87"/>
      <c r="B213" s="88"/>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c r="A214" s="87"/>
      <c r="B214" s="88"/>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c r="A215" s="87"/>
      <c r="B215" s="88"/>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c r="A216" s="87"/>
      <c r="B216" s="88"/>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c r="A217" s="87"/>
      <c r="B217" s="88"/>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c r="A218" s="87"/>
      <c r="B218" s="88"/>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c r="A219" s="87"/>
      <c r="B219" s="88"/>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c r="A220" s="87"/>
      <c r="B220" s="88"/>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c r="A221" s="87"/>
      <c r="B221" s="88"/>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c r="A222" s="87"/>
      <c r="B222" s="88"/>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c r="A223" s="87"/>
      <c r="B223" s="88"/>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c r="A224" s="87"/>
      <c r="B224" s="88"/>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c r="A225" s="87"/>
      <c r="B225" s="88"/>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c r="A226" s="87"/>
      <c r="B226" s="88"/>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c r="A227" s="87"/>
      <c r="B227" s="88"/>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c r="A228" s="87"/>
      <c r="B228" s="88"/>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c r="A229" s="87"/>
      <c r="B229" s="88"/>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c r="A230" s="87"/>
      <c r="B230" s="88"/>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c r="A231" s="87"/>
      <c r="B231" s="88"/>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c r="A232" s="87"/>
      <c r="B232" s="88"/>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c r="A233" s="87"/>
      <c r="B233" s="88"/>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c r="A234" s="87"/>
      <c r="B234" s="88"/>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c r="A235" s="87"/>
      <c r="B235" s="88"/>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c r="A236" s="87"/>
      <c r="B236" s="88"/>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c r="A237" s="87"/>
      <c r="B237" s="88"/>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c r="A238" s="87"/>
      <c r="B238" s="88"/>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c r="A239" s="87"/>
      <c r="B239" s="88"/>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c r="A240" s="87"/>
      <c r="B240" s="88"/>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c r="A241" s="87"/>
      <c r="B241" s="88"/>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c r="A242" s="87"/>
      <c r="B242" s="88"/>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c r="A243" s="87"/>
      <c r="B243" s="88"/>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c r="A244" s="87"/>
      <c r="B244" s="88"/>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c r="A245" s="87"/>
      <c r="B245" s="88"/>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c r="A246" s="87"/>
      <c r="B246" s="88"/>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c r="A247" s="87"/>
      <c r="B247" s="88"/>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c r="A248" s="87"/>
      <c r="B248" s="88"/>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c r="A249" s="87"/>
      <c r="B249" s="88"/>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c r="A250" s="87"/>
      <c r="B250" s="88"/>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c r="A251" s="87"/>
      <c r="B251" s="88"/>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c r="A252" s="87"/>
      <c r="B252" s="88"/>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c r="A253" s="87"/>
      <c r="B253" s="88"/>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c r="A254" s="87"/>
      <c r="B254" s="88"/>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c r="A255" s="87"/>
      <c r="B255" s="88"/>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c r="A256" s="87"/>
      <c r="B256" s="88"/>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c r="A257" s="87"/>
      <c r="B257" s="88"/>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c r="A258" s="87"/>
      <c r="B258" s="88"/>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c r="A259" s="87"/>
      <c r="B259" s="88"/>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c r="A260" s="87"/>
      <c r="B260" s="88"/>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c r="A261" s="87"/>
      <c r="B261" s="88"/>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c r="A262" s="87"/>
      <c r="B262" s="88"/>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c r="A263" s="87"/>
      <c r="B263" s="88"/>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c r="A264" s="87"/>
      <c r="B264" s="88"/>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c r="A265" s="87"/>
      <c r="B265" s="88"/>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c r="A266" s="87"/>
      <c r="B266" s="88"/>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c r="A267" s="87"/>
      <c r="B267" s="88"/>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c r="A268" s="87"/>
      <c r="B268" s="88"/>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c r="A269" s="87"/>
      <c r="B269" s="88"/>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c r="A270" s="87"/>
      <c r="B270" s="88"/>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c r="A271" s="87"/>
      <c r="B271" s="88"/>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c r="A272" s="87"/>
      <c r="B272" s="88"/>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c r="A273" s="87"/>
      <c r="B273" s="88"/>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c r="A274" s="87"/>
      <c r="B274" s="88"/>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c r="A275" s="87"/>
      <c r="B275" s="88"/>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c r="A276" s="87"/>
      <c r="B276" s="88"/>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c r="A277" s="87"/>
      <c r="B277" s="88"/>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c r="A278" s="87"/>
      <c r="B278" s="88"/>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c r="A279" s="87"/>
      <c r="B279" s="88"/>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c r="A280" s="87"/>
      <c r="B280" s="88"/>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c r="A281" s="87"/>
      <c r="B281" s="88"/>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c r="A282" s="87"/>
      <c r="B282" s="88"/>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c r="A283" s="87"/>
      <c r="B283" s="88"/>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c r="A284" s="87"/>
      <c r="B284" s="88"/>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c r="A285" s="87"/>
      <c r="B285" s="88"/>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c r="A286" s="87"/>
      <c r="B286" s="88"/>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c r="A287" s="87"/>
      <c r="B287" s="88"/>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c r="A288" s="87"/>
      <c r="B288" s="88"/>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c r="A289" s="87"/>
      <c r="B289" s="88"/>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c r="A290" s="87"/>
      <c r="B290" s="88"/>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c r="A291" s="87"/>
      <c r="B291" s="88"/>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c r="A292" s="87"/>
      <c r="B292" s="88"/>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c r="A293" s="87"/>
      <c r="B293" s="88"/>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c r="A294" s="87"/>
      <c r="B294" s="88"/>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c r="A295" s="87"/>
      <c r="B295" s="88"/>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c r="A296" s="87"/>
      <c r="B296" s="88"/>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c r="A297" s="87"/>
      <c r="B297" s="88"/>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c r="A298" s="87"/>
      <c r="B298" s="88"/>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c r="A299" s="87"/>
      <c r="B299" s="88"/>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c r="A300" s="87"/>
      <c r="B300" s="88"/>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c r="A301" s="87"/>
      <c r="B301" s="88"/>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c r="A302" s="87"/>
      <c r="B302" s="88"/>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c r="A303" s="87"/>
      <c r="B303" s="88"/>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c r="A304" s="87"/>
      <c r="B304" s="88"/>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c r="A305" s="87"/>
      <c r="B305" s="88"/>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c r="A306" s="87"/>
      <c r="B306" s="88"/>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c r="A307" s="87"/>
      <c r="B307" s="88"/>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c r="A308" s="87"/>
      <c r="B308" s="88"/>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c r="A309" s="87"/>
      <c r="B309" s="88"/>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c r="A310" s="87"/>
      <c r="B310" s="88"/>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c r="A311" s="87"/>
      <c r="B311" s="88"/>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c r="A312" s="87"/>
      <c r="B312" s="88"/>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c r="A313" s="87"/>
      <c r="B313" s="88"/>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c r="A314" s="87"/>
      <c r="B314" s="88"/>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c r="A315" s="87"/>
      <c r="B315" s="88"/>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c r="A316" s="87"/>
      <c r="B316" s="88"/>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c r="A317" s="87"/>
      <c r="B317" s="88"/>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c r="A318" s="87"/>
      <c r="B318" s="88"/>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c r="A319" s="87"/>
      <c r="B319" s="88"/>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c r="A320" s="87"/>
      <c r="B320" s="88"/>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c r="A321" s="87"/>
      <c r="B321" s="88"/>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c r="A322" s="87"/>
      <c r="B322" s="88"/>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c r="A323" s="87"/>
      <c r="B323" s="88"/>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c r="A324" s="87"/>
      <c r="B324" s="88"/>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c r="A325" s="87"/>
      <c r="B325" s="88"/>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c r="A326" s="87"/>
      <c r="B326" s="88"/>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c r="A327" s="87"/>
      <c r="B327" s="88"/>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c r="A328" s="87"/>
      <c r="B328" s="88"/>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c r="A329" s="87"/>
      <c r="B329" s="88"/>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c r="A330" s="87"/>
      <c r="B330" s="88"/>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c r="A331" s="87"/>
      <c r="B331" s="88"/>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c r="A332" s="87"/>
      <c r="B332" s="88"/>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c r="A333" s="87"/>
      <c r="B333" s="88"/>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c r="A334" s="87"/>
      <c r="B334" s="88"/>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c r="A335" s="87"/>
      <c r="B335" s="88"/>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c r="A336" s="87"/>
      <c r="B336" s="88"/>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c r="A337" s="87"/>
      <c r="B337" s="88"/>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c r="A338" s="87"/>
      <c r="B338" s="88"/>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c r="A339" s="87"/>
      <c r="B339" s="88"/>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c r="A340" s="87"/>
      <c r="B340" s="88"/>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c r="A341" s="87"/>
      <c r="B341" s="88"/>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c r="A342" s="87"/>
      <c r="B342" s="88"/>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c r="A343" s="87"/>
      <c r="B343" s="88"/>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c r="A344" s="87"/>
      <c r="B344" s="88"/>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c r="A345" s="87"/>
      <c r="B345" s="88"/>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c r="A346" s="87"/>
      <c r="B346" s="88"/>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c r="A347" s="87"/>
      <c r="B347" s="88"/>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c r="A348" s="87"/>
      <c r="B348" s="88"/>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c r="A349" s="87"/>
      <c r="B349" s="88"/>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c r="A350" s="87"/>
      <c r="B350" s="88"/>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c r="A351" s="87"/>
      <c r="B351" s="88"/>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c r="A352" s="87"/>
      <c r="B352" s="88"/>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c r="A353" s="87"/>
      <c r="B353" s="88"/>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c r="A354" s="87"/>
      <c r="B354" s="88"/>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c r="A355" s="87"/>
      <c r="B355" s="88"/>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c r="A356" s="87"/>
      <c r="B356" s="88"/>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c r="A357" s="87"/>
      <c r="B357" s="88"/>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c r="A358" s="87"/>
      <c r="B358" s="88"/>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c r="A359" s="87"/>
      <c r="B359" s="88"/>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c r="A360" s="87"/>
      <c r="B360" s="88"/>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c r="A361" s="87"/>
      <c r="B361" s="88"/>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c r="A362" s="87"/>
      <c r="B362" s="88"/>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c r="A363" s="87"/>
      <c r="B363" s="88"/>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c r="A364" s="87"/>
      <c r="B364" s="88"/>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c r="A365" s="87"/>
      <c r="B365" s="88"/>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c r="A366" s="87"/>
      <c r="B366" s="88"/>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c r="A367" s="87"/>
      <c r="B367" s="88"/>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c r="A368" s="87"/>
      <c r="B368" s="88"/>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c r="A369" s="87"/>
      <c r="B369" s="88"/>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c r="A370" s="87"/>
      <c r="B370" s="88"/>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c r="A371" s="87"/>
      <c r="B371" s="88"/>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c r="A372" s="87"/>
      <c r="B372" s="88"/>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c r="A373" s="87"/>
      <c r="B373" s="88"/>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c r="A374" s="87"/>
      <c r="B374" s="88"/>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c r="A375" s="87"/>
      <c r="B375" s="88"/>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c r="A376" s="87"/>
      <c r="B376" s="88"/>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c r="A377" s="87"/>
      <c r="B377" s="88"/>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c r="A378" s="87"/>
      <c r="B378" s="88"/>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c r="A379" s="87"/>
      <c r="B379" s="88"/>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c r="A380" s="87"/>
      <c r="B380" s="88"/>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c r="A381" s="87"/>
      <c r="B381" s="88"/>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c r="A382" s="87"/>
      <c r="B382" s="88"/>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c r="A383" s="87"/>
      <c r="B383" s="88"/>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c r="A384" s="87"/>
      <c r="B384" s="88"/>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c r="A385" s="87"/>
      <c r="B385" s="88"/>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c r="A386" s="87"/>
      <c r="B386" s="88"/>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c r="A387" s="87"/>
      <c r="B387" s="88"/>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c r="A388" s="87"/>
      <c r="B388" s="88"/>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c r="A389" s="87"/>
      <c r="B389" s="88"/>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c r="A390" s="87"/>
      <c r="B390" s="88"/>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c r="A391" s="87"/>
      <c r="B391" s="88"/>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c r="A392" s="87"/>
      <c r="B392" s="88"/>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c r="A393" s="87"/>
      <c r="B393" s="88"/>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c r="A394" s="87"/>
      <c r="B394" s="88"/>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c r="A395" s="87"/>
      <c r="B395" s="88"/>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c r="A396" s="87"/>
      <c r="B396" s="88"/>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c r="A397" s="87"/>
      <c r="B397" s="88"/>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c r="A398" s="87"/>
      <c r="B398" s="88"/>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c r="A399" s="87"/>
      <c r="B399" s="88"/>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c r="A400" s="87"/>
      <c r="B400" s="88"/>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c r="A401" s="87"/>
      <c r="B401" s="88"/>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c r="A402" s="87"/>
      <c r="B402" s="88"/>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c r="A403" s="87"/>
      <c r="B403" s="88"/>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c r="A404" s="87"/>
      <c r="B404" s="88"/>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c r="A405" s="87"/>
      <c r="B405" s="88"/>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c r="A406" s="87"/>
      <c r="B406" s="88"/>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c r="A407" s="87"/>
      <c r="B407" s="88"/>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c r="A408" s="87"/>
      <c r="B408" s="88"/>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c r="A409" s="87"/>
      <c r="B409" s="88"/>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c r="A410" s="87"/>
      <c r="B410" s="88"/>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c r="A411" s="87"/>
      <c r="B411" s="88"/>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c r="A412" s="87"/>
      <c r="B412" s="88"/>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c r="A413" s="87"/>
      <c r="B413" s="88"/>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c r="A414" s="87"/>
      <c r="B414" s="88"/>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c r="A415" s="87"/>
      <c r="B415" s="88"/>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c r="A416" s="87"/>
      <c r="B416" s="88"/>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c r="A417" s="87"/>
      <c r="B417" s="88"/>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c r="A418" s="87"/>
      <c r="B418" s="88"/>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c r="A419" s="87"/>
      <c r="B419" s="88"/>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c r="A420" s="87"/>
      <c r="B420" s="88"/>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c r="A421" s="87"/>
      <c r="B421" s="88"/>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c r="A422" s="87"/>
      <c r="B422" s="88"/>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c r="A423" s="87"/>
      <c r="B423" s="88"/>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c r="A424" s="87"/>
      <c r="B424" s="88"/>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c r="A425" s="87"/>
      <c r="B425" s="88"/>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c r="A426" s="87"/>
      <c r="B426" s="88"/>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c r="A427" s="87"/>
      <c r="B427" s="88"/>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c r="A428" s="87"/>
      <c r="B428" s="88"/>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c r="A429" s="87"/>
      <c r="B429" s="88"/>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c r="A430" s="87"/>
      <c r="B430" s="88"/>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c r="A431" s="87"/>
      <c r="B431" s="88"/>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c r="A432" s="87"/>
      <c r="B432" s="88"/>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c r="A433" s="87"/>
      <c r="B433" s="88"/>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c r="A434" s="87"/>
      <c r="B434" s="88"/>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c r="A435" s="87"/>
      <c r="B435" s="88"/>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c r="A436" s="87"/>
      <c r="B436" s="88"/>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c r="A437" s="87"/>
      <c r="B437" s="88"/>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c r="A438" s="87"/>
      <c r="B438" s="88"/>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c r="A439" s="87"/>
      <c r="B439" s="88"/>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c r="A440" s="87"/>
      <c r="B440" s="88"/>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c r="A441" s="87"/>
      <c r="B441" s="88"/>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c r="A442" s="87"/>
      <c r="B442" s="88"/>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c r="A443" s="87"/>
      <c r="B443" s="88"/>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c r="A444" s="87"/>
      <c r="B444" s="88"/>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c r="A445" s="87"/>
      <c r="B445" s="88"/>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c r="A446" s="87"/>
      <c r="B446" s="88"/>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c r="A447" s="87"/>
      <c r="B447" s="88"/>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c r="A448" s="87"/>
      <c r="B448" s="88"/>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c r="A449" s="87"/>
      <c r="B449" s="88"/>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c r="A450" s="87"/>
      <c r="B450" s="88"/>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c r="A451" s="87"/>
      <c r="B451" s="88"/>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c r="A452" s="87"/>
      <c r="B452" s="88"/>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c r="A453" s="87"/>
      <c r="B453" s="88"/>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c r="A454" s="87"/>
      <c r="B454" s="88"/>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c r="A455" s="87"/>
      <c r="B455" s="88"/>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c r="A456" s="87"/>
      <c r="B456" s="88"/>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c r="A457" s="87"/>
      <c r="B457" s="88"/>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c r="A458" s="87"/>
      <c r="B458" s="88"/>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c r="A459" s="87"/>
      <c r="B459" s="88"/>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c r="A460" s="87"/>
      <c r="B460" s="88"/>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c r="A461" s="87"/>
      <c r="B461" s="88"/>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c r="A462" s="87"/>
      <c r="B462" s="88"/>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c r="A463" s="87"/>
      <c r="B463" s="88"/>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c r="A464" s="87"/>
      <c r="B464" s="88"/>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c r="A465" s="87"/>
      <c r="B465" s="88"/>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c r="A466" s="87"/>
      <c r="B466" s="88"/>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c r="A467" s="87"/>
      <c r="B467" s="88"/>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c r="A468" s="87"/>
      <c r="B468" s="88"/>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c r="A469" s="87"/>
      <c r="B469" s="88"/>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c r="A470" s="87"/>
      <c r="B470" s="88"/>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c r="A471" s="87"/>
      <c r="B471" s="88"/>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c r="A472" s="87"/>
      <c r="B472" s="88"/>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c r="A473" s="87"/>
      <c r="B473" s="88"/>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c r="A474" s="87"/>
      <c r="B474" s="88"/>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c r="A475" s="87"/>
      <c r="B475" s="88"/>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c r="A476" s="87"/>
      <c r="B476" s="88"/>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c r="A477" s="87"/>
      <c r="B477" s="88"/>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c r="A478" s="87"/>
      <c r="B478" s="88"/>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c r="A479" s="87"/>
      <c r="B479" s="88"/>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c r="A480" s="87"/>
      <c r="B480" s="88"/>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c r="A481" s="87"/>
      <c r="B481" s="88"/>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c r="A482" s="87"/>
      <c r="B482" s="88"/>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c r="A483" s="87"/>
      <c r="B483" s="88"/>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c r="A484" s="87"/>
      <c r="B484" s="88"/>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c r="A485" s="87"/>
      <c r="B485" s="88"/>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c r="A486" s="87"/>
      <c r="B486" s="88"/>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c r="A487" s="87"/>
      <c r="B487" s="88"/>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c r="A488" s="87"/>
      <c r="B488" s="88"/>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c r="A489" s="87"/>
      <c r="B489" s="88"/>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c r="A490" s="87"/>
      <c r="B490" s="88"/>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c r="A491" s="87"/>
      <c r="B491" s="88"/>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c r="A492" s="87"/>
      <c r="B492" s="88"/>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c r="A493" s="87"/>
      <c r="B493" s="88"/>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c r="A494" s="87"/>
      <c r="B494" s="88"/>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c r="A495" s="87"/>
      <c r="B495" s="88"/>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c r="A496" s="87"/>
      <c r="B496" s="88"/>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c r="A497" s="87"/>
      <c r="B497" s="88"/>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c r="A498" s="87"/>
      <c r="B498" s="88"/>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c r="A499" s="87"/>
      <c r="B499" s="88"/>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c r="A500" s="87"/>
      <c r="B500" s="88"/>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c r="A501" s="87"/>
      <c r="B501" s="88"/>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c r="A502" s="87"/>
      <c r="B502" s="88"/>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c r="A503" s="87"/>
      <c r="B503" s="88"/>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c r="A504" s="87"/>
      <c r="B504" s="88"/>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c r="A505" s="87"/>
      <c r="B505" s="88"/>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c r="A506" s="87"/>
      <c r="B506" s="88"/>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c r="A507" s="87"/>
      <c r="B507" s="88"/>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c r="A508" s="87"/>
      <c r="B508" s="88"/>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c r="A509" s="87"/>
      <c r="B509" s="88"/>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c r="A510" s="87"/>
      <c r="B510" s="88"/>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c r="A511" s="87"/>
      <c r="B511" s="88"/>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c r="A512" s="87"/>
      <c r="B512" s="88"/>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c r="A513" s="87"/>
      <c r="B513" s="88"/>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c r="A514" s="87"/>
      <c r="B514" s="88"/>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c r="A515" s="87"/>
      <c r="B515" s="88"/>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c r="A516" s="87"/>
      <c r="B516" s="88"/>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c r="A517" s="87"/>
      <c r="B517" s="88"/>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c r="A518" s="87"/>
      <c r="B518" s="88"/>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c r="A519" s="87"/>
      <c r="B519" s="88"/>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c r="A520" s="87"/>
      <c r="B520" s="88"/>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c r="A521" s="87"/>
      <c r="B521" s="88"/>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c r="A522" s="87"/>
      <c r="B522" s="88"/>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c r="A523" s="87"/>
      <c r="B523" s="88"/>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c r="A524" s="87"/>
      <c r="B524" s="88"/>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c r="A525" s="87"/>
      <c r="B525" s="88"/>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c r="A526" s="87"/>
      <c r="B526" s="88"/>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c r="A527" s="87"/>
      <c r="B527" s="88"/>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c r="A528" s="87"/>
      <c r="B528" s="88"/>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c r="A529" s="87"/>
      <c r="B529" s="88"/>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c r="A530" s="87"/>
      <c r="B530" s="88"/>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c r="A531" s="87"/>
      <c r="B531" s="88"/>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c r="A532" s="87"/>
      <c r="B532" s="88"/>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c r="A533" s="87"/>
      <c r="B533" s="88"/>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c r="A534" s="87"/>
      <c r="B534" s="88"/>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c r="A535" s="87"/>
      <c r="B535" s="88"/>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c r="A536" s="87"/>
      <c r="B536" s="88"/>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c r="A537" s="87"/>
      <c r="B537" s="88"/>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c r="A538" s="87"/>
      <c r="B538" s="88"/>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c r="A539" s="87"/>
      <c r="B539" s="88"/>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c r="A540" s="87"/>
      <c r="B540" s="88"/>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c r="A541" s="87"/>
      <c r="B541" s="88"/>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c r="A542" s="87"/>
      <c r="B542" s="88"/>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c r="A543" s="87"/>
      <c r="B543" s="88"/>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c r="A544" s="87"/>
      <c r="B544" s="88"/>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c r="A545" s="87"/>
      <c r="B545" s="88"/>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c r="A546" s="87"/>
      <c r="B546" s="88"/>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c r="A547" s="87"/>
      <c r="B547" s="88"/>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c r="A548" s="87"/>
      <c r="B548" s="88"/>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c r="A549" s="87"/>
      <c r="B549" s="88"/>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c r="A550" s="87"/>
      <c r="B550" s="88"/>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c r="A551" s="87"/>
      <c r="B551" s="88"/>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c r="A552" s="87"/>
      <c r="B552" s="88"/>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c r="A553" s="87"/>
      <c r="B553" s="88"/>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c r="A554" s="87"/>
      <c r="B554" s="88"/>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c r="A555" s="87"/>
      <c r="B555" s="88"/>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c r="A556" s="87"/>
      <c r="B556" s="88"/>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c r="A557" s="87"/>
      <c r="B557" s="88"/>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c r="A558" s="87"/>
      <c r="B558" s="88"/>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c r="A559" s="87"/>
      <c r="B559" s="88"/>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c r="A560" s="87"/>
      <c r="B560" s="88"/>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c r="A561" s="87"/>
      <c r="B561" s="88"/>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c r="A562" s="87"/>
      <c r="B562" s="88"/>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c r="A563" s="87"/>
      <c r="B563" s="88"/>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c r="A564" s="87"/>
      <c r="B564" s="88"/>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c r="A565" s="87"/>
      <c r="B565" s="88"/>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c r="A566" s="87"/>
      <c r="B566" s="88"/>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c r="A567" s="87"/>
      <c r="B567" s="88"/>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c r="A568" s="87"/>
      <c r="B568" s="88"/>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c r="A569" s="87"/>
      <c r="B569" s="88"/>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c r="A570" s="87"/>
      <c r="B570" s="88"/>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c r="A571" s="87"/>
      <c r="B571" s="88"/>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c r="A572" s="87"/>
      <c r="B572" s="88"/>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c r="A573" s="87"/>
      <c r="B573" s="88"/>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c r="A574" s="87"/>
      <c r="B574" s="88"/>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c r="A575" s="87"/>
      <c r="B575" s="88"/>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c r="A576" s="87"/>
      <c r="B576" s="88"/>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c r="A577" s="87"/>
      <c r="B577" s="88"/>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c r="A578" s="87"/>
      <c r="B578" s="88"/>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c r="A579" s="87"/>
      <c r="B579" s="88"/>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c r="A580" s="87"/>
      <c r="B580" s="88"/>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c r="A581" s="87"/>
      <c r="B581" s="88"/>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c r="A582" s="87"/>
      <c r="B582" s="88"/>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c r="A583" s="87"/>
      <c r="B583" s="88"/>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c r="A584" s="87"/>
      <c r="B584" s="88"/>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c r="A585" s="87"/>
      <c r="B585" s="88"/>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c r="A586" s="87"/>
      <c r="B586" s="88"/>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c r="A587" s="87"/>
      <c r="B587" s="88"/>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c r="A588" s="87"/>
      <c r="B588" s="88"/>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c r="A589" s="87"/>
      <c r="B589" s="88"/>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c r="A590" s="87"/>
      <c r="B590" s="88"/>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c r="A591" s="87"/>
      <c r="B591" s="88"/>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c r="A592" s="87"/>
      <c r="B592" s="88"/>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c r="A593" s="87"/>
      <c r="B593" s="88"/>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c r="A594" s="87"/>
      <c r="B594" s="88"/>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c r="A595" s="87"/>
      <c r="B595" s="88"/>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c r="A596" s="87"/>
      <c r="B596" s="88"/>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c r="A597" s="87"/>
      <c r="B597" s="88"/>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c r="A598" s="87"/>
      <c r="B598" s="88"/>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c r="A599" s="87"/>
      <c r="B599" s="88"/>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c r="A600" s="87"/>
      <c r="B600" s="88"/>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c r="A601" s="87"/>
      <c r="B601" s="88"/>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c r="A602" s="87"/>
      <c r="B602" s="88"/>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c r="A603" s="87"/>
      <c r="B603" s="88"/>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c r="A604" s="87"/>
      <c r="B604" s="88"/>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c r="A605" s="87"/>
      <c r="B605" s="88"/>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c r="A606" s="87"/>
      <c r="B606" s="88"/>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c r="A607" s="87"/>
      <c r="B607" s="88"/>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c r="A608" s="87"/>
      <c r="B608" s="88"/>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c r="A609" s="87"/>
      <c r="B609" s="88"/>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c r="A610" s="87"/>
      <c r="B610" s="88"/>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c r="A611" s="87"/>
      <c r="B611" s="88"/>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c r="A612" s="87"/>
      <c r="B612" s="88"/>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c r="A613" s="87"/>
      <c r="B613" s="88"/>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c r="A614" s="87"/>
      <c r="B614" s="88"/>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c r="A615" s="87"/>
      <c r="B615" s="88"/>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c r="A616" s="87"/>
      <c r="B616" s="88"/>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c r="A617" s="87"/>
      <c r="B617" s="88"/>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c r="A618" s="87"/>
      <c r="B618" s="88"/>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c r="A619" s="87"/>
      <c r="B619" s="88"/>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c r="A620" s="87"/>
      <c r="B620" s="88"/>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c r="A621" s="87"/>
      <c r="B621" s="88"/>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c r="A622" s="87"/>
      <c r="B622" s="88"/>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c r="A623" s="87"/>
      <c r="B623" s="88"/>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c r="A624" s="87"/>
      <c r="B624" s="88"/>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c r="A625" s="87"/>
      <c r="B625" s="88"/>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c r="A626" s="87"/>
      <c r="B626" s="88"/>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c r="A627" s="87"/>
      <c r="B627" s="88"/>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c r="A628" s="87"/>
      <c r="B628" s="88"/>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c r="A629" s="87"/>
      <c r="B629" s="88"/>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c r="A630" s="87"/>
      <c r="B630" s="88"/>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c r="A631" s="87"/>
      <c r="B631" s="88"/>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c r="A632" s="87"/>
      <c r="B632" s="88"/>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c r="A633" s="87"/>
      <c r="B633" s="88"/>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c r="A634" s="87"/>
      <c r="B634" s="88"/>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c r="A635" s="87"/>
      <c r="B635" s="88"/>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c r="A636" s="87"/>
      <c r="B636" s="88"/>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c r="A637" s="87"/>
      <c r="B637" s="88"/>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c r="A638" s="87"/>
      <c r="B638" s="88"/>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c r="A639" s="87"/>
      <c r="B639" s="88"/>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c r="A640" s="87"/>
      <c r="B640" s="88"/>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c r="A641" s="87"/>
      <c r="B641" s="88"/>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c r="A642" s="87"/>
      <c r="B642" s="88"/>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c r="A643" s="87"/>
      <c r="B643" s="88"/>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c r="A644" s="87"/>
      <c r="B644" s="88"/>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c r="A645" s="87"/>
      <c r="B645" s="88"/>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c r="A646" s="87"/>
      <c r="B646" s="88"/>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c r="A647" s="87"/>
      <c r="B647" s="88"/>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c r="A648" s="87"/>
      <c r="B648" s="88"/>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c r="A649" s="87"/>
      <c r="B649" s="88"/>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c r="A650" s="87"/>
      <c r="B650" s="88"/>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c r="A651" s="87"/>
      <c r="B651" s="88"/>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c r="A652" s="87"/>
      <c r="B652" s="88"/>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c r="A653" s="87"/>
      <c r="B653" s="88"/>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c r="A654" s="87"/>
      <c r="B654" s="88"/>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c r="A655" s="87"/>
      <c r="B655" s="88"/>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c r="A656" s="87"/>
      <c r="B656" s="88"/>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c r="A657" s="87"/>
      <c r="B657" s="88"/>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c r="A658" s="87"/>
      <c r="B658" s="88"/>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c r="A659" s="87"/>
      <c r="B659" s="88"/>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c r="A660" s="87"/>
      <c r="B660" s="88"/>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c r="A661" s="87"/>
      <c r="B661" s="88"/>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c r="A662" s="87"/>
      <c r="B662" s="88"/>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c r="A663" s="87"/>
      <c r="B663" s="88"/>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c r="A664" s="87"/>
      <c r="B664" s="88"/>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c r="A665" s="87"/>
      <c r="B665" s="88"/>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c r="A666" s="87"/>
      <c r="B666" s="88"/>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c r="A667" s="87"/>
      <c r="B667" s="88"/>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c r="A668" s="87"/>
      <c r="B668" s="88"/>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c r="A669" s="87"/>
      <c r="B669" s="88"/>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c r="A670" s="87"/>
      <c r="B670" s="88"/>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c r="A671" s="87"/>
      <c r="B671" s="88"/>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c r="A672" s="87"/>
      <c r="B672" s="88"/>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c r="A673" s="87"/>
      <c r="B673" s="88"/>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c r="A674" s="87"/>
      <c r="B674" s="88"/>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c r="A675" s="87"/>
      <c r="B675" s="88"/>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c r="A676" s="87"/>
      <c r="B676" s="88"/>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c r="A677" s="87"/>
      <c r="B677" s="88"/>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c r="A678" s="87"/>
      <c r="B678" s="88"/>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c r="A679" s="87"/>
      <c r="B679" s="88"/>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c r="A680" s="87"/>
      <c r="B680" s="88"/>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c r="A681" s="87"/>
      <c r="B681" s="88"/>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c r="A682" s="87"/>
      <c r="B682" s="88"/>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c r="A683" s="87"/>
      <c r="B683" s="88"/>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c r="A684" s="87"/>
      <c r="B684" s="88"/>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c r="A685" s="87"/>
      <c r="B685" s="88"/>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c r="A686" s="87"/>
      <c r="B686" s="88"/>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c r="A687" s="87"/>
      <c r="B687" s="88"/>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c r="A688" s="87"/>
      <c r="B688" s="88"/>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c r="A689" s="87"/>
      <c r="B689" s="88"/>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c r="A690" s="87"/>
      <c r="B690" s="88"/>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c r="A691" s="87"/>
      <c r="B691" s="88"/>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c r="A692" s="87"/>
      <c r="B692" s="88"/>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c r="A693" s="87"/>
      <c r="B693" s="88"/>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c r="A694" s="87"/>
      <c r="B694" s="88"/>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c r="A695" s="87"/>
      <c r="B695" s="88"/>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c r="A696" s="87"/>
      <c r="B696" s="88"/>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c r="A697" s="87"/>
      <c r="B697" s="88"/>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c r="A698" s="87"/>
      <c r="B698" s="88"/>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c r="A699" s="87"/>
      <c r="B699" s="88"/>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c r="A700" s="87"/>
      <c r="B700" s="88"/>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c r="A701" s="87"/>
      <c r="B701" s="88"/>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c r="A702" s="87"/>
      <c r="B702" s="88"/>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c r="A703" s="87"/>
      <c r="B703" s="88"/>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c r="A704" s="87"/>
      <c r="B704" s="88"/>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c r="A705" s="87"/>
      <c r="B705" s="88"/>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c r="A706" s="87"/>
      <c r="B706" s="88"/>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c r="A707" s="87"/>
      <c r="B707" s="88"/>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c r="A708" s="87"/>
      <c r="B708" s="88"/>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c r="A709" s="87"/>
      <c r="B709" s="88"/>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c r="A710" s="87"/>
      <c r="B710" s="88"/>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c r="A711" s="87"/>
      <c r="B711" s="88"/>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c r="A712" s="87"/>
      <c r="B712" s="88"/>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c r="A713" s="87"/>
      <c r="B713" s="88"/>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c r="A714" s="87"/>
      <c r="B714" s="88"/>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c r="A715" s="87"/>
      <c r="B715" s="88"/>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c r="A716" s="87"/>
      <c r="B716" s="88"/>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c r="A717" s="87"/>
      <c r="B717" s="88"/>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c r="A718" s="87"/>
      <c r="B718" s="88"/>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c r="A719" s="87"/>
      <c r="B719" s="88"/>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c r="A720" s="87"/>
      <c r="B720" s="88"/>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c r="A721" s="87"/>
      <c r="B721" s="88"/>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c r="A722" s="87"/>
      <c r="B722" s="88"/>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c r="A723" s="87"/>
      <c r="B723" s="88"/>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c r="A724" s="87"/>
      <c r="B724" s="88"/>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c r="A725" s="87"/>
      <c r="B725" s="88"/>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c r="A726" s="87"/>
      <c r="B726" s="88"/>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c r="A727" s="87"/>
      <c r="B727" s="88"/>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c r="A728" s="87"/>
      <c r="B728" s="88"/>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c r="A729" s="87"/>
      <c r="B729" s="88"/>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c r="A730" s="87"/>
      <c r="B730" s="88"/>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c r="A731" s="87"/>
      <c r="B731" s="88"/>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c r="A732" s="87"/>
      <c r="B732" s="88"/>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c r="A733" s="87"/>
      <c r="B733" s="88"/>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c r="A734" s="87"/>
      <c r="B734" s="88"/>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c r="A735" s="87"/>
      <c r="B735" s="88"/>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c r="A736" s="87"/>
      <c r="B736" s="88"/>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c r="A737" s="87"/>
      <c r="B737" s="88"/>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c r="A738" s="87"/>
      <c r="B738" s="88"/>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c r="A739" s="87"/>
      <c r="B739" s="88"/>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c r="A740" s="87"/>
      <c r="B740" s="88"/>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c r="A741" s="87"/>
      <c r="B741" s="88"/>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c r="A742" s="87"/>
      <c r="B742" s="88"/>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c r="A743" s="87"/>
      <c r="B743" s="88"/>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c r="A744" s="87"/>
      <c r="B744" s="88"/>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c r="A745" s="87"/>
      <c r="B745" s="88"/>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c r="A746" s="87"/>
      <c r="B746" s="88"/>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c r="A747" s="87"/>
      <c r="B747" s="88"/>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c r="A748" s="87"/>
      <c r="B748" s="88"/>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c r="A749" s="87"/>
      <c r="B749" s="88"/>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c r="A750" s="87"/>
      <c r="B750" s="88"/>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c r="A751" s="87"/>
      <c r="B751" s="88"/>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c r="A752" s="87"/>
      <c r="B752" s="88"/>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c r="A753" s="87"/>
      <c r="B753" s="88"/>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c r="A754" s="87"/>
      <c r="B754" s="88"/>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c r="A755" s="87"/>
      <c r="B755" s="88"/>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c r="A756" s="87"/>
      <c r="B756" s="88"/>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c r="A757" s="87"/>
      <c r="B757" s="88"/>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c r="A758" s="87"/>
      <c r="B758" s="88"/>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c r="A759" s="87"/>
      <c r="B759" s="88"/>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c r="A760" s="87"/>
      <c r="B760" s="88"/>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c r="A761" s="87"/>
      <c r="B761" s="88"/>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c r="A762" s="87"/>
      <c r="B762" s="88"/>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c r="A763" s="87"/>
      <c r="B763" s="88"/>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c r="A764" s="87"/>
      <c r="B764" s="88"/>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c r="A765" s="87"/>
      <c r="B765" s="88"/>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c r="A766" s="87"/>
      <c r="B766" s="88"/>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c r="A767" s="87"/>
      <c r="B767" s="88"/>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c r="A768" s="87"/>
      <c r="B768" s="88"/>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c r="A769" s="87"/>
      <c r="B769" s="88"/>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c r="A770" s="87"/>
      <c r="B770" s="88"/>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c r="A771" s="87"/>
      <c r="B771" s="88"/>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c r="A772" s="87"/>
      <c r="B772" s="88"/>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c r="A773" s="87"/>
      <c r="B773" s="88"/>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c r="A774" s="87"/>
      <c r="B774" s="88"/>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c r="A775" s="87"/>
      <c r="B775" s="88"/>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c r="A776" s="87"/>
      <c r="B776" s="88"/>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c r="A777" s="87"/>
      <c r="B777" s="88"/>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c r="A778" s="87"/>
      <c r="B778" s="88"/>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c r="A779" s="87"/>
      <c r="B779" s="88"/>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c r="A780" s="87"/>
      <c r="B780" s="88"/>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c r="A781" s="87"/>
      <c r="B781" s="88"/>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c r="A782" s="87"/>
      <c r="B782" s="88"/>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c r="A783" s="87"/>
      <c r="B783" s="88"/>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c r="A784" s="87"/>
      <c r="B784" s="88"/>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c r="A785" s="87"/>
      <c r="B785" s="88"/>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c r="A786" s="87"/>
      <c r="B786" s="88"/>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c r="A787" s="87"/>
      <c r="B787" s="88"/>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c r="A788" s="87"/>
      <c r="B788" s="88"/>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c r="A789" s="87"/>
      <c r="B789" s="88"/>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c r="A790" s="87"/>
      <c r="B790" s="88"/>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c r="A791" s="87"/>
      <c r="B791" s="88"/>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c r="A792" s="87"/>
      <c r="B792" s="88"/>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c r="A793" s="87"/>
      <c r="B793" s="88"/>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c r="A794" s="87"/>
      <c r="B794" s="88"/>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c r="A795" s="87"/>
      <c r="B795" s="88"/>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c r="A796" s="87"/>
      <c r="B796" s="88"/>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c r="A797" s="87"/>
      <c r="B797" s="88"/>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c r="A798" s="87"/>
      <c r="B798" s="88"/>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c r="A799" s="87"/>
      <c r="B799" s="88"/>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c r="A800" s="87"/>
      <c r="B800" s="88"/>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c r="A801" s="87"/>
      <c r="B801" s="88"/>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c r="A802" s="87"/>
      <c r="B802" s="88"/>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c r="A803" s="87"/>
      <c r="B803" s="88"/>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c r="A804" s="87"/>
      <c r="B804" s="88"/>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c r="A805" s="87"/>
      <c r="B805" s="88"/>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c r="A806" s="87"/>
      <c r="B806" s="88"/>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c r="A807" s="87"/>
      <c r="B807" s="88"/>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c r="A808" s="87"/>
      <c r="B808" s="88"/>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c r="A809" s="87"/>
      <c r="B809" s="88"/>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c r="A810" s="87"/>
      <c r="B810" s="88"/>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c r="A811" s="87"/>
      <c r="B811" s="88"/>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c r="A812" s="87"/>
      <c r="B812" s="88"/>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c r="A813" s="87"/>
      <c r="B813" s="88"/>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c r="A814" s="87"/>
      <c r="B814" s="88"/>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c r="A815" s="87"/>
      <c r="B815" s="88"/>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c r="A816" s="87"/>
      <c r="B816" s="88"/>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c r="A817" s="87"/>
      <c r="B817" s="88"/>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c r="A818" s="87"/>
      <c r="B818" s="88"/>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c r="A819" s="87"/>
      <c r="B819" s="88"/>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c r="A820" s="87"/>
      <c r="B820" s="88"/>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c r="A821" s="87"/>
      <c r="B821" s="88"/>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c r="A822" s="87"/>
      <c r="B822" s="88"/>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c r="A823" s="87"/>
      <c r="B823" s="88"/>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c r="A824" s="87"/>
      <c r="B824" s="88"/>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c r="A825" s="87"/>
      <c r="B825" s="88"/>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c r="A826" s="87"/>
      <c r="B826" s="88"/>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c r="A827" s="87"/>
      <c r="B827" s="88"/>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c r="A828" s="87"/>
      <c r="B828" s="88"/>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c r="A829" s="87"/>
      <c r="B829" s="88"/>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c r="A830" s="87"/>
      <c r="B830" s="88"/>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c r="A831" s="87"/>
      <c r="B831" s="88"/>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c r="A832" s="87"/>
      <c r="B832" s="88"/>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c r="A833" s="87"/>
      <c r="B833" s="88"/>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c r="A834" s="87"/>
      <c r="B834" s="88"/>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c r="A835" s="87"/>
      <c r="B835" s="88"/>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c r="A836" s="87"/>
      <c r="B836" s="88"/>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c r="A837" s="87"/>
      <c r="B837" s="88"/>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c r="A838" s="87"/>
      <c r="B838" s="88"/>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c r="A839" s="87"/>
      <c r="B839" s="88"/>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c r="A840" s="87"/>
      <c r="B840" s="88"/>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c r="A841" s="87"/>
      <c r="B841" s="88"/>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c r="A842" s="87"/>
      <c r="B842" s="88"/>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c r="A843" s="87"/>
      <c r="B843" s="88"/>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c r="A844" s="87"/>
      <c r="B844" s="88"/>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c r="A845" s="87"/>
      <c r="B845" s="88"/>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c r="A846" s="87"/>
      <c r="B846" s="88"/>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c r="A847" s="87"/>
      <c r="B847" s="88"/>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c r="A848" s="87"/>
      <c r="B848" s="88"/>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c r="A849" s="87"/>
      <c r="B849" s="88"/>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c r="A850" s="87"/>
      <c r="B850" s="88"/>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c r="A851" s="87"/>
      <c r="B851" s="88"/>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c r="A852" s="87"/>
      <c r="B852" s="88"/>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c r="A853" s="87"/>
      <c r="B853" s="88"/>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c r="A854" s="87"/>
      <c r="B854" s="88"/>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c r="A855" s="87"/>
      <c r="B855" s="88"/>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c r="A856" s="87"/>
      <c r="B856" s="88"/>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c r="A857" s="87"/>
      <c r="B857" s="88"/>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c r="A858" s="87"/>
      <c r="B858" s="88"/>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c r="A859" s="87"/>
      <c r="B859" s="88"/>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c r="A860" s="87"/>
      <c r="B860" s="88"/>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c r="A861" s="87"/>
      <c r="B861" s="88"/>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c r="A862" s="87"/>
      <c r="B862" s="88"/>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c r="A863" s="87"/>
      <c r="B863" s="88"/>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c r="A864" s="87"/>
      <c r="B864" s="88"/>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c r="A865" s="87"/>
      <c r="B865" s="88"/>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c r="A866" s="87"/>
      <c r="B866" s="88"/>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c r="A867" s="87"/>
      <c r="B867" s="88"/>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c r="A868" s="87"/>
      <c r="B868" s="88"/>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c r="A869" s="87"/>
      <c r="B869" s="88"/>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c r="A870" s="87"/>
      <c r="B870" s="88"/>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c r="A871" s="87"/>
      <c r="B871" s="88"/>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c r="A872" s="87"/>
      <c r="B872" s="88"/>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c r="A873" s="87"/>
      <c r="B873" s="88"/>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c r="A874" s="87"/>
      <c r="B874" s="88"/>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c r="A875" s="87"/>
      <c r="B875" s="88"/>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c r="A876" s="87"/>
      <c r="B876" s="88"/>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c r="A877" s="87"/>
      <c r="B877" s="88"/>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c r="A878" s="87"/>
      <c r="B878" s="88"/>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c r="A879" s="87"/>
      <c r="B879" s="88"/>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c r="A880" s="87"/>
      <c r="B880" s="88"/>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c r="A881" s="87"/>
      <c r="B881" s="88"/>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c r="A882" s="87"/>
      <c r="B882" s="88"/>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c r="A883" s="87"/>
      <c r="B883" s="88"/>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c r="A884" s="87"/>
      <c r="B884" s="88"/>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c r="A885" s="87"/>
      <c r="B885" s="88"/>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c r="A886" s="87"/>
      <c r="B886" s="88"/>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c r="A887" s="87"/>
      <c r="B887" s="88"/>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c r="A888" s="87"/>
      <c r="B888" s="88"/>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c r="A889" s="87"/>
      <c r="B889" s="88"/>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c r="A890" s="87"/>
      <c r="B890" s="88"/>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c r="A891" s="87"/>
      <c r="B891" s="88"/>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c r="A892" s="87"/>
      <c r="B892" s="88"/>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c r="A893" s="87"/>
      <c r="B893" s="88"/>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c r="A894" s="87"/>
      <c r="B894" s="88"/>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c r="A895" s="87"/>
      <c r="B895" s="88"/>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c r="A896" s="87"/>
      <c r="B896" s="88"/>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c r="A897" s="87"/>
      <c r="B897" s="88"/>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c r="A898" s="87"/>
      <c r="B898" s="88"/>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c r="A899" s="87"/>
      <c r="B899" s="88"/>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c r="A900" s="87"/>
      <c r="B900" s="88"/>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c r="A901" s="87"/>
      <c r="B901" s="88"/>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c r="A902" s="87"/>
      <c r="B902" s="88"/>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c r="A903" s="87"/>
      <c r="B903" s="88"/>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c r="A904" s="87"/>
      <c r="B904" s="88"/>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c r="A905" s="87"/>
      <c r="B905" s="88"/>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c r="A906" s="87"/>
      <c r="B906" s="88"/>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c r="A907" s="87"/>
      <c r="B907" s="88"/>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c r="A908" s="87"/>
      <c r="B908" s="88"/>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c r="A909" s="87"/>
      <c r="B909" s="88"/>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c r="A910" s="87"/>
      <c r="B910" s="88"/>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c r="A911" s="87"/>
      <c r="B911" s="88"/>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c r="A912" s="87"/>
      <c r="B912" s="88"/>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c r="A913" s="87"/>
      <c r="B913" s="88"/>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c r="A914" s="87"/>
      <c r="B914" s="88"/>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c r="A915" s="87"/>
      <c r="B915" s="88"/>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c r="A916" s="87"/>
      <c r="B916" s="88"/>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c r="A917" s="87"/>
      <c r="B917" s="88"/>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c r="A918" s="87"/>
      <c r="B918" s="88"/>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c r="A919" s="87"/>
      <c r="B919" s="88"/>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c r="A920" s="87"/>
      <c r="B920" s="88"/>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c r="A921" s="87"/>
      <c r="B921" s="88"/>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c r="A922" s="87"/>
      <c r="B922" s="88"/>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c r="A923" s="87"/>
      <c r="B923" s="88"/>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c r="A924" s="87"/>
      <c r="B924" s="88"/>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c r="A925" s="87"/>
      <c r="B925" s="88"/>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c r="A926" s="87"/>
      <c r="B926" s="88"/>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c r="A927" s="87"/>
      <c r="B927" s="88"/>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c r="A928" s="87"/>
      <c r="B928" s="88"/>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c r="A929" s="87"/>
      <c r="B929" s="88"/>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c r="A930" s="87"/>
      <c r="B930" s="88"/>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c r="A931" s="87"/>
      <c r="B931" s="88"/>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c r="A932" s="87"/>
      <c r="B932" s="88"/>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c r="A933" s="87"/>
      <c r="B933" s="88"/>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c r="A934" s="87"/>
      <c r="B934" s="88"/>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c r="A935" s="87"/>
      <c r="B935" s="88"/>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c r="A936" s="87"/>
      <c r="B936" s="88"/>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c r="A937" s="87"/>
      <c r="B937" s="88"/>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c r="A938" s="87"/>
      <c r="B938" s="88"/>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c r="A939" s="87"/>
      <c r="B939" s="88"/>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c r="A940" s="87"/>
      <c r="B940" s="88"/>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c r="A941" s="87"/>
      <c r="B941" s="88"/>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c r="A942" s="87"/>
      <c r="B942" s="88"/>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c r="A943" s="87"/>
      <c r="B943" s="88"/>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c r="A944" s="87"/>
      <c r="B944" s="88"/>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c r="A945" s="87"/>
      <c r="B945" s="88"/>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c r="A946" s="87"/>
      <c r="B946" s="88"/>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c r="A947" s="87"/>
      <c r="B947" s="88"/>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c r="A948" s="87"/>
      <c r="B948" s="88"/>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c r="A949" s="87"/>
      <c r="B949" s="88"/>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c r="A950" s="87"/>
      <c r="B950" s="88"/>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c r="A951" s="87"/>
      <c r="B951" s="88"/>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c r="A952" s="87"/>
      <c r="B952" s="88"/>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c r="A953" s="87"/>
      <c r="B953" s="88"/>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c r="A954" s="87"/>
      <c r="B954" s="88"/>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c r="A955" s="87"/>
      <c r="B955" s="88"/>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c r="A956" s="87"/>
      <c r="B956" s="88"/>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c r="A957" s="87"/>
      <c r="B957" s="88"/>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c r="A958" s="87"/>
      <c r="B958" s="88"/>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c r="A959" s="87"/>
      <c r="B959" s="88"/>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c r="A960" s="87"/>
      <c r="B960" s="88"/>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c r="A961" s="87"/>
      <c r="B961" s="88"/>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c r="A962" s="87"/>
      <c r="B962" s="88"/>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c r="A963" s="87"/>
      <c r="B963" s="88"/>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c r="A964" s="87"/>
      <c r="B964" s="88"/>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c r="A965" s="87"/>
      <c r="B965" s="88"/>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c r="A966" s="87"/>
      <c r="B966" s="88"/>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c r="A967" s="87"/>
      <c r="B967" s="88"/>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c r="A968" s="87"/>
      <c r="B968" s="88"/>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c r="A969" s="87"/>
      <c r="B969" s="88"/>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c r="A970" s="87"/>
      <c r="B970" s="88"/>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c r="A971" s="87"/>
      <c r="B971" s="88"/>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c r="A972" s="87"/>
      <c r="B972" s="88"/>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c r="A973" s="87"/>
      <c r="B973" s="88"/>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c r="A974" s="87"/>
      <c r="B974" s="88"/>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c r="A975" s="87"/>
      <c r="B975" s="88"/>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c r="A976" s="87"/>
      <c r="B976" s="88"/>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c r="A977" s="87"/>
      <c r="B977" s="88"/>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c r="A978" s="87"/>
      <c r="B978" s="88"/>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c r="A979" s="87"/>
      <c r="B979" s="88"/>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c r="A980" s="87"/>
      <c r="B980" s="88"/>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c r="A981" s="87"/>
      <c r="B981" s="88"/>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c r="A982" s="87"/>
      <c r="B982" s="88"/>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c r="A983" s="87"/>
      <c r="B983" s="88"/>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c r="A984" s="87"/>
      <c r="B984" s="88"/>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c r="A985" s="87"/>
      <c r="B985" s="88"/>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c r="A986" s="87"/>
      <c r="B986" s="88"/>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c r="A987" s="87"/>
      <c r="B987" s="88"/>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c r="A988" s="87"/>
      <c r="B988" s="88"/>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c r="A989" s="87"/>
      <c r="B989" s="88"/>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c r="A990" s="87"/>
      <c r="B990" s="88"/>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c r="A991" s="87"/>
      <c r="B991" s="88"/>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c r="A992" s="87"/>
      <c r="B992" s="88"/>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c r="A993" s="87"/>
      <c r="B993" s="88"/>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c r="A994" s="87"/>
      <c r="B994" s="88"/>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c r="A995" s="87"/>
      <c r="B995" s="88"/>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c r="A996" s="87"/>
      <c r="B996" s="88"/>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c r="A997" s="87"/>
      <c r="B997" s="88"/>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c r="A998" s="87"/>
      <c r="B998" s="88"/>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c r="A999" s="87"/>
      <c r="B999" s="88"/>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c r="A1000" s="87"/>
      <c r="B1000" s="88"/>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row r="1001">
      <c r="A1001" s="87"/>
      <c r="B1001" s="88"/>
      <c r="C1001" s="87"/>
      <c r="D1001" s="87"/>
      <c r="E1001" s="87"/>
      <c r="F1001" s="87"/>
      <c r="G1001" s="87"/>
      <c r="H1001" s="87"/>
      <c r="I1001" s="87"/>
      <c r="J1001" s="87"/>
      <c r="K1001" s="87"/>
      <c r="L1001" s="87"/>
      <c r="M1001" s="87"/>
      <c r="N1001" s="87"/>
      <c r="O1001" s="87"/>
      <c r="P1001" s="87"/>
      <c r="Q1001" s="87"/>
      <c r="R1001" s="87"/>
      <c r="S1001" s="87"/>
      <c r="T1001" s="87"/>
      <c r="U1001" s="87"/>
      <c r="V1001" s="87"/>
      <c r="W1001" s="87"/>
      <c r="X1001" s="87"/>
      <c r="Y1001" s="87"/>
      <c r="Z1001" s="87"/>
    </row>
    <row r="1002">
      <c r="A1002" s="87"/>
      <c r="B1002" s="88"/>
      <c r="C1002" s="87"/>
      <c r="D1002" s="87"/>
      <c r="E1002" s="87"/>
      <c r="F1002" s="87"/>
      <c r="G1002" s="87"/>
      <c r="H1002" s="87"/>
      <c r="I1002" s="87"/>
      <c r="J1002" s="87"/>
      <c r="K1002" s="87"/>
      <c r="L1002" s="87"/>
      <c r="M1002" s="87"/>
      <c r="N1002" s="87"/>
      <c r="O1002" s="87"/>
      <c r="P1002" s="87"/>
      <c r="Q1002" s="87"/>
      <c r="R1002" s="87"/>
      <c r="S1002" s="87"/>
      <c r="T1002" s="87"/>
      <c r="U1002" s="87"/>
      <c r="V1002" s="87"/>
      <c r="W1002" s="87"/>
      <c r="X1002" s="87"/>
      <c r="Y1002" s="87"/>
      <c r="Z1002" s="87"/>
    </row>
    <row r="1003">
      <c r="A1003" s="87"/>
      <c r="B1003" s="88"/>
      <c r="C1003" s="87"/>
      <c r="D1003" s="87"/>
      <c r="E1003" s="87"/>
      <c r="F1003" s="87"/>
      <c r="G1003" s="87"/>
      <c r="H1003" s="87"/>
      <c r="I1003" s="87"/>
      <c r="J1003" s="87"/>
      <c r="K1003" s="87"/>
      <c r="L1003" s="87"/>
      <c r="M1003" s="87"/>
      <c r="N1003" s="87"/>
      <c r="O1003" s="87"/>
      <c r="P1003" s="87"/>
      <c r="Q1003" s="87"/>
      <c r="R1003" s="87"/>
      <c r="S1003" s="87"/>
      <c r="T1003" s="87"/>
      <c r="U1003" s="87"/>
      <c r="V1003" s="87"/>
      <c r="W1003" s="87"/>
      <c r="X1003" s="87"/>
      <c r="Y1003" s="87"/>
      <c r="Z1003" s="87"/>
    </row>
    <row r="1004">
      <c r="A1004" s="87"/>
      <c r="B1004" s="88"/>
      <c r="C1004" s="87"/>
      <c r="D1004" s="87"/>
      <c r="E1004" s="87"/>
      <c r="F1004" s="87"/>
      <c r="G1004" s="87"/>
      <c r="H1004" s="87"/>
      <c r="I1004" s="87"/>
      <c r="J1004" s="87"/>
      <c r="K1004" s="87"/>
      <c r="L1004" s="87"/>
      <c r="M1004" s="87"/>
      <c r="N1004" s="87"/>
      <c r="O1004" s="87"/>
      <c r="P1004" s="87"/>
      <c r="Q1004" s="87"/>
      <c r="R1004" s="87"/>
      <c r="S1004" s="87"/>
      <c r="T1004" s="87"/>
      <c r="U1004" s="87"/>
      <c r="V1004" s="87"/>
      <c r="W1004" s="87"/>
      <c r="X1004" s="87"/>
      <c r="Y1004" s="87"/>
      <c r="Z1004" s="87"/>
    </row>
    <row r="1005">
      <c r="A1005" s="87"/>
      <c r="B1005" s="88"/>
      <c r="C1005" s="87"/>
      <c r="D1005" s="87"/>
      <c r="E1005" s="87"/>
      <c r="F1005" s="87"/>
      <c r="G1005" s="87"/>
      <c r="H1005" s="87"/>
      <c r="I1005" s="87"/>
      <c r="J1005" s="87"/>
      <c r="K1005" s="87"/>
      <c r="L1005" s="87"/>
      <c r="M1005" s="87"/>
      <c r="N1005" s="87"/>
      <c r="O1005" s="87"/>
      <c r="P1005" s="87"/>
      <c r="Q1005" s="87"/>
      <c r="R1005" s="87"/>
      <c r="S1005" s="87"/>
      <c r="T1005" s="87"/>
      <c r="U1005" s="87"/>
      <c r="V1005" s="87"/>
      <c r="W1005" s="87"/>
      <c r="X1005" s="87"/>
      <c r="Y1005" s="87"/>
      <c r="Z1005" s="87"/>
    </row>
    <row r="1006">
      <c r="A1006" s="87"/>
      <c r="B1006" s="88"/>
      <c r="C1006" s="87"/>
      <c r="D1006" s="87"/>
      <c r="E1006" s="87"/>
      <c r="F1006" s="87"/>
      <c r="G1006" s="87"/>
      <c r="H1006" s="87"/>
      <c r="I1006" s="87"/>
      <c r="J1006" s="87"/>
      <c r="K1006" s="87"/>
      <c r="L1006" s="87"/>
      <c r="M1006" s="87"/>
      <c r="N1006" s="87"/>
      <c r="O1006" s="87"/>
      <c r="P1006" s="87"/>
      <c r="Q1006" s="87"/>
      <c r="R1006" s="87"/>
      <c r="S1006" s="87"/>
      <c r="T1006" s="87"/>
      <c r="U1006" s="87"/>
      <c r="V1006" s="87"/>
      <c r="W1006" s="87"/>
      <c r="X1006" s="87"/>
      <c r="Y1006" s="87"/>
      <c r="Z1006" s="87"/>
    </row>
    <row r="1007">
      <c r="A1007" s="87"/>
      <c r="B1007" s="88"/>
      <c r="C1007" s="87"/>
      <c r="D1007" s="87"/>
      <c r="E1007" s="87"/>
      <c r="F1007" s="87"/>
      <c r="G1007" s="87"/>
      <c r="H1007" s="87"/>
      <c r="I1007" s="87"/>
      <c r="J1007" s="87"/>
      <c r="K1007" s="87"/>
      <c r="L1007" s="87"/>
      <c r="M1007" s="87"/>
      <c r="N1007" s="87"/>
      <c r="O1007" s="87"/>
      <c r="P1007" s="87"/>
      <c r="Q1007" s="87"/>
      <c r="R1007" s="87"/>
      <c r="S1007" s="87"/>
      <c r="T1007" s="87"/>
      <c r="U1007" s="87"/>
      <c r="V1007" s="87"/>
      <c r="W1007" s="87"/>
      <c r="X1007" s="87"/>
      <c r="Y1007" s="87"/>
      <c r="Z1007" s="87"/>
    </row>
    <row r="1008">
      <c r="A1008" s="87"/>
      <c r="B1008" s="88"/>
      <c r="C1008" s="87"/>
      <c r="D1008" s="87"/>
      <c r="E1008" s="87"/>
      <c r="F1008" s="87"/>
      <c r="G1008" s="87"/>
      <c r="H1008" s="87"/>
      <c r="I1008" s="87"/>
      <c r="J1008" s="87"/>
      <c r="K1008" s="87"/>
      <c r="L1008" s="87"/>
      <c r="M1008" s="87"/>
      <c r="N1008" s="87"/>
      <c r="O1008" s="87"/>
      <c r="P1008" s="87"/>
      <c r="Q1008" s="87"/>
      <c r="R1008" s="87"/>
      <c r="S1008" s="87"/>
      <c r="T1008" s="87"/>
      <c r="U1008" s="87"/>
      <c r="V1008" s="87"/>
      <c r="W1008" s="87"/>
      <c r="X1008" s="87"/>
      <c r="Y1008" s="87"/>
      <c r="Z1008" s="87"/>
    </row>
    <row r="1009">
      <c r="A1009" s="87"/>
      <c r="B1009" s="88"/>
      <c r="C1009" s="87"/>
      <c r="D1009" s="87"/>
      <c r="E1009" s="87"/>
      <c r="F1009" s="87"/>
      <c r="G1009" s="87"/>
      <c r="H1009" s="87"/>
      <c r="I1009" s="87"/>
      <c r="J1009" s="87"/>
      <c r="K1009" s="87"/>
      <c r="L1009" s="87"/>
      <c r="M1009" s="87"/>
      <c r="N1009" s="87"/>
      <c r="O1009" s="87"/>
      <c r="P1009" s="87"/>
      <c r="Q1009" s="87"/>
      <c r="R1009" s="87"/>
      <c r="S1009" s="87"/>
      <c r="T1009" s="87"/>
      <c r="U1009" s="87"/>
      <c r="V1009" s="87"/>
      <c r="W1009" s="87"/>
      <c r="X1009" s="87"/>
      <c r="Y1009" s="87"/>
      <c r="Z1009" s="87"/>
    </row>
    <row r="1010">
      <c r="A1010" s="87"/>
      <c r="B1010" s="88"/>
      <c r="C1010" s="87"/>
      <c r="D1010" s="87"/>
      <c r="E1010" s="87"/>
      <c r="F1010" s="87"/>
      <c r="G1010" s="87"/>
      <c r="H1010" s="87"/>
      <c r="I1010" s="87"/>
      <c r="J1010" s="87"/>
      <c r="K1010" s="87"/>
      <c r="L1010" s="87"/>
      <c r="M1010" s="87"/>
      <c r="N1010" s="87"/>
      <c r="O1010" s="87"/>
      <c r="P1010" s="87"/>
      <c r="Q1010" s="87"/>
      <c r="R1010" s="87"/>
      <c r="S1010" s="87"/>
      <c r="T1010" s="87"/>
      <c r="U1010" s="87"/>
      <c r="V1010" s="87"/>
      <c r="W1010" s="87"/>
      <c r="X1010" s="87"/>
      <c r="Y1010" s="87"/>
      <c r="Z1010" s="87"/>
    </row>
    <row r="1011">
      <c r="A1011" s="87"/>
      <c r="B1011" s="88"/>
      <c r="C1011" s="87"/>
      <c r="D1011" s="87"/>
      <c r="E1011" s="87"/>
      <c r="F1011" s="87"/>
      <c r="G1011" s="87"/>
      <c r="H1011" s="87"/>
      <c r="I1011" s="87"/>
      <c r="J1011" s="87"/>
      <c r="K1011" s="87"/>
      <c r="L1011" s="87"/>
      <c r="M1011" s="87"/>
      <c r="N1011" s="87"/>
      <c r="O1011" s="87"/>
      <c r="P1011" s="87"/>
      <c r="Q1011" s="87"/>
      <c r="R1011" s="87"/>
      <c r="S1011" s="87"/>
      <c r="T1011" s="87"/>
      <c r="U1011" s="87"/>
      <c r="V1011" s="87"/>
      <c r="W1011" s="87"/>
      <c r="X1011" s="87"/>
      <c r="Y1011" s="87"/>
      <c r="Z1011" s="87"/>
    </row>
    <row r="1012">
      <c r="A1012" s="87"/>
      <c r="B1012" s="88"/>
      <c r="C1012" s="87"/>
      <c r="D1012" s="87"/>
      <c r="E1012" s="87"/>
      <c r="F1012" s="87"/>
      <c r="G1012" s="87"/>
      <c r="H1012" s="87"/>
      <c r="I1012" s="87"/>
      <c r="J1012" s="87"/>
      <c r="K1012" s="87"/>
      <c r="L1012" s="87"/>
      <c r="M1012" s="87"/>
      <c r="N1012" s="87"/>
      <c r="O1012" s="87"/>
      <c r="P1012" s="87"/>
      <c r="Q1012" s="87"/>
      <c r="R1012" s="87"/>
      <c r="S1012" s="87"/>
      <c r="T1012" s="87"/>
      <c r="U1012" s="87"/>
      <c r="V1012" s="87"/>
      <c r="W1012" s="87"/>
      <c r="X1012" s="87"/>
      <c r="Y1012" s="87"/>
      <c r="Z1012" s="87"/>
    </row>
    <row r="1013">
      <c r="A1013" s="87"/>
      <c r="B1013" s="88"/>
      <c r="C1013" s="87"/>
      <c r="D1013" s="87"/>
      <c r="E1013" s="87"/>
      <c r="F1013" s="87"/>
      <c r="G1013" s="87"/>
      <c r="H1013" s="87"/>
      <c r="I1013" s="87"/>
      <c r="J1013" s="87"/>
      <c r="K1013" s="87"/>
      <c r="L1013" s="87"/>
      <c r="M1013" s="87"/>
      <c r="N1013" s="87"/>
      <c r="O1013" s="87"/>
      <c r="P1013" s="87"/>
      <c r="Q1013" s="87"/>
      <c r="R1013" s="87"/>
      <c r="S1013" s="87"/>
      <c r="T1013" s="87"/>
      <c r="U1013" s="87"/>
      <c r="V1013" s="87"/>
      <c r="W1013" s="87"/>
      <c r="X1013" s="87"/>
      <c r="Y1013" s="87"/>
      <c r="Z1013" s="87"/>
    </row>
    <row r="1014">
      <c r="A1014" s="87"/>
      <c r="B1014" s="88"/>
      <c r="C1014" s="87"/>
      <c r="D1014" s="87"/>
      <c r="E1014" s="87"/>
      <c r="F1014" s="87"/>
      <c r="G1014" s="87"/>
      <c r="H1014" s="87"/>
      <c r="I1014" s="87"/>
      <c r="J1014" s="87"/>
      <c r="K1014" s="87"/>
      <c r="L1014" s="87"/>
      <c r="M1014" s="87"/>
      <c r="N1014" s="87"/>
      <c r="O1014" s="87"/>
      <c r="P1014" s="87"/>
      <c r="Q1014" s="87"/>
      <c r="R1014" s="87"/>
      <c r="S1014" s="87"/>
      <c r="T1014" s="87"/>
      <c r="U1014" s="87"/>
      <c r="V1014" s="87"/>
      <c r="W1014" s="87"/>
      <c r="X1014" s="87"/>
      <c r="Y1014" s="87"/>
      <c r="Z1014" s="87"/>
    </row>
    <row r="1015">
      <c r="A1015" s="87"/>
      <c r="B1015" s="88"/>
      <c r="C1015" s="87"/>
      <c r="D1015" s="87"/>
      <c r="E1015" s="87"/>
      <c r="F1015" s="87"/>
      <c r="G1015" s="87"/>
      <c r="H1015" s="87"/>
      <c r="I1015" s="87"/>
      <c r="J1015" s="87"/>
      <c r="K1015" s="87"/>
      <c r="L1015" s="87"/>
      <c r="M1015" s="87"/>
      <c r="N1015" s="87"/>
      <c r="O1015" s="87"/>
      <c r="P1015" s="87"/>
      <c r="Q1015" s="87"/>
      <c r="R1015" s="87"/>
      <c r="S1015" s="87"/>
      <c r="T1015" s="87"/>
      <c r="U1015" s="87"/>
      <c r="V1015" s="87"/>
      <c r="W1015" s="87"/>
      <c r="X1015" s="87"/>
      <c r="Y1015" s="87"/>
      <c r="Z1015" s="87"/>
    </row>
    <row r="1016">
      <c r="A1016" s="87"/>
      <c r="B1016" s="88"/>
      <c r="C1016" s="87"/>
      <c r="D1016" s="87"/>
      <c r="E1016" s="87"/>
      <c r="F1016" s="87"/>
      <c r="G1016" s="87"/>
      <c r="H1016" s="87"/>
      <c r="I1016" s="87"/>
      <c r="J1016" s="87"/>
      <c r="K1016" s="87"/>
      <c r="L1016" s="87"/>
      <c r="M1016" s="87"/>
      <c r="N1016" s="87"/>
      <c r="O1016" s="87"/>
      <c r="P1016" s="87"/>
      <c r="Q1016" s="87"/>
      <c r="R1016" s="87"/>
      <c r="S1016" s="87"/>
      <c r="T1016" s="87"/>
      <c r="U1016" s="87"/>
      <c r="V1016" s="87"/>
      <c r="W1016" s="87"/>
      <c r="X1016" s="87"/>
      <c r="Y1016" s="87"/>
      <c r="Z1016" s="87"/>
    </row>
    <row r="1017">
      <c r="A1017" s="87"/>
      <c r="B1017" s="88"/>
      <c r="C1017" s="87"/>
      <c r="D1017" s="87"/>
      <c r="E1017" s="87"/>
      <c r="F1017" s="87"/>
      <c r="G1017" s="87"/>
      <c r="H1017" s="87"/>
      <c r="I1017" s="87"/>
      <c r="J1017" s="87"/>
      <c r="K1017" s="87"/>
      <c r="L1017" s="87"/>
      <c r="M1017" s="87"/>
      <c r="N1017" s="87"/>
      <c r="O1017" s="87"/>
      <c r="P1017" s="87"/>
      <c r="Q1017" s="87"/>
      <c r="R1017" s="87"/>
      <c r="S1017" s="87"/>
      <c r="T1017" s="87"/>
      <c r="U1017" s="87"/>
      <c r="V1017" s="87"/>
      <c r="W1017" s="87"/>
      <c r="X1017" s="87"/>
      <c r="Y1017" s="87"/>
      <c r="Z1017" s="87"/>
    </row>
    <row r="1018">
      <c r="A1018" s="87"/>
      <c r="B1018" s="88"/>
      <c r="C1018" s="87"/>
      <c r="D1018" s="87"/>
      <c r="E1018" s="87"/>
      <c r="F1018" s="87"/>
      <c r="G1018" s="87"/>
      <c r="H1018" s="87"/>
      <c r="I1018" s="87"/>
      <c r="J1018" s="87"/>
      <c r="K1018" s="87"/>
      <c r="L1018" s="87"/>
      <c r="M1018" s="87"/>
      <c r="N1018" s="87"/>
      <c r="O1018" s="87"/>
      <c r="P1018" s="87"/>
      <c r="Q1018" s="87"/>
      <c r="R1018" s="87"/>
      <c r="S1018" s="87"/>
      <c r="T1018" s="87"/>
      <c r="U1018" s="87"/>
      <c r="V1018" s="87"/>
      <c r="W1018" s="87"/>
      <c r="X1018" s="87"/>
      <c r="Y1018" s="87"/>
      <c r="Z1018" s="87"/>
    </row>
    <row r="1019">
      <c r="A1019" s="87"/>
      <c r="B1019" s="88"/>
      <c r="C1019" s="87"/>
      <c r="D1019" s="87"/>
      <c r="E1019" s="87"/>
      <c r="F1019" s="87"/>
      <c r="G1019" s="87"/>
      <c r="H1019" s="87"/>
      <c r="I1019" s="87"/>
      <c r="J1019" s="87"/>
      <c r="K1019" s="87"/>
      <c r="L1019" s="87"/>
      <c r="M1019" s="87"/>
      <c r="N1019" s="87"/>
      <c r="O1019" s="87"/>
      <c r="P1019" s="87"/>
      <c r="Q1019" s="87"/>
      <c r="R1019" s="87"/>
      <c r="S1019" s="87"/>
      <c r="T1019" s="87"/>
      <c r="U1019" s="87"/>
      <c r="V1019" s="87"/>
      <c r="W1019" s="87"/>
      <c r="X1019" s="87"/>
      <c r="Y1019" s="87"/>
      <c r="Z1019" s="87"/>
    </row>
    <row r="1020">
      <c r="A1020" s="87"/>
      <c r="B1020" s="88"/>
      <c r="C1020" s="87"/>
      <c r="D1020" s="87"/>
      <c r="E1020" s="87"/>
      <c r="F1020" s="87"/>
      <c r="G1020" s="87"/>
      <c r="H1020" s="87"/>
      <c r="I1020" s="87"/>
      <c r="J1020" s="87"/>
      <c r="K1020" s="87"/>
      <c r="L1020" s="87"/>
      <c r="M1020" s="87"/>
      <c r="N1020" s="87"/>
      <c r="O1020" s="87"/>
      <c r="P1020" s="87"/>
      <c r="Q1020" s="87"/>
      <c r="R1020" s="87"/>
      <c r="S1020" s="87"/>
      <c r="T1020" s="87"/>
      <c r="U1020" s="87"/>
      <c r="V1020" s="87"/>
      <c r="W1020" s="87"/>
      <c r="X1020" s="87"/>
      <c r="Y1020" s="87"/>
      <c r="Z1020" s="87"/>
    </row>
    <row r="1021">
      <c r="A1021" s="87"/>
      <c r="B1021" s="88"/>
      <c r="C1021" s="87"/>
      <c r="D1021" s="87"/>
      <c r="E1021" s="87"/>
      <c r="F1021" s="87"/>
      <c r="G1021" s="87"/>
      <c r="H1021" s="87"/>
      <c r="I1021" s="87"/>
      <c r="J1021" s="87"/>
      <c r="K1021" s="87"/>
      <c r="L1021" s="87"/>
      <c r="M1021" s="87"/>
      <c r="N1021" s="87"/>
      <c r="O1021" s="87"/>
      <c r="P1021" s="87"/>
      <c r="Q1021" s="87"/>
      <c r="R1021" s="87"/>
      <c r="S1021" s="87"/>
      <c r="T1021" s="87"/>
      <c r="U1021" s="87"/>
      <c r="V1021" s="87"/>
      <c r="W1021" s="87"/>
      <c r="X1021" s="87"/>
      <c r="Y1021" s="87"/>
      <c r="Z1021" s="87"/>
    </row>
    <row r="1022">
      <c r="A1022" s="87"/>
      <c r="B1022" s="88"/>
      <c r="C1022" s="87"/>
      <c r="D1022" s="87"/>
      <c r="E1022" s="87"/>
      <c r="F1022" s="87"/>
      <c r="G1022" s="87"/>
      <c r="H1022" s="87"/>
      <c r="I1022" s="87"/>
      <c r="J1022" s="87"/>
      <c r="K1022" s="87"/>
      <c r="L1022" s="87"/>
      <c r="M1022" s="87"/>
      <c r="N1022" s="87"/>
      <c r="O1022" s="87"/>
      <c r="P1022" s="87"/>
      <c r="Q1022" s="87"/>
      <c r="R1022" s="87"/>
      <c r="S1022" s="87"/>
      <c r="T1022" s="87"/>
      <c r="U1022" s="87"/>
      <c r="V1022" s="87"/>
      <c r="W1022" s="87"/>
      <c r="X1022" s="87"/>
      <c r="Y1022" s="87"/>
      <c r="Z1022" s="87"/>
    </row>
    <row r="1023">
      <c r="A1023" s="87"/>
      <c r="B1023" s="88"/>
      <c r="C1023" s="87"/>
      <c r="D1023" s="87"/>
      <c r="E1023" s="87"/>
      <c r="F1023" s="87"/>
      <c r="G1023" s="87"/>
      <c r="H1023" s="87"/>
      <c r="I1023" s="87"/>
      <c r="J1023" s="87"/>
      <c r="K1023" s="87"/>
      <c r="L1023" s="87"/>
      <c r="M1023" s="87"/>
      <c r="N1023" s="87"/>
      <c r="O1023" s="87"/>
      <c r="P1023" s="87"/>
      <c r="Q1023" s="87"/>
      <c r="R1023" s="87"/>
      <c r="S1023" s="87"/>
      <c r="T1023" s="87"/>
      <c r="U1023" s="87"/>
      <c r="V1023" s="87"/>
      <c r="W1023" s="87"/>
      <c r="X1023" s="87"/>
      <c r="Y1023" s="87"/>
      <c r="Z1023" s="87"/>
    </row>
    <row r="1024">
      <c r="A1024" s="87"/>
      <c r="B1024" s="88"/>
      <c r="C1024" s="87"/>
      <c r="D1024" s="87"/>
      <c r="E1024" s="87"/>
      <c r="F1024" s="87"/>
      <c r="G1024" s="87"/>
      <c r="H1024" s="87"/>
      <c r="I1024" s="87"/>
      <c r="J1024" s="87"/>
      <c r="K1024" s="87"/>
      <c r="L1024" s="87"/>
      <c r="M1024" s="87"/>
      <c r="N1024" s="87"/>
      <c r="O1024" s="87"/>
      <c r="P1024" s="87"/>
      <c r="Q1024" s="87"/>
      <c r="R1024" s="87"/>
      <c r="S1024" s="87"/>
      <c r="T1024" s="87"/>
      <c r="U1024" s="87"/>
      <c r="V1024" s="87"/>
      <c r="W1024" s="87"/>
      <c r="X1024" s="87"/>
      <c r="Y1024" s="87"/>
      <c r="Z1024" s="87"/>
    </row>
    <row r="1025">
      <c r="A1025" s="87"/>
      <c r="B1025" s="88"/>
      <c r="C1025" s="87"/>
      <c r="D1025" s="87"/>
      <c r="E1025" s="87"/>
      <c r="F1025" s="87"/>
      <c r="G1025" s="87"/>
      <c r="H1025" s="87"/>
      <c r="I1025" s="87"/>
      <c r="J1025" s="87"/>
      <c r="K1025" s="87"/>
      <c r="L1025" s="87"/>
      <c r="M1025" s="87"/>
      <c r="N1025" s="87"/>
      <c r="O1025" s="87"/>
      <c r="P1025" s="87"/>
      <c r="Q1025" s="87"/>
      <c r="R1025" s="87"/>
      <c r="S1025" s="87"/>
      <c r="T1025" s="87"/>
      <c r="U1025" s="87"/>
      <c r="V1025" s="87"/>
      <c r="W1025" s="87"/>
      <c r="X1025" s="87"/>
      <c r="Y1025" s="87"/>
      <c r="Z1025" s="87"/>
    </row>
    <row r="1026">
      <c r="A1026" s="87"/>
      <c r="B1026" s="88"/>
      <c r="C1026" s="87"/>
      <c r="D1026" s="87"/>
      <c r="E1026" s="87"/>
      <c r="F1026" s="87"/>
      <c r="G1026" s="87"/>
      <c r="H1026" s="87"/>
      <c r="I1026" s="87"/>
      <c r="J1026" s="87"/>
      <c r="K1026" s="87"/>
      <c r="L1026" s="87"/>
      <c r="M1026" s="87"/>
      <c r="N1026" s="87"/>
      <c r="O1026" s="87"/>
      <c r="P1026" s="87"/>
      <c r="Q1026" s="87"/>
      <c r="R1026" s="87"/>
      <c r="S1026" s="87"/>
      <c r="T1026" s="87"/>
      <c r="U1026" s="87"/>
      <c r="V1026" s="87"/>
      <c r="W1026" s="87"/>
      <c r="X1026" s="87"/>
      <c r="Y1026" s="87"/>
      <c r="Z1026" s="87"/>
    </row>
    <row r="1027">
      <c r="A1027" s="87"/>
      <c r="B1027" s="88"/>
      <c r="C1027" s="87"/>
      <c r="D1027" s="87"/>
      <c r="E1027" s="87"/>
      <c r="F1027" s="87"/>
      <c r="G1027" s="87"/>
      <c r="H1027" s="87"/>
      <c r="I1027" s="87"/>
      <c r="J1027" s="87"/>
      <c r="K1027" s="87"/>
      <c r="L1027" s="87"/>
      <c r="M1027" s="87"/>
      <c r="N1027" s="87"/>
      <c r="O1027" s="87"/>
      <c r="P1027" s="87"/>
      <c r="Q1027" s="87"/>
      <c r="R1027" s="87"/>
      <c r="S1027" s="87"/>
      <c r="T1027" s="87"/>
      <c r="U1027" s="87"/>
      <c r="V1027" s="87"/>
      <c r="W1027" s="87"/>
      <c r="X1027" s="87"/>
      <c r="Y1027" s="87"/>
      <c r="Z1027" s="87"/>
    </row>
    <row r="1028">
      <c r="A1028" s="87"/>
      <c r="B1028" s="88"/>
      <c r="C1028" s="87"/>
      <c r="D1028" s="87"/>
      <c r="E1028" s="87"/>
      <c r="F1028" s="87"/>
      <c r="G1028" s="87"/>
      <c r="H1028" s="87"/>
      <c r="I1028" s="87"/>
      <c r="J1028" s="87"/>
      <c r="K1028" s="87"/>
      <c r="L1028" s="87"/>
      <c r="M1028" s="87"/>
      <c r="N1028" s="87"/>
      <c r="O1028" s="87"/>
      <c r="P1028" s="87"/>
      <c r="Q1028" s="87"/>
      <c r="R1028" s="87"/>
      <c r="S1028" s="87"/>
      <c r="T1028" s="87"/>
      <c r="U1028" s="87"/>
      <c r="V1028" s="87"/>
      <c r="W1028" s="87"/>
      <c r="X1028" s="87"/>
      <c r="Y1028" s="87"/>
      <c r="Z1028" s="87"/>
    </row>
    <row r="1029">
      <c r="A1029" s="87"/>
      <c r="B1029" s="88"/>
      <c r="C1029" s="87"/>
      <c r="D1029" s="87"/>
      <c r="E1029" s="87"/>
      <c r="F1029" s="87"/>
      <c r="G1029" s="87"/>
      <c r="H1029" s="87"/>
      <c r="I1029" s="87"/>
      <c r="J1029" s="87"/>
      <c r="K1029" s="87"/>
      <c r="L1029" s="87"/>
      <c r="M1029" s="87"/>
      <c r="N1029" s="87"/>
      <c r="O1029" s="87"/>
      <c r="P1029" s="87"/>
      <c r="Q1029" s="87"/>
      <c r="R1029" s="87"/>
      <c r="S1029" s="87"/>
      <c r="T1029" s="87"/>
      <c r="U1029" s="87"/>
      <c r="V1029" s="87"/>
      <c r="W1029" s="87"/>
      <c r="X1029" s="87"/>
      <c r="Y1029" s="87"/>
      <c r="Z1029" s="87"/>
    </row>
    <row r="1030">
      <c r="A1030" s="87"/>
      <c r="B1030" s="88"/>
      <c r="C1030" s="87"/>
      <c r="D1030" s="87"/>
      <c r="E1030" s="87"/>
      <c r="F1030" s="87"/>
      <c r="G1030" s="87"/>
      <c r="H1030" s="87"/>
      <c r="I1030" s="87"/>
      <c r="J1030" s="87"/>
      <c r="K1030" s="87"/>
      <c r="L1030" s="87"/>
      <c r="M1030" s="87"/>
      <c r="N1030" s="87"/>
      <c r="O1030" s="87"/>
      <c r="P1030" s="87"/>
      <c r="Q1030" s="87"/>
      <c r="R1030" s="87"/>
      <c r="S1030" s="87"/>
      <c r="T1030" s="87"/>
      <c r="U1030" s="87"/>
      <c r="V1030" s="87"/>
      <c r="W1030" s="87"/>
      <c r="X1030" s="87"/>
      <c r="Y1030" s="87"/>
      <c r="Z1030" s="8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11"/>
    <col customWidth="1" min="2" max="2" width="28.33"/>
    <col customWidth="1" min="3" max="3" width="24.0"/>
    <col customWidth="1" min="5" max="5" width="79.22"/>
  </cols>
  <sheetData>
    <row r="1">
      <c r="A1" s="89" t="s">
        <v>4430</v>
      </c>
      <c r="B1" s="90" t="s">
        <v>4431</v>
      </c>
      <c r="C1" s="90" t="s">
        <v>4432</v>
      </c>
      <c r="D1" s="91" t="s">
        <v>4433</v>
      </c>
      <c r="E1" s="92" t="s">
        <v>4434</v>
      </c>
    </row>
    <row r="2">
      <c r="A2" s="93" t="str">
        <f>IFERROR(__xludf.DUMMYFUNCTION("Sort (ImportRange(""1Q80hXof-M7cjReDC5xFRr_K542_5quqc-SI8ovXDWfw"",""Sheet1!data""), 2, true)"),"00002")</f>
        <v>00002</v>
      </c>
      <c r="B2" s="94" t="str">
        <f>IFERROR(__xludf.DUMMYFUNCTION("""COMPUTED_VALUE"""),"Adams, Frederick")</f>
        <v>Adams, Frederick</v>
      </c>
      <c r="C2" s="94"/>
      <c r="D2" s="94" t="str">
        <f>IFERROR(__xludf.DUMMYFUNCTION("""COMPUTED_VALUE"""),"1910-2001")</f>
        <v>1910-2001</v>
      </c>
      <c r="E2" s="95" t="str">
        <f>IFERROR(__xludf.DUMMYFUNCTION("""COMPUTED_VALUE"""),"American bibliophile and Director of the Morgan Library, 1948-69")</f>
        <v>American bibliophile and Director of the Morgan Library, 1948-69</v>
      </c>
    </row>
    <row r="3">
      <c r="A3" s="96" t="str">
        <f>IFERROR(__xludf.DUMMYFUNCTION("""COMPUTED_VALUE"""),"00003")</f>
        <v>00003</v>
      </c>
      <c r="B3" s="94" t="str">
        <f>IFERROR(__xludf.DUMMYFUNCTION("""COMPUTED_VALUE"""),"Adams, Maude")</f>
        <v>Adams, Maude</v>
      </c>
      <c r="C3" s="94"/>
      <c r="D3" s="94" t="str">
        <f>IFERROR(__xludf.DUMMYFUNCTION("""COMPUTED_VALUE"""),"1872-1953")</f>
        <v>1872-1953</v>
      </c>
      <c r="E3" s="95" t="str">
        <f>IFERROR(__xludf.DUMMYFUNCTION("""COMPUTED_VALUE"""),"American actress")</f>
        <v>American actress</v>
      </c>
    </row>
    <row r="4">
      <c r="A4" s="96" t="str">
        <f>IFERROR(__xludf.DUMMYFUNCTION("""COMPUTED_VALUE"""),"00004")</f>
        <v>00004</v>
      </c>
      <c r="B4" s="94" t="str">
        <f>IFERROR(__xludf.DUMMYFUNCTION("""COMPUTED_VALUE"""),"Agnew, William Lockett")</f>
        <v>Agnew, William Lockett</v>
      </c>
      <c r="C4" s="94"/>
      <c r="D4" s="94" t="str">
        <f>IFERROR(__xludf.DUMMYFUNCTION("""COMPUTED_VALUE"""),"1858-1919")</f>
        <v>1858-1919</v>
      </c>
      <c r="E4" s="95" t="str">
        <f>IFERROR(__xludf.DUMMYFUNCTION("""COMPUTED_VALUE"""),"British art dealer; partner at Agnew's")</f>
        <v>British art dealer; partner at Agnew's</v>
      </c>
    </row>
    <row r="5">
      <c r="A5" s="96" t="str">
        <f>IFERROR(__xludf.DUMMYFUNCTION("""COMPUTED_VALUE"""),"00596")</f>
        <v>00596</v>
      </c>
      <c r="B5" s="94" t="str">
        <f>IFERROR(__xludf.DUMMYFUNCTION("""COMPUTED_VALUE"""),"Agnews")</f>
        <v>Agnews</v>
      </c>
      <c r="C5" s="94"/>
      <c r="D5" s="94"/>
      <c r="E5" s="95" t="str">
        <f>IFERROR(__xludf.DUMMYFUNCTION("""COMPUTED_VALUE"""),"Unidentified. Greene is unsure if this is William Lockett Agnew and his wife, Mary Kenworthy Agnew")</f>
        <v>Unidentified. Greene is unsure if this is William Lockett Agnew and his wife, Mary Kenworthy Agnew</v>
      </c>
    </row>
    <row r="6">
      <c r="A6" s="96" t="str">
        <f>IFERROR(__xludf.DUMMYFUNCTION("""COMPUTED_VALUE"""),"00005")</f>
        <v>00005</v>
      </c>
      <c r="B6" s="94" t="str">
        <f>IFERROR(__xludf.DUMMYFUNCTION("""COMPUTED_VALUE"""),"Aldrich, Lilian Woodman")</f>
        <v>Aldrich, Lilian Woodman</v>
      </c>
      <c r="C6" s="94"/>
      <c r="D6" s="94" t="str">
        <f>IFERROR(__xludf.DUMMYFUNCTION("""COMPUTED_VALUE"""),"1841-1927")</f>
        <v>1841-1927</v>
      </c>
      <c r="E6" s="95" t="str">
        <f>IFERROR(__xludf.DUMMYFUNCTION("""COMPUTED_VALUE"""),"Wife of Thomas Bailey Aldrich, editor of The Atlantic Monthly")</f>
        <v>Wife of Thomas Bailey Aldrich, editor of The Atlantic Monthly</v>
      </c>
    </row>
    <row r="7">
      <c r="A7" s="96" t="str">
        <f>IFERROR(__xludf.DUMMYFUNCTION("""COMPUTED_VALUE"""),"00006")</f>
        <v>00006</v>
      </c>
      <c r="B7" s="94" t="str">
        <f>IFERROR(__xludf.DUMMYFUNCTION("""COMPUTED_VALUE"""),"Aldrich, Nelson W.")</f>
        <v>Aldrich, Nelson W.</v>
      </c>
      <c r="C7" s="94"/>
      <c r="D7" s="94" t="str">
        <f>IFERROR(__xludf.DUMMYFUNCTION("""COMPUTED_VALUE"""),"1841-1915")</f>
        <v>1841-1915</v>
      </c>
      <c r="E7" s="95" t="str">
        <f>IFERROR(__xludf.DUMMYFUNCTION("""COMPUTED_VALUE"""),"American politician and Republican Senator from Rhode Island (1881-1911); co-wrote the Payne-Aldrich Tariff Act that removed import duties on fine art")</f>
        <v>American politician and Republican Senator from Rhode Island (1881-1911); co-wrote the Payne-Aldrich Tariff Act that removed import duties on fine art</v>
      </c>
    </row>
    <row r="8">
      <c r="A8" s="96" t="str">
        <f>IFERROR(__xludf.DUMMYFUNCTION("""COMPUTED_VALUE"""),"00574")</f>
        <v>00574</v>
      </c>
      <c r="B8" s="94" t="str">
        <f>IFERROR(__xludf.DUMMYFUNCTION("""COMPUTED_VALUE"""),"Alexander, Mrs. C.B.")</f>
        <v>Alexander, Mrs. C.B.</v>
      </c>
      <c r="C8" s="94"/>
      <c r="D8" s="94"/>
      <c r="E8" s="95" t="str">
        <f>IFERROR(__xludf.DUMMYFUNCTION("""COMPUTED_VALUE"""),"Unidentified")</f>
        <v>Unidentified</v>
      </c>
    </row>
    <row r="9">
      <c r="A9" s="96" t="str">
        <f>IFERROR(__xludf.DUMMYFUNCTION("""COMPUTED_VALUE"""),"00518")</f>
        <v>00518</v>
      </c>
      <c r="B9" s="94" t="str">
        <f>IFERROR(__xludf.DUMMYFUNCTION("""COMPUTED_VALUE"""),"Allen, James Lane")</f>
        <v>Allen, James Lane</v>
      </c>
      <c r="C9" s="94"/>
      <c r="D9" s="94" t="str">
        <f>IFERROR(__xludf.DUMMYFUNCTION("""COMPUTED_VALUE"""),"1849-1925")</f>
        <v>1849-1925</v>
      </c>
      <c r="E9" s="95" t="str">
        <f>IFERROR(__xludf.DUMMYFUNCTION("""COMPUTED_VALUE"""),"American novelist")</f>
        <v>American novelist</v>
      </c>
    </row>
    <row r="10">
      <c r="A10" s="96" t="str">
        <f>IFERROR(__xludf.DUMMYFUNCTION("""COMPUTED_VALUE"""),"00007")</f>
        <v>00007</v>
      </c>
      <c r="B10" s="94" t="str">
        <f>IFERROR(__xludf.DUMMYFUNCTION("""COMPUTED_VALUE"""),"Altman, Benjamin")</f>
        <v>Altman, Benjamin</v>
      </c>
      <c r="C10" s="94" t="str">
        <f>IFERROR(__xludf.DUMMYFUNCTION("""COMPUTED_VALUE"""),"Benny")</f>
        <v>Benny</v>
      </c>
      <c r="D10" s="94" t="str">
        <f>IFERROR(__xludf.DUMMYFUNCTION("""COMPUTED_VALUE"""),"1840-1913")</f>
        <v>1840-1913</v>
      </c>
      <c r="E10" s="95" t="str">
        <f>IFERROR(__xludf.DUMMYFUNCTION("""COMPUTED_VALUE"""),"American art collector and owner of New York department store, B. Altman ")</f>
        <v>American art collector and owner of New York department store, B. Altman </v>
      </c>
    </row>
    <row r="11">
      <c r="A11" s="96" t="str">
        <f>IFERROR(__xludf.DUMMYFUNCTION("""COMPUTED_VALUE"""),"00621")</f>
        <v>00621</v>
      </c>
      <c r="B11" s="94" t="str">
        <f>IFERROR(__xludf.DUMMYFUNCTION("""COMPUTED_VALUE"""),"Amedeo, Prince")</f>
        <v>Amedeo, Prince</v>
      </c>
      <c r="C11" s="94" t="str">
        <f>IFERROR(__xludf.DUMMYFUNCTION("""COMPUTED_VALUE"""),"Duke D'Aosta")</f>
        <v>Duke D'Aosta</v>
      </c>
      <c r="D11" s="94" t="str">
        <f>IFERROR(__xludf.DUMMYFUNCTION("""COMPUTED_VALUE"""),"1898–1942")</f>
        <v>1898–1942</v>
      </c>
      <c r="E11" s="95" t="str">
        <f>IFERROR(__xludf.DUMMYFUNCTION("""COMPUTED_VALUE"""),"Italian aristocrat and military officer")</f>
        <v>Italian aristocrat and military officer</v>
      </c>
    </row>
    <row r="12">
      <c r="A12" s="96" t="str">
        <f>IFERROR(__xludf.DUMMYFUNCTION("""COMPUTED_VALUE"""),"00008")</f>
        <v>00008</v>
      </c>
      <c r="B12" s="94" t="str">
        <f>IFERROR(__xludf.DUMMYFUNCTION("""COMPUTED_VALUE"""),"Anspacher, Louis")</f>
        <v>Anspacher, Louis</v>
      </c>
      <c r="C12" s="94"/>
      <c r="D12" s="94" t="str">
        <f>IFERROR(__xludf.DUMMYFUNCTION("""COMPUTED_VALUE"""),"1878-1947")</f>
        <v>1878-1947</v>
      </c>
      <c r="E12" s="95" t="str">
        <f>IFERROR(__xludf.DUMMYFUNCTION("""COMPUTED_VALUE"""),"American playwright")</f>
        <v>American playwright</v>
      </c>
    </row>
    <row r="13">
      <c r="A13" s="96" t="str">
        <f>IFERROR(__xludf.DUMMYFUNCTION("""COMPUTED_VALUE"""),"00009")</f>
        <v>00009</v>
      </c>
      <c r="B13" s="94" t="str">
        <f>IFERROR(__xludf.DUMMYFUNCTION("""COMPUTED_VALUE"""),"Armour, Allison ")</f>
        <v>Armour, Allison </v>
      </c>
      <c r="C13" s="94"/>
      <c r="D13" s="94" t="str">
        <f>IFERROR(__xludf.DUMMYFUNCTION("""COMPUTED_VALUE"""),"1863-1941")</f>
        <v>1863-1941</v>
      </c>
      <c r="E13" s="95" t="str">
        <f>IFERROR(__xludf.DUMMYFUNCTION("""COMPUTED_VALUE"""),"Yachtsman who led sailing expeditions with William Henry Holmes")</f>
        <v>Yachtsman who led sailing expeditions with William Henry Holmes</v>
      </c>
    </row>
    <row r="14">
      <c r="A14" s="96" t="str">
        <f>IFERROR(__xludf.DUMMYFUNCTION("""COMPUTED_VALUE"""),"00010")</f>
        <v>00010</v>
      </c>
      <c r="B14" s="94" t="str">
        <f>IFERROR(__xludf.DUMMYFUNCTION("""COMPUTED_VALUE"""),"Armstrong, Paul")</f>
        <v>Armstrong, Paul</v>
      </c>
      <c r="C14" s="94"/>
      <c r="D14" s="94" t="str">
        <f>IFERROR(__xludf.DUMMYFUNCTION("""COMPUTED_VALUE"""),"1869-1915")</f>
        <v>1869-1915</v>
      </c>
      <c r="E14" s="95" t="str">
        <f>IFERROR(__xludf.DUMMYFUNCTION("""COMPUTED_VALUE"""),"American playwright")</f>
        <v>American playwright</v>
      </c>
    </row>
    <row r="15">
      <c r="A15" s="96" t="str">
        <f>IFERROR(__xludf.DUMMYFUNCTION("""COMPUTED_VALUE"""),"00011")</f>
        <v>00011</v>
      </c>
      <c r="B15" s="94" t="str">
        <f>IFERROR(__xludf.DUMMYFUNCTION("""COMPUTED_VALUE"""),"Askew, R. Kirk")</f>
        <v>Askew, R. Kirk</v>
      </c>
      <c r="C15" s="94"/>
      <c r="D15" s="94"/>
      <c r="E15" s="95" t="str">
        <f>IFERROR(__xludf.DUMMYFUNCTION("""COMPUTED_VALUE"""),"Manager of Durlacher Brothers New York branch, which he ran through c. 1969 following George Durlacher's retirement in 1938")</f>
        <v>Manager of Durlacher Brothers New York branch, which he ran through c. 1969 following George Durlacher's retirement in 1938</v>
      </c>
    </row>
    <row r="16">
      <c r="A16" s="96" t="str">
        <f>IFERROR(__xludf.DUMMYFUNCTION("""COMPUTED_VALUE"""),"00613")</f>
        <v>00613</v>
      </c>
      <c r="B16" s="94" t="str">
        <f>IFERROR(__xludf.DUMMYFUNCTION("""COMPUTED_VALUE"""),"Asquith, Katherine Frances")</f>
        <v>Asquith, Katherine Frances</v>
      </c>
      <c r="C16" s="94"/>
      <c r="D16" s="94" t="str">
        <f>IFERROR(__xludf.DUMMYFUNCTION("""COMPUTED_VALUE"""),"1885–1976")</f>
        <v>1885–1976</v>
      </c>
      <c r="E16" s="95" t="str">
        <f>IFERROR(__xludf.DUMMYFUNCTION("""COMPUTED_VALUE"""),"Arts patron")</f>
        <v>Arts patron</v>
      </c>
    </row>
    <row r="17">
      <c r="A17" s="96" t="str">
        <f>IFERROR(__xludf.DUMMYFUNCTION("""COMPUTED_VALUE"""),"00612")</f>
        <v>00612</v>
      </c>
      <c r="B17" s="94" t="str">
        <f>IFERROR(__xludf.DUMMYFUNCTION("""COMPUTED_VALUE"""),"Asquith, Raymond Herbert")</f>
        <v>Asquith, Raymond Herbert</v>
      </c>
      <c r="C17" s="94"/>
      <c r="D17" s="94" t="str">
        <f>IFERROR(__xludf.DUMMYFUNCTION("""COMPUTED_VALUE"""),"1878–1916")</f>
        <v>1878–1916</v>
      </c>
      <c r="E17" s="95" t="str">
        <f>IFERROR(__xludf.DUMMYFUNCTION("""COMPUTED_VALUE"""),"English barrister, scholar, and socialite")</f>
        <v>English barrister, scholar, and socialite</v>
      </c>
    </row>
    <row r="18">
      <c r="A18" s="96" t="str">
        <f>IFERROR(__xludf.DUMMYFUNCTION("""COMPUTED_VALUE"""),"00012")</f>
        <v>00012</v>
      </c>
      <c r="B18" s="94" t="str">
        <f>IFERROR(__xludf.DUMMYFUNCTION("""COMPUTED_VALUE"""),"Astor, Ava Willing")</f>
        <v>Astor, Ava Willing</v>
      </c>
      <c r="C18" s="94"/>
      <c r="D18" s="94" t="str">
        <f>IFERROR(__xludf.DUMMYFUNCTION("""COMPUTED_VALUE"""),"1868-1958")</f>
        <v>1868-1958</v>
      </c>
      <c r="E18" s="95" t="str">
        <f>IFERROR(__xludf.DUMMYFUNCTION("""COMPUTED_VALUE"""),"American socialite married to (and then divorced in 1909 from) John Jacob Astor IV who lived in England from 1911 on")</f>
        <v>American socialite married to (and then divorced in 1909 from) John Jacob Astor IV who lived in England from 1911 on</v>
      </c>
    </row>
    <row r="19">
      <c r="A19" s="96" t="str">
        <f>IFERROR(__xludf.DUMMYFUNCTION("""COMPUTED_VALUE"""),"00013")</f>
        <v>00013</v>
      </c>
      <c r="B19" s="94" t="str">
        <f>IFERROR(__xludf.DUMMYFUNCTION("""COMPUTED_VALUE"""),"Atherton, Gertrude")</f>
        <v>Atherton, Gertrude</v>
      </c>
      <c r="C19" s="94"/>
      <c r="D19" s="94" t="str">
        <f>IFERROR(__xludf.DUMMYFUNCTION("""COMPUTED_VALUE"""),"1857-1948")</f>
        <v>1857-1948</v>
      </c>
      <c r="E19" s="95" t="str">
        <f>IFERROR(__xludf.DUMMYFUNCTION("""COMPUTED_VALUE"""),"American novelist")</f>
        <v>American novelist</v>
      </c>
    </row>
    <row r="20">
      <c r="A20" s="96" t="str">
        <f>IFERROR(__xludf.DUMMYFUNCTION("""COMPUTED_VALUE"""),"00542")</f>
        <v>00542</v>
      </c>
      <c r="B20" s="94" t="str">
        <f>IFERROR(__xludf.DUMMYFUNCTION("""COMPUTED_VALUE"""),"Austin, Mary Hunter")</f>
        <v>Austin, Mary Hunter</v>
      </c>
      <c r="C20" s="94" t="str">
        <f>IFERROR(__xludf.DUMMYFUNCTION("""COMPUTED_VALUE"""),"Mrs. Austin")</f>
        <v>Mrs. Austin</v>
      </c>
      <c r="D20" s="94" t="str">
        <f>IFERROR(__xludf.DUMMYFUNCTION("""COMPUTED_VALUE"""),"1868-1934")</f>
        <v>1868-1934</v>
      </c>
      <c r="E20" s="95" t="str">
        <f>IFERROR(__xludf.DUMMYFUNCTION("""COMPUTED_VALUE"""),"American nature writer; assistant editor of Harper's Weekly")</f>
        <v>American nature writer; assistant editor of Harper's Weekly</v>
      </c>
    </row>
    <row r="21">
      <c r="A21" s="96" t="str">
        <f>IFERROR(__xludf.DUMMYFUNCTION("""COMPUTED_VALUE"""),"00014")</f>
        <v>00014</v>
      </c>
      <c r="B21" s="94" t="str">
        <f>IFERROR(__xludf.DUMMYFUNCTION("""COMPUTED_VALUE"""),"Babbott, Frank L.")</f>
        <v>Babbott, Frank L.</v>
      </c>
      <c r="C21" s="94"/>
      <c r="D21" s="94" t="str">
        <f>IFERROR(__xludf.DUMMYFUNCTION("""COMPUTED_VALUE"""),"1854-1943")</f>
        <v>1854-1943</v>
      </c>
      <c r="E21" s="95" t="str">
        <f>IFERROR(__xludf.DUMMYFUNCTION("""COMPUTED_VALUE"""),"Brooklyn art collector")</f>
        <v>Brooklyn art collector</v>
      </c>
    </row>
    <row r="22">
      <c r="A22" s="96" t="str">
        <f>IFERROR(__xludf.DUMMYFUNCTION("""COMPUTED_VALUE"""),"00015")</f>
        <v>00015</v>
      </c>
      <c r="B22" s="94" t="str">
        <f>IFERROR(__xludf.DUMMYFUNCTION("""COMPUTED_VALUE"""),"Baca-Flor, Carlos")</f>
        <v>Baca-Flor, Carlos</v>
      </c>
      <c r="C22" s="94"/>
      <c r="D22" s="94" t="str">
        <f>IFERROR(__xludf.DUMMYFUNCTION("""COMPUTED_VALUE"""),"1869-1941")</f>
        <v>1869-1941</v>
      </c>
      <c r="E22" s="95" t="str">
        <f>IFERROR(__xludf.DUMMYFUNCTION("""COMPUTED_VALUE"""),"Peruvian painter who made portraits of JPM, BG, Jack, and others")</f>
        <v>Peruvian painter who made portraits of JPM, BG, Jack, and others</v>
      </c>
    </row>
    <row r="23">
      <c r="A23" s="96" t="str">
        <f>IFERROR(__xludf.DUMMYFUNCTION("""COMPUTED_VALUE"""),"00016")</f>
        <v>00016</v>
      </c>
      <c r="B23" s="94" t="str">
        <f>IFERROR(__xludf.DUMMYFUNCTION("""COMPUTED_VALUE"""),"Baird, Edward Kellogg")</f>
        <v>Baird, Edward Kellogg</v>
      </c>
      <c r="C23" s="94"/>
      <c r="D23" s="94" t="str">
        <f>IFERROR(__xludf.DUMMYFUNCTION("""COMPUTED_VALUE"""),"1876-1951")</f>
        <v>1876-1951</v>
      </c>
      <c r="E23" s="95" t="str">
        <f>IFERROR(__xludf.DUMMYFUNCTION("""COMPUTED_VALUE"""),"Beau and short-lived fiancé of BG; corporate lawyer; president of the Century Opera Company (for a short period)")</f>
        <v>Beau and short-lived fiancé of BG; corporate lawyer; president of the Century Opera Company (for a short period)</v>
      </c>
    </row>
    <row r="24">
      <c r="A24" s="96" t="str">
        <f>IFERROR(__xludf.DUMMYFUNCTION("""COMPUTED_VALUE"""),"00017")</f>
        <v>00017</v>
      </c>
      <c r="B24" s="94" t="str">
        <f>IFERROR(__xludf.DUMMYFUNCTION("""COMPUTED_VALUE"""),"Baker Jr., George Fisher")</f>
        <v>Baker Jr., George Fisher</v>
      </c>
      <c r="C24" s="94"/>
      <c r="D24" s="94" t="str">
        <f>IFERROR(__xludf.DUMMYFUNCTION("""COMPUTED_VALUE"""),"1878-1937")</f>
        <v>1878-1937</v>
      </c>
      <c r="E24" s="95" t="str">
        <f>IFERROR(__xludf.DUMMYFUNCTION("""COMPUTED_VALUE"""),"Son of financier George Fisher Baker")</f>
        <v>Son of financier George Fisher Baker</v>
      </c>
    </row>
    <row r="25">
      <c r="A25" s="96" t="str">
        <f>IFERROR(__xludf.DUMMYFUNCTION("""COMPUTED_VALUE"""),"00018")</f>
        <v>00018</v>
      </c>
      <c r="B25" s="94" t="str">
        <f>IFERROR(__xludf.DUMMYFUNCTION("""COMPUTED_VALUE"""),"Bardini, Stefano")</f>
        <v>Bardini, Stefano</v>
      </c>
      <c r="C25" s="94"/>
      <c r="D25" s="94" t="str">
        <f>IFERROR(__xludf.DUMMYFUNCTION("""COMPUTED_VALUE"""),"1836-1922")</f>
        <v>1836-1922</v>
      </c>
      <c r="E25" s="95" t="str">
        <f>IFERROR(__xludf.DUMMYFUNCTION("""COMPUTED_VALUE"""),"Florentine collector and dealer and restorer of Italian Medieval and Renaissance sculptures, paintings, and decorative arts")</f>
        <v>Florentine collector and dealer and restorer of Italian Medieval and Renaissance sculptures, paintings, and decorative arts</v>
      </c>
    </row>
    <row r="26">
      <c r="A26" s="96" t="str">
        <f>IFERROR(__xludf.DUMMYFUNCTION("""COMPUTED_VALUE"""),"00019")</f>
        <v>00019</v>
      </c>
      <c r="B26" s="94" t="str">
        <f>IFERROR(__xludf.DUMMYFUNCTION("""COMPUTED_VALUE"""),"Barnes, Grace Edith")</f>
        <v>Barnes, Grace Edith</v>
      </c>
      <c r="C26" s="94"/>
      <c r="D26" s="94" t="str">
        <f>IFERROR(__xludf.DUMMYFUNCTION("""COMPUTED_VALUE"""),"1897-1943")</f>
        <v>1897-1943</v>
      </c>
      <c r="E26" s="95" t="str">
        <f>IFERROR(__xludf.DUMMYFUNCTION("""COMPUTED_VALUE"""),"Assistant to John La Farge")</f>
        <v>Assistant to John La Farge</v>
      </c>
    </row>
    <row r="27">
      <c r="A27" s="96" t="str">
        <f>IFERROR(__xludf.DUMMYFUNCTION("""COMPUTED_VALUE"""),"00637")</f>
        <v>00637</v>
      </c>
      <c r="B27" s="94" t="str">
        <f>IFERROR(__xludf.DUMMYFUNCTION("""COMPUTED_VALUE"""),"Baron de Meyer")</f>
        <v>Baron de Meyer</v>
      </c>
      <c r="C27" s="94"/>
      <c r="D27" s="94"/>
      <c r="E27" s="95"/>
    </row>
    <row r="28">
      <c r="A28" s="96" t="str">
        <f>IFERROR(__xludf.DUMMYFUNCTION("""COMPUTED_VALUE"""),"00020")</f>
        <v>00020</v>
      </c>
      <c r="B28" s="94" t="str">
        <f>IFERROR(__xludf.DUMMYFUNCTION("""COMPUTED_VALUE"""),"Bartsch, Adam von")</f>
        <v>Bartsch, Adam von</v>
      </c>
      <c r="C28" s="94"/>
      <c r="D28" s="94" t="str">
        <f>IFERROR(__xludf.DUMMYFUNCTION("""COMPUTED_VALUE"""),"1757-1821")</f>
        <v>1757-1821</v>
      </c>
      <c r="E28" s="95" t="str">
        <f>IFERROR(__xludf.DUMMYFUNCTION("""COMPUTED_VALUE"""),"Austrian art historian, author of The Illustrated Bartsch and Le Peinture Graveur")</f>
        <v>Austrian art historian, author of The Illustrated Bartsch and Le Peinture Graveur</v>
      </c>
    </row>
    <row r="29">
      <c r="A29" s="96" t="str">
        <f>IFERROR(__xludf.DUMMYFUNCTION("""COMPUTED_VALUE"""),"00625")</f>
        <v>00625</v>
      </c>
      <c r="B29" s="94" t="str">
        <f>IFERROR(__xludf.DUMMYFUNCTION("""COMPUTED_VALUE"""),"Baruch, Annie Griffin")</f>
        <v>Baruch, Annie Griffin</v>
      </c>
      <c r="C29" s="94"/>
      <c r="D29" s="94"/>
      <c r="E29" s="95" t="str">
        <f>IFERROR(__xludf.DUMMYFUNCTION("""COMPUTED_VALUE"""),"Wife of Bernard Baruch")</f>
        <v>Wife of Bernard Baruch</v>
      </c>
    </row>
    <row r="30">
      <c r="A30" s="96" t="str">
        <f>IFERROR(__xludf.DUMMYFUNCTION("""COMPUTED_VALUE"""),"00021")</f>
        <v>00021</v>
      </c>
      <c r="B30" s="94" t="str">
        <f>IFERROR(__xludf.DUMMYFUNCTION("""COMPUTED_VALUE"""),"Baruch, Bernard")</f>
        <v>Baruch, Bernard</v>
      </c>
      <c r="C30" s="94"/>
      <c r="D30" s="94" t="str">
        <f>IFERROR(__xludf.DUMMYFUNCTION("""COMPUTED_VALUE"""),"1870-1965")</f>
        <v>1870-1965</v>
      </c>
      <c r="E30" s="95" t="str">
        <f>IFERROR(__xludf.DUMMYFUNCTION("""COMPUTED_VALUE"""),"American financier, stock investor, philanthropist, statesman, and political consultant to Woodrow Wilson during WWI")</f>
        <v>American financier, stock investor, philanthropist, statesman, and political consultant to Woodrow Wilson during WWI</v>
      </c>
    </row>
    <row r="31">
      <c r="A31" s="96" t="str">
        <f>IFERROR(__xludf.DUMMYFUNCTION("""COMPUTED_VALUE"""),"00038")</f>
        <v>00038</v>
      </c>
      <c r="B31" s="94" t="str">
        <f>IFERROR(__xludf.DUMMYFUNCTION("""COMPUTED_VALUE"""),"Bauer, Godefroy")</f>
        <v>Bauer, Godefroy</v>
      </c>
      <c r="C31" s="94"/>
      <c r="D31" s="94" t="str">
        <f>IFERROR(__xludf.DUMMYFUNCTION("""COMPUTED_VALUE"""),"1857-1923")</f>
        <v>1857-1923</v>
      </c>
      <c r="E31" s="95" t="str">
        <f>IFERROR(__xludf.DUMMYFUNCTION("""COMPUTED_VALUE"""),"Florentine art dealer, specializing in Renaissance painting and sculpture")</f>
        <v>Florentine art dealer, specializing in Renaissance painting and sculpture</v>
      </c>
    </row>
    <row r="32">
      <c r="A32" s="96" t="str">
        <f>IFERROR(__xludf.DUMMYFUNCTION("""COMPUTED_VALUE"""),"00022")</f>
        <v>00022</v>
      </c>
      <c r="B32" s="94" t="str">
        <f>IFERROR(__xludf.DUMMYFUNCTION("""COMPUTED_VALUE"""),"Beach, George Spencer")</f>
        <v>Beach, George Spencer</v>
      </c>
      <c r="C32" s="94"/>
      <c r="D32" s="94" t="str">
        <f>IFERROR(__xludf.DUMMYFUNCTION("""COMPUTED_VALUE"""),"1853-1940")</f>
        <v>1853-1940</v>
      </c>
      <c r="E32" s="95" t="str">
        <f>IFERROR(__xludf.DUMMYFUNCTION("""COMPUTED_VALUE"""),"American lawyer and husband of Luella Estella Cowan Beach")</f>
        <v>American lawyer and husband of Luella Estella Cowan Beach</v>
      </c>
    </row>
    <row r="33">
      <c r="A33" s="96" t="str">
        <f>IFERROR(__xludf.DUMMYFUNCTION("""COMPUTED_VALUE"""),"00023")</f>
        <v>00023</v>
      </c>
      <c r="B33" s="94" t="str">
        <f>IFERROR(__xludf.DUMMYFUNCTION("""COMPUTED_VALUE"""),"Beach, Luella Estella Cowan")</f>
        <v>Beach, Luella Estella Cowan</v>
      </c>
      <c r="C33" s="94"/>
      <c r="D33" s="94" t="str">
        <f>IFERROR(__xludf.DUMMYFUNCTION("""COMPUTED_VALUE"""),"1854-1934")</f>
        <v>1854-1934</v>
      </c>
      <c r="E33" s="95" t="str">
        <f>IFERROR(__xludf.DUMMYFUNCTION("""COMPUTED_VALUE"""),"Wife of George Spencer Beach")</f>
        <v>Wife of George Spencer Beach</v>
      </c>
    </row>
    <row r="34">
      <c r="A34" s="96" t="str">
        <f>IFERROR(__xludf.DUMMYFUNCTION("""COMPUTED_VALUE"""),"00495")</f>
        <v>00495</v>
      </c>
      <c r="B34" s="94" t="str">
        <f>IFERROR(__xludf.DUMMYFUNCTION("""COMPUTED_VALUE"""),"Bédier, Joseph")</f>
        <v>Bédier, Joseph</v>
      </c>
      <c r="C34" s="94"/>
      <c r="D34" s="94" t="str">
        <f>IFERROR(__xludf.DUMMYFUNCTION("""COMPUTED_VALUE"""),"1864-1938")</f>
        <v>1864-1938</v>
      </c>
      <c r="E34" s="95" t="str">
        <f>IFERROR(__xludf.DUMMYFUNCTION("""COMPUTED_VALUE"""),"French writer, scholar, and historian of Medieval France")</f>
        <v>French writer, scholar, and historian of Medieval France</v>
      </c>
    </row>
    <row r="35">
      <c r="A35" s="96" t="str">
        <f>IFERROR(__xludf.DUMMYFUNCTION("""COMPUTED_VALUE"""),"00024")</f>
        <v>00024</v>
      </c>
      <c r="B35" s="94" t="str">
        <f>IFERROR(__xludf.DUMMYFUNCTION("""COMPUTED_VALUE"""),"Beekman, Frances Lewis Livington")</f>
        <v>Beekman, Frances Lewis Livington</v>
      </c>
      <c r="C35" s="94"/>
      <c r="D35" s="94" t="str">
        <f>IFERROR(__xludf.DUMMYFUNCTION("""COMPUTED_VALUE"""),"b. 1886")</f>
        <v>b. 1886</v>
      </c>
      <c r="E35" s="95" t="str">
        <f>IFERROR(__xludf.DUMMYFUNCTION("""COMPUTED_VALUE"""),"Friend of BG who joined convent of Saint John the Baptist in New Jersey and became Sister Aline Frances")</f>
        <v>Friend of BG who joined convent of Saint John the Baptist in New Jersey and became Sister Aline Frances</v>
      </c>
    </row>
    <row r="36">
      <c r="A36" s="96" t="str">
        <f>IFERROR(__xludf.DUMMYFUNCTION("""COMPUTED_VALUE"""),"00661")</f>
        <v>00661</v>
      </c>
      <c r="B36" s="94" t="str">
        <f>IFERROR(__xludf.DUMMYFUNCTION("""COMPUTED_VALUE"""),"Bell, Arthur Clive Heward ")</f>
        <v>Bell, Arthur Clive Heward </v>
      </c>
      <c r="C36" s="94"/>
      <c r="D36" s="94" t="str">
        <f>IFERROR(__xludf.DUMMYFUNCTION("""COMPUTED_VALUE"""),"1881 - 1964")</f>
        <v>1881 - 1964</v>
      </c>
      <c r="E36" s="95" t="str">
        <f>IFERROR(__xludf.DUMMYFUNCTION("""COMPUTED_VALUE"""),"British art critic associated with the Bloomsbury Group")</f>
        <v>British art critic associated with the Bloomsbury Group</v>
      </c>
    </row>
    <row r="37">
      <c r="A37" s="96" t="str">
        <f>IFERROR(__xludf.DUMMYFUNCTION("""COMPUTED_VALUE"""),"00660")</f>
        <v>00660</v>
      </c>
      <c r="B37" s="94" t="str">
        <f>IFERROR(__xludf.DUMMYFUNCTION("""COMPUTED_VALUE"""),"Bell, Vanessa")</f>
        <v>Bell, Vanessa</v>
      </c>
      <c r="C37" s="94" t="str">
        <f>IFERROR(__xludf.DUMMYFUNCTION("""COMPUTED_VALUE"""),"Mrs. Grant")</f>
        <v>Mrs. Grant</v>
      </c>
      <c r="D37" s="94" t="str">
        <f>IFERROR(__xludf.DUMMYFUNCTION("""COMPUTED_VALUE"""),"1879 - 1961")</f>
        <v>1879 - 1961</v>
      </c>
      <c r="E37" s="95" t="str">
        <f>IFERROR(__xludf.DUMMYFUNCTION("""COMPUTED_VALUE"""),"English painter and interior designer; member of Bloomsbury Group; sister of Virginia Woolf")</f>
        <v>English painter and interior designer; member of Bloomsbury Group; sister of Virginia Woolf</v>
      </c>
    </row>
    <row r="38">
      <c r="A38" s="96" t="str">
        <f>IFERROR(__xludf.DUMMYFUNCTION("""COMPUTED_VALUE"""),"00665")</f>
        <v>00665</v>
      </c>
      <c r="B38" s="94" t="str">
        <f>IFERROR(__xludf.DUMMYFUNCTION("""COMPUTED_VALUE"""),"Belmont, Oliver Hazard Perry ")</f>
        <v>Belmont, Oliver Hazard Perry </v>
      </c>
      <c r="C38" s="94" t="str">
        <f>IFERROR(__xludf.DUMMYFUNCTION("""COMPUTED_VALUE"""),"OHP Belmont")</f>
        <v>OHP Belmont</v>
      </c>
      <c r="D38" s="94" t="str">
        <f>IFERROR(__xludf.DUMMYFUNCTION("""COMPUTED_VALUE"""),"1858 - 1908")</f>
        <v>1858 - 1908</v>
      </c>
      <c r="E38" s="95" t="str">
        <f>IFERROR(__xludf.DUMMYFUNCTION("""COMPUTED_VALUE"""),"American banker, socialite, and politician; publisher of the Verdict")</f>
        <v>American banker, socialite, and politician; publisher of the Verdict</v>
      </c>
    </row>
    <row r="39">
      <c r="A39" s="96" t="str">
        <f>IFERROR(__xludf.DUMMYFUNCTION("""COMPUTED_VALUE"""),"00558")</f>
        <v>00558</v>
      </c>
      <c r="B39" s="94" t="str">
        <f>IFERROR(__xludf.DUMMYFUNCTION("""COMPUTED_VALUE"""),"Benedict, Elias Cornelius")</f>
        <v>Benedict, Elias Cornelius</v>
      </c>
      <c r="C39" s="94" t="str">
        <f>IFERROR(__xludf.DUMMYFUNCTION("""COMPUTED_VALUE"""),"Commodore Benedict")</f>
        <v>Commodore Benedict</v>
      </c>
      <c r="D39" s="94" t="str">
        <f>IFERROR(__xludf.DUMMYFUNCTION("""COMPUTED_VALUE"""),"1834-1920")</f>
        <v>1834-1920</v>
      </c>
      <c r="E39" s="95" t="str">
        <f>IFERROR(__xludf.DUMMYFUNCTION("""COMPUTED_VALUE"""),"American banker and yachtsman; President of the Commercial Acetylene Gas Company and the Marine Engine Company")</f>
        <v>American banker and yachtsman; President of the Commercial Acetylene Gas Company and the Marine Engine Company</v>
      </c>
    </row>
    <row r="40">
      <c r="A40" s="96" t="str">
        <f>IFERROR(__xludf.DUMMYFUNCTION("""COMPUTED_VALUE"""),"00025")</f>
        <v>00025</v>
      </c>
      <c r="B40" s="94" t="str">
        <f>IFERROR(__xludf.DUMMYFUNCTION("""COMPUTED_VALUE"""),"Benson, Evelyn Holford")</f>
        <v>Benson, Evelyn Holford</v>
      </c>
      <c r="C40" s="94"/>
      <c r="D40" s="94" t="str">
        <f>IFERROR(__xludf.DUMMYFUNCTION("""COMPUTED_VALUE"""),"1856-1943")</f>
        <v>1856-1943</v>
      </c>
      <c r="E40" s="95" t="str">
        <f>IFERROR(__xludf.DUMMYFUNCTION("""COMPUTED_VALUE"""),"British collector; wife of Robert Henry Benson; daughter of collector Robert Staynor Holdford")</f>
        <v>British collector; wife of Robert Henry Benson; daughter of collector Robert Staynor Holdford</v>
      </c>
    </row>
    <row r="41">
      <c r="A41" s="96" t="str">
        <f>IFERROR(__xludf.DUMMYFUNCTION("""COMPUTED_VALUE"""),"00026")</f>
        <v>00026</v>
      </c>
      <c r="B41" s="94" t="str">
        <f>IFERROR(__xludf.DUMMYFUNCTION("""COMPUTED_VALUE"""),"Benson, Robert Henry ")</f>
        <v>Benson, Robert Henry </v>
      </c>
      <c r="C41" s="94" t="str">
        <f>IFERROR(__xludf.DUMMYFUNCTION("""COMPUTED_VALUE"""),"Robin; R. H. Ben")</f>
        <v>Robin; R. H. Ben</v>
      </c>
      <c r="D41" s="94" t="str">
        <f>IFERROR(__xludf.DUMMYFUNCTION("""COMPUTED_VALUE"""),"1850-1929")</f>
        <v>1850-1929</v>
      </c>
      <c r="E41" s="95" t="str">
        <f>IFERROR(__xludf.DUMMYFUNCTION("""COMPUTED_VALUE"""),"British Banker and collector of early Italian Renaissance art")</f>
        <v>British Banker and collector of early Italian Renaissance art</v>
      </c>
    </row>
    <row r="42">
      <c r="A42" s="96" t="str">
        <f>IFERROR(__xludf.DUMMYFUNCTION("""COMPUTED_VALUE"""),"00595")</f>
        <v>00595</v>
      </c>
      <c r="B42" s="94" t="str">
        <f>IFERROR(__xludf.DUMMYFUNCTION("""COMPUTED_VALUE"""),"Berenson, Bernard")</f>
        <v>Berenson, Bernard</v>
      </c>
      <c r="C42" s="94"/>
      <c r="D42" s="94" t="str">
        <f>IFERROR(__xludf.DUMMYFUNCTION("""COMPUTED_VALUE"""),"1865–1959")</f>
        <v>1865–1959</v>
      </c>
      <c r="E42" s="95" t="str">
        <f>IFERROR(__xludf.DUMMYFUNCTION("""COMPUTED_VALUE"""),"Art Historian, friend and sometime romantic partner of Belle da Costa Greene")</f>
        <v>Art Historian, friend and sometime romantic partner of Belle da Costa Greene</v>
      </c>
    </row>
    <row r="43">
      <c r="A43" s="96" t="str">
        <f>IFERROR(__xludf.DUMMYFUNCTION("""COMPUTED_VALUE"""),"00027")</f>
        <v>00027</v>
      </c>
      <c r="B43" s="94" t="str">
        <f>IFERROR(__xludf.DUMMYFUNCTION("""COMPUTED_VALUE"""),"Berenson, Mary")</f>
        <v>Berenson, Mary</v>
      </c>
      <c r="C43" s="94" t="str">
        <f>IFERROR(__xludf.DUMMYFUNCTION("""COMPUTED_VALUE"""),"Mrs. Berenson; Mary; Mrs. B. B.; Miss Mary")</f>
        <v>Mrs. Berenson; Mary; Mrs. B. B.; Miss Mary</v>
      </c>
      <c r="D43" s="94" t="str">
        <f>IFERROR(__xludf.DUMMYFUNCTION("""COMPUTED_VALUE"""),"1964-1945")</f>
        <v>1964-1945</v>
      </c>
      <c r="E43" s="95" t="str">
        <f>IFERROR(__xludf.DUMMYFUNCTION("""COMPUTED_VALUE"""),"Art historian and wife of Bernard Berenson")</f>
        <v>Art historian and wife of Bernard Berenson</v>
      </c>
    </row>
    <row r="44">
      <c r="A44" s="96" t="str">
        <f>IFERROR(__xludf.DUMMYFUNCTION("""COMPUTED_VALUE"""),"00028")</f>
        <v>00028</v>
      </c>
      <c r="B44" s="94" t="str">
        <f>IFERROR(__xludf.DUMMYFUNCTION("""COMPUTED_VALUE"""),"Berenson, Senda")</f>
        <v>Berenson, Senda</v>
      </c>
      <c r="C44" s="94"/>
      <c r="D44" s="94" t="str">
        <f>IFERROR(__xludf.DUMMYFUNCTION("""COMPUTED_VALUE"""),"1868-1954")</f>
        <v>1868-1954</v>
      </c>
      <c r="E44" s="95" t="str">
        <f>IFERROR(__xludf.DUMMYFUNCTION("""COMPUTED_VALUE"""),"Eldest sister of Bernard Berenson, prominent figure in women's basketball, married name was Senda Abbott")</f>
        <v>Eldest sister of Bernard Berenson, prominent figure in women's basketball, married name was Senda Abbott</v>
      </c>
    </row>
    <row r="45">
      <c r="A45" s="96" t="str">
        <f>IFERROR(__xludf.DUMMYFUNCTION("""COMPUTED_VALUE"""),"00488")</f>
        <v>00488</v>
      </c>
      <c r="B45" s="94" t="str">
        <f>IFERROR(__xludf.DUMMYFUNCTION("""COMPUTED_VALUE"""),"Bernath, Morton H.")</f>
        <v>Bernath, Morton H.</v>
      </c>
      <c r="C45" s="94"/>
      <c r="D45" s="94" t="str">
        <f>IFERROR(__xludf.DUMMYFUNCTION("""COMPUTED_VALUE"""),"1886-1965")</f>
        <v>1886-1965</v>
      </c>
      <c r="E45" s="95" t="str">
        <f>IFERROR(__xludf.DUMMYFUNCTION("""COMPUTED_VALUE"""),"Assistant curator of Graphic Arts in Leipzig")</f>
        <v>Assistant curator of Graphic Arts in Leipzig</v>
      </c>
    </row>
    <row r="46">
      <c r="A46" s="96" t="str">
        <f>IFERROR(__xludf.DUMMYFUNCTION("""COMPUTED_VALUE"""),"00515")</f>
        <v>00515</v>
      </c>
      <c r="B46" s="94" t="str">
        <f>IFERROR(__xludf.DUMMYFUNCTION("""COMPUTED_VALUE"""),"Bernhardt, Sarah")</f>
        <v>Bernhardt, Sarah</v>
      </c>
      <c r="C46" s="94"/>
      <c r="D46" s="94" t="str">
        <f>IFERROR(__xludf.DUMMYFUNCTION("""COMPUTED_VALUE"""),"1844-1923")</f>
        <v>1844-1923</v>
      </c>
      <c r="E46" s="95" t="str">
        <f>IFERROR(__xludf.DUMMYFUNCTION("""COMPUTED_VALUE"""),"French stage actress")</f>
        <v>French stage actress</v>
      </c>
    </row>
    <row r="47">
      <c r="A47" s="96" t="str">
        <f>IFERROR(__xludf.DUMMYFUNCTION("""COMPUTED_VALUE"""),"00029")</f>
        <v>00029</v>
      </c>
      <c r="B47" s="94" t="str">
        <f>IFERROR(__xludf.DUMMYFUNCTION("""COMPUTED_VALUE"""),"Bibesco, Marthe")</f>
        <v>Bibesco, Marthe</v>
      </c>
      <c r="C47" s="94"/>
      <c r="D47" s="94" t="str">
        <f>IFERROR(__xludf.DUMMYFUNCTION("""COMPUTED_VALUE"""),"1886-1973")</f>
        <v>1886-1973</v>
      </c>
      <c r="E47" s="95" t="str">
        <f>IFERROR(__xludf.DUMMYFUNCTION("""COMPUTED_VALUE"""),"Romanian-French writer and socialite")</f>
        <v>Romanian-French writer and socialite</v>
      </c>
    </row>
    <row r="48">
      <c r="A48" s="96" t="str">
        <f>IFERROR(__xludf.DUMMYFUNCTION("""COMPUTED_VALUE"""),"00030")</f>
        <v>00030</v>
      </c>
      <c r="B48" s="94" t="str">
        <f>IFERROR(__xludf.DUMMYFUNCTION("""COMPUTED_VALUE"""),"Bierce, Ambrose")</f>
        <v>Bierce, Ambrose</v>
      </c>
      <c r="C48" s="94"/>
      <c r="D48" s="94" t="str">
        <f>IFERROR(__xludf.DUMMYFUNCTION("""COMPUTED_VALUE"""),"1842-1914")</f>
        <v>1842-1914</v>
      </c>
      <c r="E48" s="95" t="str">
        <f>IFERROR(__xludf.DUMMYFUNCTION("""COMPUTED_VALUE"""),"American journalist, writer, and satirist")</f>
        <v>American journalist, writer, and satirist</v>
      </c>
    </row>
    <row r="49">
      <c r="A49" s="96" t="str">
        <f>IFERROR(__xludf.DUMMYFUNCTION("""COMPUTED_VALUE"""),"00031")</f>
        <v>00031</v>
      </c>
      <c r="B49" s="94" t="str">
        <f>IFERROR(__xludf.DUMMYFUNCTION("""COMPUTED_VALUE"""),"Bigelow, John")</f>
        <v>Bigelow, John</v>
      </c>
      <c r="C49" s="94"/>
      <c r="D49" s="94" t="str">
        <f>IFERROR(__xludf.DUMMYFUNCTION("""COMPUTED_VALUE"""),"1817-1911")</f>
        <v>1817-1911</v>
      </c>
      <c r="E49" s="95" t="str">
        <f>IFERROR(__xludf.DUMMYFUNCTION("""COMPUTED_VALUE"""),"American lawyer and politician; first President of the New York Public Library")</f>
        <v>American lawyer and politician; first President of the New York Public Library</v>
      </c>
    </row>
    <row r="50">
      <c r="A50" s="96" t="str">
        <f>IFERROR(__xludf.DUMMYFUNCTION("""COMPUTED_VALUE"""),"00619")</f>
        <v>00619</v>
      </c>
      <c r="B50" s="94" t="str">
        <f>IFERROR(__xludf.DUMMYFUNCTION("""COMPUTED_VALUE"""),"Bing, Marcel")</f>
        <v>Bing, Marcel</v>
      </c>
      <c r="C50" s="94"/>
      <c r="D50" s="94" t="str">
        <f>IFERROR(__xludf.DUMMYFUNCTION("""COMPUTED_VALUE"""),"1875–1920")</f>
        <v>1875–1920</v>
      </c>
      <c r="E50" s="95" t="str">
        <f>IFERROR(__xludf.DUMMYFUNCTION("""COMPUTED_VALUE"""),"Dealer, collector, and jewelry designer, son of art dealer Siegfried Bing")</f>
        <v>Dealer, collector, and jewelry designer, son of art dealer Siegfried Bing</v>
      </c>
    </row>
    <row r="51">
      <c r="A51" s="96" t="str">
        <f>IFERROR(__xludf.DUMMYFUNCTION("""COMPUTED_VALUE"""),"00032")</f>
        <v>00032</v>
      </c>
      <c r="B51" s="94" t="str">
        <f>IFERROR(__xludf.DUMMYFUNCTION("""COMPUTED_VALUE"""),"Binyon, Laurence")</f>
        <v>Binyon, Laurence</v>
      </c>
      <c r="C51" s="94"/>
      <c r="D51" s="94" t="str">
        <f>IFERROR(__xludf.DUMMYFUNCTION("""COMPUTED_VALUE"""),"1869-1943")</f>
        <v>1869-1943</v>
      </c>
      <c r="E51" s="95" t="str">
        <f>IFERROR(__xludf.DUMMYFUNCTION("""COMPUTED_VALUE"""),"English art historian, Keeper at the British Museum, and poet")</f>
        <v>English art historian, Keeper at the British Museum, and poet</v>
      </c>
    </row>
    <row r="52">
      <c r="A52" s="96" t="str">
        <f>IFERROR(__xludf.DUMMYFUNCTION("""COMPUTED_VALUE"""),"00033")</f>
        <v>00033</v>
      </c>
      <c r="B52" s="94" t="str">
        <f>IFERROR(__xludf.DUMMYFUNCTION("""COMPUTED_VALUE"""),"Bisbane, Arthur")</f>
        <v>Bisbane, Arthur</v>
      </c>
      <c r="C52" s="94"/>
      <c r="D52" s="94" t="str">
        <f>IFERROR(__xludf.DUMMYFUNCTION("""COMPUTED_VALUE"""),"1864-1936")</f>
        <v>1864-1936</v>
      </c>
      <c r="E52" s="95" t="str">
        <f>IFERROR(__xludf.DUMMYFUNCTION("""COMPUTED_VALUE"""),"American newspaper editor and with William Randolph Heart, real estate magnate")</f>
        <v>American newspaper editor and with William Randolph Heart, real estate magnate</v>
      </c>
    </row>
    <row r="53">
      <c r="A53" s="96" t="str">
        <f>IFERROR(__xludf.DUMMYFUNCTION("""COMPUTED_VALUE"""),"00553")</f>
        <v>00553</v>
      </c>
      <c r="B53" s="94" t="str">
        <f>IFERROR(__xludf.DUMMYFUNCTION("""COMPUTED_VALUE"""),"Bispham, David")</f>
        <v>Bispham, David</v>
      </c>
      <c r="C53" s="94"/>
      <c r="D53" s="94" t="str">
        <f>IFERROR(__xludf.DUMMYFUNCTION("""COMPUTED_VALUE"""),"1857-1921")</f>
        <v>1857-1921</v>
      </c>
      <c r="E53" s="95"/>
    </row>
    <row r="54">
      <c r="A54" s="96" t="str">
        <f>IFERROR(__xludf.DUMMYFUNCTION("""COMPUTED_VALUE"""),"00680")</f>
        <v>00680</v>
      </c>
      <c r="B54" s="94" t="str">
        <f>IFERROR(__xludf.DUMMYFUNCTION("""COMPUTED_VALUE"""),"Blake, William ")</f>
        <v>Blake, William </v>
      </c>
      <c r="C54" s="94"/>
      <c r="D54" s="94" t="str">
        <f>IFERROR(__xludf.DUMMYFUNCTION("""COMPUTED_VALUE"""),"1757-1827")</f>
        <v>1757-1827</v>
      </c>
      <c r="E54" s="95" t="str">
        <f>IFERROR(__xludf.DUMMYFUNCTION("""COMPUTED_VALUE"""),"BG mentioned his work to BB, an English poet and painter ")</f>
        <v>BG mentioned his work to BB, an English poet and painter </v>
      </c>
    </row>
    <row r="55">
      <c r="A55" s="96" t="str">
        <f>IFERROR(__xludf.DUMMYFUNCTION("""COMPUTED_VALUE"""),"00034")</f>
        <v>00034</v>
      </c>
      <c r="B55" s="94" t="str">
        <f>IFERROR(__xludf.DUMMYFUNCTION("""COMPUTED_VALUE"""),"Blumenthal, Florence Meyer")</f>
        <v>Blumenthal, Florence Meyer</v>
      </c>
      <c r="C55" s="94" t="str">
        <f>IFERROR(__xludf.DUMMYFUNCTION("""COMPUTED_VALUE"""),"Florrie; Mrs. Flowerdale")</f>
        <v>Florrie; Mrs. Flowerdale</v>
      </c>
      <c r="D55" s="94" t="str">
        <f>IFERROR(__xludf.DUMMYFUNCTION("""COMPUTED_VALUE"""),"1875-1930")</f>
        <v>1875-1930</v>
      </c>
      <c r="E55" s="95" t="str">
        <f>IFERROR(__xludf.DUMMYFUNCTION("""COMPUTED_VALUE"""),"First wife of George Blumenthal and philanthropist involved in Franco-American relations")</f>
        <v>First wife of George Blumenthal and philanthropist involved in Franco-American relations</v>
      </c>
    </row>
    <row r="56">
      <c r="A56" s="96" t="str">
        <f>IFERROR(__xludf.DUMMYFUNCTION("""COMPUTED_VALUE"""),"00035")</f>
        <v>00035</v>
      </c>
      <c r="B56" s="94" t="str">
        <f>IFERROR(__xludf.DUMMYFUNCTION("""COMPUTED_VALUE"""),"Blumenthal, George")</f>
        <v>Blumenthal, George</v>
      </c>
      <c r="C56" s="94"/>
      <c r="D56" s="94" t="str">
        <f>IFERROR(__xludf.DUMMYFUNCTION("""COMPUTED_VALUE"""),"1858-1941")</f>
        <v>1858-1941</v>
      </c>
      <c r="E56" s="95" t="str">
        <f>IFERROR(__xludf.DUMMYFUNCTION("""COMPUTED_VALUE"""),"Banker and partner at Lazard Freres, art collector, and philanthropist")</f>
        <v>Banker and partner at Lazard Freres, art collector, and philanthropist</v>
      </c>
    </row>
    <row r="57">
      <c r="A57" s="96" t="str">
        <f>IFERROR(__xludf.DUMMYFUNCTION("""COMPUTED_VALUE"""),"00036")</f>
        <v>00036</v>
      </c>
      <c r="B57" s="94" t="str">
        <f>IFERROR(__xludf.DUMMYFUNCTION("""COMPUTED_VALUE"""),"Bode, Wilhelm von")</f>
        <v>Bode, Wilhelm von</v>
      </c>
      <c r="C57" s="94"/>
      <c r="D57" s="94" t="str">
        <f>IFERROR(__xludf.DUMMYFUNCTION("""COMPUTED_VALUE"""),"1845-1929")</f>
        <v>1845-1929</v>
      </c>
      <c r="E57" s="95" t="str">
        <f>IFERROR(__xludf.DUMMYFUNCTION("""COMPUTED_VALUE"""),"German art historian and sculpture specialist, founder of the Kaiser Friedrich Museum (today's Bode Museum) in Berlin, author of J.P. Morgan's catalog of Italian Renaissance small bronzes")</f>
        <v>German art historian and sculpture specialist, founder of the Kaiser Friedrich Museum (today's Bode Museum) in Berlin, author of J.P. Morgan's catalog of Italian Renaissance small bronzes</v>
      </c>
    </row>
    <row r="58">
      <c r="A58" s="96" t="str">
        <f>IFERROR(__xludf.DUMMYFUNCTION("""COMPUTED_VALUE"""),"00615")</f>
        <v>00615</v>
      </c>
      <c r="B58" s="94" t="str">
        <f>IFERROR(__xludf.DUMMYFUNCTION("""COMPUTED_VALUE"""),"Bonner")</f>
        <v>Bonner</v>
      </c>
      <c r="C58" s="94"/>
      <c r="D58" s="94"/>
      <c r="E58" s="95" t="str">
        <f>IFERROR(__xludf.DUMMYFUNCTION("""COMPUTED_VALUE"""),"Unidentified man from New York that BG met in London in 1910")</f>
        <v>Unidentified man from New York that BG met in London in 1910</v>
      </c>
    </row>
    <row r="59">
      <c r="A59" s="96" t="str">
        <f>IFERROR(__xludf.DUMMYFUNCTION("""COMPUTED_VALUE"""),"00606")</f>
        <v>00606</v>
      </c>
      <c r="B59" s="94" t="str">
        <f>IFERROR(__xludf.DUMMYFUNCTION("""COMPUTED_VALUE"""),"Borenius, Tancred")</f>
        <v>Borenius, Tancred</v>
      </c>
      <c r="C59" s="94"/>
      <c r="D59" s="94" t="str">
        <f>IFERROR(__xludf.DUMMYFUNCTION("""COMPUTED_VALUE"""),"1885–1948")</f>
        <v>1885–1948</v>
      </c>
      <c r="E59" s="95" t="str">
        <f>IFERROR(__xludf.DUMMYFUNCTION("""COMPUTED_VALUE"""),"Finnish art historian")</f>
        <v>Finnish art historian</v>
      </c>
    </row>
    <row r="60">
      <c r="A60" s="96" t="str">
        <f>IFERROR(__xludf.DUMMYFUNCTION("""COMPUTED_VALUE"""),"00037")</f>
        <v>00037</v>
      </c>
      <c r="B60" s="94" t="str">
        <f>IFERROR(__xludf.DUMMYFUNCTION("""COMPUTED_VALUE"""),"Bourgeois, Stephen")</f>
        <v>Bourgeois, Stephen</v>
      </c>
      <c r="C60" s="94"/>
      <c r="D60" s="94" t="str">
        <f>IFERROR(__xludf.DUMMYFUNCTION("""COMPUTED_VALUE"""),"1881-1964")</f>
        <v>1881-1964</v>
      </c>
      <c r="E60" s="95" t="str">
        <f>IFERROR(__xludf.DUMMYFUNCTION("""COMPUTED_VALUE"""),"German art dealer based in New York who specialized in modern art ")</f>
        <v>German art dealer based in New York who specialized in modern art </v>
      </c>
    </row>
    <row r="61">
      <c r="A61" s="96" t="str">
        <f>IFERROR(__xludf.DUMMYFUNCTION("""COMPUTED_VALUE"""),"00039")</f>
        <v>00039</v>
      </c>
      <c r="B61" s="94" t="str">
        <f>IFERROR(__xludf.DUMMYFUNCTION("""COMPUTED_VALUE"""),"Breck, Joseph")</f>
        <v>Breck, Joseph</v>
      </c>
      <c r="C61" s="94"/>
      <c r="D61" s="94" t="str">
        <f>IFERROR(__xludf.DUMMYFUNCTION("""COMPUTED_VALUE"""),"1885-1933")</f>
        <v>1885-1933</v>
      </c>
      <c r="E61" s="95" t="str">
        <f>IFERROR(__xludf.DUMMYFUNCTION("""COMPUTED_VALUE"""),"Curator of Decorative Arts and Assistant Director of the Metropolitan Museum of Art and first Director of the Cloisters")</f>
        <v>Curator of Decorative Arts and Assistant Director of the Metropolitan Museum of Art and first Director of the Cloisters</v>
      </c>
    </row>
    <row r="62">
      <c r="A62" s="96" t="str">
        <f>IFERROR(__xludf.DUMMYFUNCTION("""COMPUTED_VALUE"""),"00040")</f>
        <v>00040</v>
      </c>
      <c r="B62" s="94" t="str">
        <f>IFERROR(__xludf.DUMMYFUNCTION("""COMPUTED_VALUE"""),"Bréhier, Louis Rene")</f>
        <v>Bréhier, Louis Rene</v>
      </c>
      <c r="C62" s="94"/>
      <c r="D62" s="94" t="str">
        <f>IFERROR(__xludf.DUMMYFUNCTION("""COMPUTED_VALUE"""),"1868-1951")</f>
        <v>1868-1951</v>
      </c>
      <c r="E62" s="95" t="str">
        <f>IFERROR(__xludf.DUMMYFUNCTION("""COMPUTED_VALUE"""),"French art historian and byzantanist")</f>
        <v>French art historian and byzantanist</v>
      </c>
    </row>
    <row r="63">
      <c r="A63" s="96" t="str">
        <f>IFERROR(__xludf.DUMMYFUNCTION("""COMPUTED_VALUE"""),"00624")</f>
        <v>00624</v>
      </c>
      <c r="B63" s="94" t="str">
        <f>IFERROR(__xludf.DUMMYFUNCTION("""COMPUTED_VALUE"""),"Brewster, Mr. and Mrs.")</f>
        <v>Brewster, Mr. and Mrs.</v>
      </c>
      <c r="C63" s="94"/>
      <c r="D63" s="94"/>
      <c r="E63" s="95" t="str">
        <f>IFERROR(__xludf.DUMMYFUNCTION("""COMPUTED_VALUE"""),"Unidentified")</f>
        <v>Unidentified</v>
      </c>
    </row>
    <row r="64">
      <c r="A64" s="96" t="str">
        <f>IFERROR(__xludf.DUMMYFUNCTION("""COMPUTED_VALUE"""),"00507")</f>
        <v>00507</v>
      </c>
      <c r="B64" s="94" t="str">
        <f>IFERROR(__xludf.DUMMYFUNCTION("""COMPUTED_VALUE"""),"Brodribb, John Henry")</f>
        <v>Brodribb, John Henry</v>
      </c>
      <c r="C64" s="94" t="str">
        <f>IFERROR(__xludf.DUMMYFUNCTION("""COMPUTED_VALUE"""),"Henry Irving")</f>
        <v>Henry Irving</v>
      </c>
      <c r="D64" s="94" t="str">
        <f>IFERROR(__xludf.DUMMYFUNCTION("""COMPUTED_VALUE"""),"1838-1905")</f>
        <v>1838-1905</v>
      </c>
      <c r="E64" s="95" t="str">
        <f>IFERROR(__xludf.DUMMYFUNCTION("""COMPUTED_VALUE"""),"English stage actor")</f>
        <v>English stage actor</v>
      </c>
    </row>
    <row r="65">
      <c r="A65" s="96" t="str">
        <f>IFERROR(__xludf.DUMMYFUNCTION("""COMPUTED_VALUE"""),"00041")</f>
        <v>00041</v>
      </c>
      <c r="B65" s="94" t="str">
        <f>IFERROR(__xludf.DUMMYFUNCTION("""COMPUTED_VALUE"""),"Brown, John Carter I")</f>
        <v>Brown, John Carter I</v>
      </c>
      <c r="C65" s="94"/>
      <c r="D65" s="94" t="str">
        <f>IFERROR(__xludf.DUMMYFUNCTION("""COMPUTED_VALUE"""),"1787-1874")</f>
        <v>1787-1874</v>
      </c>
      <c r="E65" s="95" t="str">
        <f>IFERROR(__xludf.DUMMYFUNCTION("""COMPUTED_VALUE"""),"American collector of Americana, founder of the John Carter Brwn Library (today at Brown University)")</f>
        <v>American collector of Americana, founder of the John Carter Brwn Library (today at Brown University)</v>
      </c>
    </row>
    <row r="66">
      <c r="A66" s="96" t="str">
        <f>IFERROR(__xludf.DUMMYFUNCTION("""COMPUTED_VALUE"""),"00042")</f>
        <v>00042</v>
      </c>
      <c r="B66" s="94" t="str">
        <f>IFERROR(__xludf.DUMMYFUNCTION("""COMPUTED_VALUE"""),"Brown, John Carter II")</f>
        <v>Brown, John Carter II</v>
      </c>
      <c r="C66" s="94"/>
      <c r="D66" s="94" t="str">
        <f>IFERROR(__xludf.DUMMYFUNCTION("""COMPUTED_VALUE"""),"1840-1907")</f>
        <v>1840-1907</v>
      </c>
      <c r="E66" s="95" t="str">
        <f>IFERROR(__xludf.DUMMYFUNCTION("""COMPUTED_VALUE"""),"Brother of John Nicholas Brown I")</f>
        <v>Brother of John Nicholas Brown I</v>
      </c>
    </row>
    <row r="67">
      <c r="A67" s="96" t="str">
        <f>IFERROR(__xludf.DUMMYFUNCTION("""COMPUTED_VALUE"""),"00043")</f>
        <v>00043</v>
      </c>
      <c r="B67" s="94" t="str">
        <f>IFERROR(__xludf.DUMMYFUNCTION("""COMPUTED_VALUE"""),"Brown, John Nicholas I")</f>
        <v>Brown, John Nicholas I</v>
      </c>
      <c r="C67" s="94"/>
      <c r="D67" s="94" t="str">
        <f>IFERROR(__xludf.DUMMYFUNCTION("""COMPUTED_VALUE"""),"1861-1900")</f>
        <v>1861-1900</v>
      </c>
      <c r="E67" s="95" t="str">
        <f>IFERROR(__xludf.DUMMYFUNCTION("""COMPUTED_VALUE"""),"Son of John Carter Brown; book collector who expanded his father's collection and donated it to Brown University")</f>
        <v>Son of John Carter Brown; book collector who expanded his father's collection and donated it to Brown University</v>
      </c>
    </row>
    <row r="68">
      <c r="A68" s="96" t="str">
        <f>IFERROR(__xludf.DUMMYFUNCTION("""COMPUTED_VALUE"""),"00044")</f>
        <v>00044</v>
      </c>
      <c r="B68" s="94" t="str">
        <f>IFERROR(__xludf.DUMMYFUNCTION("""COMPUTED_VALUE"""),"Brown, John Nicholas II")</f>
        <v>Brown, John Nicholas II</v>
      </c>
      <c r="C68" s="94"/>
      <c r="D68" s="94" t="str">
        <f>IFERROR(__xludf.DUMMYFUNCTION("""COMPUTED_VALUE"""),"1900-1979")</f>
        <v>1900-1979</v>
      </c>
      <c r="E68" s="95" t="str">
        <f>IFERROR(__xludf.DUMMYFUNCTION("""COMPUTED_VALUE"""),"Son of John Nicholas Brown, American financier and Assistant Secretary of the Navy (1946-1949); father of John Carter Brown III, Direcror fo fthe NGA")</f>
        <v>Son of John Nicholas Brown, American financier and Assistant Secretary of the Navy (1946-1949); father of John Carter Brown III, Direcror fo fthe NGA</v>
      </c>
    </row>
    <row r="69">
      <c r="A69" s="96" t="str">
        <f>IFERROR(__xludf.DUMMYFUNCTION("""COMPUTED_VALUE"""),"00045")</f>
        <v>00045</v>
      </c>
      <c r="B69" s="94" t="str">
        <f>IFERROR(__xludf.DUMMYFUNCTION("""COMPUTED_VALUE"""),"Brown, Mrs. John Carter II")</f>
        <v>Brown, Mrs. John Carter II</v>
      </c>
      <c r="C69" s="94"/>
      <c r="D69" s="94" t="str">
        <f>IFERROR(__xludf.DUMMYFUNCTION("""COMPUTED_VALUE"""),"1848-1936")</f>
        <v>1848-1936</v>
      </c>
      <c r="E69" s="95" t="str">
        <f>IFERROR(__xludf.DUMMYFUNCTION("""COMPUTED_VALUE"""),"Née Anne Crawford Allen; wife of John Carter Brown II; host of BG in Providence")</f>
        <v>Née Anne Crawford Allen; wife of John Carter Brown II; host of BG in Providence</v>
      </c>
    </row>
    <row r="70">
      <c r="A70" s="96" t="str">
        <f>IFERROR(__xludf.DUMMYFUNCTION("""COMPUTED_VALUE"""),"00679")</f>
        <v>00679</v>
      </c>
      <c r="B70" s="94" t="str">
        <f>IFERROR(__xludf.DUMMYFUNCTION("""COMPUTED_VALUE"""),"Browning, Colleen")</f>
        <v>Browning, Colleen</v>
      </c>
      <c r="C70" s="94"/>
      <c r="D70" s="94" t="str">
        <f>IFERROR(__xludf.DUMMYFUNCTION("""COMPUTED_VALUE"""),"1918-2003")</f>
        <v>1918-2003</v>
      </c>
      <c r="E70" s="95" t="str">
        <f>IFERROR(__xludf.DUMMYFUNCTION("""COMPUTED_VALUE"""),"Anglo-American realist and magical realist painter")</f>
        <v>Anglo-American realist and magical realist painter</v>
      </c>
    </row>
    <row r="71">
      <c r="A71" s="96" t="str">
        <f>IFERROR(__xludf.DUMMYFUNCTION("""COMPUTED_VALUE"""),"00512")</f>
        <v>00512</v>
      </c>
      <c r="B71" s="94" t="str">
        <f>IFERROR(__xludf.DUMMYFUNCTION("""COMPUTED_VALUE"""),"Brownson, Willard Herbert")</f>
        <v>Brownson, Willard Herbert</v>
      </c>
      <c r="C71" s="94" t="str">
        <f>IFERROR(__xludf.DUMMYFUNCTION("""COMPUTED_VALUE"""),"Admiral Brownson")</f>
        <v>Admiral Brownson</v>
      </c>
      <c r="D71" s="94" t="str">
        <f>IFERROR(__xludf.DUMMYFUNCTION("""COMPUTED_VALUE"""),"1845-1935")</f>
        <v>1845-1935</v>
      </c>
      <c r="E71" s="95" t="str">
        <f>IFERROR(__xludf.DUMMYFUNCTION("""COMPUTED_VALUE"""),"United States Navy officer")</f>
        <v>United States Navy officer</v>
      </c>
    </row>
    <row r="72">
      <c r="A72" s="96" t="str">
        <f>IFERROR(__xludf.DUMMYFUNCTION("""COMPUTED_VALUE"""),"00046")</f>
        <v>00046</v>
      </c>
      <c r="B72" s="94" t="str">
        <f>IFERROR(__xludf.DUMMYFUNCTION("""COMPUTED_VALUE"""),"Bruce, John E.")</f>
        <v>Bruce, John E.</v>
      </c>
      <c r="C72" s="94"/>
      <c r="D72" s="94" t="str">
        <f>IFERROR(__xludf.DUMMYFUNCTION("""COMPUTED_VALUE"""),"1856-1924")</f>
        <v>1856-1924</v>
      </c>
      <c r="E72" s="95" t="str">
        <f>IFERROR(__xludf.DUMMYFUNCTION("""COMPUTED_VALUE"""),"Former slave and prominent African-American writer")</f>
        <v>Former slave and prominent African-American writer</v>
      </c>
    </row>
    <row r="73">
      <c r="A73" s="96" t="str">
        <f>IFERROR(__xludf.DUMMYFUNCTION("""COMPUTED_VALUE"""),"00047")</f>
        <v>00047</v>
      </c>
      <c r="B73" s="94" t="str">
        <f>IFERROR(__xludf.DUMMYFUNCTION("""COMPUTED_VALUE"""),"Brunner, Arnold W.")</f>
        <v>Brunner, Arnold W.</v>
      </c>
      <c r="C73" s="94"/>
      <c r="D73" s="94" t="str">
        <f>IFERROR(__xludf.DUMMYFUNCTION("""COMPUTED_VALUE"""),"1857-1925")</f>
        <v>1857-1925</v>
      </c>
      <c r="E73" s="95" t="str">
        <f>IFERROR(__xludf.DUMMYFUNCTION("""COMPUTED_VALUE"""),"American architect")</f>
        <v>American architect</v>
      </c>
    </row>
    <row r="74">
      <c r="A74" s="96" t="str">
        <f>IFERROR(__xludf.DUMMYFUNCTION("""COMPUTED_VALUE"""),"00048")</f>
        <v>00048</v>
      </c>
      <c r="B74" s="94" t="str">
        <f>IFERROR(__xludf.DUMMYFUNCTION("""COMPUTED_VALUE"""),"Brunner, Emma B.")</f>
        <v>Brunner, Emma B.</v>
      </c>
      <c r="C74" s="94" t="str">
        <f>IFERROR(__xludf.DUMMYFUNCTION("""COMPUTED_VALUE"""),"Brunnie")</f>
        <v>Brunnie</v>
      </c>
      <c r="D74" s="94"/>
      <c r="E74" s="95" t="str">
        <f>IFERROR(__xludf.DUMMYFUNCTION("""COMPUTED_VALUE"""),"American writer and wife of Arnold Brunner")</f>
        <v>American writer and wife of Arnold Brunner</v>
      </c>
    </row>
    <row r="75">
      <c r="A75" s="96" t="str">
        <f>IFERROR(__xludf.DUMMYFUNCTION("""COMPUTED_VALUE"""),"00592")</f>
        <v>00592</v>
      </c>
      <c r="B75" s="94" t="str">
        <f>IFERROR(__xludf.DUMMYFUNCTION("""COMPUTED_VALUE"""),"Burden, Sir")</f>
        <v>Burden, Sir</v>
      </c>
      <c r="C75" s="94"/>
      <c r="D75" s="94"/>
      <c r="E75" s="95" t="str">
        <f>IFERROR(__xludf.DUMMYFUNCTION("""COMPUTED_VALUE"""),"Unidentified man who gave Pierpont Morgan his resignation letter in 1910")</f>
        <v>Unidentified man who gave Pierpont Morgan his resignation letter in 1910</v>
      </c>
    </row>
    <row r="76">
      <c r="A76" s="96" t="str">
        <f>IFERROR(__xludf.DUMMYFUNCTION("""COMPUTED_VALUE"""),"00049")</f>
        <v>00049</v>
      </c>
      <c r="B76" s="94" t="str">
        <f>IFERROR(__xludf.DUMMYFUNCTION("""COMPUTED_VALUE"""),"Burgess, Gelett")</f>
        <v>Burgess, Gelett</v>
      </c>
      <c r="C76" s="94"/>
      <c r="D76" s="94" t="str">
        <f>IFERROR(__xludf.DUMMYFUNCTION("""COMPUTED_VALUE"""),"1866-1951")</f>
        <v>1866-1951</v>
      </c>
      <c r="E76" s="95" t="str">
        <f>IFERROR(__xludf.DUMMYFUNCTION("""COMPUTED_VALUE"""),"American art critic, writer, and essayist")</f>
        <v>American art critic, writer, and essayist</v>
      </c>
    </row>
    <row r="77">
      <c r="A77" s="96" t="str">
        <f>IFERROR(__xludf.DUMMYFUNCTION("""COMPUTED_VALUE"""),"00050")</f>
        <v>00050</v>
      </c>
      <c r="B77" s="94" t="str">
        <f>IFERROR(__xludf.DUMMYFUNCTION("""COMPUTED_VALUE"""),"Burne-Jones, Edward Coley")</f>
        <v>Burne-Jones, Edward Coley</v>
      </c>
      <c r="C77" s="94"/>
      <c r="D77" s="94" t="str">
        <f>IFERROR(__xludf.DUMMYFUNCTION("""COMPUTED_VALUE"""),"1833-1898")</f>
        <v>1833-1898</v>
      </c>
      <c r="E77" s="95" t="str">
        <f>IFERROR(__xludf.DUMMYFUNCTION("""COMPUTED_VALUE"""),"British painter and designer; part of the Pre-Raphaelite movement; close collaborator of William Morris")</f>
        <v>British painter and designer; part of the Pre-Raphaelite movement; close collaborator of William Morris</v>
      </c>
    </row>
    <row r="78">
      <c r="A78" s="96" t="str">
        <f>IFERROR(__xludf.DUMMYFUNCTION("""COMPUTED_VALUE"""),"00051")</f>
        <v>00051</v>
      </c>
      <c r="B78" s="94" t="str">
        <f>IFERROR(__xludf.DUMMYFUNCTION("""COMPUTED_VALUE"""),"Burroughs, Bryson")</f>
        <v>Burroughs, Bryson</v>
      </c>
      <c r="C78" s="94"/>
      <c r="D78" s="94" t="str">
        <f>IFERROR(__xludf.DUMMYFUNCTION("""COMPUTED_VALUE"""),"1869-1934")</f>
        <v>1869-1934</v>
      </c>
      <c r="E78" s="95" t="str">
        <f>IFERROR(__xludf.DUMMYFUNCTION("""COMPUTED_VALUE"""),"American artist and curator at the Metropolitan Museum of Art")</f>
        <v>American artist and curator at the Metropolitan Museum of Art</v>
      </c>
    </row>
    <row r="79">
      <c r="A79" s="96" t="str">
        <f>IFERROR(__xludf.DUMMYFUNCTION("""COMPUTED_VALUE"""),"00052")</f>
        <v>00052</v>
      </c>
      <c r="B79" s="94" t="str">
        <f>IFERROR(__xludf.DUMMYFUNCTION("""COMPUTED_VALUE"""),"Butler, Nicholas Murray")</f>
        <v>Butler, Nicholas Murray</v>
      </c>
      <c r="C79" s="94"/>
      <c r="D79" s="94" t="str">
        <f>IFERROR(__xludf.DUMMYFUNCTION("""COMPUTED_VALUE"""),"1862-1947")</f>
        <v>1862-1947</v>
      </c>
      <c r="E79" s="95" t="str">
        <f>IFERROR(__xludf.DUMMYFUNCTION("""COMPUTED_VALUE"""),"President of Columbia University")</f>
        <v>President of Columbia University</v>
      </c>
    </row>
    <row r="80">
      <c r="A80" s="96" t="str">
        <f>IFERROR(__xludf.DUMMYFUNCTION("""COMPUTED_VALUE"""),"00617")</f>
        <v>00617</v>
      </c>
      <c r="B80" s="94" t="str">
        <f>IFERROR(__xludf.DUMMYFUNCTION("""COMPUTED_VALUE"""),"Calvé, Emma")</f>
        <v>Calvé, Emma</v>
      </c>
      <c r="C80" s="94"/>
      <c r="D80" s="94" t="str">
        <f>IFERROR(__xludf.DUMMYFUNCTION("""COMPUTED_VALUE"""),"1885–1942")</f>
        <v>1885–1942</v>
      </c>
      <c r="E80" s="95" t="str">
        <f>IFERROR(__xludf.DUMMYFUNCTION("""COMPUTED_VALUE"""),"French soprano who performed as Carmen at the Metropolitan Opera")</f>
        <v>French soprano who performed as Carmen at the Metropolitan Opera</v>
      </c>
    </row>
    <row r="81">
      <c r="A81" s="96" t="str">
        <f>IFERROR(__xludf.DUMMYFUNCTION("""COMPUTED_VALUE"""),"00549")</f>
        <v>00549</v>
      </c>
      <c r="B81" s="94" t="str">
        <f>IFERROR(__xludf.DUMMYFUNCTION("""COMPUTED_VALUE"""),"Canessa, Ercole")</f>
        <v>Canessa, Ercole</v>
      </c>
      <c r="C81" s="94"/>
      <c r="D81" s="94"/>
      <c r="E81" s="95" t="str">
        <f>IFERROR(__xludf.DUMMYFUNCTION("""COMPUTED_VALUE"""),"Art collector")</f>
        <v>Art collector</v>
      </c>
    </row>
    <row r="82">
      <c r="A82" s="96" t="str">
        <f>IFERROR(__xludf.DUMMYFUNCTION("""COMPUTED_VALUE"""),"00053")</f>
        <v>00053</v>
      </c>
      <c r="B82" s="94" t="str">
        <f>IFERROR(__xludf.DUMMYFUNCTION("""COMPUTED_VALUE"""),"Carter, Jesse Benedict")</f>
        <v>Carter, Jesse Benedict</v>
      </c>
      <c r="C82" s="94"/>
      <c r="D82" s="94" t="str">
        <f>IFERROR(__xludf.DUMMYFUNCTION("""COMPUTED_VALUE"""),"1872-1917")</f>
        <v>1872-1917</v>
      </c>
      <c r="E82" s="95" t="str">
        <f>IFERROR(__xludf.DUMMYFUNCTION("""COMPUTED_VALUE"""),"American classicist with a focus on 19th and 20th centuries; Latin professor in Princetonl; in Rome, was director of the American School for Classical Studies in 1907 and American Academy of Rome in 1912, where he focused on Roman religion and topography")</f>
        <v>American classicist with a focus on 19th and 20th centuries; Latin professor in Princetonl; in Rome, was director of the American School for Classical Studies in 1907 and American Academy of Rome in 1912, where he focused on Roman religion and topography</v>
      </c>
    </row>
    <row r="83">
      <c r="A83" s="96" t="str">
        <f>IFERROR(__xludf.DUMMYFUNCTION("""COMPUTED_VALUE"""),"00491")</f>
        <v>00491</v>
      </c>
      <c r="B83" s="94" t="str">
        <f>IFERROR(__xludf.DUMMYFUNCTION("""COMPUTED_VALUE"""),"Castellane, Marie Ernest Paul Boniface de")</f>
        <v>Castellane, Marie Ernest Paul Boniface de</v>
      </c>
      <c r="C83" s="94" t="str">
        <f>IFERROR(__xludf.DUMMYFUNCTION("""COMPUTED_VALUE"""),"Boni de Castellane")</f>
        <v>Boni de Castellane</v>
      </c>
      <c r="D83" s="94" t="str">
        <f>IFERROR(__xludf.DUMMYFUNCTION("""COMPUTED_VALUE"""),"1867-1932")</f>
        <v>1867-1932</v>
      </c>
      <c r="E83" s="95" t="str">
        <f>IFERROR(__xludf.DUMMYFUNCTION("""COMPUTED_VALUE"""),"French nobleman and politician; husband of American railroad heiress Anna Gould, aunt of Marjorie Gould Drexel")</f>
        <v>French nobleman and politician; husband of American railroad heiress Anna Gould, aunt of Marjorie Gould Drexel</v>
      </c>
    </row>
    <row r="84">
      <c r="A84" s="96" t="str">
        <f>IFERROR(__xludf.DUMMYFUNCTION("""COMPUTED_VALUE"""),"00530")</f>
        <v>00530</v>
      </c>
      <c r="B84" s="94" t="str">
        <f>IFERROR(__xludf.DUMMYFUNCTION("""COMPUTED_VALUE"""),"Cavendish, Evelyn Emily Mary")</f>
        <v>Cavendish, Evelyn Emily Mary</v>
      </c>
      <c r="C84" s="94"/>
      <c r="D84" s="94" t="str">
        <f>IFERROR(__xludf.DUMMYFUNCTION("""COMPUTED_VALUE"""),"1870-1960")</f>
        <v>1870-1960</v>
      </c>
      <c r="E84" s="95" t="str">
        <f>IFERROR(__xludf.DUMMYFUNCTION("""COMPUTED_VALUE"""),"Duchess of Devonshire; wife of Victor Cavendish, 9th Duke of Devonshire")</f>
        <v>Duchess of Devonshire; wife of Victor Cavendish, 9th Duke of Devonshire</v>
      </c>
    </row>
    <row r="85">
      <c r="A85" s="96" t="str">
        <f>IFERROR(__xludf.DUMMYFUNCTION("""COMPUTED_VALUE"""),"00054")</f>
        <v>00054</v>
      </c>
      <c r="B85" s="94" t="str">
        <f>IFERROR(__xludf.DUMMYFUNCTION("""COMPUTED_VALUE"""),"Cavendish, Victor")</f>
        <v>Cavendish, Victor</v>
      </c>
      <c r="C85" s="94" t="str">
        <f>IFERROR(__xludf.DUMMYFUNCTION("""COMPUTED_VALUE"""),"Devonshire")</f>
        <v>Devonshire</v>
      </c>
      <c r="D85" s="94" t="str">
        <f>IFERROR(__xludf.DUMMYFUNCTION("""COMPUTED_VALUE"""),"1868-1938")</f>
        <v>1868-1938</v>
      </c>
      <c r="E85" s="95" t="str">
        <f>IFERROR(__xludf.DUMMYFUNCTION("""COMPUTED_VALUE"""),"British politician, 9th Duke of Devonshire, Governor General of Canada")</f>
        <v>British politician, 9th Duke of Devonshire, Governor General of Canada</v>
      </c>
    </row>
    <row r="86">
      <c r="A86" s="96" t="str">
        <f>IFERROR(__xludf.DUMMYFUNCTION("""COMPUTED_VALUE"""),"00055")</f>
        <v>00055</v>
      </c>
      <c r="B86" s="94" t="str">
        <f>IFERROR(__xludf.DUMMYFUNCTION("""COMPUTED_VALUE"""),"Champion, Pierre")</f>
        <v>Champion, Pierre</v>
      </c>
      <c r="C86" s="94"/>
      <c r="D86" s="94" t="str">
        <f>IFERROR(__xludf.DUMMYFUNCTION("""COMPUTED_VALUE"""),"1880-1942")</f>
        <v>1880-1942</v>
      </c>
      <c r="E86" s="95" t="str">
        <f>IFERROR(__xludf.DUMMYFUNCTION("""COMPUTED_VALUE"""),"French author and son of publisher Honoré Champion")</f>
        <v>French author and son of publisher Honoré Champion</v>
      </c>
    </row>
    <row r="87">
      <c r="A87" s="96" t="str">
        <f>IFERROR(__xludf.DUMMYFUNCTION("""COMPUTED_VALUE"""),"00056")</f>
        <v>00056</v>
      </c>
      <c r="B87" s="94" t="str">
        <f>IFERROR(__xludf.DUMMYFUNCTION("""COMPUTED_VALUE"""),"Chanler, Margaret")</f>
        <v>Chanler, Margaret</v>
      </c>
      <c r="C87" s="94"/>
      <c r="D87" s="94" t="str">
        <f>IFERROR(__xludf.DUMMYFUNCTION("""COMPUTED_VALUE"""),"1862-1952")</f>
        <v>1862-1952</v>
      </c>
      <c r="E87" s="95" t="str">
        <f>IFERROR(__xludf.DUMMYFUNCTION("""COMPUTED_VALUE"""),"American writer and wife of Winthrop Chanler")</f>
        <v>American writer and wife of Winthrop Chanler</v>
      </c>
    </row>
    <row r="88">
      <c r="A88" s="96" t="str">
        <f>IFERROR(__xludf.DUMMYFUNCTION("""COMPUTED_VALUE"""),"00057")</f>
        <v>00057</v>
      </c>
      <c r="B88" s="94" t="str">
        <f>IFERROR(__xludf.DUMMYFUNCTION("""COMPUTED_VALUE"""),"Chanler, Winthrop")</f>
        <v>Chanler, Winthrop</v>
      </c>
      <c r="C88" s="94"/>
      <c r="D88" s="94" t="str">
        <f>IFERROR(__xludf.DUMMYFUNCTION("""COMPUTED_VALUE"""),"1863-1926")</f>
        <v>1863-1926</v>
      </c>
      <c r="E88" s="95" t="str">
        <f>IFERROR(__xludf.DUMMYFUNCTION("""COMPUTED_VALUE"""),"American sportsman and husband of Margaret Chanler")</f>
        <v>American sportsman and husband of Margaret Chanler</v>
      </c>
    </row>
    <row r="89">
      <c r="A89" s="96" t="str">
        <f>IFERROR(__xludf.DUMMYFUNCTION("""COMPUTED_VALUE"""),"00058")</f>
        <v>00058</v>
      </c>
      <c r="B89" s="94" t="str">
        <f>IFERROR(__xludf.DUMMYFUNCTION("""COMPUTED_VALUE"""),"Chassinat, Emile")</f>
        <v>Chassinat, Emile</v>
      </c>
      <c r="C89" s="94"/>
      <c r="D89" s="94" t="str">
        <f>IFERROR(__xludf.DUMMYFUNCTION("""COMPUTED_VALUE"""),"1868-1948")</f>
        <v>1868-1948</v>
      </c>
      <c r="E89" s="95" t="str">
        <f>IFERROR(__xludf.DUMMYFUNCTION("""COMPUTED_VALUE"""),"French Egyptologist and Director of French Institute for Orinetal Archaeology")</f>
        <v>French Egyptologist and Director of French Institute for Orinetal Archaeology</v>
      </c>
    </row>
    <row r="90">
      <c r="A90" s="96" t="str">
        <f>IFERROR(__xludf.DUMMYFUNCTION("""COMPUTED_VALUE"""),"00059")</f>
        <v>00059</v>
      </c>
      <c r="B90" s="94" t="str">
        <f>IFERROR(__xludf.DUMMYFUNCTION("""COMPUTED_VALUE"""),"Chatham, Kitty")</f>
        <v>Chatham, Kitty</v>
      </c>
      <c r="C90" s="94"/>
      <c r="D90" s="94"/>
      <c r="E90" s="95"/>
    </row>
    <row r="91">
      <c r="A91" s="96" t="str">
        <f>IFERROR(__xludf.DUMMYFUNCTION("""COMPUTED_VALUE"""),"00060")</f>
        <v>00060</v>
      </c>
      <c r="B91" s="94" t="str">
        <f>IFERROR(__xludf.DUMMYFUNCTION("""COMPUTED_VALUE"""),"Choate, Joseph Hodges")</f>
        <v>Choate, Joseph Hodges</v>
      </c>
      <c r="C91" s="94"/>
      <c r="D91" s="94" t="str">
        <f>IFERROR(__xludf.DUMMYFUNCTION("""COMPUTED_VALUE"""),"1832-1917")</f>
        <v>1832-1917</v>
      </c>
      <c r="E91" s="95" t="str">
        <f>IFERROR(__xludf.DUMMYFUNCTION("""COMPUTED_VALUE"""),"American lawyer and diplomat and founding benefactor of the Metropolitan")</f>
        <v>American lawyer and diplomat and founding benefactor of the Metropolitan</v>
      </c>
    </row>
    <row r="92">
      <c r="A92" s="96" t="str">
        <f>IFERROR(__xludf.DUMMYFUNCTION("""COMPUTED_VALUE"""),"00061")</f>
        <v>00061</v>
      </c>
      <c r="B92" s="94" t="str">
        <f>IFERROR(__xludf.DUMMYFUNCTION("""COMPUTED_VALUE"""),"Clarke, Burden")</f>
        <v>Clarke, Burden</v>
      </c>
      <c r="C92" s="94"/>
      <c r="D92" s="94"/>
      <c r="E92" s="95" t="str">
        <f>IFERROR(__xludf.DUMMYFUNCTION("""COMPUTED_VALUE"""),"British art historian ")</f>
        <v>British art historian </v>
      </c>
    </row>
    <row r="93">
      <c r="A93" s="96" t="str">
        <f>IFERROR(__xludf.DUMMYFUNCTION("""COMPUTED_VALUE"""),"00062")</f>
        <v>00062</v>
      </c>
      <c r="B93" s="94" t="str">
        <f>IFERROR(__xludf.DUMMYFUNCTION("""COMPUTED_VALUE"""),"Clay, Albert T.")</f>
        <v>Clay, Albert T.</v>
      </c>
      <c r="C93" s="94"/>
      <c r="D93" s="94" t="str">
        <f>IFERROR(__xludf.DUMMYFUNCTION("""COMPUTED_VALUE"""),"1866-1925")</f>
        <v>1866-1925</v>
      </c>
      <c r="E93" s="95" t="str">
        <f>IFERROR(__xludf.DUMMYFUNCTION("""COMPUTED_VALUE"""),"American professor of Assyriology and Babylonian Literature at Yale University; curator of Yale Babylonian Collection")</f>
        <v>American professor of Assyriology and Babylonian Literature at Yale University; curator of Yale Babylonian Collection</v>
      </c>
    </row>
    <row r="94">
      <c r="A94" s="96" t="str">
        <f>IFERROR(__xludf.DUMMYFUNCTION("""COMPUTED_VALUE"""),"00063")</f>
        <v>00063</v>
      </c>
      <c r="B94" s="94" t="str">
        <f>IFERROR(__xludf.DUMMYFUNCTION("""COMPUTED_VALUE"""),"Clément, Edmond")</f>
        <v>Clément, Edmond</v>
      </c>
      <c r="C94" s="94"/>
      <c r="D94" s="94" t="str">
        <f>IFERROR(__xludf.DUMMYFUNCTION("""COMPUTED_VALUE"""),"1867-1928")</f>
        <v>1867-1928</v>
      </c>
      <c r="E94" s="95" t="str">
        <f>IFERROR(__xludf.DUMMYFUNCTION("""COMPUTED_VALUE"""),"French lyric tenor, who sang in the United States, first with the Metropolitan Opera (1909-1910) and then with the Boston Opera House (1911-1913)")</f>
        <v>French lyric tenor, who sang in the United States, first with the Metropolitan Opera (1909-1910) and then with the Boston Opera House (1911-1913)</v>
      </c>
    </row>
    <row r="95">
      <c r="A95" s="96" t="str">
        <f>IFERROR(__xludf.DUMMYFUNCTION("""COMPUTED_VALUE"""),"00064")</f>
        <v>00064</v>
      </c>
      <c r="B95" s="94" t="str">
        <f>IFERROR(__xludf.DUMMYFUNCTION("""COMPUTED_VALUE"""),"Clémont, Edmond")</f>
        <v>Clémont, Edmond</v>
      </c>
      <c r="C95" s="94"/>
      <c r="D95" s="94" t="str">
        <f>IFERROR(__xludf.DUMMYFUNCTION("""COMPUTED_VALUE"""),"1867-1928")</f>
        <v>1867-1928</v>
      </c>
      <c r="E95" s="95" t="str">
        <f>IFERROR(__xludf.DUMMYFUNCTION("""COMPUTED_VALUE"""),"French opera tenor")</f>
        <v>French opera tenor</v>
      </c>
    </row>
    <row r="96">
      <c r="A96" s="96" t="str">
        <f>IFERROR(__xludf.DUMMYFUNCTION("""COMPUTED_VALUE"""),"00065")</f>
        <v>00065</v>
      </c>
      <c r="B96" s="94" t="str">
        <f>IFERROR(__xludf.DUMMYFUNCTION("""COMPUTED_VALUE"""),"Cobina, Esther")</f>
        <v>Cobina, Esther</v>
      </c>
      <c r="C96" s="94" t="str">
        <f>IFERROR(__xludf.DUMMYFUNCTION("""COMPUTED_VALUE"""),"Mrs. Owen Johnson; Owen's lady")</f>
        <v>Mrs. Owen Johnson; Owen's lady</v>
      </c>
      <c r="D96" s="94" t="str">
        <f>IFERROR(__xludf.DUMMYFUNCTION("""COMPUTED_VALUE"""),"1887-1971")</f>
        <v>1887-1971</v>
      </c>
      <c r="E96" s="95" t="str">
        <f>IFERROR(__xludf.DUMMYFUNCTION("""COMPUTED_VALUE"""),"American opera singer, born Esther Cobb, who married Owen McMahon Johnson in 1912")</f>
        <v>American opera singer, born Esther Cobb, who married Owen McMahon Johnson in 1912</v>
      </c>
    </row>
    <row r="97">
      <c r="A97" s="96" t="str">
        <f>IFERROR(__xludf.DUMMYFUNCTION("""COMPUTED_VALUE"""),"00066")</f>
        <v>00066</v>
      </c>
      <c r="B97" s="94" t="str">
        <f>IFERROR(__xludf.DUMMYFUNCTION("""COMPUTED_VALUE"""),"Cockerell, Florence Kate Kingsford")</f>
        <v>Cockerell, Florence Kate Kingsford</v>
      </c>
      <c r="C97" s="94"/>
      <c r="D97" s="94" t="str">
        <f>IFERROR(__xludf.DUMMYFUNCTION("""COMPUTED_VALUE"""),"1871-1949")</f>
        <v>1871-1949</v>
      </c>
      <c r="E97" s="95" t="str">
        <f>IFERROR(__xludf.DUMMYFUNCTION("""COMPUTED_VALUE"""),"British illustrator and calligrapher; wife of Sydney Cockerell")</f>
        <v>British illustrator and calligrapher; wife of Sydney Cockerell</v>
      </c>
    </row>
    <row r="98">
      <c r="A98" s="96" t="str">
        <f>IFERROR(__xludf.DUMMYFUNCTION("""COMPUTED_VALUE"""),"00067")</f>
        <v>00067</v>
      </c>
      <c r="B98" s="94" t="str">
        <f>IFERROR(__xludf.DUMMYFUNCTION("""COMPUTED_VALUE"""),"Cockerell, Sydney")</f>
        <v>Cockerell, Sydney</v>
      </c>
      <c r="C98" s="94" t="str">
        <f>IFERROR(__xludf.DUMMYFUNCTION("""COMPUTED_VALUE"""),"S. C. C.")</f>
        <v>S. C. C.</v>
      </c>
      <c r="D98" s="94" t="str">
        <f>IFERROR(__xludf.DUMMYFUNCTION("""COMPUTED_VALUE"""),"1867-1962")</f>
        <v>1867-1962</v>
      </c>
      <c r="E98" s="95" t="str">
        <f>IFERROR(__xludf.DUMMYFUNCTION("""COMPUTED_VALUE"""),"English museum curator and Director of the Fitzwilliam Museum, Cambridge")</f>
        <v>English museum curator and Director of the Fitzwilliam Museum, Cambridge</v>
      </c>
    </row>
    <row r="99">
      <c r="A99" s="96" t="str">
        <f>IFERROR(__xludf.DUMMYFUNCTION("""COMPUTED_VALUE"""),"00575")</f>
        <v>00575</v>
      </c>
      <c r="B99" s="94" t="str">
        <f>IFERROR(__xludf.DUMMYFUNCTION("""COMPUTED_VALUE"""),"Collins, Lillie Lang")</f>
        <v>Collins, Lillie Lang</v>
      </c>
      <c r="C99" s="94"/>
      <c r="D99" s="94"/>
      <c r="E99" s="95" t="str">
        <f>IFERROR(__xludf.DUMMYFUNCTION("""COMPUTED_VALUE"""),"Unidentified actress")</f>
        <v>Unidentified actress</v>
      </c>
    </row>
    <row r="100">
      <c r="A100" s="96" t="str">
        <f>IFERROR(__xludf.DUMMYFUNCTION("""COMPUTED_VALUE"""),"00598")</f>
        <v>00598</v>
      </c>
      <c r="B100" s="94" t="str">
        <f>IFERROR(__xludf.DUMMYFUNCTION("""COMPUTED_VALUE"""),"Colonel Lyons")</f>
        <v>Colonel Lyons</v>
      </c>
      <c r="C100" s="94"/>
      <c r="D100" s="94"/>
      <c r="E100" s="95" t="str">
        <f>IFERROR(__xludf.DUMMYFUNCTION("""COMPUTED_VALUE"""),"unidentified")</f>
        <v>unidentified</v>
      </c>
    </row>
    <row r="101">
      <c r="A101" s="96" t="str">
        <f>IFERROR(__xludf.DUMMYFUNCTION("""COMPUTED_VALUE"""),"00068")</f>
        <v>00068</v>
      </c>
      <c r="B101" s="94" t="str">
        <f>IFERROR(__xludf.DUMMYFUNCTION("""COMPUTED_VALUE"""),"Colvin, Sidney")</f>
        <v>Colvin, Sidney</v>
      </c>
      <c r="C101" s="94"/>
      <c r="D101" s="94" t="str">
        <f>IFERROR(__xludf.DUMMYFUNCTION("""COMPUTED_VALUE"""),"1845-1927")</f>
        <v>1845-1927</v>
      </c>
      <c r="E101" s="95" t="str">
        <f>IFERROR(__xludf.DUMMYFUNCTION("""COMPUTED_VALUE"""),"English curator and critic, Keeper of Prints at the British Museum")</f>
        <v>English curator and critic, Keeper of Prints at the British Museum</v>
      </c>
    </row>
    <row r="102">
      <c r="A102" s="96" t="str">
        <f>IFERROR(__xludf.DUMMYFUNCTION("""COMPUTED_VALUE"""),"00070")</f>
        <v>00070</v>
      </c>
      <c r="B102" s="94" t="str">
        <f>IFERROR(__xludf.DUMMYFUNCTION("""COMPUTED_VALUE"""),"Conder, Charles")</f>
        <v>Conder, Charles</v>
      </c>
      <c r="C102" s="94"/>
      <c r="D102" s="94" t="str">
        <f>IFERROR(__xludf.DUMMYFUNCTION("""COMPUTED_VALUE"""),"1868-1909")</f>
        <v>1868-1909</v>
      </c>
      <c r="E102" s="95" t="str">
        <f>IFERROR(__xludf.DUMMYFUNCTION("""COMPUTED_VALUE"""),"English painter, lithographer, and designer")</f>
        <v>English painter, lithographer, and designer</v>
      </c>
    </row>
    <row r="103">
      <c r="A103" s="96" t="str">
        <f>IFERROR(__xludf.DUMMYFUNCTION("""COMPUTED_VALUE"""),"00069")</f>
        <v>00069</v>
      </c>
      <c r="B103" s="94" t="str">
        <f>IFERROR(__xludf.DUMMYFUNCTION("""COMPUTED_VALUE"""),"Conklin, Roland Ray")</f>
        <v>Conklin, Roland Ray</v>
      </c>
      <c r="C103" s="94"/>
      <c r="D103" s="94" t="str">
        <f>IFERROR(__xludf.DUMMYFUNCTION("""COMPUTED_VALUE"""),"1858-1938")</f>
        <v>1858-1938</v>
      </c>
      <c r="E103" s="95" t="str">
        <f>IFERROR(__xludf.DUMMYFUNCTION("""COMPUTED_VALUE"""),"American financier and real estate mogul from Illinois, owner of the North American Trust Company; owner of Rosemary Farm, designed by Wilson Eyre around 1907 with landscaped grounds by Frederick Law Olmsted")</f>
        <v>American financier and real estate mogul from Illinois, owner of the North American Trust Company; owner of Rosemary Farm, designed by Wilson Eyre around 1907 with landscaped grounds by Frederick Law Olmsted</v>
      </c>
    </row>
    <row r="104">
      <c r="A104" s="96" t="str">
        <f>IFERROR(__xludf.DUMMYFUNCTION("""COMPUTED_VALUE"""),"00626")</f>
        <v>00626</v>
      </c>
      <c r="B104" s="94" t="str">
        <f>IFERROR(__xludf.DUMMYFUNCTION("""COMPUTED_VALUE"""),"Conners, Francis (?)")</f>
        <v>Conners, Francis (?)</v>
      </c>
      <c r="C104" s="94"/>
      <c r="D104" s="94"/>
      <c r="E104" s="95"/>
    </row>
    <row r="105">
      <c r="A105" s="96" t="str">
        <f>IFERROR(__xludf.DUMMYFUNCTION("""COMPUTED_VALUE"""),"00071")</f>
        <v>00071</v>
      </c>
      <c r="B105" s="94" t="str">
        <f>IFERROR(__xludf.DUMMYFUNCTION("""COMPUTED_VALUE"""),"Cook, Herbert Frederick")</f>
        <v>Cook, Herbert Frederick</v>
      </c>
      <c r="C105" s="94"/>
      <c r="D105" s="94" t="str">
        <f>IFERROR(__xludf.DUMMYFUNCTION("""COMPUTED_VALUE"""),"1868-1939")</f>
        <v>1868-1939</v>
      </c>
      <c r="E105" s="95" t="str">
        <f>IFERROR(__xludf.DUMMYFUNCTION("""COMPUTED_VALUE"""),"English art patron and art historian, of Doughty House")</f>
        <v>English art patron and art historian, of Doughty House</v>
      </c>
    </row>
    <row r="106">
      <c r="A106" s="96" t="str">
        <f>IFERROR(__xludf.DUMMYFUNCTION("""COMPUTED_VALUE"""),"00072")</f>
        <v>00072</v>
      </c>
      <c r="B106" s="94" t="str">
        <f>IFERROR(__xludf.DUMMYFUNCTION("""COMPUTED_VALUE"""),"Cosgrave, John O'Hara")</f>
        <v>Cosgrave, John O'Hara</v>
      </c>
      <c r="C106" s="94" t="str">
        <f>IFERROR(__xludf.DUMMYFUNCTION("""COMPUTED_VALUE"""),"Jack")</f>
        <v>Jack</v>
      </c>
      <c r="D106" s="94"/>
      <c r="E106" s="95" t="str">
        <f>IFERROR(__xludf.DUMMYFUNCTION("""COMPUTED_VALUE"""),"American magazine editor, sometime beau of BDCG; editor of New York World, Everybody's Magazine, and others")</f>
        <v>American magazine editor, sometime beau of BDCG; editor of New York World, Everybody's Magazine, and others</v>
      </c>
    </row>
    <row r="107">
      <c r="A107" s="96" t="str">
        <f>IFERROR(__xludf.DUMMYFUNCTION("""COMPUTED_VALUE"""),"00073")</f>
        <v>00073</v>
      </c>
      <c r="B107" s="94" t="str">
        <f>IFERROR(__xludf.DUMMYFUNCTION("""COMPUTED_VALUE"""),"Costelloe, Rachel")</f>
        <v>Costelloe, Rachel</v>
      </c>
      <c r="C107" s="94"/>
      <c r="D107" s="94" t="str">
        <f>IFERROR(__xludf.DUMMYFUNCTION("""COMPUTED_VALUE"""),"1887-1940")</f>
        <v>1887-1940</v>
      </c>
      <c r="E107" s="95" t="str">
        <f>IFERROR(__xludf.DUMMYFUNCTION("""COMPUTED_VALUE"""),"Daughter of Mary Berenson and Benjamin ""Frank"" Conn Costelloe; as Ray Strachey was writer and women's suffragette")</f>
        <v>Daughter of Mary Berenson and Benjamin "Frank" Conn Costelloe; as Ray Strachey was writer and women's suffragette</v>
      </c>
    </row>
    <row r="108">
      <c r="A108" s="96" t="str">
        <f>IFERROR(__xludf.DUMMYFUNCTION("""COMPUTED_VALUE"""),"00074")</f>
        <v>00074</v>
      </c>
      <c r="B108" s="94" t="str">
        <f>IFERROR(__xludf.DUMMYFUNCTION("""COMPUTED_VALUE"""),"Coudert, Amalia Küssner")</f>
        <v>Coudert, Amalia Küssner</v>
      </c>
      <c r="C108" s="94"/>
      <c r="D108" s="94" t="str">
        <f>IFERROR(__xludf.DUMMYFUNCTION("""COMPUTED_VALUE"""),"1863-1932")</f>
        <v>1863-1932</v>
      </c>
      <c r="E108" s="95" t="str">
        <f>IFERROR(__xludf.DUMMYFUNCTION("""COMPUTED_VALUE"""),"American miniature portraitist who depicted many American and European society women")</f>
        <v>American miniature portraitist who depicted many American and European society women</v>
      </c>
    </row>
    <row r="109">
      <c r="A109" s="96" t="str">
        <f>IFERROR(__xludf.DUMMYFUNCTION("""COMPUTED_VALUE"""),"00075")</f>
        <v>00075</v>
      </c>
      <c r="B109" s="94" t="str">
        <f>IFERROR(__xludf.DUMMYFUNCTION("""COMPUTED_VALUE"""),"Craig, Edward Gordon")</f>
        <v>Craig, Edward Gordon</v>
      </c>
      <c r="C109" s="94" t="str">
        <f>IFERROR(__xludf.DUMMYFUNCTION("""COMPUTED_VALUE"""),"""Ted""")</f>
        <v>"Ted"</v>
      </c>
      <c r="D109" s="94" t="str">
        <f>IFERROR(__xludf.DUMMYFUNCTION("""COMPUTED_VALUE"""),"1872-1966")</f>
        <v>1872-1966</v>
      </c>
      <c r="E109" s="95" t="str">
        <f>IFERROR(__xludf.DUMMYFUNCTION("""COMPUTED_VALUE"""),"Son of Ellen Terry and bookplate designer; designed BG bookplate in 1911")</f>
        <v>Son of Ellen Terry and bookplate designer; designed BG bookplate in 1911</v>
      </c>
    </row>
    <row r="110">
      <c r="A110" s="96" t="str">
        <f>IFERROR(__xludf.DUMMYFUNCTION("""COMPUTED_VALUE"""),"00076")</f>
        <v>00076</v>
      </c>
      <c r="B110" s="94" t="str">
        <f>IFERROR(__xludf.DUMMYFUNCTION("""COMPUTED_VALUE"""),"Cram, Elizabeth Carrington Read")</f>
        <v>Cram, Elizabeth Carrington Read</v>
      </c>
      <c r="C110" s="94"/>
      <c r="D110" s="94" t="str">
        <f>IFERROR(__xludf.DUMMYFUNCTION("""COMPUTED_VALUE"""),"1873-1943")</f>
        <v>1873-1943</v>
      </c>
      <c r="E110" s="95" t="str">
        <f>IFERROR(__xludf.DUMMYFUNCTION("""COMPUTED_VALUE"""),"Wife of Ralph Adams Cram")</f>
        <v>Wife of Ralph Adams Cram</v>
      </c>
    </row>
    <row r="111">
      <c r="A111" s="96" t="str">
        <f>IFERROR(__xludf.DUMMYFUNCTION("""COMPUTED_VALUE"""),"00077")</f>
        <v>00077</v>
      </c>
      <c r="B111" s="94" t="str">
        <f>IFERROR(__xludf.DUMMYFUNCTION("""COMPUTED_VALUE"""),"Cram, Ralph Adams")</f>
        <v>Cram, Ralph Adams</v>
      </c>
      <c r="C111" s="94"/>
      <c r="D111" s="94" t="str">
        <f>IFERROR(__xludf.DUMMYFUNCTION("""COMPUTED_VALUE"""),"1863-1942")</f>
        <v>1863-1942</v>
      </c>
      <c r="E111" s="95" t="str">
        <f>IFERROR(__xludf.DUMMYFUNCTION("""COMPUTED_VALUE"""),"American architect specializing in Gothic Revival")</f>
        <v>American architect specializing in Gothic Revival</v>
      </c>
    </row>
    <row r="112">
      <c r="A112" s="96" t="str">
        <f>IFERROR(__xludf.DUMMYFUNCTION("""COMPUTED_VALUE"""),"00078")</f>
        <v>00078</v>
      </c>
      <c r="B112" s="94" t="str">
        <f>IFERROR(__xludf.DUMMYFUNCTION("""COMPUTED_VALUE"""),"Crawford, Francis Marion")</f>
        <v>Crawford, Francis Marion</v>
      </c>
      <c r="C112" s="94"/>
      <c r="D112" s="94" t="str">
        <f>IFERROR(__xludf.DUMMYFUNCTION("""COMPUTED_VALUE"""),"1854-1909")</f>
        <v>1854-1909</v>
      </c>
      <c r="E112" s="95" t="str">
        <f>IFERROR(__xludf.DUMMYFUNCTION("""COMPUTED_VALUE"""),"American writer and expatriate who lived in Italy, where many of his novels were set")</f>
        <v>American writer and expatriate who lived in Italy, where many of his novels were set</v>
      </c>
    </row>
    <row r="113">
      <c r="A113" s="96" t="str">
        <f>IFERROR(__xludf.DUMMYFUNCTION("""COMPUTED_VALUE"""),"00079")</f>
        <v>00079</v>
      </c>
      <c r="B113" s="94" t="str">
        <f>IFERROR(__xludf.DUMMYFUNCTION("""COMPUTED_VALUE"""),"Crowninshield, Frank")</f>
        <v>Crowninshield, Frank</v>
      </c>
      <c r="C113" s="94"/>
      <c r="D113" s="94" t="str">
        <f>IFERROR(__xludf.DUMMYFUNCTION("""COMPUTED_VALUE"""),"1872-1947")</f>
        <v>1872-1947</v>
      </c>
      <c r="E113" s="95" t="str">
        <f>IFERROR(__xludf.DUMMYFUNCTION("""COMPUTED_VALUE"""),"American art and theater critic and editor of Vanity Fair (1914-1935)")</f>
        <v>American art and theater critic and editor of Vanity Fair (1914-1935)</v>
      </c>
    </row>
    <row r="114">
      <c r="A114" s="96" t="str">
        <f>IFERROR(__xludf.DUMMYFUNCTION("""COMPUTED_VALUE"""),"00651")</f>
        <v>00651</v>
      </c>
      <c r="B114" s="94" t="str">
        <f>IFERROR(__xludf.DUMMYFUNCTION("""COMPUTED_VALUE"""),"Cunard, Maud Alice Burke")</f>
        <v>Cunard, Maud Alice Burke</v>
      </c>
      <c r="C114" s="94"/>
      <c r="D114" s="94" t="str">
        <f>IFERROR(__xludf.DUMMYFUNCTION("""COMPUTED_VALUE"""),"1872 - 1948")</f>
        <v>1872 - 1948</v>
      </c>
      <c r="E114" s="95" t="str">
        <f>IFERROR(__xludf.DUMMYFUNCTION("""COMPUTED_VALUE"""),"American-born, London-based socialite")</f>
        <v>American-born, London-based socialite</v>
      </c>
    </row>
    <row r="115">
      <c r="A115" s="96" t="str">
        <f>IFERROR(__xludf.DUMMYFUNCTION("""COMPUTED_VALUE"""),"00080")</f>
        <v>00080</v>
      </c>
      <c r="B115" s="94" t="str">
        <f>IFERROR(__xludf.DUMMYFUNCTION("""COMPUTED_VALUE"""),"Curtis, Ralph")</f>
        <v>Curtis, Ralph</v>
      </c>
      <c r="C115" s="94" t="str">
        <f>IFERROR(__xludf.DUMMYFUNCTION("""COMPUTED_VALUE"""),"Mr. Curtis")</f>
        <v>Mr. Curtis</v>
      </c>
      <c r="D115" s="94" t="str">
        <f>IFERROR(__xludf.DUMMYFUNCTION("""COMPUTED_VALUE"""),"1854-1922")</f>
        <v>1854-1922</v>
      </c>
      <c r="E115" s="95" t="str">
        <f>IFERROR(__xludf.DUMMYFUNCTION("""COMPUTED_VALUE"""),"American Impressionist painter and friend of Berenson")</f>
        <v>American Impressionist painter and friend of Berenson</v>
      </c>
    </row>
    <row r="116">
      <c r="A116" s="96" t="str">
        <f>IFERROR(__xludf.DUMMYFUNCTION("""COMPUTED_VALUE"""),"00081")</f>
        <v>00081</v>
      </c>
      <c r="B116" s="94" t="str">
        <f>IFERROR(__xludf.DUMMYFUNCTION("""COMPUTED_VALUE"""),"Cuyler, Cornelius Cuyler")</f>
        <v>Cuyler, Cornelius Cuyler</v>
      </c>
      <c r="C116" s="94"/>
      <c r="D116" s="94" t="str">
        <f>IFERROR(__xludf.DUMMYFUNCTION("""COMPUTED_VALUE"""),"1859-1909")</f>
        <v>1859-1909</v>
      </c>
      <c r="E116" s="95" t="str">
        <f>IFERROR(__xludf.DUMMYFUNCTION("""COMPUTED_VALUE"""),"American banker and close friend and business partner of Junius Spencer Morgan")</f>
        <v>American banker and close friend and business partner of Junius Spencer Morgan</v>
      </c>
    </row>
    <row r="117">
      <c r="A117" s="96" t="str">
        <f>IFERROR(__xludf.DUMMYFUNCTION("""COMPUTED_VALUE"""),"00521")</f>
        <v>00521</v>
      </c>
      <c r="B117" s="94" t="str">
        <f>IFERROR(__xludf.DUMMYFUNCTION("""COMPUTED_VALUE"""),"D., Ben")</f>
        <v>D., Ben</v>
      </c>
      <c r="C117" s="94"/>
      <c r="D117" s="94"/>
      <c r="E117" s="95"/>
    </row>
    <row r="118">
      <c r="A118" s="96" t="str">
        <f>IFERROR(__xludf.DUMMYFUNCTION("""COMPUTED_VALUE"""),"00648")</f>
        <v>00648</v>
      </c>
      <c r="B118" s="94" t="str">
        <f>IFERROR(__xludf.DUMMYFUNCTION("""COMPUTED_VALUE"""),"d'Hendecourt, Bernard")</f>
        <v>d'Hendecourt, Bernard</v>
      </c>
      <c r="C118" s="94"/>
      <c r="D118" s="94"/>
      <c r="E118" s="95" t="str">
        <f>IFERROR(__xludf.DUMMYFUNCTION("""COMPUTED_VALUE"""),"French art historian")</f>
        <v>French art historian</v>
      </c>
    </row>
    <row r="119">
      <c r="A119" s="96" t="str">
        <f>IFERROR(__xludf.DUMMYFUNCTION("""COMPUTED_VALUE"""),"00620")</f>
        <v>00620</v>
      </c>
      <c r="B119" s="94" t="str">
        <f>IFERROR(__xludf.DUMMYFUNCTION("""COMPUTED_VALUE"""),"Daikins, Dr.")</f>
        <v>Daikins, Dr.</v>
      </c>
      <c r="C119" s="94"/>
      <c r="D119" s="94"/>
      <c r="E119" s="95" t="str">
        <f>IFERROR(__xludf.DUMMYFUNCTION("""COMPUTED_VALUE"""),"Unidentified")</f>
        <v>Unidentified</v>
      </c>
    </row>
    <row r="120">
      <c r="A120" s="96" t="str">
        <f>IFERROR(__xludf.DUMMYFUNCTION("""COMPUTED_VALUE"""),"00539")</f>
        <v>00539</v>
      </c>
      <c r="B120" s="94" t="str">
        <f>IFERROR(__xludf.DUMMYFUNCTION("""COMPUTED_VALUE"""),"Daingerfield, Elliott")</f>
        <v>Daingerfield, Elliott</v>
      </c>
      <c r="C120" s="94"/>
      <c r="D120" s="94" t="str">
        <f>IFERROR(__xludf.DUMMYFUNCTION("""COMPUTED_VALUE"""),"1859-1932")</f>
        <v>1859-1932</v>
      </c>
      <c r="E120" s="95" t="str">
        <f>IFERROR(__xludf.DUMMYFUNCTION("""COMPUTED_VALUE"""),"American artist")</f>
        <v>American artist</v>
      </c>
    </row>
    <row r="121">
      <c r="A121" s="96" t="str">
        <f>IFERROR(__xludf.DUMMYFUNCTION("""COMPUTED_VALUE"""),"00082")</f>
        <v>00082</v>
      </c>
      <c r="B121" s="94" t="str">
        <f>IFERROR(__xludf.DUMMYFUNCTION("""COMPUTED_VALUE"""),"Davidson, Jo")</f>
        <v>Davidson, Jo</v>
      </c>
      <c r="C121" s="94"/>
      <c r="D121" s="94" t="str">
        <f>IFERROR(__xludf.DUMMYFUNCTION("""COMPUTED_VALUE"""),"1883-1952")</f>
        <v>1883-1952</v>
      </c>
      <c r="E121" s="95" t="str">
        <f>IFERROR(__xludf.DUMMYFUNCTION("""COMPUTED_VALUE"""),"American sculptor who specialized in portrait busts; made a posthumous terracotta bust of BG (AZ205)")</f>
        <v>American sculptor who specialized in portrait busts; made a posthumous terracotta bust of BG (AZ205)</v>
      </c>
    </row>
    <row r="122">
      <c r="A122" s="96" t="str">
        <f>IFERROR(__xludf.DUMMYFUNCTION("""COMPUTED_VALUE"""),"00083")</f>
        <v>00083</v>
      </c>
      <c r="B122" s="94" t="str">
        <f>IFERROR(__xludf.DUMMYFUNCTION("""COMPUTED_VALUE"""),"Davies, Acton")</f>
        <v>Davies, Acton</v>
      </c>
      <c r="C122" s="94"/>
      <c r="D122" s="94" t="str">
        <f>IFERROR(__xludf.DUMMYFUNCTION("""COMPUTED_VALUE"""),"1870-1916")</f>
        <v>1870-1916</v>
      </c>
      <c r="E122" s="95"/>
    </row>
    <row r="123">
      <c r="A123" s="96" t="str">
        <f>IFERROR(__xludf.DUMMYFUNCTION("""COMPUTED_VALUE"""),"00084")</f>
        <v>00084</v>
      </c>
      <c r="B123" s="94" t="str">
        <f>IFERROR(__xludf.DUMMYFUNCTION("""COMPUTED_VALUE"""),"Davison, Henry Pomeroy")</f>
        <v>Davison, Henry Pomeroy</v>
      </c>
      <c r="C123" s="94" t="str">
        <f>IFERROR(__xludf.DUMMYFUNCTION("""COMPUTED_VALUE"""),"H. P. D")</f>
        <v>H. P. D</v>
      </c>
      <c r="D123" s="94" t="str">
        <f>IFERROR(__xludf.DUMMYFUNCTION("""COMPUTED_VALUE"""),"1867-1922")</f>
        <v>1867-1922</v>
      </c>
      <c r="E123" s="95" t="str">
        <f>IFERROR(__xludf.DUMMYFUNCTION("""COMPUTED_VALUE"""),"American banker named Chairman of the War Council of the American Red Cross in 1917")</f>
        <v>American banker named Chairman of the War Council of the American Red Cross in 1917</v>
      </c>
    </row>
    <row r="124">
      <c r="A124" s="96" t="str">
        <f>IFERROR(__xludf.DUMMYFUNCTION("""COMPUTED_VALUE"""),"00085")</f>
        <v>00085</v>
      </c>
      <c r="B124" s="94" t="str">
        <f>IFERROR(__xludf.DUMMYFUNCTION("""COMPUTED_VALUE"""),"Davison, Kate Trubee")</f>
        <v>Davison, Kate Trubee</v>
      </c>
      <c r="C124" s="94"/>
      <c r="D124" s="94" t="str">
        <f>IFERROR(__xludf.DUMMYFUNCTION("""COMPUTED_VALUE"""),"1871-1962")</f>
        <v>1871-1962</v>
      </c>
      <c r="E124" s="95" t="str">
        <f>IFERROR(__xludf.DUMMYFUNCTION("""COMPUTED_VALUE"""),"American partner in J.P. Morgan Co., founder of Standard Oil Company, and founder of Nassau County's Red Cross chapter in 1917")</f>
        <v>American partner in J.P. Morgan Co., founder of Standard Oil Company, and founder of Nassau County's Red Cross chapter in 1917</v>
      </c>
    </row>
    <row r="125">
      <c r="A125" s="96" t="str">
        <f>IFERROR(__xludf.DUMMYFUNCTION("""COMPUTED_VALUE"""),"00627")</f>
        <v>00627</v>
      </c>
      <c r="B125" s="94" t="str">
        <f>IFERROR(__xludf.DUMMYFUNCTION("""COMPUTED_VALUE"""),"De Capitani d'Arzago, Alberto")</f>
        <v>De Capitani d'Arzago, Alberto</v>
      </c>
      <c r="C125" s="94" t="str">
        <f>IFERROR(__xludf.DUMMYFUNCTION("""COMPUTED_VALUE"""),"Capitani")</f>
        <v>Capitani</v>
      </c>
      <c r="D125" s="94" t="str">
        <f>IFERROR(__xludf.DUMMYFUNCTION("""COMPUTED_VALUE"""),"1909 - 1948")</f>
        <v>1909 - 1948</v>
      </c>
      <c r="E125" s="95" t="str">
        <f>IFERROR(__xludf.DUMMYFUNCTION("""COMPUTED_VALUE"""),"BG witnessed his death in july 1948 at the Congress in Paris; Italian archaeologist and art historian of ancient and early Christain art")</f>
        <v>BG witnessed his death in july 1948 at the Congress in Paris; Italian archaeologist and art historian of ancient and early Christain art</v>
      </c>
    </row>
    <row r="126">
      <c r="A126" s="96" t="str">
        <f>IFERROR(__xludf.DUMMYFUNCTION("""COMPUTED_VALUE"""),"00086")</f>
        <v>00086</v>
      </c>
      <c r="B126" s="94" t="str">
        <f>IFERROR(__xludf.DUMMYFUNCTION("""COMPUTED_VALUE"""),"De Forest, Anita Hargous")</f>
        <v>De Forest, Anita Hargous</v>
      </c>
      <c r="C126" s="94"/>
      <c r="D126" s="94" t="str">
        <f>IFERROR(__xludf.DUMMYFUNCTION("""COMPUTED_VALUE"""),"c. 1863-1932")</f>
        <v>c. 1863-1932</v>
      </c>
      <c r="E126" s="95" t="str">
        <f>IFERROR(__xludf.DUMMYFUNCTION("""COMPUTED_VALUE"""),"Mexican-born wife of George Beach de Forest")</f>
        <v>Mexican-born wife of George Beach de Forest</v>
      </c>
    </row>
    <row r="127">
      <c r="A127" s="96" t="str">
        <f>IFERROR(__xludf.DUMMYFUNCTION("""COMPUTED_VALUE"""),"00087")</f>
        <v>00087</v>
      </c>
      <c r="B127" s="94" t="str">
        <f>IFERROR(__xludf.DUMMYFUNCTION("""COMPUTED_VALUE"""),"De Forest, Emily Johnston")</f>
        <v>De Forest, Emily Johnston</v>
      </c>
      <c r="C127" s="94"/>
      <c r="D127" s="94" t="str">
        <f>IFERROR(__xludf.DUMMYFUNCTION("""COMPUTED_VALUE"""),"1850/51-1942")</f>
        <v>1850/51-1942</v>
      </c>
      <c r="E127" s="95" t="str">
        <f>IFERROR(__xludf.DUMMYFUNCTION("""COMPUTED_VALUE"""),"Wife of Robert de Forest and collector of decorative arts, with a focus on Mexican maiolica, Pennsylvania Dutch art, and furniture")</f>
        <v>Wife of Robert de Forest and collector of decorative arts, with a focus on Mexican maiolica, Pennsylvania Dutch art, and furniture</v>
      </c>
    </row>
    <row r="128">
      <c r="A128" s="96" t="str">
        <f>IFERROR(__xludf.DUMMYFUNCTION("""COMPUTED_VALUE"""),"00088")</f>
        <v>00088</v>
      </c>
      <c r="B128" s="94" t="str">
        <f>IFERROR(__xludf.DUMMYFUNCTION("""COMPUTED_VALUE"""),"De Forest, George Beach")</f>
        <v>De Forest, George Beach</v>
      </c>
      <c r="C128" s="94"/>
      <c r="D128" s="94" t="str">
        <f>IFERROR(__xludf.DUMMYFUNCTION("""COMPUTED_VALUE"""),"1848-1932")</f>
        <v>1848-1932</v>
      </c>
      <c r="E128" s="95" t="str">
        <f>IFERROR(__xludf.DUMMYFUNCTION("""COMPUTED_VALUE"""),"American financier and book collector, a large part of whose collection was purchasd by JPM in October 1902")</f>
        <v>American financier and book collector, a large part of whose collection was purchasd by JPM in October 1902</v>
      </c>
    </row>
    <row r="129">
      <c r="A129" s="96" t="str">
        <f>IFERROR(__xludf.DUMMYFUNCTION("""COMPUTED_VALUE"""),"00089")</f>
        <v>00089</v>
      </c>
      <c r="B129" s="94" t="str">
        <f>IFERROR(__xludf.DUMMYFUNCTION("""COMPUTED_VALUE"""),"De Forest, Robert W.")</f>
        <v>De Forest, Robert W.</v>
      </c>
      <c r="C129" s="94"/>
      <c r="D129" s="94" t="str">
        <f>IFERROR(__xludf.DUMMYFUNCTION("""COMPUTED_VALUE"""),"1848-1931")</f>
        <v>1848-1931</v>
      </c>
      <c r="E129" s="95" t="str">
        <f>IFERROR(__xludf.DUMMYFUNCTION("""COMPUTED_VALUE"""),"American lawyer, financier, and philanthropist; trustee of the Metropolitan Museum of Art beginning in 1889; succeeded JPM as Met's president in 1913 (a position he held until his death); in 1922, he and wife, Emily, founded with Met's American Wing")</f>
        <v>American lawyer, financier, and philanthropist; trustee of the Metropolitan Museum of Art beginning in 1889; succeeded JPM as Met's president in 1913 (a position he held until his death); in 1922, he and wife, Emily, founded with Met's American Wing</v>
      </c>
    </row>
    <row r="130">
      <c r="A130" s="96" t="str">
        <f>IFERROR(__xludf.DUMMYFUNCTION("""COMPUTED_VALUE"""),"00090")</f>
        <v>00090</v>
      </c>
      <c r="B130" s="94" t="str">
        <f>IFERROR(__xludf.DUMMYFUNCTION("""COMPUTED_VALUE"""),"De Groot, Cornelis Hofstede")</f>
        <v>De Groot, Cornelis Hofstede</v>
      </c>
      <c r="C130" s="94"/>
      <c r="D130" s="94" t="str">
        <f>IFERROR(__xludf.DUMMYFUNCTION("""COMPUTED_VALUE"""),"1863-1930")</f>
        <v>1863-1930</v>
      </c>
      <c r="E130" s="95" t="str">
        <f>IFERROR(__xludf.DUMMYFUNCTION("""COMPUTED_VALUE"""),"Dutch art collector, art historian, and museum curator")</f>
        <v>Dutch art collector, art historian, and museum curator</v>
      </c>
    </row>
    <row r="131">
      <c r="A131" s="96" t="str">
        <f>IFERROR(__xludf.DUMMYFUNCTION("""COMPUTED_VALUE"""),"00091")</f>
        <v>00091</v>
      </c>
      <c r="B131" s="94" t="str">
        <f>IFERROR(__xludf.DUMMYFUNCTION("""COMPUTED_VALUE"""),"De Ricci, Seymour")</f>
        <v>De Ricci, Seymour</v>
      </c>
      <c r="C131" s="94"/>
      <c r="D131" s="94" t="str">
        <f>IFERROR(__xludf.DUMMYFUNCTION("""COMPUTED_VALUE"""),"1881-1924")</f>
        <v>1881-1924</v>
      </c>
      <c r="E131" s="95" t="str">
        <f>IFERROR(__xludf.DUMMYFUNCTION("""COMPUTED_VALUE"""),"British bibliographer")</f>
        <v>British bibliographer</v>
      </c>
    </row>
    <row r="132">
      <c r="A132" s="96" t="str">
        <f>IFERROR(__xludf.DUMMYFUNCTION("""COMPUTED_VALUE"""),"00092")</f>
        <v>00092</v>
      </c>
      <c r="B132" s="94" t="str">
        <f>IFERROR(__xludf.DUMMYFUNCTION("""COMPUTED_VALUE"""),"De Rothschild, Maurice")</f>
        <v>De Rothschild, Maurice</v>
      </c>
      <c r="C132" s="94"/>
      <c r="D132" s="94" t="str">
        <f>IFERROR(__xludf.DUMMYFUNCTION("""COMPUTED_VALUE"""),"1881-1957")</f>
        <v>1881-1957</v>
      </c>
      <c r="E132" s="95" t="str">
        <f>IFERROR(__xludf.DUMMYFUNCTION("""COMPUTED_VALUE"""),"French art collector and financier")</f>
        <v>French art collector and financier</v>
      </c>
    </row>
    <row r="133">
      <c r="A133" s="96" t="str">
        <f>IFERROR(__xludf.DUMMYFUNCTION("""COMPUTED_VALUE"""),"00093")</f>
        <v>00093</v>
      </c>
      <c r="B133" s="94" t="str">
        <f>IFERROR(__xludf.DUMMYFUNCTION("""COMPUTED_VALUE"""),"De Wolfe, Elsie")</f>
        <v>De Wolfe, Elsie</v>
      </c>
      <c r="C133" s="94"/>
      <c r="D133" s="94" t="str">
        <f>IFERROR(__xludf.DUMMYFUNCTION("""COMPUTED_VALUE"""),"1859-1950")</f>
        <v>1859-1950</v>
      </c>
      <c r="E133" s="95" t="str">
        <f>IFERROR(__xludf.DUMMYFUNCTION("""COMPUTED_VALUE"""),"American actress and interior decorator, who split most of her time between New York and Paris; also known as Lady Mendl")</f>
        <v>American actress and interior decorator, who split most of her time between New York and Paris; also known as Lady Mendl</v>
      </c>
    </row>
    <row r="134">
      <c r="A134" s="96" t="str">
        <f>IFERROR(__xludf.DUMMYFUNCTION("""COMPUTED_VALUE"""),"00094")</f>
        <v>00094</v>
      </c>
      <c r="B134" s="94" t="str">
        <f>IFERROR(__xludf.DUMMYFUNCTION("""COMPUTED_VALUE"""),"Delano, Jennie Walters")</f>
        <v>Delano, Jennie Walters</v>
      </c>
      <c r="C134" s="94"/>
      <c r="D134" s="94" t="str">
        <f>IFERROR(__xludf.DUMMYFUNCTION("""COMPUTED_VALUE"""),"1853-1922")</f>
        <v>1853-1922</v>
      </c>
      <c r="E134" s="95" t="str">
        <f>IFERROR(__xludf.DUMMYFUNCTION("""COMPUTED_VALUE"""),"Sister of Henry Walters")</f>
        <v>Sister of Henry Walters</v>
      </c>
    </row>
    <row r="135">
      <c r="A135" s="96" t="str">
        <f>IFERROR(__xludf.DUMMYFUNCTION("""COMPUTED_VALUE"""),"00484")</f>
        <v>00484</v>
      </c>
      <c r="B135" s="94" t="str">
        <f>IFERROR(__xludf.DUMMYFUNCTION("""COMPUTED_VALUE"""),"Denis, Ruth Saint")</f>
        <v>Denis, Ruth Saint</v>
      </c>
      <c r="C135" s="94"/>
      <c r="D135" s="94" t="str">
        <f>IFERROR(__xludf.DUMMYFUNCTION("""COMPUTED_VALUE"""),"1879-1968")</f>
        <v>1879-1968</v>
      </c>
      <c r="E135" s="95" t="str">
        <f>IFERROR(__xludf.DUMMYFUNCTION("""COMPUTED_VALUE"""),"Pioneering modern dancer and Northfield alumna")</f>
        <v>Pioneering modern dancer and Northfield alumna</v>
      </c>
    </row>
    <row r="136">
      <c r="A136" s="96" t="str">
        <f>IFERROR(__xludf.DUMMYFUNCTION("""COMPUTED_VALUE"""),"00487")</f>
        <v>00487</v>
      </c>
      <c r="B136" s="94" t="str">
        <f>IFERROR(__xludf.DUMMYFUNCTION("""COMPUTED_VALUE"""),"Despradelle, Constant-Désiré")</f>
        <v>Despradelle, Constant-Désiré</v>
      </c>
      <c r="C136" s="94"/>
      <c r="D136" s="94" t="str">
        <f>IFERROR(__xludf.DUMMYFUNCTION("""COMPUTED_VALUE"""),"1862-1912")</f>
        <v>1862-1912</v>
      </c>
      <c r="E136" s="95" t="str">
        <f>IFERROR(__xludf.DUMMYFUNCTION("""COMPUTED_VALUE"""),"French architect and professor at Massachusetts Institute of Technology")</f>
        <v>French architect and professor at Massachusetts Institute of Technology</v>
      </c>
    </row>
    <row r="137">
      <c r="A137" s="96" t="str">
        <f>IFERROR(__xludf.DUMMYFUNCTION("""COMPUTED_VALUE"""),"00095")</f>
        <v>00095</v>
      </c>
      <c r="B137" s="94" t="str">
        <f>IFERROR(__xludf.DUMMYFUNCTION("""COMPUTED_VALUE"""),"Ditson, Alice M.")</f>
        <v>Ditson, Alice M.</v>
      </c>
      <c r="C137" s="94" t="str">
        <f>IFERROR(__xludf.DUMMYFUNCTION("""COMPUTED_VALUE"""),"Mrs. Ditson")</f>
        <v>Mrs. Ditson</v>
      </c>
      <c r="D137" s="94"/>
      <c r="E137" s="95" t="str">
        <f>IFERROR(__xludf.DUMMYFUNCTION("""COMPUTED_VALUE"""),"Friend of BG; wife of music publisher Charles Ditson")</f>
        <v>Friend of BG; wife of music publisher Charles Ditson</v>
      </c>
    </row>
    <row r="138">
      <c r="A138" s="96" t="str">
        <f>IFERROR(__xludf.DUMMYFUNCTION("""COMPUTED_VALUE"""),"00096")</f>
        <v>00096</v>
      </c>
      <c r="B138" s="94" t="str">
        <f>IFERROR(__xludf.DUMMYFUNCTION("""COMPUTED_VALUE"""),"Dixon, George Arthur")</f>
        <v>Dixon, George Arthur</v>
      </c>
      <c r="C138" s="94"/>
      <c r="D138" s="94" t="str">
        <f>IFERROR(__xludf.DUMMYFUNCTION("""COMPUTED_VALUE"""),"1857-1933")</f>
        <v>1857-1933</v>
      </c>
      <c r="E138" s="95" t="str">
        <f>IFERROR(__xludf.DUMMYFUNCTION("""COMPUTED_VALUE"""),"Doctor who attended JPM")</f>
        <v>Doctor who attended JPM</v>
      </c>
    </row>
    <row r="139">
      <c r="A139" s="96" t="str">
        <f>IFERROR(__xludf.DUMMYFUNCTION("""COMPUTED_VALUE"""),"00097")</f>
        <v>00097</v>
      </c>
      <c r="B139" s="94" t="str">
        <f>IFERROR(__xludf.DUMMYFUNCTION("""COMPUTED_VALUE"""),"Dixon, Sarah Pearl Dunton")</f>
        <v>Dixon, Sarah Pearl Dunton</v>
      </c>
      <c r="C139" s="94"/>
      <c r="D139" s="94" t="str">
        <f>IFERROR(__xludf.DUMMYFUNCTION("""COMPUTED_VALUE"""),"1856-1925")</f>
        <v>1856-1925</v>
      </c>
      <c r="E139" s="95" t="str">
        <f>IFERROR(__xludf.DUMMYFUNCTION("""COMPUTED_VALUE"""),"First wife of Dr. George Arthur Dixon")</f>
        <v>First wife of Dr. George Arthur Dixon</v>
      </c>
    </row>
    <row r="140">
      <c r="A140" s="96" t="str">
        <f>IFERROR(__xludf.DUMMYFUNCTION("""COMPUTED_VALUE"""),"00098")</f>
        <v>00098</v>
      </c>
      <c r="B140" s="94" t="str">
        <f>IFERROR(__xludf.DUMMYFUNCTION("""COMPUTED_VALUE"""),"Dodge, Edwin")</f>
        <v>Dodge, Edwin</v>
      </c>
      <c r="C140" s="94"/>
      <c r="D140" s="94" t="str">
        <f>IFERROR(__xludf.DUMMYFUNCTION("""COMPUTED_VALUE"""),"1874-1938")</f>
        <v>1874-1938</v>
      </c>
      <c r="E140" s="95" t="str">
        <f>IFERROR(__xludf.DUMMYFUNCTION("""COMPUTED_VALUE"""),"American architect married (1904-1916) to Mabel Dodge")</f>
        <v>American architect married (1904-1916) to Mabel Dodge</v>
      </c>
    </row>
    <row r="141">
      <c r="A141" s="96" t="str">
        <f>IFERROR(__xludf.DUMMYFUNCTION("""COMPUTED_VALUE"""),"00099")</f>
        <v>00099</v>
      </c>
      <c r="B141" s="94" t="str">
        <f>IFERROR(__xludf.DUMMYFUNCTION("""COMPUTED_VALUE"""),"Dodge, Mabel")</f>
        <v>Dodge, Mabel</v>
      </c>
      <c r="C141" s="94"/>
      <c r="D141" s="94" t="str">
        <f>IFERROR(__xludf.DUMMYFUNCTION("""COMPUTED_VALUE"""),"1879-1962")</f>
        <v>1879-1962</v>
      </c>
      <c r="E141" s="95" t="str">
        <f>IFERROR(__xludf.DUMMYFUNCTION("""COMPUTED_VALUE"""),"American arts patron who lived in Florence with her husband, Edwin Dodge (m. 1900, div. 1916) and ran a salon of sorts at her home, the Villa Curonia")</f>
        <v>American arts patron who lived in Florence with her husband, Edwin Dodge (m. 1900, div. 1916) and ran a salon of sorts at her home, the Villa Curonia</v>
      </c>
    </row>
    <row r="142">
      <c r="A142" s="96" t="str">
        <f>IFERROR(__xludf.DUMMYFUNCTION("""COMPUTED_VALUE"""),"00100")</f>
        <v>00100</v>
      </c>
      <c r="B142" s="94" t="str">
        <f>IFERROR(__xludf.DUMMYFUNCTION("""COMPUTED_VALUE"""),"Donaldson, George")</f>
        <v>Donaldson, George</v>
      </c>
      <c r="C142" s="94"/>
      <c r="D142" s="94" t="str">
        <f>IFERROR(__xludf.DUMMYFUNCTION("""COMPUTED_VALUE"""),"1845-1925")</f>
        <v>1845-1925</v>
      </c>
      <c r="E142" s="95" t="str">
        <f>IFERROR(__xludf.DUMMYFUNCTION("""COMPUTED_VALUE"""),"British collector and art dealer specializing in historic furniture")</f>
        <v>British collector and art dealer specializing in historic furniture</v>
      </c>
    </row>
    <row r="143">
      <c r="A143" s="96" t="str">
        <f>IFERROR(__xludf.DUMMYFUNCTION("""COMPUTED_VALUE"""),"00527")</f>
        <v>00527</v>
      </c>
      <c r="B143" s="94" t="str">
        <f>IFERROR(__xludf.DUMMYFUNCTION("""COMPUTED_VALUE"""),"Doucet, Jacques")</f>
        <v>Doucet, Jacques</v>
      </c>
      <c r="C143" s="94"/>
      <c r="D143" s="94" t="str">
        <f>IFERROR(__xludf.DUMMYFUNCTION("""COMPUTED_VALUE"""),"1853-1929")</f>
        <v>1853-1929</v>
      </c>
      <c r="E143" s="95" t="str">
        <f>IFERROR(__xludf.DUMMYFUNCTION("""COMPUTED_VALUE"""),"French fashion designer and art collector")</f>
        <v>French fashion designer and art collector</v>
      </c>
    </row>
    <row r="144">
      <c r="A144" s="96" t="str">
        <f>IFERROR(__xludf.DUMMYFUNCTION("""COMPUTED_VALUE"""),"00101")</f>
        <v>00101</v>
      </c>
      <c r="B144" s="94" t="str">
        <f>IFERROR(__xludf.DUMMYFUNCTION("""COMPUTED_VALUE"""),"Douglas, R. Langton")</f>
        <v>Douglas, R. Langton</v>
      </c>
      <c r="C144" s="94"/>
      <c r="D144" s="94" t="str">
        <f>IFERROR(__xludf.DUMMYFUNCTION("""COMPUTED_VALUE"""),"1864-1951")</f>
        <v>1864-1951</v>
      </c>
      <c r="E144" s="95" t="str">
        <f>IFERROR(__xludf.DUMMYFUNCTION("""COMPUTED_VALUE"""),"British Italian Renaissance art historian and sometime art dealer who served as Director of the National Gallery of Ireland (1916-1932) and worked for Duveen in New York from 1940 onward")</f>
        <v>British Italian Renaissance art historian and sometime art dealer who served as Director of the National Gallery of Ireland (1916-1932) and worked for Duveen in New York from 1940 onward</v>
      </c>
    </row>
    <row r="145">
      <c r="A145" s="96" t="str">
        <f>IFERROR(__xludf.DUMMYFUNCTION("""COMPUTED_VALUE"""),"00641")</f>
        <v>00641</v>
      </c>
      <c r="B145" s="94" t="str">
        <f>IFERROR(__xludf.DUMMYFUNCTION("""COMPUTED_VALUE"""),"Dr. Chartin")</f>
        <v>Dr. Chartin</v>
      </c>
      <c r="C145" s="94"/>
      <c r="D145" s="94"/>
      <c r="E145" s="95"/>
    </row>
    <row r="146">
      <c r="A146" s="96" t="str">
        <f>IFERROR(__xludf.DUMMYFUNCTION("""COMPUTED_VALUE"""),"00671")</f>
        <v>00671</v>
      </c>
      <c r="B146" s="94" t="str">
        <f>IFERROR(__xludf.DUMMYFUNCTION("""COMPUTED_VALUE"""),"Dr. Vaughan ")</f>
        <v>Dr. Vaughan </v>
      </c>
      <c r="C146" s="94"/>
      <c r="D146" s="94"/>
      <c r="E146" s="95"/>
    </row>
    <row r="147">
      <c r="A147" s="96" t="str">
        <f>IFERROR(__xludf.DUMMYFUNCTION("""COMPUTED_VALUE"""),"00667")</f>
        <v>00667</v>
      </c>
      <c r="B147" s="94" t="str">
        <f>IFERROR(__xludf.DUMMYFUNCTION("""COMPUTED_VALUE"""),"Dreny, Lommy")</f>
        <v>Dreny, Lommy</v>
      </c>
      <c r="C147" s="94"/>
      <c r="D147" s="94"/>
      <c r="E147" s="95"/>
    </row>
    <row r="148">
      <c r="A148" s="96" t="str">
        <f>IFERROR(__xludf.DUMMYFUNCTION("""COMPUTED_VALUE"""),"00102")</f>
        <v>00102</v>
      </c>
      <c r="B148" s="94" t="str">
        <f>IFERROR(__xludf.DUMMYFUNCTION("""COMPUTED_VALUE"""),"Drexel, Anthony Joseph, Jr.")</f>
        <v>Drexel, Anthony Joseph, Jr.</v>
      </c>
      <c r="C148" s="94"/>
      <c r="D148" s="94" t="str">
        <f>IFERROR(__xludf.DUMMYFUNCTION("""COMPUTED_VALUE"""),"1864-1934")</f>
        <v>1864-1934</v>
      </c>
      <c r="E148" s="95" t="str">
        <f>IFERROR(__xludf.DUMMYFUNCTION("""COMPUTED_VALUE"""),"American banker whose father founded Drexel, Morgan, &amp; Co. with JPM in 1871; married Marjorie Gould in 1910")</f>
        <v>American banker whose father founded Drexel, Morgan, &amp; Co. with JPM in 1871; married Marjorie Gould in 1910</v>
      </c>
    </row>
    <row r="149">
      <c r="A149" s="96" t="str">
        <f>IFERROR(__xludf.DUMMYFUNCTION("""COMPUTED_VALUE"""),"00597")</f>
        <v>00597</v>
      </c>
      <c r="B149" s="94" t="str">
        <f>IFERROR(__xludf.DUMMYFUNCTION("""COMPUTED_VALUE"""),"Drey, Aaron S.")</f>
        <v>Drey, Aaron S.</v>
      </c>
      <c r="C149" s="94"/>
      <c r="D149" s="94"/>
      <c r="E149" s="95" t="str">
        <f>IFERROR(__xludf.DUMMYFUNCTION("""COMPUTED_VALUE"""),"Munich art dealer")</f>
        <v>Munich art dealer</v>
      </c>
    </row>
    <row r="150">
      <c r="A150" s="96" t="str">
        <f>IFERROR(__xludf.DUMMYFUNCTION("""COMPUTED_VALUE"""),"00605")</f>
        <v>00605</v>
      </c>
      <c r="B150" s="94" t="str">
        <f>IFERROR(__xludf.DUMMYFUNCTION("""COMPUTED_VALUE"""),"Dreyfus, Gustave")</f>
        <v>Dreyfus, Gustave</v>
      </c>
      <c r="C150" s="94"/>
      <c r="D150" s="94" t="str">
        <f>IFERROR(__xludf.DUMMYFUNCTION("""COMPUTED_VALUE"""),"1837–1914")</f>
        <v>1837–1914</v>
      </c>
      <c r="E150" s="95" t="str">
        <f>IFERROR(__xludf.DUMMYFUNCTION("""COMPUTED_VALUE"""),"French art collector")</f>
        <v>French art collector</v>
      </c>
    </row>
    <row r="151">
      <c r="A151" s="96" t="str">
        <f>IFERROR(__xludf.DUMMYFUNCTION("""COMPUTED_VALUE"""),"00103")</f>
        <v>00103</v>
      </c>
      <c r="B151" s="94" t="str">
        <f>IFERROR(__xludf.DUMMYFUNCTION("""COMPUTED_VALUE"""),"Dring, Edmund Hunt")</f>
        <v>Dring, Edmund Hunt</v>
      </c>
      <c r="C151" s="94"/>
      <c r="D151" s="94" t="str">
        <f>IFERROR(__xludf.DUMMYFUNCTION("""COMPUTED_VALUE"""),"1863-1928")</f>
        <v>1863-1928</v>
      </c>
      <c r="E151" s="95" t="str">
        <f>IFERROR(__xludf.DUMMYFUNCTION("""COMPUTED_VALUE"""),"British scholar with focus on Free Masonry")</f>
        <v>British scholar with focus on Free Masonry</v>
      </c>
    </row>
    <row r="152">
      <c r="A152" s="96" t="str">
        <f>IFERROR(__xludf.DUMMYFUNCTION("""COMPUTED_VALUE"""),"00104")</f>
        <v>00104</v>
      </c>
      <c r="B152" s="94" t="str">
        <f>IFERROR(__xludf.DUMMYFUNCTION("""COMPUTED_VALUE"""),"Drinkwater, John")</f>
        <v>Drinkwater, John</v>
      </c>
      <c r="C152" s="94"/>
      <c r="D152" s="94" t="str">
        <f>IFERROR(__xludf.DUMMYFUNCTION("""COMPUTED_VALUE"""),"1882-1937")</f>
        <v>1882-1937</v>
      </c>
      <c r="E152" s="95" t="str">
        <f>IFERROR(__xludf.DUMMYFUNCTION("""COMPUTED_VALUE"""),"English poet, playwright, and critic")</f>
        <v>English poet, playwright, and critic</v>
      </c>
    </row>
    <row r="153">
      <c r="A153" s="96" t="str">
        <f>IFERROR(__xludf.DUMMYFUNCTION("""COMPUTED_VALUE"""),"00105")</f>
        <v>00105</v>
      </c>
      <c r="B153" s="94" t="str">
        <f>IFERROR(__xludf.DUMMYFUNCTION("""COMPUTED_VALUE"""),"Duncan, Isadora")</f>
        <v>Duncan, Isadora</v>
      </c>
      <c r="C153" s="94" t="str">
        <f>IFERROR(__xludf.DUMMYFUNCTION("""COMPUTED_VALUE"""),"Ariadne")</f>
        <v>Ariadne</v>
      </c>
      <c r="D153" s="94" t="str">
        <f>IFERROR(__xludf.DUMMYFUNCTION("""COMPUTED_VALUE"""),"1877/78-1927")</f>
        <v>1877/78-1927</v>
      </c>
      <c r="E153" s="95" t="str">
        <f>IFERROR(__xludf.DUMMYFUNCTION("""COMPUTED_VALUE"""),"Pioneering American modern dancer and choreographer")</f>
        <v>Pioneering American modern dancer and choreographer</v>
      </c>
    </row>
    <row r="154">
      <c r="A154" s="96" t="str">
        <f>IFERROR(__xludf.DUMMYFUNCTION("""COMPUTED_VALUE"""),"00106")</f>
        <v>00106</v>
      </c>
      <c r="B154" s="94" t="str">
        <f>IFERROR(__xludf.DUMMYFUNCTION("""COMPUTED_VALUE"""),"Durlacher, George")</f>
        <v>Durlacher, George</v>
      </c>
      <c r="C154" s="94"/>
      <c r="D154" s="94" t="str">
        <f>IFERROR(__xludf.DUMMYFUNCTION("""COMPUTED_VALUE"""),"1856-1938?")</f>
        <v>1856-1938?</v>
      </c>
      <c r="E154" s="95" t="str">
        <f>IFERROR(__xludf.DUMMYFUNCTION("""COMPUTED_VALUE"""),"Partner in Durlacher Brothers firm, a London-based dealership that sold a wide variety of largely decorative arts")</f>
        <v>Partner in Durlacher Brothers firm, a London-based dealership that sold a wide variety of largely decorative arts</v>
      </c>
    </row>
    <row r="155">
      <c r="A155" s="96" t="str">
        <f>IFERROR(__xludf.DUMMYFUNCTION("""COMPUTED_VALUE"""),"00107")</f>
        <v>00107</v>
      </c>
      <c r="B155" s="94" t="str">
        <f>IFERROR(__xludf.DUMMYFUNCTION("""COMPUTED_VALUE"""),"Durrieu, Paul")</f>
        <v>Durrieu, Paul</v>
      </c>
      <c r="C155" s="94"/>
      <c r="D155" s="94" t="str">
        <f>IFERROR(__xludf.DUMMYFUNCTION("""COMPUTED_VALUE"""),"1855-1925")</f>
        <v>1855-1925</v>
      </c>
      <c r="E155" s="95" t="str">
        <f>IFERROR(__xludf.DUMMYFUNCTION("""COMPUTED_VALUE"""),"French art historian, curator, and dealer")</f>
        <v>French art historian, curator, and dealer</v>
      </c>
    </row>
    <row r="156">
      <c r="A156" s="96" t="str">
        <f>IFERROR(__xludf.DUMMYFUNCTION("""COMPUTED_VALUE"""),"00603")</f>
        <v>00603</v>
      </c>
      <c r="B156" s="94" t="str">
        <f>IFERROR(__xludf.DUMMYFUNCTION("""COMPUTED_VALUE"""),"Duveen, Benjamin")</f>
        <v>Duveen, Benjamin</v>
      </c>
      <c r="C156" s="94"/>
      <c r="D156" s="94" t="str">
        <f>IFERROR(__xludf.DUMMYFUNCTION("""COMPUTED_VALUE"""),"1876–1959")</f>
        <v>1876–1959</v>
      </c>
      <c r="E156" s="95" t="str">
        <f>IFERROR(__xludf.DUMMYFUNCTION("""COMPUTED_VALUE"""),"British art dealer, son of Joseph Joel Duveen")</f>
        <v>British art dealer, son of Joseph Joel Duveen</v>
      </c>
    </row>
    <row r="157">
      <c r="A157" s="96" t="str">
        <f>IFERROR(__xludf.DUMMYFUNCTION("""COMPUTED_VALUE"""),"00108")</f>
        <v>00108</v>
      </c>
      <c r="B157" s="94" t="str">
        <f>IFERROR(__xludf.DUMMYFUNCTION("""COMPUTED_VALUE"""),"Duveen, Henry")</f>
        <v>Duveen, Henry</v>
      </c>
      <c r="C157" s="94" t="str">
        <f>IFERROR(__xludf.DUMMYFUNCTION("""COMPUTED_VALUE"""),"Uncle Henry")</f>
        <v>Uncle Henry</v>
      </c>
      <c r="D157" s="94" t="str">
        <f>IFERROR(__xludf.DUMMYFUNCTION("""COMPUTED_VALUE"""),"1854-1919")</f>
        <v>1854-1919</v>
      </c>
      <c r="E157" s="95" t="str">
        <f>IFERROR(__xludf.DUMMYFUNCTION("""COMPUTED_VALUE"""),"London art dealer and younger brother of Joseph, his partner at Duveen Brothers")</f>
        <v>London art dealer and younger brother of Joseph, his partner at Duveen Brothers</v>
      </c>
    </row>
    <row r="158">
      <c r="A158" s="96" t="str">
        <f>IFERROR(__xludf.DUMMYFUNCTION("""COMPUTED_VALUE"""),"00109")</f>
        <v>00109</v>
      </c>
      <c r="B158" s="94" t="str">
        <f>IFERROR(__xludf.DUMMYFUNCTION("""COMPUTED_VALUE"""),"Duveen, Joseph")</f>
        <v>Duveen, Joseph</v>
      </c>
      <c r="C158" s="94" t="str">
        <f>IFERROR(__xludf.DUMMYFUNCTION("""COMPUTED_VALUE"""),"Joe")</f>
        <v>Joe</v>
      </c>
      <c r="D158" s="94" t="str">
        <f>IFERROR(__xludf.DUMMYFUNCTION("""COMPUTED_VALUE"""),"1869-1939")</f>
        <v>1869-1939</v>
      </c>
      <c r="E158" s="95" t="str">
        <f>IFERROR(__xludf.DUMMYFUNCTION("""COMPUTED_VALUE"""),"Son of Joseph Joel Duveen, after whose death, he took over Duveen Brothers")</f>
        <v>Son of Joseph Joel Duveen, after whose death, he took over Duveen Brothers</v>
      </c>
    </row>
    <row r="159">
      <c r="A159" s="96" t="str">
        <f>IFERROR(__xludf.DUMMYFUNCTION("""COMPUTED_VALUE"""),"00110")</f>
        <v>00110</v>
      </c>
      <c r="B159" s="94" t="str">
        <f>IFERROR(__xludf.DUMMYFUNCTION("""COMPUTED_VALUE"""),"Duveen, Joseph Joel")</f>
        <v>Duveen, Joseph Joel</v>
      </c>
      <c r="C159" s="94"/>
      <c r="D159" s="94" t="str">
        <f>IFERROR(__xludf.DUMMYFUNCTION("""COMPUTED_VALUE"""),"1843-1908")</f>
        <v>1843-1908</v>
      </c>
      <c r="E159" s="95" t="str">
        <f>IFERROR(__xludf.DUMMYFUNCTION("""COMPUTED_VALUE"""),"London art dealer and older brother of Henry, his partner at Duveen Brothers")</f>
        <v>London art dealer and older brother of Henry, his partner at Duveen Brothers</v>
      </c>
    </row>
    <row r="160">
      <c r="A160" s="96" t="str">
        <f>IFERROR(__xludf.DUMMYFUNCTION("""COMPUTED_VALUE"""),"00540")</f>
        <v>00540</v>
      </c>
      <c r="B160" s="94" t="str">
        <f>IFERROR(__xludf.DUMMYFUNCTION("""COMPUTED_VALUE"""),"Duveen, Louis")</f>
        <v>Duveen, Louis</v>
      </c>
      <c r="C160" s="94"/>
      <c r="D160" s="94" t="str">
        <f>IFERROR(__xludf.DUMMYFUNCTION("""COMPUTED_VALUE"""),"1874-1920")</f>
        <v>1874-1920</v>
      </c>
      <c r="E160" s="95" t="str">
        <f>IFERROR(__xludf.DUMMYFUNCTION("""COMPUTED_VALUE"""),"Second son of Joseph Duveen, Sr.; continued Duveen firm with brothers after father's death")</f>
        <v>Second son of Joseph Duveen, Sr.; continued Duveen firm with brothers after father's death</v>
      </c>
    </row>
    <row r="161">
      <c r="A161" s="96" t="str">
        <f>IFERROR(__xludf.DUMMYFUNCTION("""COMPUTED_VALUE"""),"00569")</f>
        <v>00569</v>
      </c>
      <c r="B161" s="94" t="str">
        <f>IFERROR(__xludf.DUMMYFUNCTION("""COMPUTED_VALUE"""),"Dyer")</f>
        <v>Dyer</v>
      </c>
      <c r="C161" s="94"/>
      <c r="D161" s="94"/>
      <c r="E161" s="95" t="str">
        <f>IFERROR(__xludf.DUMMYFUNCTION("""COMPUTED_VALUE"""),"""a 'near' art critic"" Greene met at Roland Conklin's home at Rosemary Farm in March 1910")</f>
        <v>"a 'near' art critic" Greene met at Roland Conklin's home at Rosemary Farm in March 1910</v>
      </c>
    </row>
    <row r="162">
      <c r="A162" s="96" t="str">
        <f>IFERROR(__xludf.DUMMYFUNCTION("""COMPUTED_VALUE"""),"00111")</f>
        <v>00111</v>
      </c>
      <c r="B162" s="94" t="str">
        <f>IFERROR(__xludf.DUMMYFUNCTION("""COMPUTED_VALUE"""),"Eames, Wilberforce")</f>
        <v>Eames, Wilberforce</v>
      </c>
      <c r="C162" s="94"/>
      <c r="D162" s="94" t="str">
        <f>IFERROR(__xludf.DUMMYFUNCTION("""COMPUTED_VALUE"""),"1855-1937")</f>
        <v>1855-1937</v>
      </c>
      <c r="E162" s="95" t="str">
        <f>IFERROR(__xludf.DUMMYFUNCTION("""COMPUTED_VALUE"""),"American bibliographer and librarian, first at the Lenox Library and then at the New York Public Library; the ""Dean of American bibliographers""")</f>
        <v>American bibliographer and librarian, first at the Lenox Library and then at the New York Public Library; the "Dean of American bibliographers"</v>
      </c>
    </row>
    <row r="163">
      <c r="A163" s="96" t="str">
        <f>IFERROR(__xludf.DUMMYFUNCTION("""COMPUTED_VALUE"""),"00112")</f>
        <v>00112</v>
      </c>
      <c r="B163" s="94" t="str">
        <f>IFERROR(__xludf.DUMMYFUNCTION("""COMPUTED_VALUE"""),"Earle, Richard Mortimer")</f>
        <v>Earle, Richard Mortimer</v>
      </c>
      <c r="C163" s="94"/>
      <c r="D163" s="94"/>
      <c r="E163" s="95" t="str">
        <f>IFERROR(__xludf.DUMMYFUNCTION("""COMPUTED_VALUE"""),"Englishman")</f>
        <v>Englishman</v>
      </c>
    </row>
    <row r="164">
      <c r="A164" s="96" t="str">
        <f>IFERROR(__xludf.DUMMYFUNCTION("""COMPUTED_VALUE"""),"00663")</f>
        <v>00663</v>
      </c>
      <c r="B164" s="94" t="str">
        <f>IFERROR(__xludf.DUMMYFUNCTION("""COMPUTED_VALUE"""),"Eddy, Spencer Fayette")</f>
        <v>Eddy, Spencer Fayette</v>
      </c>
      <c r="C164" s="94"/>
      <c r="D164" s="94" t="str">
        <f>IFERROR(__xludf.DUMMYFUNCTION("""COMPUTED_VALUE"""),"1873 - 1939")</f>
        <v>1873 - 1939</v>
      </c>
      <c r="E164" s="95" t="str">
        <f>IFERROR(__xludf.DUMMYFUNCTION("""COMPUTED_VALUE"""),"American diplomat who served as U.S. minister to Argentina and Romania")</f>
        <v>American diplomat who served as U.S. minister to Argentina and Romania</v>
      </c>
    </row>
    <row r="165">
      <c r="A165" s="96" t="str">
        <f>IFERROR(__xludf.DUMMYFUNCTION("""COMPUTED_VALUE"""),"00113")</f>
        <v>00113</v>
      </c>
      <c r="B165" s="94" t="str">
        <f>IFERROR(__xludf.DUMMYFUNCTION("""COMPUTED_VALUE"""),"Egan, Martin")</f>
        <v>Egan, Martin</v>
      </c>
      <c r="C165" s="94"/>
      <c r="D165" s="94" t="str">
        <f>IFERROR(__xludf.DUMMYFUNCTION("""COMPUTED_VALUE"""),"1872-1938")</f>
        <v>1872-1938</v>
      </c>
      <c r="E165" s="95" t="str">
        <f>IFERROR(__xludf.DUMMYFUNCTION("""COMPUTED_VALUE"""),"War journalist and publicist for J.P.M. &amp; Co., partner")</f>
        <v>War journalist and publicist for J.P.M. &amp; Co., partner</v>
      </c>
    </row>
    <row r="166">
      <c r="A166" s="96" t="str">
        <f>IFERROR(__xludf.DUMMYFUNCTION("""COMPUTED_VALUE"""),"00114")</f>
        <v>00114</v>
      </c>
      <c r="B166" s="94" t="str">
        <f>IFERROR(__xludf.DUMMYFUNCTION("""COMPUTED_VALUE"""),"Ehrle, Franz")</f>
        <v>Ehrle, Franz</v>
      </c>
      <c r="C166" s="94"/>
      <c r="D166" s="94" t="str">
        <f>IFERROR(__xludf.DUMMYFUNCTION("""COMPUTED_VALUE"""),"1845-1934")</f>
        <v>1845-1934</v>
      </c>
      <c r="E166" s="95" t="str">
        <f>IFERROR(__xludf.DUMMYFUNCTION("""COMPUTED_VALUE"""),"Archivist of the Vatican Library")</f>
        <v>Archivist of the Vatican Library</v>
      </c>
    </row>
    <row r="167">
      <c r="A167" s="96" t="str">
        <f>IFERROR(__xludf.DUMMYFUNCTION("""COMPUTED_VALUE"""),"00115")</f>
        <v>00115</v>
      </c>
      <c r="B167" s="94" t="str">
        <f>IFERROR(__xludf.DUMMYFUNCTION("""COMPUTED_VALUE"""),"Eliot, Charles William")</f>
        <v>Eliot, Charles William</v>
      </c>
      <c r="C167" s="94"/>
      <c r="D167" s="94" t="str">
        <f>IFERROR(__xludf.DUMMYFUNCTION("""COMPUTED_VALUE"""),"1834-1926")</f>
        <v>1834-1926</v>
      </c>
      <c r="E167" s="95" t="str">
        <f>IFERROR(__xludf.DUMMYFUNCTION("""COMPUTED_VALUE"""),"American academic, Harvard President (1869-1909), editor of Harvard Classics")</f>
        <v>American academic, Harvard President (1869-1909), editor of Harvard Classics</v>
      </c>
    </row>
    <row r="168">
      <c r="A168" s="96" t="str">
        <f>IFERROR(__xludf.DUMMYFUNCTION("""COMPUTED_VALUE"""),"00116")</f>
        <v>00116</v>
      </c>
      <c r="B168" s="94" t="str">
        <f>IFERROR(__xludf.DUMMYFUNCTION("""COMPUTED_VALUE"""),"Elliott, Gertrude")</f>
        <v>Elliott, Gertrude</v>
      </c>
      <c r="C168" s="94"/>
      <c r="D168" s="94" t="str">
        <f>IFERROR(__xludf.DUMMYFUNCTION("""COMPUTED_VALUE"""),"1874-1950")</f>
        <v>1874-1950</v>
      </c>
      <c r="E168" s="95" t="str">
        <f>IFERROR(__xludf.DUMMYFUNCTION("""COMPUTED_VALUE"""),"American actress and wife of Johnston Forbes-Robertson (sometimes referred to as Lady Forbes-Robertson)")</f>
        <v>American actress and wife of Johnston Forbes-Robertson (sometimes referred to as Lady Forbes-Robertson)</v>
      </c>
    </row>
    <row r="169">
      <c r="A169" s="96" t="str">
        <f>IFERROR(__xludf.DUMMYFUNCTION("""COMPUTED_VALUE"""),"00643")</f>
        <v>00643</v>
      </c>
      <c r="B169" s="94" t="str">
        <f>IFERROR(__xludf.DUMMYFUNCTION("""COMPUTED_VALUE"""),"Ely, Katrina")</f>
        <v>Ely, Katrina</v>
      </c>
      <c r="C169" s="94"/>
      <c r="D169" s="94"/>
      <c r="E169" s="95"/>
    </row>
    <row r="170">
      <c r="A170" s="96" t="str">
        <f>IFERROR(__xludf.DUMMYFUNCTION("""COMPUTED_VALUE"""),"00628")</f>
        <v>00628</v>
      </c>
      <c r="B170" s="94" t="str">
        <f>IFERROR(__xludf.DUMMYFUNCTION("""COMPUTED_VALUE"""),"Ermolov, Boris Nicolaevich")</f>
        <v>Ermolov, Boris Nicolaevich</v>
      </c>
      <c r="C170" s="94" t="str">
        <f>IFERROR(__xludf.DUMMYFUNCTION("""COMPUTED_VALUE"""),"Ermolov")</f>
        <v>Ermolov</v>
      </c>
      <c r="D170" s="94" t="str">
        <f>IFERROR(__xludf.DUMMYFUNCTION("""COMPUTED_VALUE"""),"1891 - 1967")</f>
        <v>1891 - 1967</v>
      </c>
      <c r="E170" s="95" t="str">
        <f>IFERROR(__xludf.DUMMYFUNCTION("""COMPUTED_VALUE"""),"a Russian expatriate and longtime friend of Thomas Whittemore. He was the librarian of the Byzantine Institute in Paris.")</f>
        <v>a Russian expatriate and longtime friend of Thomas Whittemore. He was the librarian of the Byzantine Institute in Paris.</v>
      </c>
    </row>
    <row r="171">
      <c r="A171" s="96" t="str">
        <f>IFERROR(__xludf.DUMMYFUNCTION("""COMPUTED_VALUE"""),"00117")</f>
        <v>00117</v>
      </c>
      <c r="B171" s="94" t="str">
        <f>IFERROR(__xludf.DUMMYFUNCTION("""COMPUTED_VALUE"""),"Eumorfopoulos, George")</f>
        <v>Eumorfopoulos, George</v>
      </c>
      <c r="C171" s="94"/>
      <c r="D171" s="94" t="str">
        <f>IFERROR(__xludf.DUMMYFUNCTION("""COMPUTED_VALUE"""),"1863-1939")</f>
        <v>1863-1939</v>
      </c>
      <c r="E171" s="95" t="str">
        <f>IFERROR(__xludf.DUMMYFUNCTION("""COMPUTED_VALUE"""),"British collector of European porcelain and Chinese art")</f>
        <v>British collector of European porcelain and Chinese art</v>
      </c>
    </row>
    <row r="172">
      <c r="A172" s="96" t="str">
        <f>IFERROR(__xludf.DUMMYFUNCTION("""COMPUTED_VALUE"""),"00670")</f>
        <v>00670</v>
      </c>
      <c r="B172" s="94" t="str">
        <f>IFERROR(__xludf.DUMMYFUNCTION("""COMPUTED_VALUE"""),"Eumorfopoulos, George Aristides
")</f>
        <v>Eumorfopoulos, George Aristides
</v>
      </c>
      <c r="C172" s="94" t="str">
        <f>IFERROR(__xludf.DUMMYFUNCTION("""COMPUTED_VALUE"""),"Eumo's")</f>
        <v>Eumo's</v>
      </c>
      <c r="D172" s="94" t="str">
        <f>IFERROR(__xludf.DUMMYFUNCTION("""COMPUTED_VALUE"""),"1863 - 1939")</f>
        <v>1863 - 1939</v>
      </c>
      <c r="E172" s="95"/>
    </row>
    <row r="173">
      <c r="A173" s="96" t="str">
        <f>IFERROR(__xludf.DUMMYFUNCTION("""COMPUTED_VALUE"""),"00118")</f>
        <v>00118</v>
      </c>
      <c r="B173" s="94" t="str">
        <f>IFERROR(__xludf.DUMMYFUNCTION("""COMPUTED_VALUE"""),"Evans, Joan")</f>
        <v>Evans, Joan</v>
      </c>
      <c r="C173" s="94"/>
      <c r="D173" s="94" t="str">
        <f>IFERROR(__xludf.DUMMYFUNCTION("""COMPUTED_VALUE"""),"1893-1977")</f>
        <v>1893-1977</v>
      </c>
      <c r="E173" s="95" t="str">
        <f>IFERROR(__xludf.DUMMYFUNCTION("""COMPUTED_VALUE"""),"British scholar of Medieval art and collector of gems and jewellry (given to the Victoria and Albert Museum in 1975)")</f>
        <v>British scholar of Medieval art and collector of gems and jewellry (given to the Victoria and Albert Museum in 1975)</v>
      </c>
    </row>
    <row r="174">
      <c r="A174" s="96" t="str">
        <f>IFERROR(__xludf.DUMMYFUNCTION("""COMPUTED_VALUE"""),"00119")</f>
        <v>00119</v>
      </c>
      <c r="B174" s="94" t="str">
        <f>IFERROR(__xludf.DUMMYFUNCTION("""COMPUTED_VALUE"""),"Fanton, Mary")</f>
        <v>Fanton, Mary</v>
      </c>
      <c r="C174" s="94" t="str">
        <f>IFERROR(__xludf.DUMMYFUNCTION("""COMPUTED_VALUE"""),"Mrs. Roberts")</f>
        <v>Mrs. Roberts</v>
      </c>
      <c r="D174" s="94" t="str">
        <f>IFERROR(__xludf.DUMMYFUNCTION("""COMPUTED_VALUE"""),"1964-1956")</f>
        <v>1964-1956</v>
      </c>
      <c r="E174" s="95" t="str">
        <f>IFERROR(__xludf.DUMMYFUNCTION("""COMPUTED_VALUE"""),"American journalist who wrote on decorative arts and the home, later Mary Fanton Roberts; editor of the Craftsman; wife of ")</f>
        <v>American journalist who wrote on decorative arts and the home, later Mary Fanton Roberts; editor of the Craftsman; wife of </v>
      </c>
    </row>
    <row r="175">
      <c r="A175" s="96" t="str">
        <f>IFERROR(__xludf.DUMMYFUNCTION("""COMPUTED_VALUE"""),"00120")</f>
        <v>00120</v>
      </c>
      <c r="B175" s="94" t="str">
        <f>IFERROR(__xludf.DUMMYFUNCTION("""COMPUTED_VALUE"""),"Farrand, Beatrix")</f>
        <v>Farrand, Beatrix</v>
      </c>
      <c r="C175" s="94"/>
      <c r="D175" s="94" t="str">
        <f>IFERROR(__xludf.DUMMYFUNCTION("""COMPUTED_VALUE"""),"1872-1959")</f>
        <v>1872-1959</v>
      </c>
      <c r="E175" s="95" t="str">
        <f>IFERROR(__xludf.DUMMYFUNCTION("""COMPUTED_VALUE"""),"Landscape gardener and architect and neice of Edith Wharton who landscaped the grounds of the Morgan Library and sections of Princeton University campus")</f>
        <v>Landscape gardener and architect and neice of Edith Wharton who landscaped the grounds of the Morgan Library and sections of Princeton University campus</v>
      </c>
    </row>
    <row r="176">
      <c r="A176" s="96" t="str">
        <f>IFERROR(__xludf.DUMMYFUNCTION("""COMPUTED_VALUE"""),"00121")</f>
        <v>00121</v>
      </c>
      <c r="B176" s="94" t="str">
        <f>IFERROR(__xludf.DUMMYFUNCTION("""COMPUTED_VALUE"""),"Faulkner, Barry")</f>
        <v>Faulkner, Barry</v>
      </c>
      <c r="C176" s="94"/>
      <c r="D176" s="94" t="str">
        <f>IFERROR(__xludf.DUMMYFUNCTION("""COMPUTED_VALUE"""),"1881-1966")</f>
        <v>1881-1966</v>
      </c>
      <c r="E176" s="95" t="str">
        <f>IFERROR(__xludf.DUMMYFUNCTION("""COMPUTED_VALUE"""),"American muralist and painter and part of the New York Camouflage Society in World War I")</f>
        <v>American muralist and painter and part of the New York Camouflage Society in World War I</v>
      </c>
    </row>
    <row r="177">
      <c r="A177" s="96" t="str">
        <f>IFERROR(__xludf.DUMMYFUNCTION("""COMPUTED_VALUE"""),"00122")</f>
        <v>00122</v>
      </c>
      <c r="B177" s="94" t="str">
        <f>IFERROR(__xludf.DUMMYFUNCTION("""COMPUTED_VALUE"""),"Faversham, William")</f>
        <v>Faversham, William</v>
      </c>
      <c r="C177" s="94"/>
      <c r="D177" s="94" t="str">
        <f>IFERROR(__xludf.DUMMYFUNCTION("""COMPUTED_VALUE"""),"1868-1940")</f>
        <v>1868-1940</v>
      </c>
      <c r="E177" s="95" t="str">
        <f>IFERROR(__xludf.DUMMYFUNCTION("""COMPUTED_VALUE"""),"English actor")</f>
        <v>English actor</v>
      </c>
    </row>
    <row r="178">
      <c r="A178" s="96" t="str">
        <f>IFERROR(__xludf.DUMMYFUNCTION("""COMPUTED_VALUE"""),"00123")</f>
        <v>00123</v>
      </c>
      <c r="B178" s="94" t="str">
        <f>IFERROR(__xludf.DUMMYFUNCTION("""COMPUTED_VALUE"""),"Ferguson, John C.")</f>
        <v>Ferguson, John C.</v>
      </c>
      <c r="C178" s="94"/>
      <c r="D178" s="94" t="str">
        <f>IFERROR(__xludf.DUMMYFUNCTION("""COMPUTED_VALUE"""),"1866-1945")</f>
        <v>1866-1945</v>
      </c>
      <c r="E178" s="95" t="str">
        <f>IFERROR(__xludf.DUMMYFUNCTION("""COMPUTED_VALUE"""),"American collector and scholar of Chinese art")</f>
        <v>American collector and scholar of Chinese art</v>
      </c>
    </row>
    <row r="179">
      <c r="A179" s="96" t="str">
        <f>IFERROR(__xludf.DUMMYFUNCTION("""COMPUTED_VALUE"""),"00124")</f>
        <v>00124</v>
      </c>
      <c r="B179" s="94" t="str">
        <f>IFERROR(__xludf.DUMMYFUNCTION("""COMPUTED_VALUE"""),"Ferri")</f>
        <v>Ferri</v>
      </c>
      <c r="C179" s="94"/>
      <c r="D179" s="94"/>
      <c r="E179" s="95" t="str">
        <f>IFERROR(__xludf.DUMMYFUNCTION("""COMPUTED_VALUE"""),"Italian man (singer?)")</f>
        <v>Italian man (singer?)</v>
      </c>
    </row>
    <row r="180">
      <c r="A180" s="96" t="str">
        <f>IFERROR(__xludf.DUMMYFUNCTION("""COMPUTED_VALUE"""),"00537")</f>
        <v>00537</v>
      </c>
      <c r="B180" s="94" t="str">
        <f>IFERROR(__xludf.DUMMYFUNCTION("""COMPUTED_VALUE"""),"Field, Isobel Stewart Osbourne Strong ")</f>
        <v>Field, Isobel Stewart Osbourne Strong </v>
      </c>
      <c r="C180" s="94" t="str">
        <f>IFERROR(__xludf.DUMMYFUNCTION("""COMPUTED_VALUE"""),"Belle?")</f>
        <v>Belle?</v>
      </c>
      <c r="D180" s="94" t="str">
        <f>IFERROR(__xludf.DUMMYFUNCTION("""COMPUTED_VALUE"""),"1858-1953")</f>
        <v>1858-1953</v>
      </c>
      <c r="E180" s="95" t="str">
        <f>IFERROR(__xludf.DUMMYFUNCTION("""COMPUTED_VALUE"""),"Author; stepdaughter of Robert Louis Stevenson")</f>
        <v>Author; stepdaughter of Robert Louis Stevenson</v>
      </c>
    </row>
    <row r="181">
      <c r="A181" s="96" t="str">
        <f>IFERROR(__xludf.DUMMYFUNCTION("""COMPUTED_VALUE"""),"00125")</f>
        <v>00125</v>
      </c>
      <c r="B181" s="94" t="str">
        <f>IFERROR(__xludf.DUMMYFUNCTION("""COMPUTED_VALUE"""),"Fields, Annie Adams")</f>
        <v>Fields, Annie Adams</v>
      </c>
      <c r="C181" s="94"/>
      <c r="D181" s="94" t="str">
        <f>IFERROR(__xludf.DUMMYFUNCTION("""COMPUTED_VALUE"""),"1834-1915")</f>
        <v>1834-1915</v>
      </c>
      <c r="E181" s="95" t="str">
        <f>IFERROR(__xludf.DUMMYFUNCTION("""COMPUTED_VALUE"""),"Bostonian author,  philanthopist, and book collector; wife of James Fields")</f>
        <v>Bostonian author,  philanthopist, and book collector; wife of James Fields</v>
      </c>
    </row>
    <row r="182">
      <c r="A182" s="96" t="str">
        <f>IFERROR(__xludf.DUMMYFUNCTION("""COMPUTED_VALUE"""),"00126")</f>
        <v>00126</v>
      </c>
      <c r="B182" s="94" t="str">
        <f>IFERROR(__xludf.DUMMYFUNCTION("""COMPUTED_VALUE"""),"Fitzhenry, Joseph Henry")</f>
        <v>Fitzhenry, Joseph Henry</v>
      </c>
      <c r="C182" s="94" t="str">
        <f>IFERROR(__xludf.DUMMYFUNCTION("""COMPUTED_VALUE"""),"Fitz")</f>
        <v>Fitz</v>
      </c>
      <c r="D182" s="94" t="str">
        <f>IFERROR(__xludf.DUMMYFUNCTION("""COMPUTED_VALUE"""),"1836-1913")</f>
        <v>1836-1913</v>
      </c>
      <c r="E182" s="95" t="str">
        <f>IFERROR(__xludf.DUMMYFUNCTION("""COMPUTED_VALUE"""),"British art collector (French porcelain and Dutch faience) and dealer who served as an unofficial advisor to Morgan; founding member of the Victoria and Albert Museum's Advisory Council")</f>
        <v>British art collector (French porcelain and Dutch faience) and dealer who served as an unofficial advisor to Morgan; founding member of the Victoria and Albert Museum's Advisory Council</v>
      </c>
    </row>
    <row r="183">
      <c r="A183" s="96" t="str">
        <f>IFERROR(__xludf.DUMMYFUNCTION("""COMPUTED_VALUE"""),"00580")</f>
        <v>00580</v>
      </c>
      <c r="B183" s="94" t="str">
        <f>IFERROR(__xludf.DUMMYFUNCTION("""COMPUTED_VALUE"""),"Flameng, François")</f>
        <v>Flameng, François</v>
      </c>
      <c r="C183" s="94"/>
      <c r="D183" s="94" t="str">
        <f>IFERROR(__xludf.DUMMYFUNCTION("""COMPUTED_VALUE"""),"1856-1923")</f>
        <v>1856-1923</v>
      </c>
      <c r="E183" s="95" t="str">
        <f>IFERROR(__xludf.DUMMYFUNCTION("""COMPUTED_VALUE"""),"French painter")</f>
        <v>French painter</v>
      </c>
    </row>
    <row r="184">
      <c r="A184" s="96" t="str">
        <f>IFERROR(__xludf.DUMMYFUNCTION("""COMPUTED_VALUE"""),"00631")</f>
        <v>00631</v>
      </c>
      <c r="B184" s="94" t="str">
        <f>IFERROR(__xludf.DUMMYFUNCTION("""COMPUTED_VALUE"""),"Flexner, Abraham")</f>
        <v>Flexner, Abraham</v>
      </c>
      <c r="C184" s="94"/>
      <c r="D184" s="94" t="str">
        <f>IFERROR(__xludf.DUMMYFUNCTION("""COMPUTED_VALUE"""),"1866 - 1959")</f>
        <v>1866 - 1959</v>
      </c>
      <c r="E184" s="95" t="str">
        <f>IFERROR(__xludf.DUMMYFUNCTION("""COMPUTED_VALUE"""),"american educator, a friend of BG")</f>
        <v>american educator, a friend of BG</v>
      </c>
    </row>
    <row r="185">
      <c r="A185" s="96" t="str">
        <f>IFERROR(__xludf.DUMMYFUNCTION("""COMPUTED_VALUE"""),"00127")</f>
        <v>00127</v>
      </c>
      <c r="B185" s="94" t="str">
        <f>IFERROR(__xludf.DUMMYFUNCTION("""COMPUTED_VALUE"""),"Forbes-Robertson, Johnston")</f>
        <v>Forbes-Robertson, Johnston</v>
      </c>
      <c r="C185" s="94"/>
      <c r="D185" s="94" t="str">
        <f>IFERROR(__xludf.DUMMYFUNCTION("""COMPUTED_VALUE"""),"1853-1937")</f>
        <v>1853-1937</v>
      </c>
      <c r="E185" s="95" t="str">
        <f>IFERROR(__xludf.DUMMYFUNCTION("""COMPUTED_VALUE"""),"English theater manager and actor especially renowned for his portrayal of Hamlet")</f>
        <v>English theater manager and actor especially renowned for his portrayal of Hamlet</v>
      </c>
    </row>
    <row r="186">
      <c r="A186" s="96" t="str">
        <f>IFERROR(__xludf.DUMMYFUNCTION("""COMPUTED_VALUE"""),"00128")</f>
        <v>00128</v>
      </c>
      <c r="B186" s="94" t="str">
        <f>IFERROR(__xludf.DUMMYFUNCTION("""COMPUTED_VALUE"""),"Forbes, Edward W.")</f>
        <v>Forbes, Edward W.</v>
      </c>
      <c r="C186" s="94"/>
      <c r="D186" s="94" t="str">
        <f>IFERROR(__xludf.DUMMYFUNCTION("""COMPUTED_VALUE"""),"1873-1969")</f>
        <v>1873-1969</v>
      </c>
      <c r="E186" s="95" t="str">
        <f>IFERROR(__xludf.DUMMYFUNCTION("""COMPUTED_VALUE"""),"American art historian and director of the Fogg Museum 1909-1944")</f>
        <v>American art historian and director of the Fogg Museum 1909-1944</v>
      </c>
    </row>
    <row r="187">
      <c r="A187" s="96" t="str">
        <f>IFERROR(__xludf.DUMMYFUNCTION("""COMPUTED_VALUE"""),"00129")</f>
        <v>00129</v>
      </c>
      <c r="B187" s="94" t="str">
        <f>IFERROR(__xludf.DUMMYFUNCTION("""COMPUTED_VALUE"""),"Forbes, Rosita")</f>
        <v>Forbes, Rosita</v>
      </c>
      <c r="C187" s="94"/>
      <c r="D187" s="94" t="str">
        <f>IFERROR(__xludf.DUMMYFUNCTION("""COMPUTED_VALUE"""),"1890-1967")</f>
        <v>1890-1967</v>
      </c>
      <c r="E187" s="95" t="str">
        <f>IFERROR(__xludf.DUMMYFUNCTION("""COMPUTED_VALUE"""),"British travel writer and explorer")</f>
        <v>British travel writer and explorer</v>
      </c>
    </row>
    <row r="188">
      <c r="A188" s="96" t="str">
        <f>IFERROR(__xludf.DUMMYFUNCTION("""COMPUTED_VALUE"""),"00130")</f>
        <v>00130</v>
      </c>
      <c r="B188" s="94" t="str">
        <f>IFERROR(__xludf.DUMMYFUNCTION("""COMPUTED_VALUE"""),"Forrer, Robert")</f>
        <v>Forrer, Robert</v>
      </c>
      <c r="C188" s="94"/>
      <c r="D188" s="94" t="str">
        <f>IFERROR(__xludf.DUMMYFUNCTION("""COMPUTED_VALUE"""),"1866-1947")</f>
        <v>1866-1947</v>
      </c>
      <c r="E188" s="95" t="str">
        <f>IFERROR(__xludf.DUMMYFUNCTION("""COMPUTED_VALUE"""),"Swiss archaeoologist, antiquarian, and collector based in Strasburg, Germany")</f>
        <v>Swiss archaeoologist, antiquarian, and collector based in Strasburg, Germany</v>
      </c>
    </row>
    <row r="189">
      <c r="A189" s="96" t="str">
        <f>IFERROR(__xludf.DUMMYFUNCTION("""COMPUTED_VALUE"""),"00131")</f>
        <v>00131</v>
      </c>
      <c r="B189" s="94" t="str">
        <f>IFERROR(__xludf.DUMMYFUNCTION("""COMPUTED_VALUE"""),"Forrest, Dick")</f>
        <v>Forrest, Dick</v>
      </c>
      <c r="C189" s="94"/>
      <c r="D189" s="94"/>
      <c r="E189" s="95"/>
    </row>
    <row r="190">
      <c r="A190" s="96" t="str">
        <f>IFERROR(__xludf.DUMMYFUNCTION("""COMPUTED_VALUE"""),"00132")</f>
        <v>00132</v>
      </c>
      <c r="B190" s="94" t="str">
        <f>IFERROR(__xludf.DUMMYFUNCTION("""COMPUTED_VALUE"""),"Fouquières, André de")</f>
        <v>Fouquières, André de</v>
      </c>
      <c r="C190" s="94"/>
      <c r="D190" s="94" t="str">
        <f>IFERROR(__xludf.DUMMYFUNCTION("""COMPUTED_VALUE"""),"1874-1959")</f>
        <v>1874-1959</v>
      </c>
      <c r="E190" s="95" t="str">
        <f>IFERROR(__xludf.DUMMYFUNCTION("""COMPUTED_VALUE"""),"French writer, aesthete, and man-about-town")</f>
        <v>French writer, aesthete, and man-about-town</v>
      </c>
    </row>
    <row r="191">
      <c r="A191" s="96" t="str">
        <f>IFERROR(__xludf.DUMMYFUNCTION("""COMPUTED_VALUE"""),"00133")</f>
        <v>00133</v>
      </c>
      <c r="B191" s="94" t="str">
        <f>IFERROR(__xludf.DUMMYFUNCTION("""COMPUTED_VALUE"""),"Franc, Helen")</f>
        <v>Franc, Helen</v>
      </c>
      <c r="C191" s="94"/>
      <c r="D191" s="94" t="str">
        <f>IFERROR(__xludf.DUMMYFUNCTION("""COMPUTED_VALUE"""),"1908-2006")</f>
        <v>1908-2006</v>
      </c>
      <c r="E191" s="95" t="str">
        <f>IFERROR(__xludf.DUMMYFUNCTION("""COMPUTED_VALUE"""),"American museum professional, most of her career was spent at the Museum of Modern Art")</f>
        <v>American museum professional, most of her career was spent at the Museum of Modern Art</v>
      </c>
    </row>
    <row r="192">
      <c r="A192" s="96" t="str">
        <f>IFERROR(__xludf.DUMMYFUNCTION("""COMPUTED_VALUE"""),"00673")</f>
        <v>00673</v>
      </c>
      <c r="B192" s="94" t="str">
        <f>IFERROR(__xludf.DUMMYFUNCTION("""COMPUTED_VALUE"""),"Frankfurter, Alfred")</f>
        <v>Frankfurter, Alfred</v>
      </c>
      <c r="C192" s="94"/>
      <c r="D192" s="94" t="str">
        <f>IFERROR(__xludf.DUMMYFUNCTION("""COMPUTED_VALUE"""),"1906-1965")</f>
        <v>1906-1965</v>
      </c>
      <c r="E192" s="95" t="str">
        <f>IFERROR(__xludf.DUMMYFUNCTION("""COMPUTED_VALUE"""),"Editor of Art News; worked for BB")</f>
        <v>Editor of Art News; worked for BB</v>
      </c>
    </row>
    <row r="193">
      <c r="A193" s="96" t="str">
        <f>IFERROR(__xludf.DUMMYFUNCTION("""COMPUTED_VALUE"""),"00134")</f>
        <v>00134</v>
      </c>
      <c r="B193" s="94" t="str">
        <f>IFERROR(__xludf.DUMMYFUNCTION("""COMPUTED_VALUE"""),"Freedly, Durr")</f>
        <v>Freedly, Durr</v>
      </c>
      <c r="C193" s="94"/>
      <c r="D193" s="94" t="str">
        <f>IFERROR(__xludf.DUMMYFUNCTION("""COMPUTED_VALUE"""),"1888-1938")</f>
        <v>1888-1938</v>
      </c>
      <c r="E193" s="95" t="str">
        <f>IFERROR(__xludf.DUMMYFUNCTION("""COMPUTED_VALUE"""),"American muralist and portraitist")</f>
        <v>American muralist and portraitist</v>
      </c>
    </row>
    <row r="194">
      <c r="A194" s="96" t="str">
        <f>IFERROR(__xludf.DUMMYFUNCTION("""COMPUTED_VALUE"""),"00135")</f>
        <v>00135</v>
      </c>
      <c r="B194" s="94" t="str">
        <f>IFERROR(__xludf.DUMMYFUNCTION("""COMPUTED_VALUE"""),"Freer, Charles Lang")</f>
        <v>Freer, Charles Lang</v>
      </c>
      <c r="C194" s="94"/>
      <c r="D194" s="94" t="str">
        <f>IFERROR(__xludf.DUMMYFUNCTION("""COMPUTED_VALUE"""),"1854-1919")</f>
        <v>1854-1919</v>
      </c>
      <c r="E194" s="95" t="str">
        <f>IFERROR(__xludf.DUMMYFUNCTION("""COMPUTED_VALUE"""),"American industrialist and collector of Asian art, founder of the Freer Galley of Art in Washington D.C.")</f>
        <v>American industrialist and collector of Asian art, founder of the Freer Galley of Art in Washington D.C.</v>
      </c>
    </row>
    <row r="195">
      <c r="A195" s="96" t="str">
        <f>IFERROR(__xludf.DUMMYFUNCTION("""COMPUTED_VALUE"""),"00136")</f>
        <v>00136</v>
      </c>
      <c r="B195" s="94" t="str">
        <f>IFERROR(__xludf.DUMMYFUNCTION("""COMPUTED_VALUE"""),"Fremstad, Olive")</f>
        <v>Fremstad, Olive</v>
      </c>
      <c r="C195" s="94" t="str">
        <f>IFERROR(__xludf.DUMMYFUNCTION("""COMPUTED_VALUE"""),"Madame Fremstad")</f>
        <v>Madame Fremstad</v>
      </c>
      <c r="D195" s="94"/>
      <c r="E195" s="95"/>
    </row>
    <row r="196">
      <c r="A196" s="96" t="str">
        <f>IFERROR(__xludf.DUMMYFUNCTION("""COMPUTED_VALUE"""),"00137")</f>
        <v>00137</v>
      </c>
      <c r="B196" s="94" t="str">
        <f>IFERROR(__xludf.DUMMYFUNCTION("""COMPUTED_VALUE"""),"French, Mary Walker")</f>
        <v>French, Mary Walker</v>
      </c>
      <c r="C196" s="94" t="str">
        <f>IFERROR(__xludf.DUMMYFUNCTION("""COMPUTED_VALUE"""),"Mrs. Barton French")</f>
        <v>Mrs. Barton French</v>
      </c>
      <c r="D196" s="94" t="str">
        <f>IFERROR(__xludf.DUMMYFUNCTION("""COMPUTED_VALUE"""),"1866-1964")</f>
        <v>1866-1964</v>
      </c>
      <c r="E196" s="95" t="str">
        <f>IFERROR(__xludf.DUMMYFUNCTION("""COMPUTED_VALUE"""),"American socialite and member of hte women's committee of the American Ambulance Association during World War I")</f>
        <v>American socialite and member of hte women's committee of the American Ambulance Association during World War I</v>
      </c>
    </row>
    <row r="197">
      <c r="A197" s="96" t="str">
        <f>IFERROR(__xludf.DUMMYFUNCTION("""COMPUTED_VALUE"""),"00138")</f>
        <v>00138</v>
      </c>
      <c r="B197" s="94" t="str">
        <f>IFERROR(__xludf.DUMMYFUNCTION("""COMPUTED_VALUE"""),"Frick, Helen")</f>
        <v>Frick, Helen</v>
      </c>
      <c r="C197" s="94"/>
      <c r="D197" s="94" t="str">
        <f>IFERROR(__xludf.DUMMYFUNCTION("""COMPUTED_VALUE"""),"1888-1984")</f>
        <v>1888-1984</v>
      </c>
      <c r="E197" s="95" t="str">
        <f>IFERROR(__xludf.DUMMYFUNCTION("""COMPUTED_VALUE"""),"American philanthropist and art collector, she curated her father's collection into what became The Frick Collection in New York")</f>
        <v>American philanthropist and art collector, she curated her father's collection into what became The Frick Collection in New York</v>
      </c>
    </row>
    <row r="198">
      <c r="A198" s="96" t="str">
        <f>IFERROR(__xludf.DUMMYFUNCTION("""COMPUTED_VALUE"""),"00139")</f>
        <v>00139</v>
      </c>
      <c r="B198" s="94" t="str">
        <f>IFERROR(__xludf.DUMMYFUNCTION("""COMPUTED_VALUE"""),"Frick, Henry Clay")</f>
        <v>Frick, Henry Clay</v>
      </c>
      <c r="C198" s="94"/>
      <c r="D198" s="94" t="str">
        <f>IFERROR(__xludf.DUMMYFUNCTION("""COMPUTED_VALUE"""),"1849-1919")</f>
        <v>1849-1919</v>
      </c>
      <c r="E198" s="95" t="str">
        <f>IFERROR(__xludf.DUMMYFUNCTION("""COMPUTED_VALUE"""),"American industrialist and anti-union businessman, avid collector of Old Master paintings, who acquired large portions of J.P. Morgan's collection upon its dispersal following Morgan's death in 1913")</f>
        <v>American industrialist and anti-union businessman, avid collector of Old Master paintings, who acquired large portions of J.P. Morgan's collection upon its dispersal following Morgan's death in 1913</v>
      </c>
    </row>
    <row r="199">
      <c r="A199" s="96" t="str">
        <f>IFERROR(__xludf.DUMMYFUNCTION("""COMPUTED_VALUE"""),"00140")</f>
        <v>00140</v>
      </c>
      <c r="B199" s="94" t="str">
        <f>IFERROR(__xludf.DUMMYFUNCTION("""COMPUTED_VALUE"""),"Friedländer, Max Jakob")</f>
        <v>Friedländer, Max Jakob</v>
      </c>
      <c r="C199" s="94"/>
      <c r="D199" s="94" t="str">
        <f>IFERROR(__xludf.DUMMYFUNCTION("""COMPUTED_VALUE"""),"1867-1958")</f>
        <v>1867-1958</v>
      </c>
      <c r="E199" s="95" t="str">
        <f>IFERROR(__xludf.DUMMYFUNCTION("""COMPUTED_VALUE"""),"German museum curator and art historian, specialist in Early Netherlandish painting and the Northern Renaissance")</f>
        <v>German museum curator and art historian, specialist in Early Netherlandish painting and the Northern Renaissance</v>
      </c>
    </row>
    <row r="200">
      <c r="A200" s="96" t="str">
        <f>IFERROR(__xludf.DUMMYFUNCTION("""COMPUTED_VALUE"""),"00656")</f>
        <v>00656</v>
      </c>
      <c r="B200" s="94" t="str">
        <f>IFERROR(__xludf.DUMMYFUNCTION("""COMPUTED_VALUE"""),"Fröhner, Wilhelm ")</f>
        <v>Fröhner, Wilhelm </v>
      </c>
      <c r="C200" s="94"/>
      <c r="D200" s="94" t="str">
        <f>IFERROR(__xludf.DUMMYFUNCTION("""COMPUTED_VALUE"""),"1834 - 1925")</f>
        <v>1834 - 1925</v>
      </c>
      <c r="E200" s="95" t="str">
        <f>IFERROR(__xludf.DUMMYFUNCTION("""COMPUTED_VALUE"""),"Curator at the Louvre; archaeological researcher and collector of antiquities in Paris")</f>
        <v>Curator at the Louvre; archaeological researcher and collector of antiquities in Paris</v>
      </c>
    </row>
    <row r="201">
      <c r="A201" s="96" t="str">
        <f>IFERROR(__xludf.DUMMYFUNCTION("""COMPUTED_VALUE"""),"00524")</f>
        <v>00524</v>
      </c>
      <c r="B201" s="94" t="str">
        <f>IFERROR(__xludf.DUMMYFUNCTION("""COMPUTED_VALUE"""),"Frothingham, Arthur")</f>
        <v>Frothingham, Arthur</v>
      </c>
      <c r="C201" s="94"/>
      <c r="D201" s="94"/>
      <c r="E201" s="95"/>
    </row>
    <row r="202">
      <c r="A202" s="96" t="str">
        <f>IFERROR(__xludf.DUMMYFUNCTION("""COMPUTED_VALUE"""),"00141")</f>
        <v>00141</v>
      </c>
      <c r="B202" s="94" t="str">
        <f>IFERROR(__xludf.DUMMYFUNCTION("""COMPUTED_VALUE"""),"Fry, Roger")</f>
        <v>Fry, Roger</v>
      </c>
      <c r="C202" s="94"/>
      <c r="D202" s="94" t="str">
        <f>IFERROR(__xludf.DUMMYFUNCTION("""COMPUTED_VALUE"""),"1866-1934")</f>
        <v>1866-1934</v>
      </c>
      <c r="E202" s="95" t="str">
        <f>IFERROR(__xludf.DUMMYFUNCTION("""COMPUTED_VALUE"""),"English painter, art critic, and scholar involved in establishing the Burlington Magazine in 1903")</f>
        <v>English painter, art critic, and scholar involved in establishing the Burlington Magazine in 1903</v>
      </c>
    </row>
    <row r="203">
      <c r="A203" s="96" t="str">
        <f>IFERROR(__xludf.DUMMYFUNCTION("""COMPUTED_VALUE"""),"00142")</f>
        <v>00142</v>
      </c>
      <c r="B203" s="94" t="str">
        <f>IFERROR(__xludf.DUMMYFUNCTION("""COMPUTED_VALUE"""),"Fulgence, H.")</f>
        <v>Fulgence, H.</v>
      </c>
      <c r="C203" s="94"/>
      <c r="D203" s="94"/>
      <c r="E203" s="95" t="str">
        <f>IFERROR(__xludf.DUMMYFUNCTION("""COMPUTED_VALUE"""),"Founder of Fulgence et Fils, Parisian art dealership run by three subsquent generations of the Fulgence family")</f>
        <v>Founder of Fulgence et Fils, Parisian art dealership run by three subsquent generations of the Fulgence family</v>
      </c>
    </row>
    <row r="204">
      <c r="A204" s="96" t="str">
        <f>IFERROR(__xludf.DUMMYFUNCTION("""COMPUTED_VALUE"""),"00572")</f>
        <v>00572</v>
      </c>
      <c r="B204" s="94" t="str">
        <f>IFERROR(__xludf.DUMMYFUNCTION("""COMPUTED_VALUE"""),"Gardiner")</f>
        <v>Gardiner</v>
      </c>
      <c r="C204" s="94"/>
      <c r="D204" s="94"/>
      <c r="E204" s="95" t="str">
        <f>IFERROR(__xludf.DUMMYFUNCTION("""COMPUTED_VALUE"""),"A man from Boston BG met at Roland Conklin's home in March 1910. He ""knew every one I had met there, [and] was madly enamoured of your Mrs. Gardner, in spite of which he condescended to be kind to me for two hours."" Perhaps the American publicist Willia"&amp;"m H. Gardiner (b. 1875), a native Bostonian. ")</f>
        <v>A man from Boston BG met at Roland Conklin's home in March 1910. He "knew every one I had met there, [and] was madly enamoured of your Mrs. Gardner, in spite of which he condescended to be kind to me for two hours." Perhaps the American publicist William H. Gardiner (b. 1875), a native Bostonian. </v>
      </c>
    </row>
    <row r="205">
      <c r="A205" s="96" t="str">
        <f>IFERROR(__xludf.DUMMYFUNCTION("""COMPUTED_VALUE"""),"00143")</f>
        <v>00143</v>
      </c>
      <c r="B205" s="94" t="str">
        <f>IFERROR(__xludf.DUMMYFUNCTION("""COMPUTED_VALUE"""),"Gardiner, Billy")</f>
        <v>Gardiner, Billy</v>
      </c>
      <c r="C205" s="94"/>
      <c r="D205" s="94"/>
      <c r="E205" s="95" t="str">
        <f>IFERROR(__xludf.DUMMYFUNCTION("""COMPUTED_VALUE"""),"BG asks Billy Gardiner, ""a man (married with 2 children) whom I had known &amp; liked quite some time,"" to meet Isadora Duncan in March 1911. He does not appear to be the American publicist William H. Gardiner (b. 1875), whom BG may have met at Roland Conkl"&amp;"in's home in March 1910 (see ""Gardiner""). William H. Gardiner did not have any children.")</f>
        <v>BG asks Billy Gardiner, "a man (married with 2 children) whom I had known &amp; liked quite some time," to meet Isadora Duncan in March 1911. He does not appear to be the American publicist William H. Gardiner (b. 1875), whom BG may have met at Roland Conklin's home in March 1910 (see "Gardiner"). William H. Gardiner did not have any children.</v>
      </c>
    </row>
    <row r="206">
      <c r="A206" s="96" t="str">
        <f>IFERROR(__xludf.DUMMYFUNCTION("""COMPUTED_VALUE"""),"00144")</f>
        <v>00144</v>
      </c>
      <c r="B206" s="94" t="str">
        <f>IFERROR(__xludf.DUMMYFUNCTION("""COMPUTED_VALUE"""),"Gardner, Henry Burchell")</f>
        <v>Gardner, Henry Burchell</v>
      </c>
      <c r="C206" s="94"/>
      <c r="D206" s="94" t="str">
        <f>IFERROR(__xludf.DUMMYFUNCTION("""COMPUTED_VALUE"""),"1891-1932")</f>
        <v>1891-1932</v>
      </c>
      <c r="E206" s="95" t="str">
        <f>IFERROR(__xludf.DUMMYFUNCTION("""COMPUTED_VALUE"""),"Husband of Sarah Spencer Morgan; son-in-law of Junius Spencer Morgan")</f>
        <v>Husband of Sarah Spencer Morgan; son-in-law of Junius Spencer Morgan</v>
      </c>
    </row>
    <row r="207">
      <c r="A207" s="96" t="str">
        <f>IFERROR(__xludf.DUMMYFUNCTION("""COMPUTED_VALUE"""),"00145")</f>
        <v>00145</v>
      </c>
      <c r="B207" s="94" t="str">
        <f>IFERROR(__xludf.DUMMYFUNCTION("""COMPUTED_VALUE"""),"Gardner, Isabella Stewart")</f>
        <v>Gardner, Isabella Stewart</v>
      </c>
      <c r="C207" s="94" t="str">
        <f>IFERROR(__xludf.DUMMYFUNCTION("""COMPUTED_VALUE"""),"Grisabella; Mrs. Jack Gardner; Eros/Eris?; Wasabella")</f>
        <v>Grisabella; Mrs. Jack Gardner; Eros/Eris?; Wasabella</v>
      </c>
      <c r="D207" s="94" t="str">
        <f>IFERROR(__xludf.DUMMYFUNCTION("""COMPUTED_VALUE"""),"1840-1924")</f>
        <v>1840-1924</v>
      </c>
      <c r="E207" s="95" t="str">
        <f>IFERROR(__xludf.DUMMYFUNCTION("""COMPUTED_VALUE"""),"Boston art collector (for whom Bernard Berenson served as chief art advisor) and philanthropist who founded the Isabella Stewart Gardner Museum in 1903")</f>
        <v>Boston art collector (for whom Bernard Berenson served as chief art advisor) and philanthropist who founded the Isabella Stewart Gardner Museum in 1903</v>
      </c>
    </row>
    <row r="208">
      <c r="A208" s="96" t="str">
        <f>IFERROR(__xludf.DUMMYFUNCTION("""COMPUTED_VALUE"""),"00480")</f>
        <v>00480</v>
      </c>
      <c r="B208" s="94" t="str">
        <f>IFERROR(__xludf.DUMMYFUNCTION("""COMPUTED_VALUE"""),"Gardner, Sarah Spencer Morgan")</f>
        <v>Gardner, Sarah Spencer Morgan</v>
      </c>
      <c r="C208" s="94"/>
      <c r="D208" s="94" t="str">
        <f>IFERROR(__xludf.DUMMYFUNCTION("""COMPUTED_VALUE"""),"1893-1949")</f>
        <v>1893-1949</v>
      </c>
      <c r="E208" s="95" t="str">
        <f>IFERROR(__xludf.DUMMYFUNCTION("""COMPUTED_VALUE"""),"Daughter of Junius Spencer and Josephine Perry Morgan")</f>
        <v>Daughter of Junius Spencer and Josephine Perry Morgan</v>
      </c>
    </row>
    <row r="209">
      <c r="A209" s="96" t="str">
        <f>IFERROR(__xludf.DUMMYFUNCTION("""COMPUTED_VALUE"""),"00147")</f>
        <v>00147</v>
      </c>
      <c r="B209" s="94" t="str">
        <f>IFERROR(__xludf.DUMMYFUNCTION("""COMPUTED_VALUE"""),"Garrett, Alice Warder")</f>
        <v>Garrett, Alice Warder</v>
      </c>
      <c r="C209" s="94"/>
      <c r="D209" s="94" t="str">
        <f>IFERROR(__xludf.DUMMYFUNCTION("""COMPUTED_VALUE"""),"1877-1952")</f>
        <v>1877-1952</v>
      </c>
      <c r="E209" s="95" t="str">
        <f>IFERROR(__xludf.DUMMYFUNCTION("""COMPUTED_VALUE"""),"Baltimore philanthropist and art collector (mostly paintings), served on the board for the Baltimore Museum of Art")</f>
        <v>Baltimore philanthropist and art collector (mostly paintings), served on the board for the Baltimore Museum of Art</v>
      </c>
    </row>
    <row r="210">
      <c r="A210" s="96" t="str">
        <f>IFERROR(__xludf.DUMMYFUNCTION("""COMPUTED_VALUE"""),"00618")</f>
        <v>00618</v>
      </c>
      <c r="B210" s="94" t="str">
        <f>IFERROR(__xludf.DUMMYFUNCTION("""COMPUTED_VALUE"""),"Gary, Mr. and Mrs. ")</f>
        <v>Gary, Mr. and Mrs. </v>
      </c>
      <c r="C210" s="94"/>
      <c r="D210" s="94"/>
      <c r="E210" s="95" t="str">
        <f>IFERROR(__xludf.DUMMYFUNCTION("""COMPUTED_VALUE"""),"Unidentified couple who in 1910 sent BG a gold box containing pencils, a penknife, and ruler made of gold")</f>
        <v>Unidentified couple who in 1910 sent BG a gold box containing pencils, a penknife, and ruler made of gold</v>
      </c>
    </row>
    <row r="211">
      <c r="A211" s="96" t="str">
        <f>IFERROR(__xludf.DUMMYFUNCTION("""COMPUTED_VALUE"""),"00654")</f>
        <v>00654</v>
      </c>
      <c r="B211" s="94" t="str">
        <f>IFERROR(__xludf.DUMMYFUNCTION("""COMPUTED_VALUE"""),"Gasquet")</f>
        <v>Gasquet</v>
      </c>
      <c r="C211" s="94"/>
      <c r="D211" s="94"/>
      <c r="E211" s="95"/>
    </row>
    <row r="212">
      <c r="A212" s="96" t="str">
        <f>IFERROR(__xludf.DUMMYFUNCTION("""COMPUTED_VALUE"""),"00148")</f>
        <v>00148</v>
      </c>
      <c r="B212" s="94" t="str">
        <f>IFERROR(__xludf.DUMMYFUNCTION("""COMPUTED_VALUE"""),"Gates, John Warne")</f>
        <v>Gates, John Warne</v>
      </c>
      <c r="C212" s="94"/>
      <c r="D212" s="94" t="str">
        <f>IFERROR(__xludf.DUMMYFUNCTION("""COMPUTED_VALUE"""),"1855-1911")</f>
        <v>1855-1911</v>
      </c>
      <c r="E212" s="95" t="str">
        <f>IFERROR(__xludf.DUMMYFUNCTION("""COMPUTED_VALUE"""),"American industrialist whose companies were incorporated into the US Steel trust ")</f>
        <v>American industrialist whose companies were incorporated into the US Steel trust </v>
      </c>
    </row>
    <row r="213">
      <c r="A213" s="96" t="str">
        <f>IFERROR(__xludf.DUMMYFUNCTION("""COMPUTED_VALUE"""),"00149")</f>
        <v>00149</v>
      </c>
      <c r="B213" s="94" t="str">
        <f>IFERROR(__xludf.DUMMYFUNCTION("""COMPUTED_VALUE"""),"Gatti-Casazza, Frances Alda")</f>
        <v>Gatti-Casazza, Frances Alda</v>
      </c>
      <c r="C213" s="94"/>
      <c r="D213" s="94" t="str">
        <f>IFERROR(__xludf.DUMMYFUNCTION("""COMPUTED_VALUE"""),"1879-1952")</f>
        <v>1879-1952</v>
      </c>
      <c r="E213" s="95" t="str">
        <f>IFERROR(__xludf.DUMMYFUNCTION("""COMPUTED_VALUE"""),"Opera soprano and wife of Giulio Gatti-Casazza, director of the Metropolitan Operan")</f>
        <v>Opera soprano and wife of Giulio Gatti-Casazza, director of the Metropolitan Operan</v>
      </c>
    </row>
    <row r="214">
      <c r="A214" s="96" t="str">
        <f>IFERROR(__xludf.DUMMYFUNCTION("""COMPUTED_VALUE"""),"00591")</f>
        <v>00591</v>
      </c>
      <c r="B214" s="94" t="str">
        <f>IFERROR(__xludf.DUMMYFUNCTION("""COMPUTED_VALUE"""),"Gayley, James")</f>
        <v>Gayley, James</v>
      </c>
      <c r="C214" s="94"/>
      <c r="D214" s="94" t="str">
        <f>IFERROR(__xludf.DUMMYFUNCTION("""COMPUTED_VALUE"""),"1855–1920")</f>
        <v>1855–1920</v>
      </c>
      <c r="E214" s="95" t="str">
        <f>IFERROR(__xludf.DUMMYFUNCTION("""COMPUTED_VALUE"""),"An American chemist and director of Carnegie Steel")</f>
        <v>An American chemist and director of Carnegie Steel</v>
      </c>
    </row>
    <row r="215">
      <c r="A215" s="96" t="str">
        <f>IFERROR(__xludf.DUMMYFUNCTION("""COMPUTED_VALUE"""),"00150")</f>
        <v>00150</v>
      </c>
      <c r="B215" s="94" t="str">
        <f>IFERROR(__xludf.DUMMYFUNCTION("""COMPUTED_VALUE"""),"Gayley, Julia Thurston")</f>
        <v>Gayley, Julia Thurston</v>
      </c>
      <c r="C215" s="94"/>
      <c r="D215" s="94" t="str">
        <f>IFERROR(__xludf.DUMMYFUNCTION("""COMPUTED_VALUE"""),"1864-1937")</f>
        <v>1864-1937</v>
      </c>
      <c r="E215" s="95" t="str">
        <f>IFERROR(__xludf.DUMMYFUNCTION("""COMPUTED_VALUE"""),"American socialite who married and subsequently divorced James Gayley, an American chemist and director of Carnegie Steel")</f>
        <v>American socialite who married and subsequently divorced James Gayley, an American chemist and director of Carnegie Steel</v>
      </c>
    </row>
    <row r="216">
      <c r="A216" s="96" t="str">
        <f>IFERROR(__xludf.DUMMYFUNCTION("""COMPUTED_VALUE"""),"00513")</f>
        <v>00513</v>
      </c>
      <c r="B216" s="94" t="str">
        <f>IFERROR(__xludf.DUMMYFUNCTION("""COMPUTED_VALUE"""),"Gerald")</f>
        <v>Gerald</v>
      </c>
      <c r="C216" s="94"/>
      <c r="D216" s="94"/>
      <c r="E216" s="95" t="str">
        <f>IFERROR(__xludf.DUMMYFUNCTION("""COMPUTED_VALUE"""),"unidentified writer who whom BG met on her ship back to New York in the fall of 1910")</f>
        <v>unidentified writer who whom BG met on her ship back to New York in the fall of 1910</v>
      </c>
    </row>
    <row r="217">
      <c r="A217" s="96" t="str">
        <f>IFERROR(__xludf.DUMMYFUNCTION("""COMPUTED_VALUE"""),"00151")</f>
        <v>00151</v>
      </c>
      <c r="B217" s="94" t="str">
        <f>IFERROR(__xludf.DUMMYFUNCTION("""COMPUTED_VALUE"""),"Gilder, Helena de Kay")</f>
        <v>Gilder, Helena de Kay</v>
      </c>
      <c r="C217" s="94"/>
      <c r="D217" s="94" t="str">
        <f>IFERROR(__xludf.DUMMYFUNCTION("""COMPUTED_VALUE"""),"1846-1916")</f>
        <v>1846-1916</v>
      </c>
      <c r="E217" s="95" t="str">
        <f>IFERROR(__xludf.DUMMYFUNCTION("""COMPUTED_VALUE"""),"American illustrator and artist; wife of Richard Watson Gilder")</f>
        <v>American illustrator and artist; wife of Richard Watson Gilder</v>
      </c>
    </row>
    <row r="218">
      <c r="A218" s="96" t="str">
        <f>IFERROR(__xludf.DUMMYFUNCTION("""COMPUTED_VALUE"""),"00152")</f>
        <v>00152</v>
      </c>
      <c r="B218" s="94" t="str">
        <f>IFERROR(__xludf.DUMMYFUNCTION("""COMPUTED_VALUE"""),"Gilder, Richard Watson")</f>
        <v>Gilder, Richard Watson</v>
      </c>
      <c r="C218" s="94"/>
      <c r="D218" s="94" t="str">
        <f>IFERROR(__xludf.DUMMYFUNCTION("""COMPUTED_VALUE"""),"1844-1909")</f>
        <v>1844-1909</v>
      </c>
      <c r="E218" s="95" t="str">
        <f>IFERROR(__xludf.DUMMYFUNCTION("""COMPUTED_VALUE"""),"Editor-in-chief of the Century Monthly Magazine")</f>
        <v>Editor-in-chief of the Century Monthly Magazine</v>
      </c>
    </row>
    <row r="219">
      <c r="A219" s="96" t="str">
        <f>IFERROR(__xludf.DUMMYFUNCTION("""COMPUTED_VALUE"""),"00585")</f>
        <v>00585</v>
      </c>
      <c r="B219" s="94" t="str">
        <f>IFERROR(__xludf.DUMMYFUNCTION("""COMPUTED_VALUE"""),"Giliberts")</f>
        <v>Giliberts</v>
      </c>
      <c r="C219" s="94"/>
      <c r="D219" s="94"/>
      <c r="E219" s="95" t="str">
        <f>IFERROR(__xludf.DUMMYFUNCTION("""COMPUTED_VALUE"""),"Unidentifed couple")</f>
        <v>Unidentifed couple</v>
      </c>
    </row>
    <row r="220">
      <c r="A220" s="96" t="str">
        <f>IFERROR(__xludf.DUMMYFUNCTION("""COMPUTED_VALUE"""),"00153")</f>
        <v>00153</v>
      </c>
      <c r="B220" s="94" t="str">
        <f>IFERROR(__xludf.DUMMYFUNCTION("""COMPUTED_VALUE"""),"Gimpel, René")</f>
        <v>Gimpel, René</v>
      </c>
      <c r="C220" s="94"/>
      <c r="D220" s="94" t="str">
        <f>IFERROR(__xludf.DUMMYFUNCTION("""COMPUTED_VALUE"""),"1881-1945")</f>
        <v>1881-1945</v>
      </c>
      <c r="E220" s="95" t="str">
        <f>IFERROR(__xludf.DUMMYFUNCTION("""COMPUTED_VALUE"""),"Jewish Parisian art dealer who was active in French resistance efforts during World War II")</f>
        <v>Jewish Parisian art dealer who was active in French resistance efforts during World War II</v>
      </c>
    </row>
    <row r="221">
      <c r="A221" s="96" t="str">
        <f>IFERROR(__xludf.DUMMYFUNCTION("""COMPUTED_VALUE"""),"00154")</f>
        <v>00154</v>
      </c>
      <c r="B221" s="94" t="str">
        <f>IFERROR(__xludf.DUMMYFUNCTION("""COMPUTED_VALUE"""),"Girscom, Lloyd Carpenter")</f>
        <v>Girscom, Lloyd Carpenter</v>
      </c>
      <c r="C221" s="94"/>
      <c r="D221" s="94" t="str">
        <f>IFERROR(__xludf.DUMMYFUNCTION("""COMPUTED_VALUE"""),"1872-1959")</f>
        <v>1872-1959</v>
      </c>
      <c r="E221" s="95" t="str">
        <f>IFERROR(__xludf.DUMMYFUNCTION("""COMPUTED_VALUE"""),"American diplomat, lawyer, and publisher who served as Ambassador to Italy")</f>
        <v>American diplomat, lawyer, and publisher who served as Ambassador to Italy</v>
      </c>
    </row>
    <row r="222">
      <c r="A222" s="96" t="str">
        <f>IFERROR(__xludf.DUMMYFUNCTION("""COMPUTED_VALUE"""),"00640")</f>
        <v>00640</v>
      </c>
      <c r="B222" s="94" t="str">
        <f>IFERROR(__xludf.DUMMYFUNCTION("""COMPUTED_VALUE"""),"Gladys")</f>
        <v>Gladys</v>
      </c>
      <c r="C222" s="94"/>
      <c r="D222" s="94"/>
      <c r="E222" s="95"/>
    </row>
    <row r="223">
      <c r="A223" s="96" t="str">
        <f>IFERROR(__xludf.DUMMYFUNCTION("""COMPUTED_VALUE"""),"00155")</f>
        <v>00155</v>
      </c>
      <c r="B223" s="94" t="str">
        <f>IFERROR(__xludf.DUMMYFUNCTION("""COMPUTED_VALUE"""),"Glaenzer, Eugene")</f>
        <v>Glaenzer, Eugene</v>
      </c>
      <c r="C223" s="94"/>
      <c r="D223" s="94" t="str">
        <f>IFERROR(__xludf.DUMMYFUNCTION("""COMPUTED_VALUE"""),"1857-1923")</f>
        <v>1857-1923</v>
      </c>
      <c r="E223" s="95" t="str">
        <f>IFERROR(__xludf.DUMMYFUNCTION("""COMPUTED_VALUE"""),"Art dealer and manager of the New York branch of Jacques Seligmann &amp; Co., Inc.")</f>
        <v>Art dealer and manager of the New York branch of Jacques Seligmann &amp; Co., Inc.</v>
      </c>
    </row>
    <row r="224">
      <c r="A224" s="96" t="str">
        <f>IFERROR(__xludf.DUMMYFUNCTION("""COMPUTED_VALUE"""),"00568")</f>
        <v>00568</v>
      </c>
      <c r="B224" s="94" t="str">
        <f>IFERROR(__xludf.DUMMYFUNCTION("""COMPUTED_VALUE"""),"Goddard, Mrs.")</f>
        <v>Goddard, Mrs.</v>
      </c>
      <c r="C224" s="94"/>
      <c r="D224" s="94"/>
      <c r="E224" s="95" t="str">
        <f>IFERROR(__xludf.DUMMYFUNCTION("""COMPUTED_VALUE"""),"Mrs. Robert Hale Ives Goddard, née Rebekah Burnet Groesbeck?")</f>
        <v>Mrs. Robert Hale Ives Goddard, née Rebekah Burnet Groesbeck?</v>
      </c>
    </row>
    <row r="225">
      <c r="A225" s="96" t="str">
        <f>IFERROR(__xludf.DUMMYFUNCTION("""COMPUTED_VALUE"""),"00156")</f>
        <v>00156</v>
      </c>
      <c r="B225" s="94" t="str">
        <f>IFERROR(__xludf.DUMMYFUNCTION("""COMPUTED_VALUE"""),"Goldman, Henry")</f>
        <v>Goldman, Henry</v>
      </c>
      <c r="C225" s="94"/>
      <c r="D225" s="94" t="str">
        <f>IFERROR(__xludf.DUMMYFUNCTION("""COMPUTED_VALUE"""),"1856/7-1937")</f>
        <v>1856/7-1937</v>
      </c>
      <c r="E225" s="95" t="str">
        <f>IFERROR(__xludf.DUMMYFUNCTION("""COMPUTED_VALUE"""),"American banker, philanthropist and art collector, member of the Goldman-Sachs family")</f>
        <v>American banker, philanthropist and art collector, member of the Goldman-Sachs family</v>
      </c>
    </row>
    <row r="226">
      <c r="A226" s="96" t="str">
        <f>IFERROR(__xludf.DUMMYFUNCTION("""COMPUTED_VALUE"""),"00157")</f>
        <v>00157</v>
      </c>
      <c r="B226" s="94" t="str">
        <f>IFERROR(__xludf.DUMMYFUNCTION("""COMPUTED_VALUE"""),"Goldschmidt, Adolph")</f>
        <v>Goldschmidt, Adolph</v>
      </c>
      <c r="C226" s="94"/>
      <c r="D226" s="94" t="str">
        <f>IFERROR(__xludf.DUMMYFUNCTION("""COMPUTED_VALUE"""),"1963-1944")</f>
        <v>1963-1944</v>
      </c>
      <c r="E226" s="95" t="str">
        <f>IFERROR(__xludf.DUMMYFUNCTION("""COMPUTED_VALUE"""),"Jewish German art historian and sculpture specialist")</f>
        <v>Jewish German art historian and sculpture specialist</v>
      </c>
    </row>
    <row r="227">
      <c r="A227" s="96" t="str">
        <f>IFERROR(__xludf.DUMMYFUNCTION("""COMPUTED_VALUE"""),"00158")</f>
        <v>00158</v>
      </c>
      <c r="B227" s="94" t="str">
        <f>IFERROR(__xludf.DUMMYFUNCTION("""COMPUTED_VALUE"""),"Goloubeff, M. Victor")</f>
        <v>Goloubeff, M. Victor</v>
      </c>
      <c r="C227" s="94"/>
      <c r="D227" s="94" t="str">
        <f>IFERROR(__xludf.DUMMYFUNCTION("""COMPUTED_VALUE"""),"1878-1945")</f>
        <v>1878-1945</v>
      </c>
      <c r="E227" s="95" t="str">
        <f>IFERROR(__xludf.DUMMYFUNCTION("""COMPUTED_VALUE"""),"French art historian specializing in Indian art")</f>
        <v>French art historian specializing in Indian art</v>
      </c>
    </row>
    <row r="228">
      <c r="A228" s="96" t="str">
        <f>IFERROR(__xludf.DUMMYFUNCTION("""COMPUTED_VALUE"""),"00159")</f>
        <v>00159</v>
      </c>
      <c r="B228" s="94" t="str">
        <f>IFERROR(__xludf.DUMMYFUNCTION("""COMPUTED_VALUE"""),"Gorer, Edgar")</f>
        <v>Gorer, Edgar</v>
      </c>
      <c r="C228" s="94"/>
      <c r="D228" s="94" t="str">
        <f>IFERROR(__xludf.DUMMYFUNCTION("""COMPUTED_VALUE"""),"1872-1915")</f>
        <v>1872-1915</v>
      </c>
      <c r="E228" s="95" t="str">
        <f>IFERROR(__xludf.DUMMYFUNCTION("""COMPUTED_VALUE"""),"English dealer in Chinese art and rival of Duveen; died aboard the Lusitania when it sank")</f>
        <v>English dealer in Chinese art and rival of Duveen; died aboard the Lusitania when it sank</v>
      </c>
    </row>
    <row r="229">
      <c r="A229" s="96" t="str">
        <f>IFERROR(__xludf.DUMMYFUNCTION("""COMPUTED_VALUE"""),"00160")</f>
        <v>00160</v>
      </c>
      <c r="B229" s="94" t="str">
        <f>IFERROR(__xludf.DUMMYFUNCTION("""COMPUTED_VALUE"""),"Gould, Marjorie")</f>
        <v>Gould, Marjorie</v>
      </c>
      <c r="C229" s="94"/>
      <c r="D229" s="94" t="str">
        <f>IFERROR(__xludf.DUMMYFUNCTION("""COMPUTED_VALUE"""),"1890-1955")</f>
        <v>1890-1955</v>
      </c>
      <c r="E229" s="95" t="str">
        <f>IFERROR(__xludf.DUMMYFUNCTION("""COMPUTED_VALUE"""),"American socialite who married Anthony Drexel Jr., in 1910")</f>
        <v>American socialite who married Anthony Drexel Jr., in 1910</v>
      </c>
    </row>
    <row r="230">
      <c r="A230" s="96" t="str">
        <f>IFERROR(__xludf.DUMMYFUNCTION("""COMPUTED_VALUE"""),"00588")</f>
        <v>00588</v>
      </c>
      <c r="B230" s="94" t="str">
        <f>IFERROR(__xludf.DUMMYFUNCTION("""COMPUTED_VALUE"""),"Goulds")</f>
        <v>Goulds</v>
      </c>
      <c r="C230" s="94"/>
      <c r="D230" s="94"/>
      <c r="E230" s="95" t="str">
        <f>IFERROR(__xludf.DUMMYFUNCTION("""COMPUTED_VALUE"""),"Unidentified members of the Gould family")</f>
        <v>Unidentified members of the Gould family</v>
      </c>
    </row>
    <row r="231">
      <c r="A231" s="96" t="str">
        <f>IFERROR(__xludf.DUMMYFUNCTION("""COMPUTED_VALUE"""),"00635")</f>
        <v>00635</v>
      </c>
      <c r="B231" s="94" t="str">
        <f>IFERROR(__xludf.DUMMYFUNCTION("""COMPUTED_VALUE"""),"Grabar, Igor Emmanuilovich")</f>
        <v>Grabar, Igor Emmanuilovich</v>
      </c>
      <c r="C231" s="94" t="str">
        <f>IFERROR(__xludf.DUMMYFUNCTION("""COMPUTED_VALUE"""),"Grabar")</f>
        <v>Grabar</v>
      </c>
      <c r="D231" s="94" t="str">
        <f>IFERROR(__xludf.DUMMYFUNCTION("""COMPUTED_VALUE"""),"1871 - 1960 ")</f>
        <v>1871 - 1960 </v>
      </c>
      <c r="E231" s="95" t="str">
        <f>IFERROR(__xludf.DUMMYFUNCTION("""COMPUTED_VALUE"""),"Russian post-impressionist painter, publisher, restorer and historian of art; a friend of BG ")</f>
        <v>Russian post-impressionist painter, publisher, restorer and historian of art; a friend of BG </v>
      </c>
    </row>
    <row r="232">
      <c r="A232" s="96" t="str">
        <f>IFERROR(__xludf.DUMMYFUNCTION("""COMPUTED_VALUE"""),"00161")</f>
        <v>00161</v>
      </c>
      <c r="B232" s="94" t="str">
        <f>IFERROR(__xludf.DUMMYFUNCTION("""COMPUTED_VALUE"""),"Grannis, Ruth")</f>
        <v>Grannis, Ruth</v>
      </c>
      <c r="C232" s="94"/>
      <c r="D232" s="94" t="str">
        <f>IFERROR(__xludf.DUMMYFUNCTION("""COMPUTED_VALUE"""),"1872-1954")</f>
        <v>1872-1954</v>
      </c>
      <c r="E232" s="95" t="str">
        <f>IFERROR(__xludf.DUMMYFUNCTION("""COMPUTED_VALUE"""),"American bibliophile and Librarian of the Grolier Club")</f>
        <v>American bibliophile and Librarian of the Grolier Club</v>
      </c>
    </row>
    <row r="233">
      <c r="A233" s="96" t="str">
        <f>IFERROR(__xludf.DUMMYFUNCTION("""COMPUTED_VALUE"""),"00659")</f>
        <v>00659</v>
      </c>
      <c r="B233" s="94" t="str">
        <f>IFERROR(__xludf.DUMMYFUNCTION("""COMPUTED_VALUE"""),"Grant, Duncan James Corrowr ")</f>
        <v>Grant, Duncan James Corrowr </v>
      </c>
      <c r="C233" s="94"/>
      <c r="D233" s="94" t="str">
        <f>IFERROR(__xludf.DUMMYFUNCTION("""COMPUTED_VALUE"""),"1885 - 1975")</f>
        <v>1885 - 1975</v>
      </c>
      <c r="E233" s="95" t="str">
        <f>IFERROR(__xludf.DUMMYFUNCTION("""COMPUTED_VALUE"""),"British painter and textile, theater set, and costume designer; member of Bloomsbury Group")</f>
        <v>British painter and textile, theater set, and costume designer; member of Bloomsbury Group</v>
      </c>
    </row>
    <row r="234">
      <c r="A234" s="96" t="str">
        <f>IFERROR(__xludf.DUMMYFUNCTION("""COMPUTED_VALUE"""),"00162")</f>
        <v>00162</v>
      </c>
      <c r="B234" s="94" t="str">
        <f>IFERROR(__xludf.DUMMYFUNCTION("""COMPUTED_VALUE"""),"Grant, Ethel")</f>
        <v>Grant, Ethel</v>
      </c>
      <c r="C234" s="94" t="str">
        <f>IFERROR(__xludf.DUMMYFUNCTION("""COMPUTED_VALUE"""),"White Ethel")</f>
        <v>White Ethel</v>
      </c>
      <c r="D234" s="94" t="str">
        <f>IFERROR(__xludf.DUMMYFUNCTION("""COMPUTED_VALUE"""),"1876/78-1940")</f>
        <v>1876/78-1940</v>
      </c>
      <c r="E234" s="95" t="str">
        <f>IFERROR(__xludf.DUMMYFUNCTION("""COMPUTED_VALUE"""),"As Ethel Watts Mumford, American playright, poet, and novelist")</f>
        <v>As Ethel Watts Mumford, American playright, poet, and novelist</v>
      </c>
    </row>
    <row r="235">
      <c r="A235" s="96" t="str">
        <f>IFERROR(__xludf.DUMMYFUNCTION("""COMPUTED_VALUE"""),"00163")</f>
        <v>00163</v>
      </c>
      <c r="B235" s="94" t="str">
        <f>IFERROR(__xludf.DUMMYFUNCTION("""COMPUTED_VALUE"""),"Grant, Peter Geddes")</f>
        <v>Grant, Peter Geddes</v>
      </c>
      <c r="C235" s="94" t="str">
        <f>IFERROR(__xludf.DUMMYFUNCTION("""COMPUTED_VALUE"""),"PG")</f>
        <v>PG</v>
      </c>
      <c r="D235" s="94"/>
      <c r="E235" s="95" t="str">
        <f>IFERROR(__xludf.DUMMYFUNCTION("""COMPUTED_VALUE"""),"Husband of Ethel Grant")</f>
        <v>Husband of Ethel Grant</v>
      </c>
    </row>
    <row r="236">
      <c r="A236" s="96" t="str">
        <f>IFERROR(__xludf.DUMMYFUNCTION("""COMPUTED_VALUE"""),"00164")</f>
        <v>00164</v>
      </c>
      <c r="B236" s="94" t="str">
        <f>IFERROR(__xludf.DUMMYFUNCTION("""COMPUTED_VALUE"""),"Granville-Barker, Harley")</f>
        <v>Granville-Barker, Harley</v>
      </c>
      <c r="C236" s="94"/>
      <c r="D236" s="94" t="str">
        <f>IFERROR(__xludf.DUMMYFUNCTION("""COMPUTED_VALUE"""),"1877-1946")</f>
        <v>1877-1946</v>
      </c>
      <c r="E236" s="95" t="str">
        <f>IFERROR(__xludf.DUMMYFUNCTION("""COMPUTED_VALUE"""),"English actor, director, playwright, and critic; directed three productions of Shakespeare in 1910s which were crticized and celebrated for their modern approach")</f>
        <v>English actor, director, playwright, and critic; directed three productions of Shakespeare in 1910s which were crticized and celebrated for their modern approach</v>
      </c>
    </row>
    <row r="237">
      <c r="A237" s="96" t="str">
        <f>IFERROR(__xludf.DUMMYFUNCTION("""COMPUTED_VALUE"""),"00165")</f>
        <v>00165</v>
      </c>
      <c r="B237" s="94" t="str">
        <f>IFERROR(__xludf.DUMMYFUNCTION("""COMPUTED_VALUE"""),"Greene, Genevieve Ida Van Vliet Fleet")</f>
        <v>Greene, Genevieve Ida Van Vliet Fleet</v>
      </c>
      <c r="C237" s="94"/>
      <c r="D237" s="94" t="str">
        <f>IFERROR(__xludf.DUMMYFUNCTION("""COMPUTED_VALUE"""),"1849-1941")</f>
        <v>1849-1941</v>
      </c>
      <c r="E237" s="95" t="str">
        <f>IFERROR(__xludf.DUMMYFUNCTION("""COMPUTED_VALUE"""),"BG's mother")</f>
        <v>BG's mother</v>
      </c>
    </row>
    <row r="238">
      <c r="A238" s="96" t="str">
        <f>IFERROR(__xludf.DUMMYFUNCTION("""COMPUTED_VALUE"""),"00166")</f>
        <v>00166</v>
      </c>
      <c r="B238" s="94" t="str">
        <f>IFERROR(__xludf.DUMMYFUNCTION("""COMPUTED_VALUE"""),"Greene, Russell da Costa")</f>
        <v>Greene, Russell da Costa</v>
      </c>
      <c r="C238" s="94"/>
      <c r="D238" s="94" t="str">
        <f>IFERROR(__xludf.DUMMYFUNCTION("""COMPUTED_VALUE"""),"1878-1962")</f>
        <v>1878-1962</v>
      </c>
      <c r="E238" s="95" t="str">
        <f>IFERROR(__xludf.DUMMYFUNCTION("""COMPUTED_VALUE"""),"BG's brother, a successful engineer who passed as white")</f>
        <v>BG's brother, a successful engineer who passed as white</v>
      </c>
    </row>
    <row r="239">
      <c r="A239" s="96" t="str">
        <f>IFERROR(__xludf.DUMMYFUNCTION("""COMPUTED_VALUE"""),"00167")</f>
        <v>00167</v>
      </c>
      <c r="B239" s="94" t="str">
        <f>IFERROR(__xludf.DUMMYFUNCTION("""COMPUTED_VALUE"""),"Greener, Richard T.")</f>
        <v>Greener, Richard T.</v>
      </c>
      <c r="C239" s="94"/>
      <c r="D239" s="94" t="str">
        <f>IFERROR(__xludf.DUMMYFUNCTION("""COMPUTED_VALUE"""),"1844-1922")</f>
        <v>1844-1922</v>
      </c>
      <c r="E239" s="95" t="str">
        <f>IFERROR(__xludf.DUMMYFUNCTION("""COMPUTED_VALUE"""),"BG's estranged father and first African-American man to graduate from Harvard College; lawyer, educator, and diplomat")</f>
        <v>BG's estranged father and first African-American man to graduate from Harvard College; lawyer, educator, and diplomat</v>
      </c>
    </row>
    <row r="240">
      <c r="A240" s="96" t="str">
        <f>IFERROR(__xludf.DUMMYFUNCTION("""COMPUTED_VALUE"""),"00168")</f>
        <v>00168</v>
      </c>
      <c r="B240" s="94" t="str">
        <f>IFERROR(__xludf.DUMMYFUNCTION("""COMPUTED_VALUE"""),"Greenslet, Ferris")</f>
        <v>Greenslet, Ferris</v>
      </c>
      <c r="C240" s="94"/>
      <c r="D240" s="94" t="str">
        <f>IFERROR(__xludf.DUMMYFUNCTION("""COMPUTED_VALUE"""),"1875-1959")</f>
        <v>1875-1959</v>
      </c>
      <c r="E240" s="95" t="str">
        <f>IFERROR(__xludf.DUMMYFUNCTION("""COMPUTED_VALUE"""),"American writer and editor at the Atlantic Monthly (1902-1907) and Houghton Mifflin (1910-1952)")</f>
        <v>American writer and editor at the Atlantic Monthly (1902-1907) and Houghton Mifflin (1910-1952)</v>
      </c>
    </row>
    <row r="241">
      <c r="A241" s="96" t="str">
        <f>IFERROR(__xludf.DUMMYFUNCTION("""COMPUTED_VALUE"""),"00169")</f>
        <v>00169</v>
      </c>
      <c r="B241" s="94" t="str">
        <f>IFERROR(__xludf.DUMMYFUNCTION("""COMPUTED_VALUE"""),"Grétor, William")</f>
        <v>Grétor, William</v>
      </c>
      <c r="C241" s="94"/>
      <c r="D241" s="94" t="str">
        <f>IFERROR(__xludf.DUMMYFUNCTION("""COMPUTED_VALUE"""),"1868-1923")</f>
        <v>1868-1923</v>
      </c>
      <c r="E241" s="95" t="str">
        <f>IFERROR(__xludf.DUMMYFUNCTION("""COMPUTED_VALUE"""),"German curator at the Kaiser-Friedrich Museum in Berlin")</f>
        <v>German curator at the Kaiser-Friedrich Museum in Berlin</v>
      </c>
    </row>
    <row r="242">
      <c r="A242" s="96" t="str">
        <f>IFERROR(__xludf.DUMMYFUNCTION("""COMPUTED_VALUE"""),"00170")</f>
        <v>00170</v>
      </c>
      <c r="B242" s="94" t="str">
        <f>IFERROR(__xludf.DUMMYFUNCTION("""COMPUTED_VALUE"""),"Grey, Albert Henry George")</f>
        <v>Grey, Albert Henry George</v>
      </c>
      <c r="C242" s="94"/>
      <c r="D242" s="94" t="str">
        <f>IFERROR(__xludf.DUMMYFUNCTION("""COMPUTED_VALUE"""),"1851-1917")</f>
        <v>1851-1917</v>
      </c>
      <c r="E242" s="95" t="str">
        <f>IFERROR(__xludf.DUMMYFUNCTION("""COMPUTED_VALUE"""),"British nobleman and politician who served as Governor General of Canada.")</f>
        <v>British nobleman and politician who served as Governor General of Canada.</v>
      </c>
    </row>
    <row r="243">
      <c r="A243" s="96" t="str">
        <f>IFERROR(__xludf.DUMMYFUNCTION("""COMPUTED_VALUE"""),"00171")</f>
        <v>00171</v>
      </c>
      <c r="B243" s="94" t="str">
        <f>IFERROR(__xludf.DUMMYFUNCTION("""COMPUTED_VALUE"""),"Grigsby, Emilie")</f>
        <v>Grigsby, Emilie</v>
      </c>
      <c r="C243" s="94"/>
      <c r="D243" s="94" t="str">
        <f>IFERROR(__xludf.DUMMYFUNCTION("""COMPUTED_VALUE"""),"d. 1964")</f>
        <v>d. 1964</v>
      </c>
      <c r="E243" s="95" t="str">
        <f>IFERROR(__xludf.DUMMYFUNCTION("""COMPUTED_VALUE"""),"American socialite who moved permanently to England in the 1910s; had many assignations with wealthy men, including Charles T. Yerkes, the Chicago industrialist")</f>
        <v>American socialite who moved permanently to England in the 1910s; had many assignations with wealthy men, including Charles T. Yerkes, the Chicago industrialist</v>
      </c>
    </row>
    <row r="244">
      <c r="A244" s="96" t="str">
        <f>IFERROR(__xludf.DUMMYFUNCTION("""COMPUTED_VALUE"""),"00172")</f>
        <v>00172</v>
      </c>
      <c r="B244" s="94" t="str">
        <f>IFERROR(__xludf.DUMMYFUNCTION("""COMPUTED_VALUE"""),"Grimké, Francis J.")</f>
        <v>Grimké, Francis J.</v>
      </c>
      <c r="C244" s="94"/>
      <c r="D244" s="94" t="str">
        <f>IFERROR(__xludf.DUMMYFUNCTION("""COMPUTED_VALUE"""),"1850-1937")</f>
        <v>1850-1937</v>
      </c>
      <c r="E244" s="95" t="str">
        <f>IFERROR(__xludf.DUMMYFUNCTION("""COMPUTED_VALUE"""),"American Presbyterian minister in Washington D.C., involved in founding NAACP in 1909")</f>
        <v>American Presbyterian minister in Washington D.C., involved in founding NAACP in 1909</v>
      </c>
    </row>
    <row r="245">
      <c r="A245" s="96" t="str">
        <f>IFERROR(__xludf.DUMMYFUNCTION("""COMPUTED_VALUE"""),"00173")</f>
        <v>00173</v>
      </c>
      <c r="B245" s="94" t="str">
        <f>IFERROR(__xludf.DUMMYFUNCTION("""COMPUTED_VALUE"""),"Griscom, Elizabeth Duer")</f>
        <v>Griscom, Elizabeth Duer</v>
      </c>
      <c r="C245" s="94" t="str">
        <f>IFERROR(__xludf.DUMMYFUNCTION("""COMPUTED_VALUE"""),"Mrs. Lloyd Griscom")</f>
        <v>Mrs. Lloyd Griscom</v>
      </c>
      <c r="D245" s="94" t="str">
        <f>IFERROR(__xludf.DUMMYFUNCTION("""COMPUTED_VALUE"""),"1877-1914")</f>
        <v>1877-1914</v>
      </c>
      <c r="E245" s="95" t="str">
        <f>IFERROR(__xludf.DUMMYFUNCTION("""COMPUTED_VALUE"""),"Wife of Lloyd C. Griscom and American socialite")</f>
        <v>Wife of Lloyd C. Griscom and American socialite</v>
      </c>
    </row>
    <row r="246">
      <c r="A246" s="96" t="str">
        <f>IFERROR(__xludf.DUMMYFUNCTION("""COMPUTED_VALUE"""),"00174")</f>
        <v>00174</v>
      </c>
      <c r="B246" s="94" t="str">
        <f>IFERROR(__xludf.DUMMYFUNCTION("""COMPUTED_VALUE"""),"Gruel, Léon")</f>
        <v>Gruel, Léon</v>
      </c>
      <c r="C246" s="94"/>
      <c r="D246" s="94" t="str">
        <f>IFERROR(__xludf.DUMMYFUNCTION("""COMPUTED_VALUE"""),"1841-1923")</f>
        <v>1841-1923</v>
      </c>
      <c r="E246" s="95" t="str">
        <f>IFERROR(__xludf.DUMMYFUNCTION("""COMPUTED_VALUE"""),"French book-binder and dealer")</f>
        <v>French book-binder and dealer</v>
      </c>
    </row>
    <row r="247">
      <c r="A247" s="96" t="str">
        <f>IFERROR(__xludf.DUMMYFUNCTION("""COMPUTED_VALUE"""),"00175")</f>
        <v>00175</v>
      </c>
      <c r="B247" s="94" t="str">
        <f>IFERROR(__xludf.DUMMYFUNCTION("""COMPUTED_VALUE"""),"Guérin, Jules")</f>
        <v>Guérin, Jules</v>
      </c>
      <c r="C247" s="94"/>
      <c r="D247" s="94" t="str">
        <f>IFERROR(__xludf.DUMMYFUNCTION("""COMPUTED_VALUE"""),"1866-1946")</f>
        <v>1866-1946</v>
      </c>
      <c r="E247" s="95" t="str">
        <f>IFERROR(__xludf.DUMMYFUNCTION("""COMPUTED_VALUE"""),"American painter, muralist, and illustrator")</f>
        <v>American painter, muralist, and illustrator</v>
      </c>
    </row>
    <row r="248">
      <c r="A248" s="96" t="str">
        <f>IFERROR(__xludf.DUMMYFUNCTION("""COMPUTED_VALUE"""),"00176")</f>
        <v>00176</v>
      </c>
      <c r="B248" s="94" t="str">
        <f>IFERROR(__xludf.DUMMYFUNCTION("""COMPUTED_VALUE"""),"Guppy, Henry")</f>
        <v>Guppy, Henry</v>
      </c>
      <c r="C248" s="94"/>
      <c r="D248" s="94" t="str">
        <f>IFERROR(__xludf.DUMMYFUNCTION("""COMPUTED_VALUE"""),"1861-1948")</f>
        <v>1861-1948</v>
      </c>
      <c r="E248" s="95" t="str">
        <f>IFERROR(__xludf.DUMMYFUNCTION("""COMPUTED_VALUE"""),"Librarian at John Rylands Library, Manchester, UK")</f>
        <v>Librarian at John Rylands Library, Manchester, UK</v>
      </c>
    </row>
    <row r="249">
      <c r="A249" s="96" t="str">
        <f>IFERROR(__xludf.DUMMYFUNCTION("""COMPUTED_VALUE"""),"00177")</f>
        <v>00177</v>
      </c>
      <c r="B249" s="94" t="str">
        <f>IFERROR(__xludf.DUMMYFUNCTION("""COMPUTED_VALUE"""),"Haggin, James Ben Ali")</f>
        <v>Haggin, James Ben Ali</v>
      </c>
      <c r="C249" s="94"/>
      <c r="D249" s="94" t="str">
        <f>IFERROR(__xludf.DUMMYFUNCTION("""COMPUTED_VALUE"""),"1822-1914")</f>
        <v>1822-1914</v>
      </c>
      <c r="E249" s="95" t="str">
        <f>IFERROR(__xludf.DUMMYFUNCTION("""COMPUTED_VALUE"""),"American attorney, art collector, and thoroughbred horse breeder")</f>
        <v>American attorney, art collector, and thoroughbred horse breeder</v>
      </c>
    </row>
    <row r="250">
      <c r="A250" s="96" t="str">
        <f>IFERROR(__xludf.DUMMYFUNCTION("""COMPUTED_VALUE"""),"00178")</f>
        <v>00178</v>
      </c>
      <c r="B250" s="94" t="str">
        <f>IFERROR(__xludf.DUMMYFUNCTION("""COMPUTED_VALUE"""),"Haight, Anne Lyon")</f>
        <v>Haight, Anne Lyon</v>
      </c>
      <c r="C250" s="94"/>
      <c r="D250" s="94" t="str">
        <f>IFERROR(__xludf.DUMMYFUNCTION("""COMPUTED_VALUE"""),"1895-1977")</f>
        <v>1895-1977</v>
      </c>
      <c r="E250" s="95" t="str">
        <f>IFERROR(__xludf.DUMMYFUNCTION("""COMPUTED_VALUE"""),"American book collector and President of the Hroswitha Club")</f>
        <v>American book collector and President of the Hroswitha Club</v>
      </c>
    </row>
    <row r="251">
      <c r="A251" s="96" t="str">
        <f>IFERROR(__xludf.DUMMYFUNCTION("""COMPUTED_VALUE"""),"00179")</f>
        <v>00179</v>
      </c>
      <c r="B251" s="94" t="str">
        <f>IFERROR(__xludf.DUMMYFUNCTION("""COMPUTED_VALUE"""),"Halsey, Frederic R.")</f>
        <v>Halsey, Frederic R.</v>
      </c>
      <c r="C251" s="94" t="str">
        <f>IFERROR(__xludf.DUMMYFUNCTION("""COMPUTED_VALUE"""),"Fred")</f>
        <v>Fred</v>
      </c>
      <c r="D251" s="94" t="str">
        <f>IFERROR(__xludf.DUMMYFUNCTION("""COMPUTED_VALUE"""),"1847-1918")</f>
        <v>1847-1918</v>
      </c>
      <c r="E251" s="95" t="str">
        <f>IFERROR(__xludf.DUMMYFUNCTION("""COMPUTED_VALUE"""),"American rare book and prints collector whose library of predominantly English and American literature was sold to Henry E. Huntington")</f>
        <v>American rare book and prints collector whose library of predominantly English and American literature was sold to Henry E. Huntington</v>
      </c>
    </row>
    <row r="252">
      <c r="A252" s="96" t="str">
        <f>IFERROR(__xludf.DUMMYFUNCTION("""COMPUTED_VALUE"""),"00180")</f>
        <v>00180</v>
      </c>
      <c r="B252" s="94" t="str">
        <f>IFERROR(__xludf.DUMMYFUNCTION("""COMPUTED_VALUE"""),"Hamilton, Carl W. ")</f>
        <v>Hamilton, Carl W. </v>
      </c>
      <c r="C252" s="94"/>
      <c r="D252" s="94" t="str">
        <f>IFERROR(__xludf.DUMMYFUNCTION("""COMPUTED_VALUE"""),"1886-1967")</f>
        <v>1886-1967</v>
      </c>
      <c r="E252" s="95" t="str">
        <f>IFERROR(__xludf.DUMMYFUNCTION("""COMPUTED_VALUE"""),"American collector of Italian Renaissance painting")</f>
        <v>American collector of Italian Renaissance painting</v>
      </c>
    </row>
    <row r="253">
      <c r="A253" s="96" t="str">
        <f>IFERROR(__xludf.DUMMYFUNCTION("""COMPUTED_VALUE"""),"00181")</f>
        <v>00181</v>
      </c>
      <c r="B253" s="94" t="str">
        <f>IFERROR(__xludf.DUMMYFUNCTION("""COMPUTED_VALUE"""),"Hamilton, Helen Morgan")</f>
        <v>Hamilton, Helen Morgan</v>
      </c>
      <c r="C253" s="94"/>
      <c r="D253" s="94" t="str">
        <f>IFERROR(__xludf.DUMMYFUNCTION("""COMPUTED_VALUE"""),"1896-1985")</f>
        <v>1896-1985</v>
      </c>
      <c r="E253" s="95" t="str">
        <f>IFERROR(__xludf.DUMMYFUNCTION("""COMPUTED_VALUE"""),"Daughter of Juliet Morgan Hamilton")</f>
        <v>Daughter of Juliet Morgan Hamilton</v>
      </c>
    </row>
    <row r="254">
      <c r="A254" s="96" t="str">
        <f>IFERROR(__xludf.DUMMYFUNCTION("""COMPUTED_VALUE"""),"00182")</f>
        <v>00182</v>
      </c>
      <c r="B254" s="94" t="str">
        <f>IFERROR(__xludf.DUMMYFUNCTION("""COMPUTED_VALUE"""),"Hamilton, Juliet Morgan")</f>
        <v>Hamilton, Juliet Morgan</v>
      </c>
      <c r="C254" s="94"/>
      <c r="D254" s="94" t="str">
        <f>IFERROR(__xludf.DUMMYFUNCTION("""COMPUTED_VALUE"""),"1870-1952")</f>
        <v>1870-1952</v>
      </c>
      <c r="E254" s="95" t="str">
        <f>IFERROR(__xludf.DUMMYFUNCTION("""COMPUTED_VALUE"""),"Second daughter of J.P. Morgan, married William Pierson Hamilton in 1894")</f>
        <v>Second daughter of J.P. Morgan, married William Pierson Hamilton in 1894</v>
      </c>
    </row>
    <row r="255">
      <c r="A255" s="96" t="str">
        <f>IFERROR(__xludf.DUMMYFUNCTION("""COMPUTED_VALUE"""),"00183")</f>
        <v>00183</v>
      </c>
      <c r="B255" s="94" t="str">
        <f>IFERROR(__xludf.DUMMYFUNCTION("""COMPUTED_VALUE"""),"Hamilton, William Pierson")</f>
        <v>Hamilton, William Pierson</v>
      </c>
      <c r="C255" s="94"/>
      <c r="D255" s="94" t="str">
        <f>IFERROR(__xludf.DUMMYFUNCTION("""COMPUTED_VALUE"""),"1869-1950")</f>
        <v>1869-1950</v>
      </c>
      <c r="E255" s="95" t="str">
        <f>IFERROR(__xludf.DUMMYFUNCTION("""COMPUTED_VALUE"""),"Husband of Juliet Morgan Hamilton")</f>
        <v>Husband of Juliet Morgan Hamilton</v>
      </c>
    </row>
    <row r="256">
      <c r="A256" s="96" t="str">
        <f>IFERROR(__xludf.DUMMYFUNCTION("""COMPUTED_VALUE"""),"00214")</f>
        <v>00214</v>
      </c>
      <c r="B256" s="94" t="str">
        <f>IFERROR(__xludf.DUMMYFUNCTION("""COMPUTED_VALUE"""),"Hapgood, Hutchins")</f>
        <v>Hapgood, Hutchins</v>
      </c>
      <c r="C256" s="94"/>
      <c r="D256" s="94" t="str">
        <f>IFERROR(__xludf.DUMMYFUNCTION("""COMPUTED_VALUE"""),"1869-1944")</f>
        <v>1869-1944</v>
      </c>
      <c r="E256" s="95" t="str">
        <f>IFERROR(__xludf.DUMMYFUNCTION("""COMPUTED_VALUE"""),"American writer and poet, friend of BB")</f>
        <v>American writer and poet, friend of BB</v>
      </c>
    </row>
    <row r="257">
      <c r="A257" s="96" t="str">
        <f>IFERROR(__xludf.DUMMYFUNCTION("""COMPUTED_VALUE"""),"00647")</f>
        <v>00647</v>
      </c>
      <c r="B257" s="94" t="str">
        <f>IFERROR(__xludf.DUMMYFUNCTION("""COMPUTED_VALUE"""),"Hapgood, Norman")</f>
        <v>Hapgood, Norman</v>
      </c>
      <c r="C257" s="94"/>
      <c r="D257" s="94" t="str">
        <f>IFERROR(__xludf.DUMMYFUNCTION("""COMPUTED_VALUE"""),"1868 - 1937")</f>
        <v>1868 - 1937</v>
      </c>
      <c r="E257" s="95" t="str">
        <f>IFERROR(__xludf.DUMMYFUNCTION("""COMPUTED_VALUE"""),"American minister to Denmark; American writer, journalist, editor, and critic")</f>
        <v>American minister to Denmark; American writer, journalist, editor, and critic</v>
      </c>
    </row>
    <row r="258">
      <c r="A258" s="96" t="str">
        <f>IFERROR(__xludf.DUMMYFUNCTION("""COMPUTED_VALUE"""),"00529")</f>
        <v>00529</v>
      </c>
      <c r="B258" s="94" t="str">
        <f>IFERROR(__xludf.DUMMYFUNCTION("""COMPUTED_VALUE"""),"Harcourt-Smith, Alice Edith")</f>
        <v>Harcourt-Smith, Alice Edith</v>
      </c>
      <c r="C258" s="94"/>
      <c r="D258" s="94" t="str">
        <f>IFERROR(__xludf.DUMMYFUNCTION("""COMPUTED_VALUE"""),"1864–???")</f>
        <v>1864–???</v>
      </c>
      <c r="E258" s="95" t="str">
        <f>IFERROR(__xludf.DUMMYFUNCTION("""COMPUTED_VALUE"""),"wife of Sir Cecil Harcourt-Smith")</f>
        <v>wife of Sir Cecil Harcourt-Smith</v>
      </c>
    </row>
    <row r="259">
      <c r="A259" s="96" t="str">
        <f>IFERROR(__xludf.DUMMYFUNCTION("""COMPUTED_VALUE"""),"00609")</f>
        <v>00609</v>
      </c>
      <c r="B259" s="94" t="str">
        <f>IFERROR(__xludf.DUMMYFUNCTION("""COMPUTED_VALUE"""),"Harcourt-Smith, Sir Cecil")</f>
        <v>Harcourt-Smith, Sir Cecil</v>
      </c>
      <c r="C259" s="94"/>
      <c r="D259" s="94" t="str">
        <f>IFERROR(__xludf.DUMMYFUNCTION("""COMPUTED_VALUE"""),"1859–1944")</f>
        <v>1859–1944</v>
      </c>
      <c r="E259" s="95" t="str">
        <f>IFERROR(__xludf.DUMMYFUNCTION("""COMPUTED_VALUE"""),"British archaeologist and Director of the Victoria &amp; Albert Museum")</f>
        <v>British archaeologist and Director of the Victoria &amp; Albert Museum</v>
      </c>
    </row>
    <row r="260">
      <c r="A260" s="96" t="str">
        <f>IFERROR(__xludf.DUMMYFUNCTION("""COMPUTED_VALUE"""),"00184")</f>
        <v>00184</v>
      </c>
      <c r="B260" s="94" t="str">
        <f>IFERROR(__xludf.DUMMYFUNCTION("""COMPUTED_VALUE"""),"Harding, Warren G.")</f>
        <v>Harding, Warren G.</v>
      </c>
      <c r="C260" s="94"/>
      <c r="D260" s="94" t="str">
        <f>IFERROR(__xludf.DUMMYFUNCTION("""COMPUTED_VALUE"""),"1865-1923")</f>
        <v>1865-1923</v>
      </c>
      <c r="E260" s="95" t="str">
        <f>IFERROR(__xludf.DUMMYFUNCTION("""COMPUTED_VALUE"""),"Twenty-ninth President of the United States (1921-1923)")</f>
        <v>Twenty-ninth President of the United States (1921-1923)</v>
      </c>
    </row>
    <row r="261">
      <c r="A261" s="96" t="str">
        <f>IFERROR(__xludf.DUMMYFUNCTION("""COMPUTED_VALUE"""),"00557")</f>
        <v>00557</v>
      </c>
      <c r="B261" s="94" t="str">
        <f>IFERROR(__xludf.DUMMYFUNCTION("""COMPUTED_VALUE"""),"Harmon, Clifford B.")</f>
        <v>Harmon, Clifford B.</v>
      </c>
      <c r="C261" s="94"/>
      <c r="D261" s="94" t="str">
        <f>IFERROR(__xludf.DUMMYFUNCTION("""COMPUTED_VALUE"""),"1866-1945")</f>
        <v>1866-1945</v>
      </c>
      <c r="E261" s="95" t="str">
        <f>IFERROR(__xludf.DUMMYFUNCTION("""COMPUTED_VALUE"""),"American aviator and estate developer; founding partner of Wood, Harmon &amp; Co.")</f>
        <v>American aviator and estate developer; founding partner of Wood, Harmon &amp; Co.</v>
      </c>
    </row>
    <row r="262">
      <c r="A262" s="96" t="str">
        <f>IFERROR(__xludf.DUMMYFUNCTION("""COMPUTED_VALUE"""),"00185")</f>
        <v>00185</v>
      </c>
      <c r="B262" s="94" t="str">
        <f>IFERROR(__xludf.DUMMYFUNCTION("""COMPUTED_VALUE"""),"Harriman, Carol Averell")</f>
        <v>Harriman, Carol Averell</v>
      </c>
      <c r="C262" s="94"/>
      <c r="D262" s="94" t="str">
        <f>IFERROR(__xludf.DUMMYFUNCTION("""COMPUTED_VALUE"""),"1889-1948")</f>
        <v>1889-1948</v>
      </c>
      <c r="E262" s="95" t="str">
        <f>IFERROR(__xludf.DUMMYFUNCTION("""COMPUTED_VALUE"""),"Daughter of Edward Harriman and friend of Carol Morgan Hamilton")</f>
        <v>Daughter of Edward Harriman and friend of Carol Morgan Hamilton</v>
      </c>
    </row>
    <row r="263">
      <c r="A263" s="96" t="str">
        <f>IFERROR(__xludf.DUMMYFUNCTION("""COMPUTED_VALUE"""),"00186")</f>
        <v>00186</v>
      </c>
      <c r="B263" s="94" t="str">
        <f>IFERROR(__xludf.DUMMYFUNCTION("""COMPUTED_VALUE"""),"Harriman, Edward H.")</f>
        <v>Harriman, Edward H.</v>
      </c>
      <c r="C263" s="94"/>
      <c r="D263" s="94" t="str">
        <f>IFERROR(__xludf.DUMMYFUNCTION("""COMPUTED_VALUE"""),"1848-1909")</f>
        <v>1848-1909</v>
      </c>
      <c r="E263" s="95" t="str">
        <f>IFERROR(__xludf.DUMMYFUNCTION("""COMPUTED_VALUE"""),"American railroad executive")</f>
        <v>American railroad executive</v>
      </c>
    </row>
    <row r="264">
      <c r="A264" s="96" t="str">
        <f>IFERROR(__xludf.DUMMYFUNCTION("""COMPUTED_VALUE"""),"00187")</f>
        <v>00187</v>
      </c>
      <c r="B264" s="94" t="str">
        <f>IFERROR(__xludf.DUMMYFUNCTION("""COMPUTED_VALUE"""),"Harriman, Florence Jaffray")</f>
        <v>Harriman, Florence Jaffray</v>
      </c>
      <c r="C264" s="94" t="str">
        <f>IFERROR(__xludf.DUMMYFUNCTION("""COMPUTED_VALUE"""),"Mrs. Bordy Harriman")</f>
        <v>Mrs. Bordy Harriman</v>
      </c>
      <c r="D264" s="94" t="str">
        <f>IFERROR(__xludf.DUMMYFUNCTION("""COMPUTED_VALUE"""),"1870-1967")</f>
        <v>1870-1967</v>
      </c>
      <c r="E264" s="95" t="str">
        <f>IFERROR(__xludf.DUMMYFUNCTION("""COMPUTED_VALUE"""),"American socialite, suffragist, and reformer; wife of J. Borden Harriman")</f>
        <v>American socialite, suffragist, and reformer; wife of J. Borden Harriman</v>
      </c>
    </row>
    <row r="265">
      <c r="A265" s="96" t="str">
        <f>IFERROR(__xludf.DUMMYFUNCTION("""COMPUTED_VALUE"""),"00601")</f>
        <v>00601</v>
      </c>
      <c r="B265" s="94" t="str">
        <f>IFERROR(__xludf.DUMMYFUNCTION("""COMPUTED_VALUE"""),"Harris, Lionel")</f>
        <v>Harris, Lionel</v>
      </c>
      <c r="C265" s="94"/>
      <c r="D265" s="94"/>
      <c r="E265" s="95" t="str">
        <f>IFERROR(__xludf.DUMMYFUNCTION("""COMPUTED_VALUE"""),"British book dealer")</f>
        <v>British book dealer</v>
      </c>
    </row>
    <row r="266">
      <c r="A266" s="96" t="str">
        <f>IFERROR(__xludf.DUMMYFUNCTION("""COMPUTED_VALUE"""),"00570")</f>
        <v>00570</v>
      </c>
      <c r="B266" s="94" t="str">
        <f>IFERROR(__xludf.DUMMYFUNCTION("""COMPUTED_VALUE"""),"Harris, Victor")</f>
        <v>Harris, Victor</v>
      </c>
      <c r="C266" s="94"/>
      <c r="D266" s="94" t="str">
        <f>IFERROR(__xludf.DUMMYFUNCTION("""COMPUTED_VALUE"""),"1869-1943")</f>
        <v>1869-1943</v>
      </c>
      <c r="E266" s="95" t="str">
        <f>IFERROR(__xludf.DUMMYFUNCTION("""COMPUTED_VALUE"""),"American composer and vocal instructor")</f>
        <v>American composer and vocal instructor</v>
      </c>
    </row>
    <row r="267">
      <c r="A267" s="96" t="str">
        <f>IFERROR(__xludf.DUMMYFUNCTION("""COMPUTED_VALUE"""),"00188")</f>
        <v>00188</v>
      </c>
      <c r="B267" s="94" t="str">
        <f>IFERROR(__xludf.DUMMYFUNCTION("""COMPUTED_VALUE"""),"Harrison, Ethel")</f>
        <v>Harrison, Ethel</v>
      </c>
      <c r="C267" s="94" t="str">
        <f>IFERROR(__xludf.DUMMYFUNCTION("""COMPUTED_VALUE"""),"Black Ethel; the ""Varmint""; Reptile; the Vicious One")</f>
        <v>Black Ethel; the "Varmint"; Reptile; the Vicious One</v>
      </c>
      <c r="D267" s="94" t="str">
        <f>IFERROR(__xludf.DUMMYFUNCTION("""COMPUTED_VALUE"""),"1851-1916")</f>
        <v>1851-1916</v>
      </c>
      <c r="E267" s="95" t="str">
        <f>IFERROR(__xludf.DUMMYFUNCTION("""COMPUTED_VALUE"""),"British anti-suffrage writer and friend of Berenson")</f>
        <v>British anti-suffrage writer and friend of Berenson</v>
      </c>
    </row>
    <row r="268">
      <c r="A268" s="96" t="str">
        <f>IFERROR(__xludf.DUMMYFUNCTION("""COMPUTED_VALUE"""),"00189")</f>
        <v>00189</v>
      </c>
      <c r="B268" s="94" t="str">
        <f>IFERROR(__xludf.DUMMYFUNCTION("""COMPUTED_VALUE"""),"Harrsen, Meta")</f>
        <v>Harrsen, Meta</v>
      </c>
      <c r="C268" s="94"/>
      <c r="D268" s="94" t="str">
        <f>IFERROR(__xludf.DUMMYFUNCTION("""COMPUTED_VALUE"""),"1891-1977")</f>
        <v>1891-1977</v>
      </c>
      <c r="E268" s="95" t="str">
        <f>IFERROR(__xludf.DUMMYFUNCTION("""COMPUTED_VALUE"""),"Curator (Keeper) of manuscripts at the Morgan Library")</f>
        <v>Curator (Keeper) of manuscripts at the Morgan Library</v>
      </c>
    </row>
    <row r="269">
      <c r="A269" s="96" t="str">
        <f>IFERROR(__xludf.DUMMYFUNCTION("""COMPUTED_VALUE"""),"00190")</f>
        <v>00190</v>
      </c>
      <c r="B269" s="94" t="str">
        <f>IFERROR(__xludf.DUMMYFUNCTION("""COMPUTED_VALUE"""),"Harvey, George ")</f>
        <v>Harvey, George </v>
      </c>
      <c r="C269" s="94"/>
      <c r="D269" s="94" t="str">
        <f>IFERROR(__xludf.DUMMYFUNCTION("""COMPUTED_VALUE"""),"1864-1928")</f>
        <v>1864-1928</v>
      </c>
      <c r="E269" s="95" t="str">
        <f>IFERROR(__xludf.DUMMYFUNCTION("""COMPUTED_VALUE"""),"American diplomat, magazine publisher, and financier ")</f>
        <v>American diplomat, magazine publisher, and financier </v>
      </c>
    </row>
    <row r="270">
      <c r="A270" s="96" t="str">
        <f>IFERROR(__xludf.DUMMYFUNCTION("""COMPUTED_VALUE"""),"00191")</f>
        <v>00191</v>
      </c>
      <c r="B270" s="94" t="str">
        <f>IFERROR(__xludf.DUMMYFUNCTION("""COMPUTED_VALUE"""),"Harvey, Robert McCutcheon")</f>
        <v>Harvey, Robert McCutcheon</v>
      </c>
      <c r="C270" s="94"/>
      <c r="D270" s="94" t="str">
        <f>IFERROR(__xludf.DUMMYFUNCTION("""COMPUTED_VALUE"""),"1892-1984")</f>
        <v>1892-1984</v>
      </c>
      <c r="E270" s="95" t="str">
        <f>IFERROR(__xludf.DUMMYFUNCTION("""COMPUTED_VALUE"""),"Second husband of BG sister, Theodora")</f>
        <v>Second husband of BG sister, Theodora</v>
      </c>
    </row>
    <row r="271">
      <c r="A271" s="96" t="str">
        <f>IFERROR(__xludf.DUMMYFUNCTION("""COMPUTED_VALUE"""),"00192")</f>
        <v>00192</v>
      </c>
      <c r="B271" s="94" t="str">
        <f>IFERROR(__xludf.DUMMYFUNCTION("""COMPUTED_VALUE"""),"Harvey, Theodora")</f>
        <v>Harvey, Theodora</v>
      </c>
      <c r="C271" s="94" t="str">
        <f>IFERROR(__xludf.DUMMYFUNCTION("""COMPUTED_VALUE"""),"Teddy")</f>
        <v>Teddy</v>
      </c>
      <c r="D271" s="94" t="str">
        <f>IFERROR(__xludf.DUMMYFUNCTION("""COMPUTED_VALUE"""),"1893-1965")</f>
        <v>1893-1965</v>
      </c>
      <c r="E271" s="95" t="str">
        <f>IFERROR(__xludf.DUMMYFUNCTION("""COMPUTED_VALUE"""),"BG's younger sister; marries Robert Mackenzie Leveridge in 1917 (widowed); marries Robert McCutcheon Harvey")</f>
        <v>BG's younger sister; marries Robert Mackenzie Leveridge in 1917 (widowed); marries Robert McCutcheon Harvey</v>
      </c>
    </row>
    <row r="272">
      <c r="A272" s="96" t="str">
        <f>IFERROR(__xludf.DUMMYFUNCTION("""COMPUTED_VALUE"""),"00193")</f>
        <v>00193</v>
      </c>
      <c r="B272" s="94" t="str">
        <f>IFERROR(__xludf.DUMMYFUNCTION("""COMPUTED_VALUE"""),"Hastings, Helen Benedict ")</f>
        <v>Hastings, Helen Benedict </v>
      </c>
      <c r="C272" s="94" t="str">
        <f>IFERROR(__xludf.DUMMYFUNCTION("""COMPUTED_VALUE"""),"Mrs. Tom Hastings")</f>
        <v>Mrs. Tom Hastings</v>
      </c>
      <c r="D272" s="94" t="str">
        <f>IFERROR(__xludf.DUMMYFUNCTION("""COMPUTED_VALUE"""),"1865-1936")</f>
        <v>1865-1936</v>
      </c>
      <c r="E272" s="95" t="str">
        <f>IFERROR(__xludf.DUMMYFUNCTION("""COMPUTED_VALUE"""),"American socialite and wife of architect, Tom Hastings, partner at Carrère and Hastings")</f>
        <v>American socialite and wife of architect, Tom Hastings, partner at Carrère and Hastings</v>
      </c>
    </row>
    <row r="273">
      <c r="A273" s="96" t="str">
        <f>IFERROR(__xludf.DUMMYFUNCTION("""COMPUTED_VALUE"""),"00531")</f>
        <v>00531</v>
      </c>
      <c r="B273" s="94" t="str">
        <f>IFERROR(__xludf.DUMMYFUNCTION("""COMPUTED_VALUE"""),"Hastings, Thomas")</f>
        <v>Hastings, Thomas</v>
      </c>
      <c r="C273" s="94" t="str">
        <f>IFERROR(__xludf.DUMMYFUNCTION("""COMPUTED_VALUE"""),"Tom")</f>
        <v>Tom</v>
      </c>
      <c r="D273" s="94" t="str">
        <f>IFERROR(__xludf.DUMMYFUNCTION("""COMPUTED_VALUE"""),"1860-1929")</f>
        <v>1860-1929</v>
      </c>
      <c r="E273" s="95" t="str">
        <f>IFERROR(__xludf.DUMMYFUNCTION("""COMPUTED_VALUE"""),"American architect and partner in Carrère and Hastings firm")</f>
        <v>American architect and partner in Carrère and Hastings firm</v>
      </c>
    </row>
    <row r="274">
      <c r="A274" s="96" t="str">
        <f>IFERROR(__xludf.DUMMYFUNCTION("""COMPUTED_VALUE"""),"00194")</f>
        <v>00194</v>
      </c>
      <c r="B274" s="94" t="str">
        <f>IFERROR(__xludf.DUMMYFUNCTION("""COMPUTED_VALUE"""),"Hauke, César Mange de")</f>
        <v>Hauke, César Mange de</v>
      </c>
      <c r="C274" s="94"/>
      <c r="D274" s="94" t="str">
        <f>IFERROR(__xludf.DUMMYFUNCTION("""COMPUTED_VALUE"""),"1900-1965")</f>
        <v>1900-1965</v>
      </c>
      <c r="E274" s="95" t="str">
        <f>IFERROR(__xludf.DUMMYFUNCTION("""COMPUTED_VALUE"""),"Partner at Seligmann galleries in New York and director of De Hauke &amp; Company, which dealt in modern artc")</f>
        <v>Partner at Seligmann galleries in New York and director of De Hauke &amp; Company, which dealt in modern artc</v>
      </c>
    </row>
    <row r="275">
      <c r="A275" s="96" t="str">
        <f>IFERROR(__xludf.DUMMYFUNCTION("""COMPUTED_VALUE"""),"00195")</f>
        <v>00195</v>
      </c>
      <c r="B275" s="94" t="str">
        <f>IFERROR(__xludf.DUMMYFUNCTION("""COMPUTED_VALUE"""),"Havemeyer, Henry Osborne")</f>
        <v>Havemeyer, Henry Osborne</v>
      </c>
      <c r="C275" s="94"/>
      <c r="D275" s="94" t="str">
        <f>IFERROR(__xludf.DUMMYFUNCTION("""COMPUTED_VALUE"""),"1847-1907")</f>
        <v>1847-1907</v>
      </c>
      <c r="E275" s="95" t="str">
        <f>IFERROR(__xludf.DUMMYFUNCTION("""COMPUTED_VALUE"""),"American industrialist and head of American Sugar Refining Company, among earliest American collectors of European Impressionist art")</f>
        <v>American industrialist and head of American Sugar Refining Company, among earliest American collectors of European Impressionist art</v>
      </c>
    </row>
    <row r="276">
      <c r="A276" s="96" t="str">
        <f>IFERROR(__xludf.DUMMYFUNCTION("""COMPUTED_VALUE"""),"00502")</f>
        <v>00502</v>
      </c>
      <c r="B276" s="94" t="str">
        <f>IFERROR(__xludf.DUMMYFUNCTION("""COMPUTED_VALUE"""),"Havemeyer, Louisine Waldron Elder")</f>
        <v>Havemeyer, Louisine Waldron Elder</v>
      </c>
      <c r="C276" s="94" t="str">
        <f>IFERROR(__xludf.DUMMYFUNCTION("""COMPUTED_VALUE"""),"Mrs Havemeyer")</f>
        <v>Mrs Havemeyer</v>
      </c>
      <c r="D276" s="94" t="str">
        <f>IFERROR(__xludf.DUMMYFUNCTION("""COMPUTED_VALUE"""),"1855-1929")</f>
        <v>1855-1929</v>
      </c>
      <c r="E276" s="95" t="str">
        <f>IFERROR(__xludf.DUMMYFUNCTION("""COMPUTED_VALUE"""),"Wife of Henry Havemeyer; Impressionist art collector and suffragette")</f>
        <v>Wife of Henry Havemeyer; Impressionist art collector and suffragette</v>
      </c>
    </row>
    <row r="277">
      <c r="A277" s="96" t="str">
        <f>IFERROR(__xludf.DUMMYFUNCTION("""COMPUTED_VALUE"""),"00196")</f>
        <v>00196</v>
      </c>
      <c r="B277" s="94" t="str">
        <f>IFERROR(__xludf.DUMMYFUNCTION("""COMPUTED_VALUE"""),"Hawkins, Rush C.")</f>
        <v>Hawkins, Rush C.</v>
      </c>
      <c r="C277" s="94"/>
      <c r="D277" s="94" t="str">
        <f>IFERROR(__xludf.DUMMYFUNCTION("""COMPUTED_VALUE"""),"1831-1920")</f>
        <v>1831-1920</v>
      </c>
      <c r="E277" s="95" t="str">
        <f>IFERROR(__xludf.DUMMYFUNCTION("""COMPUTED_VALUE"""),"American Civil War general and important collector of incunabula (and paintings and printed books), whose collection was housed at the Providence, RI Annmary Brown Memorial House, which in 1948 became part of Brown University")</f>
        <v>American Civil War general and important collector of incunabula (and paintings and printed books), whose collection was housed at the Providence, RI Annmary Brown Memorial House, which in 1948 became part of Brown University</v>
      </c>
    </row>
    <row r="278">
      <c r="A278" s="96" t="str">
        <f>IFERROR(__xludf.DUMMYFUNCTION("""COMPUTED_VALUE"""),"00197")</f>
        <v>00197</v>
      </c>
      <c r="B278" s="94" t="str">
        <f>IFERROR(__xludf.DUMMYFUNCTION("""COMPUTED_VALUE"""),"Hearst, William Randolph")</f>
        <v>Hearst, William Randolph</v>
      </c>
      <c r="C278" s="94"/>
      <c r="D278" s="94" t="str">
        <f>IFERROR(__xludf.DUMMYFUNCTION("""COMPUTED_VALUE"""),"1863-1951")</f>
        <v>1863-1951</v>
      </c>
      <c r="E278" s="95" t="str">
        <f>IFERROR(__xludf.DUMMYFUNCTION("""COMPUTED_VALUE"""),"American newspaper magnate and businessman")</f>
        <v>American newspaper magnate and businessman</v>
      </c>
    </row>
    <row r="279">
      <c r="A279" s="96" t="str">
        <f>IFERROR(__xludf.DUMMYFUNCTION("""COMPUTED_VALUE"""),"00198")</f>
        <v>00198</v>
      </c>
      <c r="B279" s="94" t="str">
        <f>IFERROR(__xludf.DUMMYFUNCTION("""COMPUTED_VALUE"""),"Helleu, Paul")</f>
        <v>Helleu, Paul</v>
      </c>
      <c r="C279" s="94"/>
      <c r="D279" s="94" t="str">
        <f>IFERROR(__xludf.DUMMYFUNCTION("""COMPUTED_VALUE"""),"1859-1927")</f>
        <v>1859-1927</v>
      </c>
      <c r="E279" s="95" t="str">
        <f>IFERROR(__xludf.DUMMYFUNCTION("""COMPUTED_VALUE"""),"French artist and noted society potraitst; made two chalk portraits of BG in late 1912 and early 1913")</f>
        <v>French artist and noted society potraitst; made two chalk portraits of BG in late 1912 and early 1913</v>
      </c>
    </row>
    <row r="280">
      <c r="A280" s="96" t="str">
        <f>IFERROR(__xludf.DUMMYFUNCTION("""COMPUTED_VALUE"""),"00199")</f>
        <v>00199</v>
      </c>
      <c r="B280" s="94" t="str">
        <f>IFERROR(__xludf.DUMMYFUNCTION("""COMPUTED_VALUE"""),"Hendecourt, Bernard d'")</f>
        <v>Hendecourt, Bernard d'</v>
      </c>
      <c r="C280" s="94"/>
      <c r="D280" s="94" t="str">
        <f>IFERROR(__xludf.DUMMYFUNCTION("""COMPUTED_VALUE"""),"1874-1928")</f>
        <v>1874-1928</v>
      </c>
      <c r="E280" s="95" t="str">
        <f>IFERROR(__xludf.DUMMYFUNCTION("""COMPUTED_VALUE"""),"French vicount, art dealer, and collector")</f>
        <v>French vicount, art dealer, and collector</v>
      </c>
    </row>
    <row r="281">
      <c r="A281" s="96" t="str">
        <f>IFERROR(__xludf.DUMMYFUNCTION("""COMPUTED_VALUE"""),"00200")</f>
        <v>00200</v>
      </c>
      <c r="B281" s="94" t="str">
        <f>IFERROR(__xludf.DUMMYFUNCTION("""COMPUTED_VALUE"""),"Hendrick, Ellwood")</f>
        <v>Hendrick, Ellwood</v>
      </c>
      <c r="C281" s="94"/>
      <c r="D281" s="94" t="str">
        <f>IFERROR(__xludf.DUMMYFUNCTION("""COMPUTED_VALUE"""),"1861-1930")</f>
        <v>1861-1930</v>
      </c>
      <c r="E281" s="95" t="str">
        <f>IFERROR(__xludf.DUMMYFUNCTION("""COMPUTED_VALUE"""),"American author and philanthopist")</f>
        <v>American author and philanthopist</v>
      </c>
    </row>
    <row r="282">
      <c r="A282" s="96" t="str">
        <f>IFERROR(__xludf.DUMMYFUNCTION("""COMPUTED_VALUE"""),"00201")</f>
        <v>00201</v>
      </c>
      <c r="B282" s="94" t="str">
        <f>IFERROR(__xludf.DUMMYFUNCTION("""COMPUTED_VALUE"""),"Hendrick, Julia Bowen Sherwood")</f>
        <v>Hendrick, Julia Bowen Sherwood</v>
      </c>
      <c r="C282" s="94"/>
      <c r="D282" s="94" t="str">
        <f>IFERROR(__xludf.DUMMYFUNCTION("""COMPUTED_VALUE"""),"1856-1947")</f>
        <v>1856-1947</v>
      </c>
      <c r="E282" s="95" t="str">
        <f>IFERROR(__xludf.DUMMYFUNCTION("""COMPUTED_VALUE"""),"Wife of Peter A. Hendrick")</f>
        <v>Wife of Peter A. Hendrick</v>
      </c>
    </row>
    <row r="283">
      <c r="A283" s="96" t="str">
        <f>IFERROR(__xludf.DUMMYFUNCTION("""COMPUTED_VALUE"""),"00202")</f>
        <v>00202</v>
      </c>
      <c r="B283" s="94" t="str">
        <f>IFERROR(__xludf.DUMMYFUNCTION("""COMPUTED_VALUE"""),"Hendrick, Peter Aloysius")</f>
        <v>Hendrick, Peter Aloysius</v>
      </c>
      <c r="C283" s="94"/>
      <c r="D283" s="94" t="str">
        <f>IFERROR(__xludf.DUMMYFUNCTION("""COMPUTED_VALUE"""),"1859-1923")</f>
        <v>1859-1923</v>
      </c>
      <c r="E283" s="95" t="str">
        <f>IFERROR(__xludf.DUMMYFUNCTION("""COMPUTED_VALUE"""),"New York Supreme Court justice (appointed 6 November 1906)")</f>
        <v>New York Supreme Court justice (appointed 6 November 1906)</v>
      </c>
    </row>
    <row r="284">
      <c r="A284" s="96" t="str">
        <f>IFERROR(__xludf.DUMMYFUNCTION("""COMPUTED_VALUE"""),"00525")</f>
        <v>00525</v>
      </c>
      <c r="B284" s="94" t="str">
        <f>IFERROR(__xludf.DUMMYFUNCTION("""COMPUTED_VALUE"""),"Herbert, Victor")</f>
        <v>Herbert, Victor</v>
      </c>
      <c r="C284" s="94"/>
      <c r="D284" s="94" t="str">
        <f>IFERROR(__xludf.DUMMYFUNCTION("""COMPUTED_VALUE"""),"1859-1924")</f>
        <v>1859-1924</v>
      </c>
      <c r="E284" s="95" t="str">
        <f>IFERROR(__xludf.DUMMYFUNCTION("""COMPUTED_VALUE"""),"American composer")</f>
        <v>American composer</v>
      </c>
    </row>
    <row r="285">
      <c r="A285" s="96" t="str">
        <f>IFERROR(__xludf.DUMMYFUNCTION("""COMPUTED_VALUE"""),"00203")</f>
        <v>00203</v>
      </c>
      <c r="B285" s="94" t="str">
        <f>IFERROR(__xludf.DUMMYFUNCTION("""COMPUTED_VALUE"""),"Herford, Oliver")</f>
        <v>Herford, Oliver</v>
      </c>
      <c r="C285" s="94"/>
      <c r="D285" s="94" t="str">
        <f>IFERROR(__xludf.DUMMYFUNCTION("""COMPUTED_VALUE"""),"1860-1935")</f>
        <v>1860-1935</v>
      </c>
      <c r="E285" s="95" t="str">
        <f>IFERROR(__xludf.DUMMYFUNCTION("""COMPUTED_VALUE"""),"English writer, artist, and illustrator")</f>
        <v>English writer, artist, and illustrator</v>
      </c>
    </row>
    <row r="286">
      <c r="A286" s="96" t="str">
        <f>IFERROR(__xludf.DUMMYFUNCTION("""COMPUTED_VALUE"""),"00506")</f>
        <v>00506</v>
      </c>
      <c r="B286" s="94" t="str">
        <f>IFERROR(__xludf.DUMMYFUNCTION("""COMPUTED_VALUE"""),"Hickox, Annie Stager")</f>
        <v>Hickox, Annie Stager</v>
      </c>
      <c r="C286" s="94" t="str">
        <f>IFERROR(__xludf.DUMMYFUNCTION("""COMPUTED_VALUE"""),"Mrs. Ralph Hickox")</f>
        <v>Mrs. Ralph Hickox</v>
      </c>
      <c r="D286" s="94" t="str">
        <f>IFERROR(__xludf.DUMMYFUNCTION("""COMPUTED_VALUE"""),"1851-1922")</f>
        <v>1851-1922</v>
      </c>
      <c r="E286" s="95" t="str">
        <f>IFERROR(__xludf.DUMMYFUNCTION("""COMPUTED_VALUE"""),"Wife of Ralph Warner Hickox")</f>
        <v>Wife of Ralph Warner Hickox</v>
      </c>
    </row>
    <row r="287">
      <c r="A287" s="96" t="str">
        <f>IFERROR(__xludf.DUMMYFUNCTION("""COMPUTED_VALUE"""),"00204")</f>
        <v>00204</v>
      </c>
      <c r="B287" s="94" t="str">
        <f>IFERROR(__xludf.DUMMYFUNCTION("""COMPUTED_VALUE"""),"Hickox, Ralph Warner")</f>
        <v>Hickox, Ralph Warner</v>
      </c>
      <c r="C287" s="94"/>
      <c r="D287" s="94" t="str">
        <f>IFERROR(__xludf.DUMMYFUNCTION("""COMPUTED_VALUE"""),"1850-1910")</f>
        <v>1850-1910</v>
      </c>
      <c r="E287" s="95" t="str">
        <f>IFERROR(__xludf.DUMMYFUNCTION("""COMPUTED_VALUE"""),"President of the Hocking Valley Railway")</f>
        <v>President of the Hocking Valley Railway</v>
      </c>
    </row>
    <row r="288">
      <c r="A288" s="96" t="str">
        <f>IFERROR(__xludf.DUMMYFUNCTION("""COMPUTED_VALUE"""),"00205")</f>
        <v>00205</v>
      </c>
      <c r="B288" s="94" t="str">
        <f>IFERROR(__xludf.DUMMYFUNCTION("""COMPUTED_VALUE"""),"Hiersemann, Karl Wilhelm")</f>
        <v>Hiersemann, Karl Wilhelm</v>
      </c>
      <c r="C288" s="94"/>
      <c r="D288" s="94" t="str">
        <f>IFERROR(__xludf.DUMMYFUNCTION("""COMPUTED_VALUE"""),"1854-1928")</f>
        <v>1854-1928</v>
      </c>
      <c r="E288" s="95" t="str">
        <f>IFERROR(__xludf.DUMMYFUNCTION("""COMPUTED_VALUE"""),"Owner of publishing company in Leipzig, Germany")</f>
        <v>Owner of publishing company in Leipzig, Germany</v>
      </c>
    </row>
    <row r="289">
      <c r="A289" s="96" t="str">
        <f>IFERROR(__xludf.DUMMYFUNCTION("""COMPUTED_VALUE"""),"00206")</f>
        <v>00206</v>
      </c>
      <c r="B289" s="94" t="str">
        <f>IFERROR(__xludf.DUMMYFUNCTION("""COMPUTED_VALUE"""),"Higgins, Eugene")</f>
        <v>Higgins, Eugene</v>
      </c>
      <c r="C289" s="94"/>
      <c r="D289" s="94" t="str">
        <f>IFERROR(__xludf.DUMMYFUNCTION("""COMPUTED_VALUE"""),"1860-1948")</f>
        <v>1860-1948</v>
      </c>
      <c r="E289" s="95" t="str">
        <f>IFERROR(__xludf.DUMMYFUNCTION("""COMPUTED_VALUE"""),"Bon vivant and sportsman; ""wealthiest bachelor in New York"" ")</f>
        <v>Bon vivant and sportsman; "wealthiest bachelor in New York" </v>
      </c>
    </row>
    <row r="290">
      <c r="A290" s="96" t="str">
        <f>IFERROR(__xludf.DUMMYFUNCTION("""COMPUTED_VALUE"""),"00207")</f>
        <v>00207</v>
      </c>
      <c r="B290" s="94" t="str">
        <f>IFERROR(__xludf.DUMMYFUNCTION("""COMPUTED_VALUE"""),"Hildburgh, Walter Leo")</f>
        <v>Hildburgh, Walter Leo</v>
      </c>
      <c r="C290" s="94"/>
      <c r="D290" s="94" t="str">
        <f>IFERROR(__xludf.DUMMYFUNCTION("""COMPUTED_VALUE"""),"1876-1955")</f>
        <v>1876-1955</v>
      </c>
      <c r="E290" s="95" t="str">
        <f>IFERROR(__xludf.DUMMYFUNCTION("""COMPUTED_VALUE"""),"Sometimes called ""the Egg""; American art collector and member of the Society of Antiquaries who resettled in London in 1912")</f>
        <v>Sometimes called "the Egg"; American art collector and member of the Society of Antiquaries who resettled in London in 1912</v>
      </c>
    </row>
    <row r="291">
      <c r="A291" s="96" t="str">
        <f>IFERROR(__xludf.DUMMYFUNCTION("""COMPUTED_VALUE"""),"00208")</f>
        <v>00208</v>
      </c>
      <c r="B291" s="94" t="str">
        <f>IFERROR(__xludf.DUMMYFUNCTION("""COMPUTED_VALUE"""),"Hills, Laura Coombs")</f>
        <v>Hills, Laura Coombs</v>
      </c>
      <c r="C291" s="94"/>
      <c r="D291" s="94" t="str">
        <f>IFERROR(__xludf.DUMMYFUNCTION("""COMPUTED_VALUE"""),"1859-1952")</f>
        <v>1859-1952</v>
      </c>
      <c r="E291" s="95" t="str">
        <f>IFERROR(__xludf.DUMMYFUNCTION("""COMPUTED_VALUE"""),"American miniaturist painter who painted BG's portrait (MLM AZ164)")</f>
        <v>American miniaturist painter who painted BG's portrait (MLM AZ164)</v>
      </c>
    </row>
    <row r="292">
      <c r="A292" s="96" t="str">
        <f>IFERROR(__xludf.DUMMYFUNCTION("""COMPUTED_VALUE"""),"00604")</f>
        <v>00604</v>
      </c>
      <c r="B292" s="94" t="str">
        <f>IFERROR(__xludf.DUMMYFUNCTION("""COMPUTED_VALUE"""),"Hind, Arthur Maygar")</f>
        <v>Hind, Arthur Maygar</v>
      </c>
      <c r="C292" s="94"/>
      <c r="D292" s="94" t="str">
        <f>IFERROR(__xludf.DUMMYFUNCTION("""COMPUTED_VALUE"""),"1880–1957")</f>
        <v>1880–1957</v>
      </c>
      <c r="E292" s="95" t="str">
        <f>IFERROR(__xludf.DUMMYFUNCTION("""COMPUTED_VALUE"""),"Keeper of Prints and Drawings at the British Museum, expert on the history of engraving")</f>
        <v>Keeper of Prints and Drawings at the British Museum, expert on the history of engraving</v>
      </c>
    </row>
    <row r="293">
      <c r="A293" s="96" t="str">
        <f>IFERROR(__xludf.DUMMYFUNCTION("""COMPUTED_VALUE"""),"00209")</f>
        <v>00209</v>
      </c>
      <c r="B293" s="94" t="str">
        <f>IFERROR(__xludf.DUMMYFUNCTION("""COMPUTED_VALUE"""),"Histed, Ernest Walter")</f>
        <v>Histed, Ernest Walter</v>
      </c>
      <c r="C293" s="94"/>
      <c r="D293" s="94" t="str">
        <f>IFERROR(__xludf.DUMMYFUNCTION("""COMPUTED_VALUE"""),"1862-1947")</f>
        <v>1862-1947</v>
      </c>
      <c r="E293" s="95" t="str">
        <f>IFERROR(__xludf.DUMMYFUNCTION("""COMPUTED_VALUE"""),"English-American photographer")</f>
        <v>English-American photographer</v>
      </c>
    </row>
    <row r="294">
      <c r="A294" s="96" t="str">
        <f>IFERROR(__xludf.DUMMYFUNCTION("""COMPUTED_VALUE"""),"00210")</f>
        <v>00210</v>
      </c>
      <c r="B294" s="94" t="str">
        <f>IFERROR(__xludf.DUMMYFUNCTION("""COMPUTED_VALUE"""),"Hitchcock, Frank Harris")</f>
        <v>Hitchcock, Frank Harris</v>
      </c>
      <c r="C294" s="94"/>
      <c r="D294" s="94" t="str">
        <f>IFERROR(__xludf.DUMMYFUNCTION("""COMPUTED_VALUE"""),"1867-1935")</f>
        <v>1867-1935</v>
      </c>
      <c r="E294" s="95" t="str">
        <f>IFERROR(__xludf.DUMMYFUNCTION("""COMPUTED_VALUE"""),"Chariman of the Republican National Committee (1908-1909) and then Postmaster General under President Taft (1909-1913)")</f>
        <v>Chariman of the Republican National Committee (1908-1909) and then Postmaster General under President Taft (1909-1913)</v>
      </c>
    </row>
    <row r="295">
      <c r="A295" s="96" t="str">
        <f>IFERROR(__xludf.DUMMYFUNCTION("""COMPUTED_VALUE"""),"00211")</f>
        <v>00211</v>
      </c>
      <c r="B295" s="94" t="str">
        <f>IFERROR(__xludf.DUMMYFUNCTION("""COMPUTED_VALUE"""),"Hobby, Theodore Y.")</f>
        <v>Hobby, Theodore Y.</v>
      </c>
      <c r="C295" s="94"/>
      <c r="D295" s="94" t="str">
        <f>IFERROR(__xludf.DUMMYFUNCTION("""COMPUTED_VALUE"""),"1874-1958")</f>
        <v>1874-1958</v>
      </c>
      <c r="E295" s="95" t="str">
        <f>IFERROR(__xludf.DUMMYFUNCTION("""COMPUTED_VALUE"""),"Curator of Benjamin Altman collection, later Associate Curator of Asian art at the Metropolitan Museum of Art")</f>
        <v>Curator of Benjamin Altman collection, later Associate Curator of Asian art at the Metropolitan Museum of Art</v>
      </c>
    </row>
    <row r="296">
      <c r="A296" s="96" t="str">
        <f>IFERROR(__xludf.DUMMYFUNCTION("""COMPUTED_VALUE"""),"00212")</f>
        <v>00212</v>
      </c>
      <c r="B296" s="94" t="str">
        <f>IFERROR(__xludf.DUMMYFUNCTION("""COMPUTED_VALUE"""),"Hoentschel, Georges")</f>
        <v>Hoentschel, Georges</v>
      </c>
      <c r="C296" s="94"/>
      <c r="D296" s="94" t="str">
        <f>IFERROR(__xludf.DUMMYFUNCTION("""COMPUTED_VALUE"""),"1855-1915")</f>
        <v>1855-1915</v>
      </c>
      <c r="E296" s="95" t="str">
        <f>IFERROR(__xludf.DUMMYFUNCTION("""COMPUTED_VALUE"""),"French decorator and collector, whose collection JPM acquired in 1906 and eventually given to the Met")</f>
        <v>French decorator and collector, whose collection JPM acquired in 1906 and eventually given to the Met</v>
      </c>
    </row>
    <row r="297">
      <c r="A297" s="96" t="str">
        <f>IFERROR(__xludf.DUMMYFUNCTION("""COMPUTED_VALUE"""),"00213")</f>
        <v>00213</v>
      </c>
      <c r="B297" s="94" t="str">
        <f>IFERROR(__xludf.DUMMYFUNCTION("""COMPUTED_VALUE"""),"Hofer, Philip")</f>
        <v>Hofer, Philip</v>
      </c>
      <c r="C297" s="94"/>
      <c r="D297" s="94" t="str">
        <f>IFERROR(__xludf.DUMMYFUNCTION("""COMPUTED_VALUE"""),"1898-1984")</f>
        <v>1898-1984</v>
      </c>
      <c r="E297" s="95" t="str">
        <f>IFERROR(__xludf.DUMMYFUNCTION("""COMPUTED_VALUE"""),"American book collector, curator, and art historian at Harvard University, founder of the Department of Prints and Graphics at Harvard University in 1938")</f>
        <v>American book collector, curator, and art historian at Harvard University, founder of the Department of Prints and Graphics at Harvard University in 1938</v>
      </c>
    </row>
    <row r="298">
      <c r="A298" s="96" t="str">
        <f>IFERROR(__xludf.DUMMYFUNCTION("""COMPUTED_VALUE"""),"00215")</f>
        <v>00215</v>
      </c>
      <c r="B298" s="94" t="str">
        <f>IFERROR(__xludf.DUMMYFUNCTION("""COMPUTED_VALUE"""),"Holford, George")</f>
        <v>Holford, George</v>
      </c>
      <c r="C298" s="94" t="str">
        <f>IFERROR(__xludf.DUMMYFUNCTION("""COMPUTED_VALUE"""),"Sir George")</f>
        <v>Sir George</v>
      </c>
      <c r="D298" s="94" t="str">
        <f>IFERROR(__xludf.DUMMYFUNCTION("""COMPUTED_VALUE"""),"1860-1926")</f>
        <v>1860-1926</v>
      </c>
      <c r="E298" s="95" t="str">
        <f>IFERROR(__xludf.DUMMYFUNCTION("""COMPUTED_VALUE"""),"British Army officer and courtier; husband of Susannah Holford")</f>
        <v>British Army officer and courtier; husband of Susannah Holford</v>
      </c>
    </row>
    <row r="299">
      <c r="A299" s="96" t="str">
        <f>IFERROR(__xludf.DUMMYFUNCTION("""COMPUTED_VALUE"""),"00216")</f>
        <v>00216</v>
      </c>
      <c r="B299" s="94" t="str">
        <f>IFERROR(__xludf.DUMMYFUNCTION("""COMPUTED_VALUE"""),"Holford, Susannah")</f>
        <v>Holford, Susannah</v>
      </c>
      <c r="C299" s="94" t="str">
        <f>IFERROR(__xludf.DUMMYFUNCTION("""COMPUTED_VALUE"""),"Lady Holford")</f>
        <v>Lady Holford</v>
      </c>
      <c r="D299" s="94" t="str">
        <f>IFERROR(__xludf.DUMMYFUNCTION("""COMPUTED_VALUE"""),"1864-1943")</f>
        <v>1864-1943</v>
      </c>
      <c r="E299" s="95" t="str">
        <f>IFERROR(__xludf.DUMMYFUNCTION("""COMPUTED_VALUE"""),"English socialite; Sir George was her second husband")</f>
        <v>English socialite; Sir George was her second husband</v>
      </c>
    </row>
    <row r="300">
      <c r="A300" s="96" t="str">
        <f>IFERROR(__xludf.DUMMYFUNCTION("""COMPUTED_VALUE"""),"00217")</f>
        <v>00217</v>
      </c>
      <c r="B300" s="94" t="str">
        <f>IFERROR(__xludf.DUMMYFUNCTION("""COMPUTED_VALUE"""),"Holland, Henry")</f>
        <v>Holland, Henry</v>
      </c>
      <c r="C300" s="94"/>
      <c r="D300" s="94" t="str">
        <f>IFERROR(__xludf.DUMMYFUNCTION("""COMPUTED_VALUE"""),"1884-1974")</f>
        <v>1884-1974</v>
      </c>
      <c r="E300" s="95" t="str">
        <f>IFERROR(__xludf.DUMMYFUNCTION("""COMPUTED_VALUE"""),"English law professor at Camrbidge University")</f>
        <v>English law professor at Camrbidge University</v>
      </c>
    </row>
    <row r="301">
      <c r="A301" s="96" t="str">
        <f>IFERROR(__xludf.DUMMYFUNCTION("""COMPUTED_VALUE"""),"00583")</f>
        <v>00583</v>
      </c>
      <c r="B301" s="94" t="str">
        <f>IFERROR(__xludf.DUMMYFUNCTION("""COMPUTED_VALUE"""),"Homer, Louise Beatty")</f>
        <v>Homer, Louise Beatty</v>
      </c>
      <c r="C301" s="94"/>
      <c r="D301" s="94" t="str">
        <f>IFERROR(__xludf.DUMMYFUNCTION("""COMPUTED_VALUE"""),"1871-1947")</f>
        <v>1871-1947</v>
      </c>
      <c r="E301" s="95" t="str">
        <f>IFERROR(__xludf.DUMMYFUNCTION("""COMPUTED_VALUE"""),"American operatic contralto")</f>
        <v>American operatic contralto</v>
      </c>
    </row>
    <row r="302">
      <c r="A302" s="96" t="str">
        <f>IFERROR(__xludf.DUMMYFUNCTION("""COMPUTED_VALUE"""),"00607")</f>
        <v>00607</v>
      </c>
      <c r="B302" s="94" t="str">
        <f>IFERROR(__xludf.DUMMYFUNCTION("""COMPUTED_VALUE"""),"Hon. Mrs. Talbot")</f>
        <v>Hon. Mrs. Talbot</v>
      </c>
      <c r="C302" s="94"/>
      <c r="D302" s="94"/>
      <c r="E302" s="95" t="str">
        <f>IFERROR(__xludf.DUMMYFUNCTION("""COMPUTED_VALUE"""),"Unidentified British art collector living at 68 Cadogan Gardens in 1910")</f>
        <v>Unidentified British art collector living at 68 Cadogan Gardens in 1910</v>
      </c>
    </row>
    <row r="303">
      <c r="A303" s="96" t="str">
        <f>IFERROR(__xludf.DUMMYFUNCTION("""COMPUTED_VALUE"""),"00652")</f>
        <v>00652</v>
      </c>
      <c r="B303" s="94" t="str">
        <f>IFERROR(__xludf.DUMMYFUNCTION("""COMPUTED_VALUE"""),"Hornby, Charles Harold St John")</f>
        <v>Hornby, Charles Harold St John</v>
      </c>
      <c r="C303" s="94" t="str">
        <f>IFERROR(__xludf.DUMMYFUNCTION("""COMPUTED_VALUE"""),"St. John Hornby")</f>
        <v>St. John Hornby</v>
      </c>
      <c r="D303" s="94" t="str">
        <f>IFERROR(__xludf.DUMMYFUNCTION("""COMPUTED_VALUE"""),"1867 - 1946")</f>
        <v>1867 - 1946</v>
      </c>
      <c r="E303" s="95" t="str">
        <f>IFERROR(__xludf.DUMMYFUNCTION("""COMPUTED_VALUE"""),"Founding partner of W.H. Smith; deputy vice-chairman of NSPCC; founder and owner of Ashendene Press")</f>
        <v>Founding partner of W.H. Smith; deputy vice-chairman of NSPCC; founder and owner of Ashendene Press</v>
      </c>
    </row>
    <row r="304">
      <c r="A304" s="96" t="str">
        <f>IFERROR(__xludf.DUMMYFUNCTION("""COMPUTED_VALUE"""),"00218")</f>
        <v>00218</v>
      </c>
      <c r="B304" s="94" t="str">
        <f>IFERROR(__xludf.DUMMYFUNCTION("""COMPUTED_VALUE"""),"Hoskier, Herman Charles")</f>
        <v>Hoskier, Herman Charles</v>
      </c>
      <c r="C304" s="94"/>
      <c r="D304" s="94" t="str">
        <f>IFERROR(__xludf.DUMMYFUNCTION("""COMPUTED_VALUE"""),"1864-1938")</f>
        <v>1864-1938</v>
      </c>
      <c r="E304" s="95" t="str">
        <f>IFERROR(__xludf.DUMMYFUNCTION("""COMPUTED_VALUE"""),"Biblical scholar and bibliographer and art collector")</f>
        <v>Biblical scholar and bibliographer and art collector</v>
      </c>
    </row>
    <row r="305">
      <c r="A305" s="96" t="str">
        <f>IFERROR(__xludf.DUMMYFUNCTION("""COMPUTED_VALUE"""),"00219")</f>
        <v>00219</v>
      </c>
      <c r="B305" s="94" t="str">
        <f>IFERROR(__xludf.DUMMYFUNCTION("""COMPUTED_VALUE"""),"Hosmer, Jack")</f>
        <v>Hosmer, Jack</v>
      </c>
      <c r="C305" s="94"/>
      <c r="D305" s="94"/>
      <c r="E305" s="95"/>
    </row>
    <row r="306">
      <c r="A306" s="96" t="str">
        <f>IFERROR(__xludf.DUMMYFUNCTION("""COMPUTED_VALUE"""),"00220")</f>
        <v>00220</v>
      </c>
      <c r="B306" s="94" t="str">
        <f>IFERROR(__xludf.DUMMYFUNCTION("""COMPUTED_VALUE"""),"Howard, Geoffrey")</f>
        <v>Howard, Geoffrey</v>
      </c>
      <c r="C306" s="94"/>
      <c r="D306" s="94" t="str">
        <f>IFERROR(__xludf.DUMMYFUNCTION("""COMPUTED_VALUE"""),"1877-1935")</f>
        <v>1877-1935</v>
      </c>
      <c r="E306" s="95" t="str">
        <f>IFERROR(__xludf.DUMMYFUNCTION("""COMPUTED_VALUE"""),"British Liberal politician, son of painter George James Howard")</f>
        <v>British Liberal politician, son of painter George James Howard</v>
      </c>
    </row>
    <row r="307">
      <c r="A307" s="96" t="str">
        <f>IFERROR(__xludf.DUMMYFUNCTION("""COMPUTED_VALUE"""),"00221")</f>
        <v>00221</v>
      </c>
      <c r="B307" s="94" t="str">
        <f>IFERROR(__xludf.DUMMYFUNCTION("""COMPUTED_VALUE"""),"Howson, Roger")</f>
        <v>Howson, Roger</v>
      </c>
      <c r="C307" s="94"/>
      <c r="D307" s="94" t="str">
        <f>IFERROR(__xludf.DUMMYFUNCTION("""COMPUTED_VALUE"""),"1882-1962")</f>
        <v>1882-1962</v>
      </c>
      <c r="E307" s="95" t="str">
        <f>IFERROR(__xludf.DUMMYFUNCTION("""COMPUTED_VALUE"""),"Librarian at Columbia University")</f>
        <v>Librarian at Columbia University</v>
      </c>
    </row>
    <row r="308">
      <c r="A308" s="96" t="str">
        <f>IFERROR(__xludf.DUMMYFUNCTION("""COMPUTED_VALUE"""),"00559")</f>
        <v>00559</v>
      </c>
      <c r="B308" s="94" t="str">
        <f>IFERROR(__xludf.DUMMYFUNCTION("""COMPUTED_VALUE"""),"Hoyt, Colgate")</f>
        <v>Hoyt, Colgate</v>
      </c>
      <c r="C308" s="94"/>
      <c r="D308" s="94" t="str">
        <f>IFERROR(__xludf.DUMMYFUNCTION("""COMPUTED_VALUE"""),"1849-1922")</f>
        <v>1849-1922</v>
      </c>
      <c r="E308" s="95" t="str">
        <f>IFERROR(__xludf.DUMMYFUNCTION("""COMPUTED_VALUE"""),"American businessman")</f>
        <v>American businessman</v>
      </c>
    </row>
    <row r="309">
      <c r="A309" s="96" t="str">
        <f>IFERROR(__xludf.DUMMYFUNCTION("""COMPUTED_VALUE"""),"00560")</f>
        <v>00560</v>
      </c>
      <c r="B309" s="94" t="str">
        <f>IFERROR(__xludf.DUMMYFUNCTION("""COMPUTED_VALUE"""),"Hoyt, Katharine Sharp")</f>
        <v>Hoyt, Katharine Sharp</v>
      </c>
      <c r="C309" s="94"/>
      <c r="D309" s="94"/>
      <c r="E309" s="95" t="str">
        <f>IFERROR(__xludf.DUMMYFUNCTION("""COMPUTED_VALUE"""),"Wife of Colgate Hoyt")</f>
        <v>Wife of Colgate Hoyt</v>
      </c>
    </row>
    <row r="310">
      <c r="A310" s="96" t="str">
        <f>IFERROR(__xludf.DUMMYFUNCTION("""COMPUTED_VALUE"""),"00509")</f>
        <v>00509</v>
      </c>
      <c r="B310" s="94" t="str">
        <f>IFERROR(__xludf.DUMMYFUNCTION("""COMPUTED_VALUE"""),"Hunt, William Holman")</f>
        <v>Hunt, William Holman</v>
      </c>
      <c r="C310" s="94" t="str">
        <f>IFERROR(__xludf.DUMMYFUNCTION("""COMPUTED_VALUE"""),"Holman Hunt")</f>
        <v>Holman Hunt</v>
      </c>
      <c r="D310" s="94" t="str">
        <f>IFERROR(__xludf.DUMMYFUNCTION("""COMPUTED_VALUE"""),"1827-1910")</f>
        <v>1827-1910</v>
      </c>
      <c r="E310" s="95" t="str">
        <f>IFERROR(__xludf.DUMMYFUNCTION("""COMPUTED_VALUE"""),"English playwright")</f>
        <v>English playwright</v>
      </c>
    </row>
    <row r="311">
      <c r="A311" s="96" t="str">
        <f>IFERROR(__xludf.DUMMYFUNCTION("""COMPUTED_VALUE"""),"00222")</f>
        <v>00222</v>
      </c>
      <c r="B311" s="94" t="str">
        <f>IFERROR(__xludf.DUMMYFUNCTION("""COMPUTED_VALUE"""),"Huntington, Arabella")</f>
        <v>Huntington, Arabella</v>
      </c>
      <c r="C311" s="94"/>
      <c r="D311" s="94" t="str">
        <f>IFERROR(__xludf.DUMMYFUNCTION("""COMPUTED_VALUE"""),"1850-1924")</f>
        <v>1850-1924</v>
      </c>
      <c r="E311" s="95" t="str">
        <f>IFERROR(__xludf.DUMMYFUNCTION("""COMPUTED_VALUE"""),"Philanthropist and art collector; second wife of railroad magnate Collis P. Huntinthon and second wife of Henry E. Huntington; among wealthiest American women of her day")</f>
        <v>Philanthropist and art collector; second wife of railroad magnate Collis P. Huntinthon and second wife of Henry E. Huntington; among wealthiest American women of her day</v>
      </c>
    </row>
    <row r="312">
      <c r="A312" s="96" t="str">
        <f>IFERROR(__xludf.DUMMYFUNCTION("""COMPUTED_VALUE"""),"00223")</f>
        <v>00223</v>
      </c>
      <c r="B312" s="94" t="str">
        <f>IFERROR(__xludf.DUMMYFUNCTION("""COMPUTED_VALUE"""),"Huntington, Archer Milton")</f>
        <v>Huntington, Archer Milton</v>
      </c>
      <c r="C312" s="94"/>
      <c r="D312" s="94" t="str">
        <f>IFERROR(__xludf.DUMMYFUNCTION("""COMPUTED_VALUE"""),"1870-1955")</f>
        <v>1870-1955</v>
      </c>
      <c r="E312" s="95" t="str">
        <f>IFERROR(__xludf.DUMMYFUNCTION("""COMPUTED_VALUE"""),"American collector of Spanish rare books, manuscripts, and works of art; son of Arabella Huntington")</f>
        <v>American collector of Spanish rare books, manuscripts, and works of art; son of Arabella Huntington</v>
      </c>
    </row>
    <row r="313">
      <c r="A313" s="96" t="str">
        <f>IFERROR(__xludf.DUMMYFUNCTION("""COMPUTED_VALUE"""),"00224")</f>
        <v>00224</v>
      </c>
      <c r="B313" s="94" t="str">
        <f>IFERROR(__xludf.DUMMYFUNCTION("""COMPUTED_VALUE"""),"Huntington, Henry")</f>
        <v>Huntington, Henry</v>
      </c>
      <c r="C313" s="94"/>
      <c r="D313" s="94" t="str">
        <f>IFERROR(__xludf.DUMMYFUNCTION("""COMPUTED_VALUE"""),"1850-1927")</f>
        <v>1850-1927</v>
      </c>
      <c r="E313" s="95" t="str">
        <f>IFERROR(__xludf.DUMMYFUNCTION("""COMPUTED_VALUE"""),"American railroad magnate and book collector; second husband of Arabella Huntington")</f>
        <v>American railroad magnate and book collector; second husband of Arabella Huntington</v>
      </c>
    </row>
    <row r="314">
      <c r="A314" s="96" t="str">
        <f>IFERROR(__xludf.DUMMYFUNCTION("""COMPUTED_VALUE"""),"00602")</f>
        <v>00602</v>
      </c>
      <c r="B314" s="94" t="str">
        <f>IFERROR(__xludf.DUMMYFUNCTION("""COMPUTED_VALUE"""),"Hyde, Martha")</f>
        <v>Hyde, Martha</v>
      </c>
      <c r="C314" s="94"/>
      <c r="D314" s="94"/>
      <c r="E314" s="95" t="str">
        <f>IFERROR(__xludf.DUMMYFUNCTION("""COMPUTED_VALUE"""),"unidentified, has some connection to BG's Paris address in September 1910")</f>
        <v>unidentified, has some connection to BG's Paris address in September 1910</v>
      </c>
    </row>
    <row r="315">
      <c r="A315" s="96" t="str">
        <f>IFERROR(__xludf.DUMMYFUNCTION("""COMPUTED_VALUE"""),"00225")</f>
        <v>00225</v>
      </c>
      <c r="B315" s="94" t="str">
        <f>IFERROR(__xludf.DUMMYFUNCTION("""COMPUTED_VALUE"""),"Hyvernat, Henri")</f>
        <v>Hyvernat, Henri</v>
      </c>
      <c r="C315" s="94"/>
      <c r="D315" s="94" t="str">
        <f>IFERROR(__xludf.DUMMYFUNCTION("""COMPUTED_VALUE"""),"1858-1941")</f>
        <v>1858-1941</v>
      </c>
      <c r="E315" s="95" t="str">
        <f>IFERROR(__xludf.DUMMYFUNCTION("""COMPUTED_VALUE"""),"French priest and scholar who cataloged and published J.P. Morgan's Coptic collection in 1922")</f>
        <v>French priest and scholar who cataloged and published J.P. Morgan's Coptic collection in 1922</v>
      </c>
    </row>
    <row r="316">
      <c r="A316" s="96" t="str">
        <f>IFERROR(__xludf.DUMMYFUNCTION("""COMPUTED_VALUE"""),"00226")</f>
        <v>00226</v>
      </c>
      <c r="B316" s="94" t="str">
        <f>IFERROR(__xludf.DUMMYFUNCTION("""COMPUTED_VALUE"""),"Imbert, Alexandre")</f>
        <v>Imbert, Alexandre</v>
      </c>
      <c r="C316" s="94"/>
      <c r="D316" s="94" t="str">
        <f>IFERROR(__xludf.DUMMYFUNCTION("""COMPUTED_VALUE"""),"1865-1943")</f>
        <v>1865-1943</v>
      </c>
      <c r="E316" s="95" t="str">
        <f>IFERROR(__xludf.DUMMYFUNCTION("""COMPUTED_VALUE"""),"French art dealer")</f>
        <v>French art dealer</v>
      </c>
    </row>
    <row r="317">
      <c r="A317" s="96" t="str">
        <f>IFERROR(__xludf.DUMMYFUNCTION("""COMPUTED_VALUE"""),"00589")</f>
        <v>00589</v>
      </c>
      <c r="B317" s="94" t="str">
        <f>IFERROR(__xludf.DUMMYFUNCTION("""COMPUTED_VALUE"""),"Inches, Louise Pomeroy")</f>
        <v>Inches, Louise Pomeroy</v>
      </c>
      <c r="C317" s="94"/>
      <c r="D317" s="94" t="str">
        <f>IFERROR(__xludf.DUMMYFUNCTION("""COMPUTED_VALUE"""),"1861–1933")</f>
        <v>1861–1933</v>
      </c>
      <c r="E317" s="95" t="str">
        <f>IFERROR(__xludf.DUMMYFUNCTION("""COMPUTED_VALUE"""),"Boston socialite, wife of Charles E. Inches, sitter for a John Singer Sargent portrait")</f>
        <v>Boston socialite, wife of Charles E. Inches, sitter for a John Singer Sargent portrait</v>
      </c>
    </row>
    <row r="318">
      <c r="A318" s="96" t="str">
        <f>IFERROR(__xludf.DUMMYFUNCTION("""COMPUTED_VALUE"""),"00227")</f>
        <v>00227</v>
      </c>
      <c r="B318" s="94" t="str">
        <f>IFERROR(__xludf.DUMMYFUNCTION("""COMPUTED_VALUE"""),"Ingraham")</f>
        <v>Ingraham</v>
      </c>
      <c r="C318" s="94"/>
      <c r="D318" s="94"/>
      <c r="E318" s="95" t="str">
        <f>IFERROR(__xludf.DUMMYFUNCTION("""COMPUTED_VALUE"""),"Book collector")</f>
        <v>Book collector</v>
      </c>
    </row>
    <row r="319">
      <c r="A319" s="96" t="str">
        <f>IFERROR(__xludf.DUMMYFUNCTION("""COMPUTED_VALUE"""),"00228")</f>
        <v>00228</v>
      </c>
      <c r="B319" s="94" t="str">
        <f>IFERROR(__xludf.DUMMYFUNCTION("""COMPUTED_VALUE"""),"Irwin, Theodore")</f>
        <v>Irwin, Theodore</v>
      </c>
      <c r="C319" s="94"/>
      <c r="D319" s="94" t="str">
        <f>IFERROR(__xludf.DUMMYFUNCTION("""COMPUTED_VALUE"""),"1827-1902")</f>
        <v>1827-1902</v>
      </c>
      <c r="E319" s="95" t="str">
        <f>IFERROR(__xludf.DUMMYFUNCTION("""COMPUTED_VALUE"""),"American industrialist and rare book and prints collector, a large part of whose collection was purchased by J.P. Morgan in 1900")</f>
        <v>American industrialist and rare book and prints collector, a large part of whose collection was purchased by J.P. Morgan in 1900</v>
      </c>
    </row>
    <row r="320">
      <c r="A320" s="96" t="str">
        <f>IFERROR(__xludf.DUMMYFUNCTION("""COMPUTED_VALUE"""),"00646")</f>
        <v>00646</v>
      </c>
      <c r="B320" s="94" t="str">
        <f>IFERROR(__xludf.DUMMYFUNCTION("""COMPUTED_VALUE"""),"Ismay, J. Bruce")</f>
        <v>Ismay, J. Bruce</v>
      </c>
      <c r="C320" s="94" t="str">
        <f>IFERROR(__xludf.DUMMYFUNCTION("""COMPUTED_VALUE"""),"Ismay")</f>
        <v>Ismay</v>
      </c>
      <c r="D320" s="94" t="str">
        <f>IFERROR(__xludf.DUMMYFUNCTION("""COMPUTED_VALUE"""),"1862 - 1937")</f>
        <v>1862 - 1937</v>
      </c>
      <c r="E320" s="95" t="str">
        <f>IFERROR(__xludf.DUMMYFUNCTION("""COMPUTED_VALUE"""),"Englishman who ""served as a chariman and managing director of the White Star Line;"" highest-ranking White Star official who survived the sinking of the Titanic")</f>
        <v>Englishman who "served as a chariman and managing director of the White Star Line;" highest-ranking White Star official who survived the sinking of the Titanic</v>
      </c>
    </row>
    <row r="321">
      <c r="A321" s="96" t="str">
        <f>IFERROR(__xludf.DUMMYFUNCTION("""COMPUTED_VALUE"""),"00229")</f>
        <v>00229</v>
      </c>
      <c r="B321" s="94" t="str">
        <f>IFERROR(__xludf.DUMMYFUNCTION("""COMPUTED_VALUE"""),"Ivins Jr., William Mills")</f>
        <v>Ivins Jr., William Mills</v>
      </c>
      <c r="C321" s="94" t="str">
        <f>IFERROR(__xludf.DUMMYFUNCTION("""COMPUTED_VALUE"""),"Billy, Wal-Dung")</f>
        <v>Billy, Wal-Dung</v>
      </c>
      <c r="D321" s="94" t="str">
        <f>IFERROR(__xludf.DUMMYFUNCTION("""COMPUTED_VALUE"""),"1881-1961")</f>
        <v>1881-1961</v>
      </c>
      <c r="E321" s="95" t="str">
        <f>IFERROR(__xludf.DUMMYFUNCTION("""COMPUTED_VALUE"""),"Founding curator of the Department of Prints at the Metropolitan Museum of Art")</f>
        <v>Founding curator of the Department of Prints at the Metropolitan Museum of Art</v>
      </c>
    </row>
    <row r="322">
      <c r="A322" s="96" t="str">
        <f>IFERROR(__xludf.DUMMYFUNCTION("""COMPUTED_VALUE"""),"00481")</f>
        <v>00481</v>
      </c>
      <c r="B322" s="94" t="str">
        <f>IFERROR(__xludf.DUMMYFUNCTION("""COMPUTED_VALUE"""),"Jacacci, Mabel Thayer")</f>
        <v>Jacacci, Mabel Thayer</v>
      </c>
      <c r="C322" s="94"/>
      <c r="D322" s="94"/>
      <c r="E322" s="95" t="str">
        <f>IFERROR(__xludf.DUMMYFUNCTION("""COMPUTED_VALUE"""),"Estranged wife of August Jacacci")</f>
        <v>Estranged wife of August Jacacci</v>
      </c>
    </row>
    <row r="323">
      <c r="A323" s="96" t="str">
        <f>IFERROR(__xludf.DUMMYFUNCTION("""COMPUTED_VALUE"""),"00230")</f>
        <v>00230</v>
      </c>
      <c r="B323" s="94" t="str">
        <f>IFERROR(__xludf.DUMMYFUNCTION("""COMPUTED_VALUE"""),"Jaccaci, August")</f>
        <v>Jaccaci, August</v>
      </c>
      <c r="C323" s="94"/>
      <c r="D323" s="94" t="str">
        <f>IFERROR(__xludf.DUMMYFUNCTION("""COMPUTED_VALUE"""),"1889-1935")</f>
        <v>1889-1935</v>
      </c>
      <c r="E323" s="95" t="str">
        <f>IFERROR(__xludf.DUMMYFUNCTION("""COMPUTED_VALUE"""),"French art historian and muralist, with John La Farge editor of the short-lived project, Noteworthy Paintings in Private Collections ")</f>
        <v>French art historian and muralist, with John La Farge editor of the short-lived project, Noteworthy Paintings in Private Collections </v>
      </c>
    </row>
    <row r="324">
      <c r="A324" s="96" t="str">
        <f>IFERROR(__xludf.DUMMYFUNCTION("""COMPUTED_VALUE"""),"00231")</f>
        <v>00231</v>
      </c>
      <c r="B324" s="94" t="str">
        <f>IFERROR(__xludf.DUMMYFUNCTION("""COMPUTED_VALUE"""),"Jackson, Margaret")</f>
        <v>Jackson, Margaret</v>
      </c>
      <c r="C324" s="94"/>
      <c r="D324" s="94" t="str">
        <f>IFERROR(__xludf.DUMMYFUNCTION("""COMPUTED_VALUE"""),"1888-1975")</f>
        <v>1888-1975</v>
      </c>
      <c r="E324" s="95" t="str">
        <f>IFERROR(__xludf.DUMMYFUNCTION("""COMPUTED_VALUE"""),"American museum professional, first at the Fogg Art Museum at Harvard University and then the Minneapolis Art Museum")</f>
        <v>American museum professional, first at the Fogg Art Museum at Harvard University and then the Minneapolis Art Museum</v>
      </c>
    </row>
    <row r="325">
      <c r="A325" s="96" t="str">
        <f>IFERROR(__xludf.DUMMYFUNCTION("""COMPUTED_VALUE"""),"00517")</f>
        <v>00517</v>
      </c>
      <c r="B325" s="94" t="str">
        <f>IFERROR(__xludf.DUMMYFUNCTION("""COMPUTED_VALUE"""),"James, Henry")</f>
        <v>James, Henry</v>
      </c>
      <c r="C325" s="94"/>
      <c r="D325" s="94" t="str">
        <f>IFERROR(__xludf.DUMMYFUNCTION("""COMPUTED_VALUE"""),"1843-1916")</f>
        <v>1843-1916</v>
      </c>
      <c r="E325" s="95" t="str">
        <f>IFERROR(__xludf.DUMMYFUNCTION("""COMPUTED_VALUE"""),"American-born British author")</f>
        <v>American-born British author</v>
      </c>
    </row>
    <row r="326">
      <c r="A326" s="96" t="str">
        <f>IFERROR(__xludf.DUMMYFUNCTION("""COMPUTED_VALUE"""),"00232")</f>
        <v>00232</v>
      </c>
      <c r="B326" s="94" t="str">
        <f>IFERROR(__xludf.DUMMYFUNCTION("""COMPUTED_VALUE"""),"James, William?")</f>
        <v>James, William?</v>
      </c>
      <c r="C326" s="94"/>
      <c r="D326" s="94" t="str">
        <f>IFERROR(__xludf.DUMMYFUNCTION("""COMPUTED_VALUE"""),"1842-1910")</f>
        <v>1842-1910</v>
      </c>
      <c r="E326" s="95" t="str">
        <f>IFERROR(__xludf.DUMMYFUNCTION("""COMPUTED_VALUE"""),"Professor of Philosophy and Psychology at Harvard University")</f>
        <v>Professor of Philosophy and Psychology at Harvard University</v>
      </c>
    </row>
    <row r="327">
      <c r="A327" s="96" t="str">
        <f>IFERROR(__xludf.DUMMYFUNCTION("""COMPUTED_VALUE"""),"00233")</f>
        <v>00233</v>
      </c>
      <c r="B327" s="94" t="str">
        <f>IFERROR(__xludf.DUMMYFUNCTION("""COMPUTED_VALUE"""),"Jastrow, Morris")</f>
        <v>Jastrow, Morris</v>
      </c>
      <c r="C327" s="94"/>
      <c r="D327" s="94" t="str">
        <f>IFERROR(__xludf.DUMMYFUNCTION("""COMPUTED_VALUE"""),"1861-1921")</f>
        <v>1861-1921</v>
      </c>
      <c r="E327" s="95" t="str">
        <f>IFERROR(__xludf.DUMMYFUNCTION("""COMPUTED_VALUE"""),"Polish-American librarian and scholar of Ancient Babylon and Assyria")</f>
        <v>Polish-American librarian and scholar of Ancient Babylon and Assyria</v>
      </c>
    </row>
    <row r="328">
      <c r="A328" s="96" t="str">
        <f>IFERROR(__xludf.DUMMYFUNCTION("""COMPUTED_VALUE"""),"00234")</f>
        <v>00234</v>
      </c>
      <c r="B328" s="94" t="str">
        <f>IFERROR(__xludf.DUMMYFUNCTION("""COMPUTED_VALUE"""),"Jewett, Rutgers")</f>
        <v>Jewett, Rutgers</v>
      </c>
      <c r="C328" s="94"/>
      <c r="D328" s="94"/>
      <c r="E328" s="95" t="str">
        <f>IFERROR(__xludf.DUMMYFUNCTION("""COMPUTED_VALUE"""),"Literary advisor and head of John Lane Co. publishing house")</f>
        <v>Literary advisor and head of John Lane Co. publishing house</v>
      </c>
    </row>
    <row r="329">
      <c r="A329" s="96" t="str">
        <f>IFERROR(__xludf.DUMMYFUNCTION("""COMPUTED_VALUE"""),"00235")</f>
        <v>00235</v>
      </c>
      <c r="B329" s="94" t="str">
        <f>IFERROR(__xludf.DUMMYFUNCTION("""COMPUTED_VALUE"""),"Jewett, Sarah Orne")</f>
        <v>Jewett, Sarah Orne</v>
      </c>
      <c r="C329" s="94"/>
      <c r="D329" s="94" t="str">
        <f>IFERROR(__xludf.DUMMYFUNCTION("""COMPUTED_VALUE"""),"1849-1909")</f>
        <v>1849-1909</v>
      </c>
      <c r="E329" s="95" t="str">
        <f>IFERROR(__xludf.DUMMYFUNCTION("""COMPUTED_VALUE"""),"American novelist and writer")</f>
        <v>American novelist and writer</v>
      </c>
    </row>
    <row r="330">
      <c r="A330" s="96" t="str">
        <f>IFERROR(__xludf.DUMMYFUNCTION("""COMPUTED_VALUE"""),"00236")</f>
        <v>00236</v>
      </c>
      <c r="B330" s="94" t="str">
        <f>IFERROR(__xludf.DUMMYFUNCTION("""COMPUTED_VALUE"""),"John, Augustus Edwin")</f>
        <v>John, Augustus Edwin</v>
      </c>
      <c r="C330" s="94"/>
      <c r="D330" s="94" t="str">
        <f>IFERROR(__xludf.DUMMYFUNCTION("""COMPUTED_VALUE"""),"1878-1961")</f>
        <v>1878-1961</v>
      </c>
      <c r="E330" s="95" t="str">
        <f>IFERROR(__xludf.DUMMYFUNCTION("""COMPUTED_VALUE"""),"Welsh painter, draughtsman, and etcher")</f>
        <v>Welsh painter, draughtsman, and etcher</v>
      </c>
    </row>
    <row r="331">
      <c r="A331" s="96" t="str">
        <f>IFERROR(__xludf.DUMMYFUNCTION("""COMPUTED_VALUE"""),"00237")</f>
        <v>00237</v>
      </c>
      <c r="B331" s="94" t="str">
        <f>IFERROR(__xludf.DUMMYFUNCTION("""COMPUTED_VALUE"""),"Johns, Agnes Sophia Griffith")</f>
        <v>Johns, Agnes Sophia Griffith</v>
      </c>
      <c r="C331" s="94"/>
      <c r="D331" s="94" t="str">
        <f>IFERROR(__xludf.DUMMYFUNCTION("""COMPUTED_VALUE"""),"1859-1949")</f>
        <v>1859-1949</v>
      </c>
      <c r="E331" s="95" t="str">
        <f>IFERROR(__xludf.DUMMYFUNCTION("""COMPUTED_VALUE"""),"Wife and collaborator of C.H.W. Johns ")</f>
        <v>Wife and collaborator of C.H.W. Johns </v>
      </c>
    </row>
    <row r="332">
      <c r="A332" s="96" t="str">
        <f>IFERROR(__xludf.DUMMYFUNCTION("""COMPUTED_VALUE"""),"00238")</f>
        <v>00238</v>
      </c>
      <c r="B332" s="94" t="str">
        <f>IFERROR(__xludf.DUMMYFUNCTION("""COMPUTED_VALUE"""),"Johns, Claude Hermann Walter")</f>
        <v>Johns, Claude Hermann Walter</v>
      </c>
      <c r="C332" s="94"/>
      <c r="D332" s="94" t="str">
        <f>IFERROR(__xludf.DUMMYFUNCTION("""COMPUTED_VALUE"""),"1857-1920")</f>
        <v>1857-1920</v>
      </c>
      <c r="E332" s="95" t="str">
        <f>IFERROR(__xludf.DUMMYFUNCTION("""COMPUTED_VALUE"""),"Master of Queens College, Cambridge, Anglican minister, and initial cataloguer of Morgan's collection of Babylonian and Assyrian tablets")</f>
        <v>Master of Queens College, Cambridge, Anglican minister, and initial cataloguer of Morgan's collection of Babylonian and Assyrian tablets</v>
      </c>
    </row>
    <row r="333">
      <c r="A333" s="96" t="str">
        <f>IFERROR(__xludf.DUMMYFUNCTION("""COMPUTED_VALUE"""),"00243")</f>
        <v>00243</v>
      </c>
      <c r="B333" s="94" t="str">
        <f>IFERROR(__xludf.DUMMYFUNCTION("""COMPUTED_VALUE"""),"Johnson, John Graver")</f>
        <v>Johnson, John Graver</v>
      </c>
      <c r="C333" s="94"/>
      <c r="D333" s="94" t="str">
        <f>IFERROR(__xludf.DUMMYFUNCTION("""COMPUTED_VALUE"""),"1841-1917")</f>
        <v>1841-1917</v>
      </c>
      <c r="E333" s="95" t="str">
        <f>IFERROR(__xludf.DUMMYFUNCTION("""COMPUTED_VALUE"""),"Philadelphia corporate lawyer and collector of Italian Renaissance painting")</f>
        <v>Philadelphia corporate lawyer and collector of Italian Renaissance painting</v>
      </c>
    </row>
    <row r="334">
      <c r="A334" s="96" t="str">
        <f>IFERROR(__xludf.DUMMYFUNCTION("""COMPUTED_VALUE"""),"00492")</f>
        <v>00492</v>
      </c>
      <c r="B334" s="94" t="str">
        <f>IFERROR(__xludf.DUMMYFUNCTION("""COMPUTED_VALUE"""),"Johnson, Owen")</f>
        <v>Johnson, Owen</v>
      </c>
      <c r="C334" s="94"/>
      <c r="D334" s="94" t="str">
        <f>IFERROR(__xludf.DUMMYFUNCTION("""COMPUTED_VALUE"""),"1878-1952")</f>
        <v>1878-1952</v>
      </c>
      <c r="E334" s="95" t="str">
        <f>IFERROR(__xludf.DUMMYFUNCTION("""COMPUTED_VALUE"""),"American writer; husband of Esther Cobina")</f>
        <v>American writer; husband of Esther Cobina</v>
      </c>
    </row>
    <row r="335">
      <c r="A335" s="96" t="str">
        <f>IFERROR(__xludf.DUMMYFUNCTION("""COMPUTED_VALUE"""),"00554")</f>
        <v>00554</v>
      </c>
      <c r="B335" s="94" t="str">
        <f>IFERROR(__xludf.DUMMYFUNCTION("""COMPUTED_VALUE"""),"Johnson, Robert Underwood")</f>
        <v>Johnson, Robert Underwood</v>
      </c>
      <c r="C335" s="94" t="str">
        <f>IFERROR(__xludf.DUMMYFUNCTION("""COMPUTED_VALUE"""),"Robert Underwear")</f>
        <v>Robert Underwear</v>
      </c>
      <c r="D335" s="94" t="str">
        <f>IFERROR(__xludf.DUMMYFUNCTION("""COMPUTED_VALUE"""),"1853-1937")</f>
        <v>1853-1937</v>
      </c>
      <c r="E335" s="95" t="str">
        <f>IFERROR(__xludf.DUMMYFUNCTION("""COMPUTED_VALUE"""),"American writer, poet, and diplomat; US Ambassador to Italy (1920-1921); father of Owen Johnson")</f>
        <v>American writer, poet, and diplomat; US Ambassador to Italy (1920-1921); father of Owen Johnson</v>
      </c>
    </row>
    <row r="336">
      <c r="A336" s="96" t="str">
        <f>IFERROR(__xludf.DUMMYFUNCTION("""COMPUTED_VALUE"""),"00239")</f>
        <v>00239</v>
      </c>
      <c r="B336" s="94" t="str">
        <f>IFERROR(__xludf.DUMMYFUNCTION("""COMPUTED_VALUE"""),"Johnstone, Lady Antoinette")</f>
        <v>Johnstone, Lady Antoinette</v>
      </c>
      <c r="C336" s="94"/>
      <c r="D336" s="94" t="str">
        <f>IFERROR(__xludf.DUMMYFUNCTION("""COMPUTED_VALUE"""),"1868-1934")</f>
        <v>1868-1934</v>
      </c>
      <c r="E336" s="95" t="str">
        <f>IFERROR(__xludf.DUMMYFUNCTION("""COMPUTED_VALUE"""),"One of JPM's mistresses, friend of BG; née Antoinette Pinchot; wife of Sir Alan Johnstone")</f>
        <v>One of JPM's mistresses, friend of BG; née Antoinette Pinchot; wife of Sir Alan Johnstone</v>
      </c>
    </row>
    <row r="337">
      <c r="A337" s="96" t="str">
        <f>IFERROR(__xludf.DUMMYFUNCTION("""COMPUTED_VALUE"""),"00240")</f>
        <v>00240</v>
      </c>
      <c r="B337" s="94" t="str">
        <f>IFERROR(__xludf.DUMMYFUNCTION("""COMPUTED_VALUE"""),"Jones, Alfred")</f>
        <v>Jones, Alfred</v>
      </c>
      <c r="C337" s="94"/>
      <c r="D337" s="94" t="str">
        <f>IFERROR(__xludf.DUMMYFUNCTION("""COMPUTED_VALUE"""),"1872-1943")</f>
        <v>1872-1943</v>
      </c>
      <c r="E337" s="95" t="str">
        <f>IFERROR(__xludf.DUMMYFUNCTION("""COMPUTED_VALUE"""),"British historian, antiquarian, and writer who catalogued many British collections")</f>
        <v>British historian, antiquarian, and writer who catalogued many British collections</v>
      </c>
    </row>
    <row r="338">
      <c r="A338" s="96" t="str">
        <f>IFERROR(__xludf.DUMMYFUNCTION("""COMPUTED_VALUE"""),"00241")</f>
        <v>00241</v>
      </c>
      <c r="B338" s="94" t="str">
        <f>IFERROR(__xludf.DUMMYFUNCTION("""COMPUTED_VALUE"""),"Jones, Evelyn Alice Grey")</f>
        <v>Jones, Evelyn Alice Grey</v>
      </c>
      <c r="C338" s="94" t="str">
        <f>IFERROR(__xludf.DUMMYFUNCTION("""COMPUTED_VALUE"""),"Alice")</f>
        <v>Alice</v>
      </c>
      <c r="D338" s="94" t="str">
        <f>IFERROR(__xludf.DUMMYFUNCTION("""COMPUTED_VALUE"""),"1886-1971")</f>
        <v>1886-1971</v>
      </c>
      <c r="E338" s="95" t="str">
        <f>IFERROR(__xludf.DUMMYFUNCTION("""COMPUTED_VALUE"""),"Daughter of Albert Henry George Grey")</f>
        <v>Daughter of Albert Henry George Grey</v>
      </c>
    </row>
    <row r="339">
      <c r="A339" s="96" t="str">
        <f>IFERROR(__xludf.DUMMYFUNCTION("""COMPUTED_VALUE"""),"00242")</f>
        <v>00242</v>
      </c>
      <c r="B339" s="94" t="str">
        <f>IFERROR(__xludf.DUMMYFUNCTION("""COMPUTED_VALUE"""),"Jones, Mary Cadwalader Rawle")</f>
        <v>Jones, Mary Cadwalader Rawle</v>
      </c>
      <c r="C339" s="94"/>
      <c r="D339" s="94" t="str">
        <f>IFERROR(__xludf.DUMMYFUNCTION("""COMPUTED_VALUE"""),"1850-1935")</f>
        <v>1850-1935</v>
      </c>
      <c r="E339" s="95" t="str">
        <f>IFERROR(__xludf.DUMMYFUNCTION("""COMPUTED_VALUE"""),"Sister-in-law of Edith Wharton")</f>
        <v>Sister-in-law of Edith Wharton</v>
      </c>
    </row>
    <row r="340">
      <c r="A340" s="96" t="str">
        <f>IFERROR(__xludf.DUMMYFUNCTION("""COMPUTED_VALUE"""),"00244")</f>
        <v>00244</v>
      </c>
      <c r="B340" s="94" t="str">
        <f>IFERROR(__xludf.DUMMYFUNCTION("""COMPUTED_VALUE"""),"Justi, Ludwig")</f>
        <v>Justi, Ludwig</v>
      </c>
      <c r="C340" s="94"/>
      <c r="D340" s="94" t="str">
        <f>IFERROR(__xludf.DUMMYFUNCTION("""COMPUTED_VALUE"""),"1876-1957")</f>
        <v>1876-1957</v>
      </c>
      <c r="E340" s="95" t="str">
        <f>IFERROR(__xludf.DUMMYFUNCTION("""COMPUTED_VALUE"""),"German art historian and Director of the National Gallery of Berlin, 1909-1933")</f>
        <v>German art historian and Director of the National Gallery of Berlin, 1909-1933</v>
      </c>
    </row>
    <row r="341">
      <c r="A341" s="96" t="str">
        <f>IFERROR(__xludf.DUMMYFUNCTION("""COMPUTED_VALUE"""),"00245")</f>
        <v>00245</v>
      </c>
      <c r="B341" s="94" t="str">
        <f>IFERROR(__xludf.DUMMYFUNCTION("""COMPUTED_VALUE"""),"Kahn, Otto Hermann")</f>
        <v>Kahn, Otto Hermann</v>
      </c>
      <c r="C341" s="94"/>
      <c r="D341" s="94" t="str">
        <f>IFERROR(__xludf.DUMMYFUNCTION("""COMPUTED_VALUE"""),"1867-1934")</f>
        <v>1867-1934</v>
      </c>
      <c r="E341" s="95" t="str">
        <f>IFERROR(__xludf.DUMMYFUNCTION("""COMPUTED_VALUE"""),"German-American investment banker, collector, philanthropist and patron of the arts who was president and chairman of the board of directors of the Metropolitan Opera House")</f>
        <v>German-American investment banker, collector, philanthropist and patron of the arts who was president and chairman of the board of directors of the Metropolitan Opera House</v>
      </c>
    </row>
    <row r="342">
      <c r="A342" s="96" t="str">
        <f>IFERROR(__xludf.DUMMYFUNCTION("""COMPUTED_VALUE"""),"00246")</f>
        <v>00246</v>
      </c>
      <c r="B342" s="94" t="str">
        <f>IFERROR(__xludf.DUMMYFUNCTION("""COMPUTED_VALUE"""),"Kann, Maurice")</f>
        <v>Kann, Maurice</v>
      </c>
      <c r="C342" s="94"/>
      <c r="D342" s="94" t="str">
        <f>IFERROR(__xludf.DUMMYFUNCTION("""COMPUTED_VALUE"""),"1839-1906")</f>
        <v>1839-1906</v>
      </c>
      <c r="E342" s="95" t="str">
        <f>IFERROR(__xludf.DUMMYFUNCTION("""COMPUTED_VALUE"""),"German banker and art collector, brother of Rudolphe Kann")</f>
        <v>German banker and art collector, brother of Rudolphe Kann</v>
      </c>
    </row>
    <row r="343">
      <c r="A343" s="96" t="str">
        <f>IFERROR(__xludf.DUMMYFUNCTION("""COMPUTED_VALUE"""),"00247")</f>
        <v>00247</v>
      </c>
      <c r="B343" s="94" t="str">
        <f>IFERROR(__xludf.DUMMYFUNCTION("""COMPUTED_VALUE"""),"Kann, Rodolphe")</f>
        <v>Kann, Rodolphe</v>
      </c>
      <c r="C343" s="94" t="str">
        <f>IFERROR(__xludf.DUMMYFUNCTION("""COMPUTED_VALUE"""),"R. K.")</f>
        <v>R. K.</v>
      </c>
      <c r="D343" s="94" t="str">
        <f>IFERROR(__xludf.DUMMYFUNCTION("""COMPUTED_VALUE"""),"1845-1905")</f>
        <v>1845-1905</v>
      </c>
      <c r="E343" s="95" t="str">
        <f>IFERROR(__xludf.DUMMYFUNCTION("""COMPUTED_VALUE"""),"German banker and art collector, brother of Maurice Kann")</f>
        <v>German banker and art collector, brother of Maurice Kann</v>
      </c>
    </row>
    <row r="344">
      <c r="A344" s="96" t="str">
        <f>IFERROR(__xludf.DUMMYFUNCTION("""COMPUTED_VALUE"""),"00493")</f>
        <v>00493</v>
      </c>
      <c r="B344" s="94" t="str">
        <f>IFERROR(__xludf.DUMMYFUNCTION("""COMPUTED_VALUE"""),"Karabacek, Joseph von")</f>
        <v>Karabacek, Joseph von</v>
      </c>
      <c r="C344" s="94"/>
      <c r="D344" s="94" t="str">
        <f>IFERROR(__xludf.DUMMYFUNCTION("""COMPUTED_VALUE"""),"1845-1918")</f>
        <v>1845-1918</v>
      </c>
      <c r="E344" s="95" t="str">
        <f>IFERROR(__xludf.DUMMYFUNCTION("""COMPUTED_VALUE"""),"Austrian orientalist and library director")</f>
        <v>Austrian orientalist and library director</v>
      </c>
    </row>
    <row r="345">
      <c r="A345" s="96" t="str">
        <f>IFERROR(__xludf.DUMMYFUNCTION("""COMPUTED_VALUE"""),"00248")</f>
        <v>00248</v>
      </c>
      <c r="B345" s="94" t="str">
        <f>IFERROR(__xludf.DUMMYFUNCTION("""COMPUTED_VALUE"""),"Kelsey, Francis W.")</f>
        <v>Kelsey, Francis W.</v>
      </c>
      <c r="C345" s="94"/>
      <c r="D345" s="94" t="str">
        <f>IFERROR(__xludf.DUMMYFUNCTION("""COMPUTED_VALUE"""),"1858-1927")</f>
        <v>1858-1927</v>
      </c>
      <c r="E345" s="95" t="str">
        <f>IFERROR(__xludf.DUMMYFUNCTION("""COMPUTED_VALUE"""),"American professor, scholar, archaeologist, and collector of antiquities")</f>
        <v>American professor, scholar, archaeologist, and collector of antiquities</v>
      </c>
    </row>
    <row r="346">
      <c r="A346" s="96" t="str">
        <f>IFERROR(__xludf.DUMMYFUNCTION("""COMPUTED_VALUE"""),"00249")</f>
        <v>00249</v>
      </c>
      <c r="B346" s="94" t="str">
        <f>IFERROR(__xludf.DUMMYFUNCTION("""COMPUTED_VALUE"""),"Kennerly, Mitchell")</f>
        <v>Kennerly, Mitchell</v>
      </c>
      <c r="C346" s="94"/>
      <c r="D346" s="94" t="str">
        <f>IFERROR(__xludf.DUMMYFUNCTION("""COMPUTED_VALUE"""),"1878-1950")</f>
        <v>1878-1950</v>
      </c>
      <c r="E346" s="95" t="str">
        <f>IFERROR(__xludf.DUMMYFUNCTION("""COMPUTED_VALUE"""),"American publisher, editor, and gallery owner")</f>
        <v>American publisher, editor, and gallery owner</v>
      </c>
    </row>
    <row r="347">
      <c r="A347" s="96" t="str">
        <f>IFERROR(__xludf.DUMMYFUNCTION("""COMPUTED_VALUE"""),"00250")</f>
        <v>00250</v>
      </c>
      <c r="B347" s="94" t="str">
        <f>IFERROR(__xludf.DUMMYFUNCTION("""COMPUTED_VALUE"""),"Kent, Henry Watson")</f>
        <v>Kent, Henry Watson</v>
      </c>
      <c r="C347" s="94"/>
      <c r="D347" s="94" t="str">
        <f>IFERROR(__xludf.DUMMYFUNCTION("""COMPUTED_VALUE"""),"1866-1948")</f>
        <v>1866-1948</v>
      </c>
      <c r="E347" s="95" t="str">
        <f>IFERROR(__xludf.DUMMYFUNCTION("""COMPUTED_VALUE"""),"American librarian at the Grolier Club (1900-1903) and then as an administrator at the Metropolitan (1905-1940), after having been considered for BG's position as Assistant Librarian for JPM")</f>
        <v>American librarian at the Grolier Club (1900-1903) and then as an administrator at the Metropolitan (1905-1940), after having been considered for BG's position as Assistant Librarian for JPM</v>
      </c>
    </row>
    <row r="348">
      <c r="A348" s="96" t="str">
        <f>IFERROR(__xludf.DUMMYFUNCTION("""COMPUTED_VALUE"""),"00251")</f>
        <v>00251</v>
      </c>
      <c r="B348" s="94" t="str">
        <f>IFERROR(__xludf.DUMMYFUNCTION("""COMPUTED_VALUE"""),"Kidder, Kathryn")</f>
        <v>Kidder, Kathryn</v>
      </c>
      <c r="C348" s="94"/>
      <c r="D348" s="94" t="str">
        <f>IFERROR(__xludf.DUMMYFUNCTION("""COMPUTED_VALUE"""),"1868-1939")</f>
        <v>1868-1939</v>
      </c>
      <c r="E348" s="95" t="str">
        <f>IFERROR(__xludf.DUMMYFUNCTION("""COMPUTED_VALUE"""),"American actress and wife of Louis Anspacher")</f>
        <v>American actress and wife of Louis Anspacher</v>
      </c>
    </row>
    <row r="349">
      <c r="A349" s="96" t="str">
        <f>IFERROR(__xludf.DUMMYFUNCTION("""COMPUTED_VALUE"""),"00252")</f>
        <v>00252</v>
      </c>
      <c r="B349" s="94" t="str">
        <f>IFERROR(__xludf.DUMMYFUNCTION("""COMPUTED_VALUE"""),"King, Charles W. ")</f>
        <v>King, Charles W. </v>
      </c>
      <c r="C349" s="94"/>
      <c r="D349" s="94" t="str">
        <f>IFERROR(__xludf.DUMMYFUNCTION("""COMPUTED_VALUE"""),"1849-1920")</f>
        <v>1849-1920</v>
      </c>
      <c r="E349" s="95" t="str">
        <f>IFERROR(__xludf.DUMMYFUNCTION("""COMPUTED_VALUE"""),"J.P. Morgan's Secretary")</f>
        <v>J.P. Morgan's Secretary</v>
      </c>
    </row>
    <row r="350">
      <c r="A350" s="96" t="str">
        <f>IFERROR(__xludf.DUMMYFUNCTION("""COMPUTED_VALUE"""),"00254")</f>
        <v>00254</v>
      </c>
      <c r="B350" s="94" t="str">
        <f>IFERROR(__xludf.DUMMYFUNCTION("""COMPUTED_VALUE"""),"Knecht, Marcel")</f>
        <v>Knecht, Marcel</v>
      </c>
      <c r="C350" s="94"/>
      <c r="D350" s="94"/>
      <c r="E350" s="95" t="str">
        <f>IFERROR(__xludf.DUMMYFUNCTION("""COMPUTED_VALUE"""),"French politician, editor of Le Matin, and director of the French Information Bureau")</f>
        <v>French politician, editor of Le Matin, and director of the French Information Bureau</v>
      </c>
    </row>
    <row r="351">
      <c r="A351" s="96" t="str">
        <f>IFERROR(__xludf.DUMMYFUNCTION("""COMPUTED_VALUE"""),"00486")</f>
        <v>00486</v>
      </c>
      <c r="B351" s="94" t="str">
        <f>IFERROR(__xludf.DUMMYFUNCTION("""COMPUTED_VALUE"""),"Kneisel, Franz")</f>
        <v>Kneisel, Franz</v>
      </c>
      <c r="C351" s="94"/>
      <c r="D351" s="94" t="str">
        <f>IFERROR(__xludf.DUMMYFUNCTION("""COMPUTED_VALUE"""),"1865-1926")</f>
        <v>1865-1926</v>
      </c>
      <c r="E351" s="95" t="str">
        <f>IFERROR(__xludf.DUMMYFUNCTION("""COMPUTED_VALUE"""),"Violinist ")</f>
        <v>Violinist </v>
      </c>
    </row>
    <row r="352">
      <c r="A352" s="96" t="str">
        <f>IFERROR(__xludf.DUMMYFUNCTION("""COMPUTED_VALUE"""),"00255")</f>
        <v>00255</v>
      </c>
      <c r="B352" s="94" t="str">
        <f>IFERROR(__xludf.DUMMYFUNCTION("""COMPUTED_VALUE"""),"Knoblauch, Charles E.")</f>
        <v>Knoblauch, Charles E.</v>
      </c>
      <c r="C352" s="94" t="str">
        <f>IFERROR(__xludf.DUMMYFUNCTION("""COMPUTED_VALUE"""),"Charlie")</f>
        <v>Charlie</v>
      </c>
      <c r="D352" s="94" t="str">
        <f>IFERROR(__xludf.DUMMYFUNCTION("""COMPUTED_VALUE"""),"1870-1934")</f>
        <v>1870-1934</v>
      </c>
      <c r="E352" s="95" t="str">
        <f>IFERROR(__xludf.DUMMYFUNCTION("""COMPUTED_VALUE"""),"Broker on the New York Stock Exchange and husband of Mary Knoblauch")</f>
        <v>Broker on the New York Stock Exchange and husband of Mary Knoblauch</v>
      </c>
    </row>
    <row r="353">
      <c r="A353" s="96" t="str">
        <f>IFERROR(__xludf.DUMMYFUNCTION("""COMPUTED_VALUE"""),"00256")</f>
        <v>00256</v>
      </c>
      <c r="B353" s="94" t="str">
        <f>IFERROR(__xludf.DUMMYFUNCTION("""COMPUTED_VALUE"""),"Knoblauch, Mary Bookstaver")</f>
        <v>Knoblauch, Mary Bookstaver</v>
      </c>
      <c r="C353" s="94" t="str">
        <f>IFERROR(__xludf.DUMMYFUNCTION("""COMPUTED_VALUE"""),"Mrs. Knoblauch")</f>
        <v>Mrs. Knoblauch</v>
      </c>
      <c r="D353" s="94" t="str">
        <f>IFERROR(__xludf.DUMMYFUNCTION("""COMPUTED_VALUE"""),"1875-1950")</f>
        <v>1875-1950</v>
      </c>
      <c r="E353" s="95" t="str">
        <f>IFERROR(__xludf.DUMMYFUNCTION("""COMPUTED_VALUE"""),"American feminist, political activist, and editor who played essential role getting Gertrude Stein's ""word portraits"" of Matisse and Picasso published in Camera Work")</f>
        <v>American feminist, political activist, and editor who played essential role getting Gertrude Stein's "word portraits" of Matisse and Picasso published in Camera Work</v>
      </c>
    </row>
    <row r="354">
      <c r="A354" s="96" t="str">
        <f>IFERROR(__xludf.DUMMYFUNCTION("""COMPUTED_VALUE"""),"00257")</f>
        <v>00257</v>
      </c>
      <c r="B354" s="94" t="str">
        <f>IFERROR(__xludf.DUMMYFUNCTION("""COMPUTED_VALUE"""),"Knoedler, Roland")</f>
        <v>Knoedler, Roland</v>
      </c>
      <c r="C354" s="94"/>
      <c r="D354" s="94" t="str">
        <f>IFERROR(__xludf.DUMMYFUNCTION("""COMPUTED_VALUE"""),"1856-1932")</f>
        <v>1856-1932</v>
      </c>
      <c r="E354" s="95" t="str">
        <f>IFERROR(__xludf.DUMMYFUNCTION("""COMPUTED_VALUE"""),"Son of Michel Knoedler and head of Knoedler &amp; Co. galleries along with Charles Carstairs")</f>
        <v>Son of Michel Knoedler and head of Knoedler &amp; Co. galleries along with Charles Carstairs</v>
      </c>
    </row>
    <row r="355">
      <c r="A355" s="96" t="str">
        <f>IFERROR(__xludf.DUMMYFUNCTION("""COMPUTED_VALUE"""),"00258")</f>
        <v>00258</v>
      </c>
      <c r="B355" s="94" t="str">
        <f>IFERROR(__xludf.DUMMYFUNCTION("""COMPUTED_VALUE"""),"Kreisler, Fritz")</f>
        <v>Kreisler, Fritz</v>
      </c>
      <c r="C355" s="94"/>
      <c r="D355" s="94" t="str">
        <f>IFERROR(__xludf.DUMMYFUNCTION("""COMPUTED_VALUE"""),"1875-1962")</f>
        <v>1875-1962</v>
      </c>
      <c r="E355" s="95" t="str">
        <f>IFERROR(__xludf.DUMMYFUNCTION("""COMPUTED_VALUE"""),"Austrian-born American vioinist and composer; friend of BG")</f>
        <v>Austrian-born American vioinist and composer; friend of BG</v>
      </c>
    </row>
    <row r="356">
      <c r="A356" s="96" t="str">
        <f>IFERROR(__xludf.DUMMYFUNCTION("""COMPUTED_VALUE"""),"00259")</f>
        <v>00259</v>
      </c>
      <c r="B356" s="94" t="str">
        <f>IFERROR(__xludf.DUMMYFUNCTION("""COMPUTED_VALUE"""),"La Farge, John")</f>
        <v>La Farge, John</v>
      </c>
      <c r="C356" s="94"/>
      <c r="D356" s="94" t="str">
        <f>IFERROR(__xludf.DUMMYFUNCTION("""COMPUTED_VALUE"""),"1835-1910")</f>
        <v>1835-1910</v>
      </c>
      <c r="E356" s="95" t="str">
        <f>IFERROR(__xludf.DUMMYFUNCTION("""COMPUTED_VALUE"""),"American painter, muralist, and stained-glass designer")</f>
        <v>American painter, muralist, and stained-glass designer</v>
      </c>
    </row>
    <row r="357">
      <c r="A357" s="96" t="str">
        <f>IFERROR(__xludf.DUMMYFUNCTION("""COMPUTED_VALUE"""),"00566")</f>
        <v>00566</v>
      </c>
      <c r="B357" s="94" t="str">
        <f>IFERROR(__xludf.DUMMYFUNCTION("""COMPUTED_VALUE"""),"La Grange")</f>
        <v>La Grange</v>
      </c>
      <c r="C357" s="94"/>
      <c r="D357" s="94"/>
      <c r="E357" s="95" t="str">
        <f>IFERROR(__xludf.DUMMYFUNCTION("""COMPUTED_VALUE"""),"Described by BG as ""very young and very charming"" (2/27/14)")</f>
        <v>Described by BG as "very young and very charming" (2/27/14)</v>
      </c>
    </row>
    <row r="358">
      <c r="A358" s="96" t="str">
        <f>IFERROR(__xludf.DUMMYFUNCTION("""COMPUTED_VALUE"""),"00528")</f>
        <v>00528</v>
      </c>
      <c r="B358" s="94" t="str">
        <f>IFERROR(__xludf.DUMMYFUNCTION("""COMPUTED_VALUE"""),"Laborde, Léon-Joseph-Alexandre de")</f>
        <v>Laborde, Léon-Joseph-Alexandre de</v>
      </c>
      <c r="C358" s="94" t="str">
        <f>IFERROR(__xludf.DUMMYFUNCTION("""COMPUTED_VALUE"""),"Count Delaborde")</f>
        <v>Count Delaborde</v>
      </c>
      <c r="D358" s="94" t="str">
        <f>IFERROR(__xludf.DUMMYFUNCTION("""COMPUTED_VALUE"""),"1853-1944")</f>
        <v>1853-1944</v>
      </c>
      <c r="E358" s="95" t="str">
        <f>IFERROR(__xludf.DUMMYFUNCTION("""COMPUTED_VALUE"""),"French officer, archaeologist, and bibliophile")</f>
        <v>French officer, archaeologist, and bibliophile</v>
      </c>
    </row>
    <row r="359">
      <c r="A359" s="96" t="str">
        <f>IFERROR(__xludf.DUMMYFUNCTION("""COMPUTED_VALUE"""),"00610")</f>
        <v>00610</v>
      </c>
      <c r="B359" s="94" t="str">
        <f>IFERROR(__xludf.DUMMYFUNCTION("""COMPUTED_VALUE"""),"Lady Laird")</f>
        <v>Lady Laird</v>
      </c>
      <c r="C359" s="94"/>
      <c r="D359" s="94"/>
      <c r="E359" s="95" t="str">
        <f>IFERROR(__xludf.DUMMYFUNCTION("""COMPUTED_VALUE"""),"Unidentified Scottish noblewoman")</f>
        <v>Unidentified Scottish noblewoman</v>
      </c>
    </row>
    <row r="360">
      <c r="A360" s="96" t="str">
        <f>IFERROR(__xludf.DUMMYFUNCTION("""COMPUTED_VALUE"""),"00260")</f>
        <v>00260</v>
      </c>
      <c r="B360" s="94" t="str">
        <f>IFERROR(__xludf.DUMMYFUNCTION("""COMPUTED_VALUE"""),"Laffan, Georgiana Radcliffe")</f>
        <v>Laffan, Georgiana Radcliffe</v>
      </c>
      <c r="C360" s="94" t="str">
        <f>IFERROR(__xludf.DUMMYFUNCTION("""COMPUTED_VALUE"""),"Mrs. Laffan")</f>
        <v>Mrs. Laffan</v>
      </c>
      <c r="D360" s="94">
        <f>IFERROR(__xludf.DUMMYFUNCTION("""COMPUTED_VALUE"""),-1924.0)</f>
        <v>-1924</v>
      </c>
      <c r="E360" s="95" t="str">
        <f>IFERROR(__xludf.DUMMYFUNCTION("""COMPUTED_VALUE"""),"Wife of William Laffan")</f>
        <v>Wife of William Laffan</v>
      </c>
    </row>
    <row r="361">
      <c r="A361" s="96" t="str">
        <f>IFERROR(__xludf.DUMMYFUNCTION("""COMPUTED_VALUE"""),"00261")</f>
        <v>00261</v>
      </c>
      <c r="B361" s="94" t="str">
        <f>IFERROR(__xludf.DUMMYFUNCTION("""COMPUTED_VALUE"""),"Laffan, William Mackay")</f>
        <v>Laffan, William Mackay</v>
      </c>
      <c r="C361" s="94"/>
      <c r="D361" s="94" t="str">
        <f>IFERROR(__xludf.DUMMYFUNCTION("""COMPUTED_VALUE"""),"1848-1909")</f>
        <v>1848-1909</v>
      </c>
      <c r="E361" s="95" t="str">
        <f>IFERROR(__xludf.DUMMYFUNCTION("""COMPUTED_VALUE"""),"Publisher and editor of the New York Sun, art advisor to J.P. Morgan, and author of 1907 Catalogue of J.P. Morgan's collection of Chinese porcelain")</f>
        <v>Publisher and editor of the New York Sun, art advisor to J.P. Morgan, and author of 1907 Catalogue of J.P. Morgan's collection of Chinese porcelain</v>
      </c>
    </row>
    <row r="362">
      <c r="A362" s="96" t="str">
        <f>IFERROR(__xludf.DUMMYFUNCTION("""COMPUTED_VALUE"""),"00262")</f>
        <v>00262</v>
      </c>
      <c r="B362" s="94" t="str">
        <f>IFERROR(__xludf.DUMMYFUNCTION("""COMPUTED_VALUE"""),"Lamar, David")</f>
        <v>Lamar, David</v>
      </c>
      <c r="C362" s="94"/>
      <c r="D362" s="94" t="str">
        <f>IFERROR(__xludf.DUMMYFUNCTION("""COMPUTED_VALUE"""),"c. 1877-1934")</f>
        <v>c. 1877-1934</v>
      </c>
      <c r="E362" s="95" t="str">
        <f>IFERROR(__xludf.DUMMYFUNCTION("""COMPUTED_VALUE"""),"Con man and so-called ""Wolf of Wall Street""")</f>
        <v>Con man and so-called "Wolf of Wall Street"</v>
      </c>
    </row>
    <row r="363">
      <c r="A363" s="96" t="str">
        <f>IFERROR(__xludf.DUMMYFUNCTION("""COMPUTED_VALUE"""),"00541")</f>
        <v>00541</v>
      </c>
      <c r="B363" s="94" t="str">
        <f>IFERROR(__xludf.DUMMYFUNCTION("""COMPUTED_VALUE"""),"Lane, John")</f>
        <v>Lane, John</v>
      </c>
      <c r="C363" s="94"/>
      <c r="D363" s="94" t="str">
        <f>IFERROR(__xludf.DUMMYFUNCTION("""COMPUTED_VALUE"""),"1854-1925")</f>
        <v>1854-1925</v>
      </c>
      <c r="E363" s="95" t="str">
        <f>IFERROR(__xludf.DUMMYFUNCTION("""COMPUTED_VALUE"""),"British publisher; co-founder of The Bodley Head")</f>
        <v>British publisher; co-founder of The Bodley Head</v>
      </c>
    </row>
    <row r="364">
      <c r="A364" s="96" t="str">
        <f>IFERROR(__xludf.DUMMYFUNCTION("""COMPUTED_VALUE"""),"00496")</f>
        <v>00496</v>
      </c>
      <c r="B364" s="94" t="str">
        <f>IFERROR(__xludf.DUMMYFUNCTION("""COMPUTED_VALUE"""),"Lang, Andrew")</f>
        <v>Lang, Andrew</v>
      </c>
      <c r="C364" s="94"/>
      <c r="D364" s="94" t="str">
        <f>IFERROR(__xludf.DUMMYFUNCTION("""COMPUTED_VALUE"""),"1844-1912")</f>
        <v>1844-1912</v>
      </c>
      <c r="E364" s="95" t="str">
        <f>IFERROR(__xludf.DUMMYFUNCTION("""COMPUTED_VALUE"""),"Scottish poet and novelist; collector of folk and fairy tales")</f>
        <v>Scottish poet and novelist; collector of folk and fairy tales</v>
      </c>
    </row>
    <row r="365">
      <c r="A365" s="96" t="str">
        <f>IFERROR(__xludf.DUMMYFUNCTION("""COMPUTED_VALUE"""),"00263")</f>
        <v>00263</v>
      </c>
      <c r="B365" s="94" t="str">
        <f>IFERROR(__xludf.DUMMYFUNCTION("""COMPUTED_VALUE"""),"Lanier, Charles")</f>
        <v>Lanier, Charles</v>
      </c>
      <c r="C365" s="94" t="str">
        <f>IFERROR(__xludf.DUMMYFUNCTION("""COMPUTED_VALUE"""),"Charlie")</f>
        <v>Charlie</v>
      </c>
      <c r="D365" s="94" t="str">
        <f>IFERROR(__xludf.DUMMYFUNCTION("""COMPUTED_VALUE"""),"1837-1926")</f>
        <v>1837-1926</v>
      </c>
      <c r="E365" s="95" t="str">
        <f>IFERROR(__xludf.DUMMYFUNCTION("""COMPUTED_VALUE"""),"American banker and railroad industrialist, friend of J.P. Morgan")</f>
        <v>American banker and railroad industrialist, friend of J.P. Morgan</v>
      </c>
    </row>
    <row r="366">
      <c r="A366" s="96" t="str">
        <f>IFERROR(__xludf.DUMMYFUNCTION("""COMPUTED_VALUE"""),"00563")</f>
        <v>00563</v>
      </c>
      <c r="B366" s="94" t="str">
        <f>IFERROR(__xludf.DUMMYFUNCTION("""COMPUTED_VALUE"""),"Lanier, Mrs.")</f>
        <v>Lanier, Mrs.</v>
      </c>
      <c r="C366" s="94"/>
      <c r="D366" s="94"/>
      <c r="E366" s="95" t="str">
        <f>IFERROR(__xludf.DUMMYFUNCTION("""COMPUTED_VALUE"""),"Sarah Elizabeth Lanier died in 1898. Perhaps this is one of her daughters")</f>
        <v>Sarah Elizabeth Lanier died in 1898. Perhaps this is one of her daughters</v>
      </c>
    </row>
    <row r="367">
      <c r="A367" s="96" t="str">
        <f>IFERROR(__xludf.DUMMYFUNCTION("""COMPUTED_VALUE"""),"00264")</f>
        <v>00264</v>
      </c>
      <c r="B367" s="94" t="str">
        <f>IFERROR(__xludf.DUMMYFUNCTION("""COMPUTED_VALUE"""),"Laufer, Berthold")</f>
        <v>Laufer, Berthold</v>
      </c>
      <c r="C367" s="94"/>
      <c r="D367" s="94" t="str">
        <f>IFERROR(__xludf.DUMMYFUNCTION("""COMPUTED_VALUE"""),"1874-1934")</f>
        <v>1874-1934</v>
      </c>
      <c r="E367" s="95" t="str">
        <f>IFERROR(__xludf.DUMMYFUNCTION("""COMPUTED_VALUE"""),"German anthropologist with focus on Eastern Asia; worked at American Museum of Natural History, Columbia University, and the Field Museum in Chicago")</f>
        <v>German anthropologist with focus on Eastern Asia; worked at American Museum of Natural History, Columbia University, and the Field Museum in Chicago</v>
      </c>
    </row>
    <row r="368">
      <c r="A368" s="96" t="str">
        <f>IFERROR(__xludf.DUMMYFUNCTION("""COMPUTED_VALUE"""),"00265")</f>
        <v>00265</v>
      </c>
      <c r="B368" s="94" t="str">
        <f>IFERROR(__xludf.DUMMYFUNCTION("""COMPUTED_VALUE"""),"Lawlor, Lillie")</f>
        <v>Lawlor, Lillie</v>
      </c>
      <c r="C368" s="94"/>
      <c r="D368" s="94" t="str">
        <f>IFERROR(__xludf.DUMMYFUNCTION("""COMPUTED_VALUE"""),"1868-1936")</f>
        <v>1868-1936</v>
      </c>
      <c r="E368" s="95" t="str">
        <f>IFERROR(__xludf.DUMMYFUNCTION("""COMPUTED_VALUE"""),"American singer who lived in Paris")</f>
        <v>American singer who lived in Paris</v>
      </c>
    </row>
    <row r="369">
      <c r="A369" s="96" t="str">
        <f>IFERROR(__xludf.DUMMYFUNCTION("""COMPUTED_VALUE"""),"00266")</f>
        <v>00266</v>
      </c>
      <c r="B369" s="94" t="str">
        <f>IFERROR(__xludf.DUMMYFUNCTION("""COMPUTED_VALUE"""),"Lawrence, Julia Cunningham")</f>
        <v>Lawrence, Julia Cunningham</v>
      </c>
      <c r="C369" s="94"/>
      <c r="D369" s="94" t="str">
        <f>IFERROR(__xludf.DUMMYFUNCTION("""COMPUTED_VALUE"""),"1853-1927")</f>
        <v>1853-1927</v>
      </c>
      <c r="E369" s="95" t="str">
        <f>IFERROR(__xludf.DUMMYFUNCTION("""COMPUTED_VALUE"""),"Wife of Bishop William Lawrence")</f>
        <v>Wife of Bishop William Lawrence</v>
      </c>
    </row>
    <row r="370">
      <c r="A370" s="96" t="str">
        <f>IFERROR(__xludf.DUMMYFUNCTION("""COMPUTED_VALUE"""),"00267")</f>
        <v>00267</v>
      </c>
      <c r="B370" s="94" t="str">
        <f>IFERROR(__xludf.DUMMYFUNCTION("""COMPUTED_VALUE"""),"Lawrence, William")</f>
        <v>Lawrence, William</v>
      </c>
      <c r="C370" s="94"/>
      <c r="D370" s="94" t="str">
        <f>IFERROR(__xludf.DUMMYFUNCTION("""COMPUTED_VALUE"""),"1850-1941")</f>
        <v>1850-1941</v>
      </c>
      <c r="E370" s="95" t="str">
        <f>IFERROR(__xludf.DUMMYFUNCTION("""COMPUTED_VALUE"""),"Episcopal Bishop of Massachusetts")</f>
        <v>Episcopal Bishop of Massachusetts</v>
      </c>
    </row>
    <row r="371">
      <c r="A371" s="96" t="str">
        <f>IFERROR(__xludf.DUMMYFUNCTION("""COMPUTED_VALUE"""),"00552")</f>
        <v>00552</v>
      </c>
      <c r="B371" s="94" t="str">
        <f>IFERROR(__xludf.DUMMYFUNCTION("""COMPUTED_VALUE"""),"Le Gallienne, Richard")</f>
        <v>Le Gallienne, Richard</v>
      </c>
      <c r="C371" s="94"/>
      <c r="D371" s="94" t="str">
        <f>IFERROR(__xludf.DUMMYFUNCTION("""COMPUTED_VALUE"""),"1866-1947")</f>
        <v>1866-1947</v>
      </c>
      <c r="E371" s="95" t="str">
        <f>IFERROR(__xludf.DUMMYFUNCTION("""COMPUTED_VALUE"""),"English author and poet")</f>
        <v>English author and poet</v>
      </c>
    </row>
    <row r="372">
      <c r="A372" s="96" t="str">
        <f>IFERROR(__xludf.DUMMYFUNCTION("""COMPUTED_VALUE"""),"00548")</f>
        <v>00548</v>
      </c>
      <c r="B372" s="94" t="str">
        <f>IFERROR(__xludf.DUMMYFUNCTION("""COMPUTED_VALUE"""),"Ledyard, Lewis Cass")</f>
        <v>Ledyard, Lewis Cass</v>
      </c>
      <c r="C372" s="94"/>
      <c r="D372" s="94" t="str">
        <f>IFERROR(__xludf.DUMMYFUNCTION("""COMPUTED_VALUE"""),"1851-1932")</f>
        <v>1851-1932</v>
      </c>
      <c r="E372" s="95" t="str">
        <f>IFERROR(__xludf.DUMMYFUNCTION("""COMPUTED_VALUE"""),"American lawyer; partner of Carter Ledyard &amp; Milburn; JPM's personal counsel; President of the New York City Bar Association ")</f>
        <v>American lawyer; partner of Carter Ledyard &amp; Milburn; JPM's personal counsel; President of the New York City Bar Association </v>
      </c>
    </row>
    <row r="373">
      <c r="A373" s="96" t="str">
        <f>IFERROR(__xludf.DUMMYFUNCTION("""COMPUTED_VALUE"""),"00268")</f>
        <v>00268</v>
      </c>
      <c r="B373" s="94" t="str">
        <f>IFERROR(__xludf.DUMMYFUNCTION("""COMPUTED_VALUE"""),"Lee")</f>
        <v>Lee</v>
      </c>
      <c r="C373" s="94"/>
      <c r="D373" s="94"/>
      <c r="E373" s="95" t="str">
        <f>IFERROR(__xludf.DUMMYFUNCTION("""COMPUTED_VALUE"""),"Man from Baltimore")</f>
        <v>Man from Baltimore</v>
      </c>
    </row>
    <row r="374">
      <c r="A374" s="96" t="str">
        <f>IFERROR(__xludf.DUMMYFUNCTION("""COMPUTED_VALUE"""),"00269")</f>
        <v>00269</v>
      </c>
      <c r="B374" s="94" t="str">
        <f>IFERROR(__xludf.DUMMYFUNCTION("""COMPUTED_VALUE"""),"Leeds, Louise Hartshom")</f>
        <v>Leeds, Louise Hartshom</v>
      </c>
      <c r="C374" s="94" t="str">
        <f>IFERROR(__xludf.DUMMYFUNCTION("""COMPUTED_VALUE"""),"Mrs. Warner Leeds")</f>
        <v>Mrs. Warner Leeds</v>
      </c>
      <c r="D374" s="94" t="str">
        <f>IFERROR(__xludf.DUMMYFUNCTION("""COMPUTED_VALUE"""),"1867-1923")</f>
        <v>1867-1923</v>
      </c>
      <c r="E374" s="95" t="str">
        <f>IFERROR(__xludf.DUMMYFUNCTION("""COMPUTED_VALUE"""),"American suffragist and wife of industrialist Warner Mifflin Leeds II who owned American Tin Plate Company")</f>
        <v>American suffragist and wife of industrialist Warner Mifflin Leeds II who owned American Tin Plate Company</v>
      </c>
    </row>
    <row r="375">
      <c r="A375" s="96" t="str">
        <f>IFERROR(__xludf.DUMMYFUNCTION("""COMPUTED_VALUE"""),"00483")</f>
        <v>00483</v>
      </c>
      <c r="B375" s="94" t="str">
        <f>IFERROR(__xludf.DUMMYFUNCTION("""COMPUTED_VALUE"""),"Lennox, Lady Blanche Algernon Gordon")</f>
        <v>Lennox, Lady Blanche Algernon Gordon</v>
      </c>
      <c r="C375" s="94" t="str">
        <f>IFERROR(__xludf.DUMMYFUNCTION("""COMPUTED_VALUE"""),"Lady Algy")</f>
        <v>Lady Algy</v>
      </c>
      <c r="D375" s="94" t="str">
        <f>IFERROR(__xludf.DUMMYFUNCTION("""COMPUTED_VALUE"""),"1864-1945")</f>
        <v>1864-1945</v>
      </c>
      <c r="E375" s="95" t="str">
        <f>IFERROR(__xludf.DUMMYFUNCTION("""COMPUTED_VALUE"""),"Wife of Lord Algernon Charles Gordon-Lennox; daughter of Hon. Charles Henry Maynard")</f>
        <v>Wife of Lord Algernon Charles Gordon-Lennox; daughter of Hon. Charles Henry Maynard</v>
      </c>
    </row>
    <row r="376">
      <c r="A376" s="96" t="str">
        <f>IFERROR(__xludf.DUMMYFUNCTION("""COMPUTED_VALUE"""),"00532")</f>
        <v>00532</v>
      </c>
      <c r="B376" s="94" t="str">
        <f>IFERROR(__xludf.DUMMYFUNCTION("""COMPUTED_VALUE"""),"Lesseps, Jacques Benjamin de(?)")</f>
        <v>Lesseps, Jacques Benjamin de(?)</v>
      </c>
      <c r="C376" s="94" t="str">
        <f>IFERROR(__xludf.DUMMYFUNCTION("""COMPUTED_VALUE"""),"the Aviator")</f>
        <v>the Aviator</v>
      </c>
      <c r="D376" s="94" t="str">
        <f>IFERROR(__xludf.DUMMYFUNCTION("""COMPUTED_VALUE"""),"1883-1927")</f>
        <v>1883-1927</v>
      </c>
      <c r="E376" s="95" t="str">
        <f>IFERROR(__xludf.DUMMYFUNCTION("""COMPUTED_VALUE"""),"French aviator; son of French diplomat Ferdinand de Lesseps")</f>
        <v>French aviator; son of French diplomat Ferdinand de Lesseps</v>
      </c>
    </row>
    <row r="377">
      <c r="A377" s="96" t="str">
        <f>IFERROR(__xludf.DUMMYFUNCTION("""COMPUTED_VALUE"""),"00270")</f>
        <v>00270</v>
      </c>
      <c r="B377" s="94" t="str">
        <f>IFERROR(__xludf.DUMMYFUNCTION("""COMPUTED_VALUE"""),"Leveridge, Robert Mackenzie")</f>
        <v>Leveridge, Robert Mackenzie</v>
      </c>
      <c r="C377" s="94" t="str">
        <f>IFERROR(__xludf.DUMMYFUNCTION("""COMPUTED_VALUE"""),"Bobby, Bobbie")</f>
        <v>Bobby, Bobbie</v>
      </c>
      <c r="D377" s="94" t="str">
        <f>IFERROR(__xludf.DUMMYFUNCTION("""COMPUTED_VALUE"""),"1919-1943")</f>
        <v>1919-1943</v>
      </c>
      <c r="E377" s="95" t="str">
        <f>IFERROR(__xludf.DUMMYFUNCTION("""COMPUTED_VALUE"""),"BG's adopted nephew (Theodora Harvey's elder child) who dies while in Europe fighting in WWII")</f>
        <v>BG's adopted nephew (Theodora Harvey's elder child) who dies while in Europe fighting in WWII</v>
      </c>
    </row>
    <row r="378">
      <c r="A378" s="96" t="str">
        <f>IFERROR(__xludf.DUMMYFUNCTION("""COMPUTED_VALUE"""),"00271")</f>
        <v>00271</v>
      </c>
      <c r="B378" s="94" t="str">
        <f>IFERROR(__xludf.DUMMYFUNCTION("""COMPUTED_VALUE"""),"Leveridge, Robert Mackenzie, Sr.")</f>
        <v>Leveridge, Robert Mackenzie, Sr.</v>
      </c>
      <c r="C378" s="94"/>
      <c r="D378" s="94" t="str">
        <f>IFERROR(__xludf.DUMMYFUNCTION("""COMPUTED_VALUE"""),"1891-1918")</f>
        <v>1891-1918</v>
      </c>
      <c r="E378" s="95" t="str">
        <f>IFERROR(__xludf.DUMMYFUNCTION("""COMPUTED_VALUE"""),"Theodora Harvey's first husband who died while fighting in WWI")</f>
        <v>Theodora Harvey's first husband who died while fighting in WWI</v>
      </c>
    </row>
    <row r="379">
      <c r="A379" s="96" t="str">
        <f>IFERROR(__xludf.DUMMYFUNCTION("""COMPUTED_VALUE"""),"00672")</f>
        <v>00672</v>
      </c>
      <c r="B379" s="94" t="str">
        <f>IFERROR(__xludf.DUMMYFUNCTION("""COMPUTED_VALUE"""),"Levy, Louis")</f>
        <v>Levy, Louis</v>
      </c>
      <c r="C379" s="94"/>
      <c r="D379" s="94"/>
      <c r="E379" s="95" t="str">
        <f>IFERROR(__xludf.DUMMYFUNCTION("""COMPUTED_VALUE"""),"Unidentifed")</f>
        <v>Unidentifed</v>
      </c>
    </row>
    <row r="380">
      <c r="A380" s="96" t="str">
        <f>IFERROR(__xludf.DUMMYFUNCTION("""COMPUTED_VALUE"""),"00272")</f>
        <v>00272</v>
      </c>
      <c r="B380" s="94" t="str">
        <f>IFERROR(__xludf.DUMMYFUNCTION("""COMPUTED_VALUE"""),"Libbey, Laura Jean")</f>
        <v>Libbey, Laura Jean</v>
      </c>
      <c r="C380" s="94"/>
      <c r="D380" s="94" t="str">
        <f>IFERROR(__xludf.DUMMYFUNCTION("""COMPUTED_VALUE"""),"1862-1924")</f>
        <v>1862-1924</v>
      </c>
      <c r="E380" s="95" t="str">
        <f>IFERROR(__xludf.DUMMYFUNCTION("""COMPUTED_VALUE"""),"American writer and popular novelist")</f>
        <v>American writer and popular novelist</v>
      </c>
    </row>
    <row r="381">
      <c r="A381" s="96" t="str">
        <f>IFERROR(__xludf.DUMMYFUNCTION("""COMPUTED_VALUE"""),"00273")</f>
        <v>00273</v>
      </c>
      <c r="B381" s="94" t="str">
        <f>IFERROR(__xludf.DUMMYFUNCTION("""COMPUTED_VALUE"""),"Liggett, Anna Wardle")</f>
        <v>Liggett, Anna Wardle</v>
      </c>
      <c r="C381" s="94"/>
      <c r="D381" s="94" t="str">
        <f>IFERROR(__xludf.DUMMYFUNCTION("""COMPUTED_VALUE"""),"c. 1865-1950")</f>
        <v>c. 1865-1950</v>
      </c>
      <c r="E381" s="95" t="str">
        <f>IFERROR(__xludf.DUMMYFUNCTION("""COMPUTED_VALUE"""),"Registrar and subsequent bursar of Barnard College; wife of Leigh Liggett; graduated in 1880 from Vassar, the same year as Ada Thurston")</f>
        <v>Registrar and subsequent bursar of Barnard College; wife of Leigh Liggett; graduated in 1880 from Vassar, the same year as Ada Thurston</v>
      </c>
    </row>
    <row r="382">
      <c r="A382" s="96" t="str">
        <f>IFERROR(__xludf.DUMMYFUNCTION("""COMPUTED_VALUE"""),"00274")</f>
        <v>00274</v>
      </c>
      <c r="B382" s="94" t="str">
        <f>IFERROR(__xludf.DUMMYFUNCTION("""COMPUTED_VALUE"""),"Littleton, Martin W.")</f>
        <v>Littleton, Martin W.</v>
      </c>
      <c r="C382" s="94"/>
      <c r="D382" s="94" t="str">
        <f>IFERROR(__xludf.DUMMYFUNCTION("""COMPUTED_VALUE"""),"1872-1934")</f>
        <v>1872-1934</v>
      </c>
      <c r="E382" s="95" t="str">
        <f>IFERROR(__xludf.DUMMYFUNCTION("""COMPUTED_VALUE"""),"American lawyer who defended Kendall White in second trial for Stanford White's murder; member of House of Represenatives (1911-1913)")</f>
        <v>American lawyer who defended Kendall White in second trial for Stanford White's murder; member of House of Represenatives (1911-1913)</v>
      </c>
    </row>
    <row r="383">
      <c r="A383" s="96" t="str">
        <f>IFERROR(__xludf.DUMMYFUNCTION("""COMPUTED_VALUE"""),"00275")</f>
        <v>00275</v>
      </c>
      <c r="B383" s="94" t="str">
        <f>IFERROR(__xludf.DUMMYFUNCTION("""COMPUTED_VALUE"""),"Littleton, Maud Wilson")</f>
        <v>Littleton, Maud Wilson</v>
      </c>
      <c r="C383" s="94"/>
      <c r="D383" s="94">
        <f>IFERROR(__xludf.DUMMYFUNCTION("""COMPUTED_VALUE"""),-1953.0)</f>
        <v>-1953</v>
      </c>
      <c r="E383" s="95" t="str">
        <f>IFERROR(__xludf.DUMMYFUNCTION("""COMPUTED_VALUE"""),"Wife of Martin W. Littleton who began campaign to preserve Monticello")</f>
        <v>Wife of Martin W. Littleton who began campaign to preserve Monticello</v>
      </c>
    </row>
    <row r="384">
      <c r="A384" s="96" t="str">
        <f>IFERROR(__xludf.DUMMYFUNCTION("""COMPUTED_VALUE"""),"00543")</f>
        <v>00543</v>
      </c>
      <c r="B384" s="94" t="str">
        <f>IFERROR(__xludf.DUMMYFUNCTION("""COMPUTED_VALUE"""),"Livingston, Goodhue")</f>
        <v>Livingston, Goodhue</v>
      </c>
      <c r="C384" s="94"/>
      <c r="D384" s="94" t="str">
        <f>IFERROR(__xludf.DUMMYFUNCTION("""COMPUTED_VALUE"""),"1867-1951")</f>
        <v>1867-1951</v>
      </c>
      <c r="E384" s="95" t="str">
        <f>IFERROR(__xludf.DUMMYFUNCTION("""COMPUTED_VALUE"""),"American architect; co-founder of Trowbridge &amp; Livingston")</f>
        <v>American architect; co-founder of Trowbridge &amp; Livingston</v>
      </c>
    </row>
    <row r="385">
      <c r="A385" s="96" t="str">
        <f>IFERROR(__xludf.DUMMYFUNCTION("""COMPUTED_VALUE"""),"00276")</f>
        <v>00276</v>
      </c>
      <c r="B385" s="94" t="str">
        <f>IFERROR(__xludf.DUMMYFUNCTION("""COMPUTED_VALUE"""),"Livingston, Luther")</f>
        <v>Livingston, Luther</v>
      </c>
      <c r="C385" s="94"/>
      <c r="D385" s="94" t="str">
        <f>IFERROR(__xludf.DUMMYFUNCTION("""COMPUTED_VALUE"""),"1864-1914")</f>
        <v>1864-1914</v>
      </c>
      <c r="E385" s="95" t="str">
        <f>IFERROR(__xludf.DUMMYFUNCTION("""COMPUTED_VALUE"""),"American bibliophile and scholar")</f>
        <v>American bibliophile and scholar</v>
      </c>
    </row>
    <row r="386">
      <c r="A386" s="96" t="str">
        <f>IFERROR(__xludf.DUMMYFUNCTION("""COMPUTED_VALUE"""),"00277")</f>
        <v>00277</v>
      </c>
      <c r="B386" s="94" t="str">
        <f>IFERROR(__xludf.DUMMYFUNCTION("""COMPUTED_VALUE"""),"Locke, William John")</f>
        <v>Locke, William John</v>
      </c>
      <c r="C386" s="94"/>
      <c r="D386" s="94" t="str">
        <f>IFERROR(__xludf.DUMMYFUNCTION("""COMPUTED_VALUE"""),"1863-1930")</f>
        <v>1863-1930</v>
      </c>
      <c r="E386" s="95" t="str">
        <f>IFERROR(__xludf.DUMMYFUNCTION("""COMPUTED_VALUE"""),"English writer and novelist")</f>
        <v>English writer and novelist</v>
      </c>
    </row>
    <row r="387">
      <c r="A387" s="96" t="str">
        <f>IFERROR(__xludf.DUMMYFUNCTION("""COMPUTED_VALUE"""),"00278")</f>
        <v>00278</v>
      </c>
      <c r="B387" s="94" t="str">
        <f>IFERROR(__xludf.DUMMYFUNCTION("""COMPUTED_VALUE"""),"Lodge, Henry Cabot")</f>
        <v>Lodge, Henry Cabot</v>
      </c>
      <c r="C387" s="94"/>
      <c r="D387" s="94" t="str">
        <f>IFERROR(__xludf.DUMMYFUNCTION("""COMPUTED_VALUE"""),"1850-1924")</f>
        <v>1850-1924</v>
      </c>
      <c r="E387" s="95" t="str">
        <f>IFERROR(__xludf.DUMMYFUNCTION("""COMPUTED_VALUE"""),"American Republican politician and longtime Massachusetts representative in the US Senate (1893-1924)")</f>
        <v>American Republican politician and longtime Massachusetts representative in the US Senate (1893-1924)</v>
      </c>
    </row>
    <row r="388">
      <c r="A388" s="96" t="str">
        <f>IFERROR(__xludf.DUMMYFUNCTION("""COMPUTED_VALUE"""),"00279")</f>
        <v>00279</v>
      </c>
      <c r="B388" s="94" t="str">
        <f>IFERROR(__xludf.DUMMYFUNCTION("""COMPUTED_VALUE"""),"Loo, C.T.")</f>
        <v>Loo, C.T.</v>
      </c>
      <c r="C388" s="94"/>
      <c r="D388" s="94" t="str">
        <f>IFERROR(__xludf.DUMMYFUNCTION("""COMPUTED_VALUE"""),"1880-1947")</f>
        <v>1880-1947</v>
      </c>
      <c r="E388" s="95" t="str">
        <f>IFERROR(__xludf.DUMMYFUNCTION("""COMPUTED_VALUE"""),"Chinese art dealer with galleries in Paris and New York who dealt in (freqeuntly illegally procured) Chinese art and antiquities")</f>
        <v>Chinese art dealer with galleries in Paris and New York who dealt in (freqeuntly illegally procured) Chinese art and antiquities</v>
      </c>
    </row>
    <row r="389">
      <c r="A389" s="96" t="str">
        <f>IFERROR(__xludf.DUMMYFUNCTION("""COMPUTED_VALUE"""),"00280")</f>
        <v>00280</v>
      </c>
      <c r="B389" s="94" t="str">
        <f>IFERROR(__xludf.DUMMYFUNCTION("""COMPUTED_VALUE"""),"Lorenzetti")</f>
        <v>Lorenzetti</v>
      </c>
      <c r="C389" s="94"/>
      <c r="D389" s="94"/>
      <c r="E389" s="95" t="str">
        <f>IFERROR(__xludf.DUMMYFUNCTION("""COMPUTED_VALUE"""),"Assistant to BB?")</f>
        <v>Assistant to BB?</v>
      </c>
    </row>
    <row r="390">
      <c r="A390" s="96" t="str">
        <f>IFERROR(__xludf.DUMMYFUNCTION("""COMPUTED_VALUE"""),"00281")</f>
        <v>00281</v>
      </c>
      <c r="B390" s="94" t="str">
        <f>IFERROR(__xludf.DUMMYFUNCTION("""COMPUTED_VALUE"""),"Lowell, Amy")</f>
        <v>Lowell, Amy</v>
      </c>
      <c r="C390" s="94"/>
      <c r="D390" s="94" t="str">
        <f>IFERROR(__xludf.DUMMYFUNCTION("""COMPUTED_VALUE"""),"1874-1925")</f>
        <v>1874-1925</v>
      </c>
      <c r="E390" s="95" t="str">
        <f>IFERROR(__xludf.DUMMYFUNCTION("""COMPUTED_VALUE"""),"Boston socialite, writer, and book collector")</f>
        <v>Boston socialite, writer, and book collector</v>
      </c>
    </row>
    <row r="391">
      <c r="A391" s="96" t="str">
        <f>IFERROR(__xludf.DUMMYFUNCTION("""COMPUTED_VALUE"""),"00536")</f>
        <v>00536</v>
      </c>
      <c r="B391" s="94" t="str">
        <f>IFERROR(__xludf.DUMMYFUNCTION("""COMPUTED_VALUE"""),"Ludres, Isabelle de")</f>
        <v>Ludres, Isabelle de</v>
      </c>
      <c r="C391" s="94" t="str">
        <f>IFERROR(__xludf.DUMMYFUNCTION("""COMPUTED_VALUE"""),"Mme. de Ludres; Mme. Ludicrous")</f>
        <v>Mme. de Ludres; Mme. Ludicrous</v>
      </c>
      <c r="D391" s="94"/>
      <c r="E391" s="95"/>
    </row>
    <row r="392">
      <c r="A392" s="96" t="str">
        <f>IFERROR(__xludf.DUMMYFUNCTION("""COMPUTED_VALUE"""),"00533")</f>
        <v>00533</v>
      </c>
      <c r="B392" s="94" t="str">
        <f>IFERROR(__xludf.DUMMYFUNCTION("""COMPUTED_VALUE"""),"Lydig, Philip Mesier")</f>
        <v>Lydig, Philip Mesier</v>
      </c>
      <c r="C392" s="94"/>
      <c r="D392" s="94" t="str">
        <f>IFERROR(__xludf.DUMMYFUNCTION("""COMPUTED_VALUE"""),"1867-1929")</f>
        <v>1867-1929</v>
      </c>
      <c r="E392" s="95" t="str">
        <f>IFERROR(__xludf.DUMMYFUNCTION("""COMPUTED_VALUE"""),"United States Army officer, second husband of Rita de Acosta Lydig")</f>
        <v>United States Army officer, second husband of Rita de Acosta Lydig</v>
      </c>
    </row>
    <row r="393">
      <c r="A393" s="96" t="str">
        <f>IFERROR(__xludf.DUMMYFUNCTION("""COMPUTED_VALUE"""),"00282")</f>
        <v>00282</v>
      </c>
      <c r="B393" s="94" t="str">
        <f>IFERROR(__xludf.DUMMYFUNCTION("""COMPUTED_VALUE"""),"Lydig, Rita de Acosta")</f>
        <v>Lydig, Rita de Acosta</v>
      </c>
      <c r="C393" s="94" t="str">
        <f>IFERROR(__xludf.DUMMYFUNCTION("""COMPUTED_VALUE"""),"Mrs. Lydig")</f>
        <v>Mrs. Lydig</v>
      </c>
      <c r="D393" s="94" t="str">
        <f>IFERROR(__xludf.DUMMYFUNCTION("""COMPUTED_VALUE"""),"1875-1929")</f>
        <v>1875-1929</v>
      </c>
      <c r="E393" s="95" t="str">
        <f>IFERROR(__xludf.DUMMYFUNCTION("""COMPUTED_VALUE"""),"American socialite")</f>
        <v>American socialite</v>
      </c>
    </row>
    <row r="394">
      <c r="A394" s="96" t="str">
        <f>IFERROR(__xludf.DUMMYFUNCTION("""COMPUTED_VALUE"""),"00499")</f>
        <v>00499</v>
      </c>
      <c r="B394" s="94" t="str">
        <f>IFERROR(__xludf.DUMMYFUNCTION("""COMPUTED_VALUE"""),"Lythgoe, Albert Morton")</f>
        <v>Lythgoe, Albert Morton</v>
      </c>
      <c r="C394" s="94" t="str">
        <f>IFERROR(__xludf.DUMMYFUNCTION("""COMPUTED_VALUE"""),"Lythgow")</f>
        <v>Lythgow</v>
      </c>
      <c r="D394" s="94" t="str">
        <f>IFERROR(__xludf.DUMMYFUNCTION("""COMPUTED_VALUE"""),"1868-1934")</f>
        <v>1868-1934</v>
      </c>
      <c r="E394" s="95" t="str">
        <f>IFERROR(__xludf.DUMMYFUNCTION("""COMPUTED_VALUE"""),"American egyptologist and archaeologist; first curator of the Metropolitan Museum of Art (1906-1929)")</f>
        <v>American egyptologist and archaeologist; first curator of the Metropolitan Museum of Art (1906-1929)</v>
      </c>
    </row>
    <row r="395">
      <c r="A395" s="96" t="str">
        <f>IFERROR(__xludf.DUMMYFUNCTION("""COMPUTED_VALUE"""),"00283")</f>
        <v>00283</v>
      </c>
      <c r="B395" s="94" t="str">
        <f>IFERROR(__xludf.DUMMYFUNCTION("""COMPUTED_VALUE"""),"Mackay, Katherine Alexander")</f>
        <v>Mackay, Katherine Alexander</v>
      </c>
      <c r="C395" s="94" t="str">
        <f>IFERROR(__xludf.DUMMYFUNCTION("""COMPUTED_VALUE"""),"Mrs. Mackay")</f>
        <v>Mrs. Mackay</v>
      </c>
      <c r="D395" s="94" t="str">
        <f>IFERROR(__xludf.DUMMYFUNCTION("""COMPUTED_VALUE"""),"1878-1930")</f>
        <v>1878-1930</v>
      </c>
      <c r="E395" s="95" t="str">
        <f>IFERROR(__xludf.DUMMYFUNCTION("""COMPUTED_VALUE"""),"American suffragist and socialite and wife of Clarence H. Mackay, American financier and chariman of Postal Telegraph and Cable Corporation")</f>
        <v>American suffragist and socialite and wife of Clarence H. Mackay, American financier and chariman of Postal Telegraph and Cable Corporation</v>
      </c>
    </row>
    <row r="396">
      <c r="A396" s="96" t="str">
        <f>IFERROR(__xludf.DUMMYFUNCTION("""COMPUTED_VALUE"""),"00284")</f>
        <v>00284</v>
      </c>
      <c r="B396" s="94" t="str">
        <f>IFERROR(__xludf.DUMMYFUNCTION("""COMPUTED_VALUE"""),"Mackaye, Percy")</f>
        <v>Mackaye, Percy</v>
      </c>
      <c r="C396" s="94"/>
      <c r="D396" s="94" t="str">
        <f>IFERROR(__xludf.DUMMYFUNCTION("""COMPUTED_VALUE"""),"1875-1956")</f>
        <v>1875-1956</v>
      </c>
      <c r="E396" s="95" t="str">
        <f>IFERROR(__xludf.DUMMYFUNCTION("""COMPUTED_VALUE"""),"American dramatist and poet")</f>
        <v>American dramatist and poet</v>
      </c>
    </row>
    <row r="397">
      <c r="A397" s="96" t="str">
        <f>IFERROR(__xludf.DUMMYFUNCTION("""COMPUTED_VALUE"""),"00504")</f>
        <v>00504</v>
      </c>
      <c r="B397" s="94" t="str">
        <f>IFERROR(__xludf.DUMMYFUNCTION("""COMPUTED_VALUE"""),"Manship, Isabel McIlwaine")</f>
        <v>Manship, Isabel McIlwaine</v>
      </c>
      <c r="C397" s="94"/>
      <c r="D397" s="94" t="str">
        <f>IFERROR(__xludf.DUMMYFUNCTION("""COMPUTED_VALUE"""),"1883-1974")</f>
        <v>1883-1974</v>
      </c>
      <c r="E397" s="95" t="str">
        <f>IFERROR(__xludf.DUMMYFUNCTION("""COMPUTED_VALUE"""),"Wife of Paul Manship")</f>
        <v>Wife of Paul Manship</v>
      </c>
    </row>
    <row r="398">
      <c r="A398" s="96" t="str">
        <f>IFERROR(__xludf.DUMMYFUNCTION("""COMPUTED_VALUE"""),"00285")</f>
        <v>00285</v>
      </c>
      <c r="B398" s="94" t="str">
        <f>IFERROR(__xludf.DUMMYFUNCTION("""COMPUTED_VALUE"""),"Manship, Paul")</f>
        <v>Manship, Paul</v>
      </c>
      <c r="C398" s="94"/>
      <c r="D398" s="94" t="str">
        <f>IFERROR(__xludf.DUMMYFUNCTION("""COMPUTED_VALUE"""),"1885-1966")</f>
        <v>1885-1966</v>
      </c>
      <c r="E398" s="95" t="str">
        <f>IFERROR(__xludf.DUMMYFUNCTION("""COMPUTED_VALUE"""),"American sculptor")</f>
        <v>American sculptor</v>
      </c>
    </row>
    <row r="399">
      <c r="A399" s="96" t="str">
        <f>IFERROR(__xludf.DUMMYFUNCTION("""COMPUTED_VALUE"""),"00286")</f>
        <v>00286</v>
      </c>
      <c r="B399" s="94" t="str">
        <f>IFERROR(__xludf.DUMMYFUNCTION("""COMPUTED_VALUE"""),"Marbury, Elisabeth")</f>
        <v>Marbury, Elisabeth</v>
      </c>
      <c r="C399" s="94" t="str">
        <f>IFERROR(__xludf.DUMMYFUNCTION("""COMPUTED_VALUE"""),"Bessie; BM")</f>
        <v>Bessie; BM</v>
      </c>
      <c r="D399" s="94" t="str">
        <f>IFERROR(__xludf.DUMMYFUNCTION("""COMPUTED_VALUE"""),"1856-1933")</f>
        <v>1856-1933</v>
      </c>
      <c r="E399" s="95" t="str">
        <f>IFERROR(__xludf.DUMMYFUNCTION("""COMPUTED_VALUE"""),"American actress, turned theater producer and partner of Elsie de Wolfe")</f>
        <v>American actress, turned theater producer and partner of Elsie de Wolfe</v>
      </c>
    </row>
    <row r="400">
      <c r="A400" s="96" t="str">
        <f>IFERROR(__xludf.DUMMYFUNCTION("""COMPUTED_VALUE"""),"00287")</f>
        <v>00287</v>
      </c>
      <c r="B400" s="94" t="str">
        <f>IFERROR(__xludf.DUMMYFUNCTION("""COMPUTED_VALUE"""),"Marceau, Theodore")</f>
        <v>Marceau, Theodore</v>
      </c>
      <c r="C400" s="94"/>
      <c r="D400" s="94" t="str">
        <f>IFERROR(__xludf.DUMMYFUNCTION("""COMPUTED_VALUE"""),"1859-1922")</f>
        <v>1859-1922</v>
      </c>
      <c r="E400" s="95" t="str">
        <f>IFERROR(__xludf.DUMMYFUNCTION("""COMPUTED_VALUE"""),"American photographer who founded national chain of photographic studios across United States")</f>
        <v>American photographer who founded national chain of photographic studios across United States</v>
      </c>
    </row>
    <row r="401">
      <c r="A401" s="96" t="str">
        <f>IFERROR(__xludf.DUMMYFUNCTION("""COMPUTED_VALUE"""),"00662")</f>
        <v>00662</v>
      </c>
      <c r="B401" s="94" t="str">
        <f>IFERROR(__xludf.DUMMYFUNCTION("""COMPUTED_VALUE"""),"Mariano, Nicky")</f>
        <v>Mariano, Nicky</v>
      </c>
      <c r="C401" s="94"/>
      <c r="D401" s="94" t="str">
        <f>IFERROR(__xludf.DUMMYFUNCTION("""COMPUTED_VALUE"""),"1887 - 1968")</f>
        <v>1887 - 1968</v>
      </c>
      <c r="E401" s="95" t="str">
        <f>IFERROR(__xludf.DUMMYFUNCTION("""COMPUTED_VALUE"""),"Librarian at I Tatti; BB's work and travel collaborator")</f>
        <v>Librarian at I Tatti; BB's work and travel collaborator</v>
      </c>
    </row>
    <row r="402">
      <c r="A402" s="96" t="str">
        <f>IFERROR(__xludf.DUMMYFUNCTION("""COMPUTED_VALUE"""),"00288")</f>
        <v>00288</v>
      </c>
      <c r="B402" s="94" t="str">
        <f>IFERROR(__xludf.DUMMYFUNCTION("""COMPUTED_VALUE"""),"Marie")</f>
        <v>Marie</v>
      </c>
      <c r="C402" s="94"/>
      <c r="D402" s="94"/>
      <c r="E402" s="95" t="str">
        <f>IFERROR(__xludf.DUMMYFUNCTION("""COMPUTED_VALUE"""),"BG's Swiss maid")</f>
        <v>BG's Swiss maid</v>
      </c>
    </row>
    <row r="403">
      <c r="A403" s="96" t="str">
        <f>IFERROR(__xludf.DUMMYFUNCTION("""COMPUTED_VALUE"""),"00289")</f>
        <v>00289</v>
      </c>
      <c r="B403" s="94" t="str">
        <f>IFERROR(__xludf.DUMMYFUNCTION("""COMPUTED_VALUE"""),"Markoe, James Wright")</f>
        <v>Markoe, James Wright</v>
      </c>
      <c r="C403" s="94"/>
      <c r="D403" s="94" t="str">
        <f>IFERROR(__xludf.DUMMYFUNCTION("""COMPUTED_VALUE"""),"1862-1920")</f>
        <v>1862-1920</v>
      </c>
      <c r="E403" s="95" t="str">
        <f>IFERROR(__xludf.DUMMYFUNCTION("""COMPUTED_VALUE"""),"JPM doctor, friend, and confidante")</f>
        <v>JPM doctor, friend, and confidante</v>
      </c>
    </row>
    <row r="404">
      <c r="A404" s="96" t="str">
        <f>IFERROR(__xludf.DUMMYFUNCTION("""COMPUTED_VALUE"""),"00290")</f>
        <v>00290</v>
      </c>
      <c r="B404" s="94" t="str">
        <f>IFERROR(__xludf.DUMMYFUNCTION("""COMPUTED_VALUE"""),"Marks, Murray")</f>
        <v>Marks, Murray</v>
      </c>
      <c r="C404" s="94"/>
      <c r="D404" s="94" t="str">
        <f>IFERROR(__xludf.DUMMYFUNCTION("""COMPUTED_VALUE"""),"1840-1918")</f>
        <v>1840-1918</v>
      </c>
      <c r="E404" s="95" t="str">
        <f>IFERROR(__xludf.DUMMYFUNCTION("""COMPUTED_VALUE"""),"Dutch art dealer and collector who operated dealership in London working with Durlacher Brothers and George Salting")</f>
        <v>Dutch art dealer and collector who operated dealership in London working with Durlacher Brothers and George Salting</v>
      </c>
    </row>
    <row r="405">
      <c r="A405" s="96" t="str">
        <f>IFERROR(__xludf.DUMMYFUNCTION("""COMPUTED_VALUE"""),"00291")</f>
        <v>00291</v>
      </c>
      <c r="B405" s="94" t="str">
        <f>IFERROR(__xludf.DUMMYFUNCTION("""COMPUTED_VALUE"""),"Marlowe, Julia")</f>
        <v>Marlowe, Julia</v>
      </c>
      <c r="C405" s="94"/>
      <c r="D405" s="94" t="str">
        <f>IFERROR(__xludf.DUMMYFUNCTION("""COMPUTED_VALUE"""),"1865-1950")</f>
        <v>1865-1950</v>
      </c>
      <c r="E405" s="95" t="str">
        <f>IFERROR(__xludf.DUMMYFUNCTION("""COMPUTED_VALUE"""),"English-born American actress who performed frequently with E.H. Sothern, including at the premiere of the New Theatre Company in 1909")</f>
        <v>English-born American actress who performed frequently with E.H. Sothern, including at the premiere of the New Theatre Company in 1909</v>
      </c>
    </row>
    <row r="406">
      <c r="A406" s="96" t="str">
        <f>IFERROR(__xludf.DUMMYFUNCTION("""COMPUTED_VALUE"""),"00650")</f>
        <v>00650</v>
      </c>
      <c r="B406" s="94" t="str">
        <f>IFERROR(__xludf.DUMMYFUNCTION("""COMPUTED_VALUE"""),"Marshall, Morgan")</f>
        <v>Marshall, Morgan</v>
      </c>
      <c r="C406" s="94"/>
      <c r="D406" s="94" t="str">
        <f>IFERROR(__xludf.DUMMYFUNCTION("""COMPUTED_VALUE"""),"1945-1882")</f>
        <v>1945-1882</v>
      </c>
      <c r="E406" s="95" t="str">
        <f>IFERROR(__xludf.DUMMYFUNCTION("""COMPUTED_VALUE"""),"administrator of the Walters Art Gallery ")</f>
        <v>administrator of the Walters Art Gallery </v>
      </c>
    </row>
    <row r="407">
      <c r="A407" s="96" t="str">
        <f>IFERROR(__xludf.DUMMYFUNCTION("""COMPUTED_VALUE"""),"00292")</f>
        <v>00292</v>
      </c>
      <c r="B407" s="94" t="str">
        <f>IFERROR(__xludf.DUMMYFUNCTION("""COMPUTED_VALUE"""),"Martin, Frederick")</f>
        <v>Martin, Frederick</v>
      </c>
      <c r="C407" s="94"/>
      <c r="D407" s="94" t="str">
        <f>IFERROR(__xludf.DUMMYFUNCTION("""COMPUTED_VALUE"""),"1883-1950")</f>
        <v>1883-1950</v>
      </c>
      <c r="E407" s="95" t="str">
        <f>IFERROR(__xludf.DUMMYFUNCTION("""COMPUTED_VALUE"""),"Husband of BG's sister Mary Louise; married on 27 May 1911")</f>
        <v>Husband of BG's sister Mary Louise; married on 27 May 1911</v>
      </c>
    </row>
    <row r="408">
      <c r="A408" s="96" t="str">
        <f>IFERROR(__xludf.DUMMYFUNCTION("""COMPUTED_VALUE"""),"00293")</f>
        <v>00293</v>
      </c>
      <c r="B408" s="94" t="str">
        <f>IFERROR(__xludf.DUMMYFUNCTION("""COMPUTED_VALUE"""),"Martin, Homer Dodge")</f>
        <v>Martin, Homer Dodge</v>
      </c>
      <c r="C408" s="94"/>
      <c r="D408" s="94" t="str">
        <f>IFERROR(__xludf.DUMMYFUNCTION("""COMPUTED_VALUE"""),"1836-1897")</f>
        <v>1836-1897</v>
      </c>
      <c r="E408" s="95" t="str">
        <f>IFERROR(__xludf.DUMMYFUNCTION("""COMPUTED_VALUE"""),"American landscape painter, part of Hudson River School")</f>
        <v>American landscape painter, part of Hudson River School</v>
      </c>
    </row>
    <row r="409">
      <c r="A409" s="96" t="str">
        <f>IFERROR(__xludf.DUMMYFUNCTION("""COMPUTED_VALUE"""),"00294")</f>
        <v>00294</v>
      </c>
      <c r="B409" s="94" t="str">
        <f>IFERROR(__xludf.DUMMYFUNCTION("""COMPUTED_VALUE"""),"Martin, Mary Louise Greener")</f>
        <v>Martin, Mary Louise Greener</v>
      </c>
      <c r="C409" s="94" t="str">
        <f>IFERROR(__xludf.DUMMYFUNCTION("""COMPUTED_VALUE"""),"Weezie")</f>
        <v>Weezie</v>
      </c>
      <c r="D409" s="94" t="str">
        <f>IFERROR(__xludf.DUMMYFUNCTION("""COMPUTED_VALUE"""),"1877-1933")</f>
        <v>1877-1933</v>
      </c>
      <c r="E409" s="95" t="str">
        <f>IFERROR(__xludf.DUMMYFUNCTION("""COMPUTED_VALUE"""),"BG's sister and wife of speech therapist Frederick Martin, together they founded the Martin Institute for Speech Correction in Ithaca, New York")</f>
        <v>BG's sister and wife of speech therapist Frederick Martin, together they founded the Martin Institute for Speech Correction in Ithaca, New York</v>
      </c>
    </row>
    <row r="410">
      <c r="A410" s="96" t="str">
        <f>IFERROR(__xludf.DUMMYFUNCTION("""COMPUTED_VALUE"""),"00295")</f>
        <v>00295</v>
      </c>
      <c r="B410" s="94" t="str">
        <f>IFERROR(__xludf.DUMMYFUNCTION("""COMPUTED_VALUE"""),"Martini, Joseph")</f>
        <v>Martini, Joseph</v>
      </c>
      <c r="C410" s="94"/>
      <c r="D410" s="94"/>
      <c r="E410" s="95" t="str">
        <f>IFERROR(__xludf.DUMMYFUNCTION("""COMPUTED_VALUE"""),"Italian book collector and bibliographic scholar")</f>
        <v>Italian book collector and bibliographic scholar</v>
      </c>
    </row>
    <row r="411">
      <c r="A411" s="96" t="str">
        <f>IFERROR(__xludf.DUMMYFUNCTION("""COMPUTED_VALUE"""),"00296")</f>
        <v>00296</v>
      </c>
      <c r="B411" s="94" t="str">
        <f>IFERROR(__xludf.DUMMYFUNCTION("""COMPUTED_VALUE"""),"Martins, Charlotte")</f>
        <v>Martins, Charlotte</v>
      </c>
      <c r="C411" s="94" t="str">
        <f>IFERROR(__xludf.DUMMYFUNCTION("""COMPUTED_VALUE"""),"Aunt Lottie")</f>
        <v>Aunt Lottie</v>
      </c>
      <c r="D411" s="94"/>
      <c r="E411" s="95" t="str">
        <f>IFERROR(__xludf.DUMMYFUNCTION("""COMPUTED_VALUE"""),"Princeton University Librarian (1881-1920) who became Chief of its Purchase Department, mentor of BG ")</f>
        <v>Princeton University Librarian (1881-1920) who became Chief of its Purchase Department, mentor of BG </v>
      </c>
    </row>
    <row r="412">
      <c r="A412" s="96" t="str">
        <f>IFERROR(__xludf.DUMMYFUNCTION("""COMPUTED_VALUE"""),"00584")</f>
        <v>00584</v>
      </c>
      <c r="B412" s="94" t="str">
        <f>IFERROR(__xludf.DUMMYFUNCTION("""COMPUTED_VALUE"""),"Mason, John")</f>
        <v>Mason, John</v>
      </c>
      <c r="C412" s="94"/>
      <c r="D412" s="94" t="str">
        <f>IFERROR(__xludf.DUMMYFUNCTION("""COMPUTED_VALUE"""),"1858-1919")</f>
        <v>1858-1919</v>
      </c>
      <c r="E412" s="95" t="str">
        <f>IFERROR(__xludf.DUMMYFUNCTION("""COMPUTED_VALUE"""),"American actor")</f>
        <v>American actor</v>
      </c>
    </row>
    <row r="413">
      <c r="A413" s="96" t="str">
        <f>IFERROR(__xludf.DUMMYFUNCTION("""COMPUTED_VALUE"""),"00297")</f>
        <v>00297</v>
      </c>
      <c r="B413" s="94" t="str">
        <f>IFERROR(__xludf.DUMMYFUNCTION("""COMPUTED_VALUE"""),"Mather, Frank Jewett")</f>
        <v>Mather, Frank Jewett</v>
      </c>
      <c r="C413" s="94"/>
      <c r="D413" s="94" t="str">
        <f>IFERROR(__xludf.DUMMYFUNCTION("""COMPUTED_VALUE"""),"1868-1953")</f>
        <v>1868-1953</v>
      </c>
      <c r="E413" s="95" t="str">
        <f>IFERROR(__xludf.DUMMYFUNCTION("""COMPUTED_VALUE"""),"Art critic and Professor of Art History at Princeton University; Director of the Princeton Univeristy Art Museum, 1922-1946")</f>
        <v>Art critic and Professor of Art History at Princeton University; Director of the Princeton Univeristy Art Museum, 1922-1946</v>
      </c>
    </row>
    <row r="414">
      <c r="A414" s="96" t="str">
        <f>IFERROR(__xludf.DUMMYFUNCTION("""COMPUTED_VALUE"""),"00298")</f>
        <v>00298</v>
      </c>
      <c r="B414" s="94" t="str">
        <f>IFERROR(__xludf.DUMMYFUNCTION("""COMPUTED_VALUE"""),"Matthison, Edith Wynne")</f>
        <v>Matthison, Edith Wynne</v>
      </c>
      <c r="C414" s="94"/>
      <c r="D414" s="94" t="str">
        <f>IFERROR(__xludf.DUMMYFUNCTION("""COMPUTED_VALUE"""),"1875-1955")</f>
        <v>1875-1955</v>
      </c>
      <c r="E414" s="95" t="str">
        <f>IFERROR(__xludf.DUMMYFUNCTION("""COMPUTED_VALUE"""),"Anglo-American stage actress")</f>
        <v>Anglo-American stage actress</v>
      </c>
    </row>
    <row r="415">
      <c r="A415" s="96" t="str">
        <f>IFERROR(__xludf.DUMMYFUNCTION("""COMPUTED_VALUE"""),"00299")</f>
        <v>00299</v>
      </c>
      <c r="B415" s="94" t="str">
        <f>IFERROR(__xludf.DUMMYFUNCTION("""COMPUTED_VALUE"""),"Maxwell, Elsa")</f>
        <v>Maxwell, Elsa</v>
      </c>
      <c r="C415" s="94"/>
      <c r="D415" s="94" t="str">
        <f>IFERROR(__xludf.DUMMYFUNCTION("""COMPUTED_VALUE"""),"1883-1963")</f>
        <v>1883-1963</v>
      </c>
      <c r="E415" s="95" t="str">
        <f>IFERROR(__xludf.DUMMYFUNCTION("""COMPUTED_VALUE"""),"American gossip columnist, author and professional hostess")</f>
        <v>American gossip columnist, author and professional hostess</v>
      </c>
    </row>
    <row r="416">
      <c r="A416" s="96" t="str">
        <f>IFERROR(__xludf.DUMMYFUNCTION("""COMPUTED_VALUE"""),"00510")</f>
        <v>00510</v>
      </c>
      <c r="B416" s="94" t="str">
        <f>IFERROR(__xludf.DUMMYFUNCTION("""COMPUTED_VALUE"""),"Mayer, Gustav")</f>
        <v>Mayer, Gustav</v>
      </c>
      <c r="C416" s="94" t="str">
        <f>IFERROR(__xludf.DUMMYFUNCTION("""COMPUTED_VALUE"""),"Mr. Mayer")</f>
        <v>Mr. Mayer</v>
      </c>
      <c r="D416" s="94"/>
      <c r="E416" s="95"/>
    </row>
    <row r="417">
      <c r="A417" s="96" t="str">
        <f>IFERROR(__xludf.DUMMYFUNCTION("""COMPUTED_VALUE"""),"00676")</f>
        <v>00676</v>
      </c>
      <c r="B417" s="94" t="str">
        <f>IFERROR(__xludf.DUMMYFUNCTION("""COMPUTED_VALUE"""),"Mayer, Gustavus")</f>
        <v>Mayer, Gustavus</v>
      </c>
      <c r="C417" s="94"/>
      <c r="D417" s="94" t="str">
        <f>IFERROR(__xludf.DUMMYFUNCTION("""COMPUTED_VALUE"""),"1873-1954 ")</f>
        <v>1873-1954 </v>
      </c>
      <c r="E417" s="95" t="str">
        <f>IFERROR(__xludf.DUMMYFUNCTION("""COMPUTED_VALUE"""),"Art dealer at Colnaghi Gallery in England 
")</f>
        <v>Art dealer at Colnaghi Gallery in England 
</v>
      </c>
    </row>
    <row r="418">
      <c r="A418" s="96" t="str">
        <f>IFERROR(__xludf.DUMMYFUNCTION("""COMPUTED_VALUE"""),"00573")</f>
        <v>00573</v>
      </c>
      <c r="B418" s="94" t="str">
        <f>IFERROR(__xludf.DUMMYFUNCTION("""COMPUTED_VALUE"""),"Mazarin, Mariette")</f>
        <v>Mazarin, Mariette</v>
      </c>
      <c r="C418" s="94"/>
      <c r="D418" s="94"/>
      <c r="E418" s="95" t="str">
        <f>IFERROR(__xludf.DUMMYFUNCTION("""COMPUTED_VALUE"""),"French actress, performed in Strauss's Elektra")</f>
        <v>French actress, performed in Strauss's Elektra</v>
      </c>
    </row>
    <row r="419">
      <c r="A419" s="96" t="str">
        <f>IFERROR(__xludf.DUMMYFUNCTION("""COMPUTED_VALUE"""),"00300")</f>
        <v>00300</v>
      </c>
      <c r="B419" s="94" t="str">
        <f>IFERROR(__xludf.DUMMYFUNCTION("""COMPUTED_VALUE"""),"McAdoo, Eleanor Wilson")</f>
        <v>McAdoo, Eleanor Wilson</v>
      </c>
      <c r="C419" s="94"/>
      <c r="D419" s="94" t="str">
        <f>IFERROR(__xludf.DUMMYFUNCTION("""COMPUTED_VALUE"""),"1889-1967")</f>
        <v>1889-1967</v>
      </c>
      <c r="E419" s="95" t="str">
        <f>IFERROR(__xludf.DUMMYFUNCTION("""COMPUTED_VALUE"""),"American author and youngest daughter of Woodrow Wilson; wife of William Gibbs McAdoo")</f>
        <v>American author and youngest daughter of Woodrow Wilson; wife of William Gibbs McAdoo</v>
      </c>
    </row>
    <row r="420">
      <c r="A420" s="96" t="str">
        <f>IFERROR(__xludf.DUMMYFUNCTION("""COMPUTED_VALUE"""),"00301")</f>
        <v>00301</v>
      </c>
      <c r="B420" s="94" t="str">
        <f>IFERROR(__xludf.DUMMYFUNCTION("""COMPUTED_VALUE"""),"McAdoo, William Gibbs")</f>
        <v>McAdoo, William Gibbs</v>
      </c>
      <c r="C420" s="94"/>
      <c r="D420" s="94" t="str">
        <f>IFERROR(__xludf.DUMMYFUNCTION("""COMPUTED_VALUE"""),"1863-1941")</f>
        <v>1863-1941</v>
      </c>
      <c r="E420" s="95" t="str">
        <f>IFERROR(__xludf.DUMMYFUNCTION("""COMPUTED_VALUE"""),"American lawyer, financier, and Democratic politician, later married daughter of Woodrow Wilson, in whose Cabinet he served")</f>
        <v>American lawyer, financier, and Democratic politician, later married daughter of Woodrow Wilson, in whose Cabinet he served</v>
      </c>
    </row>
    <row r="421">
      <c r="A421" s="96" t="str">
        <f>IFERROR(__xludf.DUMMYFUNCTION("""COMPUTED_VALUE"""),"00302")</f>
        <v>00302</v>
      </c>
      <c r="B421" s="94" t="str">
        <f>IFERROR(__xludf.DUMMYFUNCTION("""COMPUTED_VALUE"""),"McAlpin, Charles Willston")</f>
        <v>McAlpin, Charles Willston</v>
      </c>
      <c r="C421" s="94"/>
      <c r="D421" s="94" t="str">
        <f>IFERROR(__xludf.DUMMYFUNCTION("""COMPUTED_VALUE"""),"1865-1942")</f>
        <v>1865-1942</v>
      </c>
      <c r="E421" s="95" t="str">
        <f>IFERROR(__xludf.DUMMYFUNCTION("""COMPUTED_VALUE"""),"Princeton graduate, friend of Junius Spencer Morgan; collector of George Washington portraits (now at NYPL)")</f>
        <v>Princeton graduate, friend of Junius Spencer Morgan; collector of George Washington portraits (now at NYPL)</v>
      </c>
    </row>
    <row r="422">
      <c r="A422" s="96" t="str">
        <f>IFERROR(__xludf.DUMMYFUNCTION("""COMPUTED_VALUE"""),"00303")</f>
        <v>00303</v>
      </c>
      <c r="B422" s="94" t="str">
        <f>IFERROR(__xludf.DUMMYFUNCTION("""COMPUTED_VALUE"""),"McAlpin, Sara Pyle")</f>
        <v>McAlpin, Sara Pyle</v>
      </c>
      <c r="C422" s="94"/>
      <c r="D422" s="94" t="str">
        <f>IFERROR(__xludf.DUMMYFUNCTION("""COMPUTED_VALUE"""),"d. 1949")</f>
        <v>d. 1949</v>
      </c>
      <c r="E422" s="95" t="str">
        <f>IFERROR(__xludf.DUMMYFUNCTION("""COMPUTED_VALUE"""),"American philanthropist with particular interest in early childhood care and education; wife of Charles Willston McAlpin")</f>
        <v>American philanthropist with particular interest in early childhood care and education; wife of Charles Willston McAlpin</v>
      </c>
    </row>
    <row r="423">
      <c r="A423" s="96" t="str">
        <f>IFERROR(__xludf.DUMMYFUNCTION("""COMPUTED_VALUE"""),"00550")</f>
        <v>00550</v>
      </c>
      <c r="B423" s="94" t="str">
        <f>IFERROR(__xludf.DUMMYFUNCTION("""COMPUTED_VALUE"""),"McComas, Francis")</f>
        <v>McComas, Francis</v>
      </c>
      <c r="C423" s="94"/>
      <c r="D423" s="94" t="str">
        <f>IFERROR(__xludf.DUMMYFUNCTION("""COMPUTED_VALUE"""),"1875-1938")</f>
        <v>1875-1938</v>
      </c>
      <c r="E423" s="95" t="str">
        <f>IFERROR(__xludf.DUMMYFUNCTION("""COMPUTED_VALUE"""),"Australian painter")</f>
        <v>Australian painter</v>
      </c>
    </row>
    <row r="424">
      <c r="A424" s="96" t="str">
        <f>IFERROR(__xludf.DUMMYFUNCTION("""COMPUTED_VALUE"""),"00304")</f>
        <v>00304</v>
      </c>
      <c r="B424" s="94" t="str">
        <f>IFERROR(__xludf.DUMMYFUNCTION("""COMPUTED_VALUE"""),"McGibbon, Nina Ethel Waddock")</f>
        <v>McGibbon, Nina Ethel Waddock</v>
      </c>
      <c r="C424" s="94"/>
      <c r="D424" s="94" t="str">
        <f>IFERROR(__xludf.DUMMYFUNCTION("""COMPUTED_VALUE"""),"1876-1927")</f>
        <v>1876-1927</v>
      </c>
      <c r="E424" s="95" t="str">
        <f>IFERROR(__xludf.DUMMYFUNCTION("""COMPUTED_VALUE"""),"Canadian socialite; married to Douglas Lorne McGibbon")</f>
        <v>Canadian socialite; married to Douglas Lorne McGibbon</v>
      </c>
    </row>
    <row r="425">
      <c r="A425" s="96" t="str">
        <f>IFERROR(__xludf.DUMMYFUNCTION("""COMPUTED_VALUE"""),"00305")</f>
        <v>00305</v>
      </c>
      <c r="B425" s="94" t="str">
        <f>IFERROR(__xludf.DUMMYFUNCTION("""COMPUTED_VALUE"""),"McKee, Bobby")</f>
        <v>McKee, Bobby</v>
      </c>
      <c r="C425" s="94" t="str">
        <f>IFERROR(__xludf.DUMMYFUNCTION("""COMPUTED_VALUE"""),"Bob")</f>
        <v>Bob</v>
      </c>
      <c r="D425" s="94"/>
      <c r="E425" s="95"/>
    </row>
    <row r="426">
      <c r="A426" s="96" t="str">
        <f>IFERROR(__xludf.DUMMYFUNCTION("""COMPUTED_VALUE"""),"00655")</f>
        <v>00655</v>
      </c>
      <c r="B426" s="94" t="str">
        <f>IFERROR(__xludf.DUMMYFUNCTION("""COMPUTED_VALUE"""),"Mercati")</f>
        <v>Mercati</v>
      </c>
      <c r="C426" s="94"/>
      <c r="D426" s="94"/>
      <c r="E426" s="95"/>
    </row>
    <row r="427">
      <c r="A427" s="96" t="str">
        <f>IFERROR(__xludf.DUMMYFUNCTION("""COMPUTED_VALUE"""),"00555")</f>
        <v>00555</v>
      </c>
      <c r="B427" s="94" t="str">
        <f>IFERROR(__xludf.DUMMYFUNCTION("""COMPUTED_VALUE"""),"Mestre, Harold")</f>
        <v>Mestre, Harold</v>
      </c>
      <c r="C427" s="94"/>
      <c r="D427" s="94" t="str">
        <f>IFERROR(__xludf.DUMMYFUNCTION("""COMPUTED_VALUE"""),"1884?-1939")</f>
        <v>1884?-1939</v>
      </c>
      <c r="E427" s="95" t="str">
        <f>IFERROR(__xludf.DUMMYFUNCTION("""COMPUTED_VALUE"""),"Dean of Bard College (1938-1939)")</f>
        <v>Dean of Bard College (1938-1939)</v>
      </c>
    </row>
    <row r="428">
      <c r="A428" s="96" t="str">
        <f>IFERROR(__xludf.DUMMYFUNCTION("""COMPUTED_VALUE"""),"00306")</f>
        <v>00306</v>
      </c>
      <c r="B428" s="94" t="str">
        <f>IFERROR(__xludf.DUMMYFUNCTION("""COMPUTED_VALUE"""),"Meyer-Riefstahl, Rudolph")</f>
        <v>Meyer-Riefstahl, Rudolph</v>
      </c>
      <c r="C428" s="94"/>
      <c r="D428" s="94" t="str">
        <f>IFERROR(__xludf.DUMMYFUNCTION("""COMPUTED_VALUE"""),"1880-1936")</f>
        <v>1880-1936</v>
      </c>
      <c r="E428" s="95" t="str">
        <f>IFERROR(__xludf.DUMMYFUNCTION("""COMPUTED_VALUE"""),"German art historian who specialized in Islamic Art and taught at NYU")</f>
        <v>German art historian who specialized in Islamic Art and taught at NYU</v>
      </c>
    </row>
    <row r="429">
      <c r="A429" s="96" t="str">
        <f>IFERROR(__xludf.DUMMYFUNCTION("""COMPUTED_VALUE"""),"00307")</f>
        <v>00307</v>
      </c>
      <c r="B429" s="94" t="str">
        <f>IFERROR(__xludf.DUMMYFUNCTION("""COMPUTED_VALUE"""),"Meyer, Agnes")</f>
        <v>Meyer, Agnes</v>
      </c>
      <c r="C429" s="94" t="str">
        <f>IFERROR(__xludf.DUMMYFUNCTION("""COMPUTED_VALUE"""),"Agoness; ""Blonde Agnes""")</f>
        <v>Agoness; "Blonde Agnes"</v>
      </c>
      <c r="D429" s="94" t="str">
        <f>IFERROR(__xludf.DUMMYFUNCTION("""COMPUTED_VALUE"""),"1887-1970")</f>
        <v>1887-1970</v>
      </c>
      <c r="E429" s="95" t="str">
        <f>IFERROR(__xludf.DUMMYFUNCTION("""COMPUTED_VALUE"""),"American journalist, art collector, philanthropist, and civil rights activist")</f>
        <v>American journalist, art collector, philanthropist, and civil rights activist</v>
      </c>
    </row>
    <row r="430">
      <c r="A430" s="96" t="str">
        <f>IFERROR(__xludf.DUMMYFUNCTION("""COMPUTED_VALUE"""),"00645")</f>
        <v>00645</v>
      </c>
      <c r="B430" s="94" t="str">
        <f>IFERROR(__xludf.DUMMYFUNCTION("""COMPUTED_VALUE"""),"Meyer, Edgar H")</f>
        <v>Meyer, Edgar H</v>
      </c>
      <c r="C430" s="94"/>
      <c r="D430" s="94"/>
      <c r="E430" s="95"/>
    </row>
    <row r="431">
      <c r="A431" s="96" t="str">
        <f>IFERROR(__xludf.DUMMYFUNCTION("""COMPUTED_VALUE"""),"00308")</f>
        <v>00308</v>
      </c>
      <c r="B431" s="94" t="str">
        <f>IFERROR(__xludf.DUMMYFUNCTION("""COMPUTED_VALUE"""),"Meyer, Eugene")</f>
        <v>Meyer, Eugene</v>
      </c>
      <c r="C431" s="94"/>
      <c r="D431" s="94" t="str">
        <f>IFERROR(__xludf.DUMMYFUNCTION("""COMPUTED_VALUE"""),"1875-1959")</f>
        <v>1875-1959</v>
      </c>
      <c r="E431" s="95" t="str">
        <f>IFERROR(__xludf.DUMMYFUNCTION("""COMPUTED_VALUE"""),"American finanicer and newspaper publisher who worked for Presidents Wilson, Coolidge, and Hoover, who appointed him Chariman of the Federal Reserve in 1930; husband of Agnes Meyer")</f>
        <v>American finanicer and newspaper publisher who worked for Presidents Wilson, Coolidge, and Hoover, who appointed him Chariman of the Federal Reserve in 1930; husband of Agnes Meyer</v>
      </c>
    </row>
    <row r="432">
      <c r="A432" s="96" t="str">
        <f>IFERROR(__xludf.DUMMYFUNCTION("""COMPUTED_VALUE"""),"00309")</f>
        <v>00309</v>
      </c>
      <c r="B432" s="94" t="str">
        <f>IFERROR(__xludf.DUMMYFUNCTION("""COMPUTED_VALUE"""),"Meyer, Julius P. ")</f>
        <v>Meyer, Julius P. </v>
      </c>
      <c r="C432" s="94"/>
      <c r="D432" s="94"/>
      <c r="E432" s="95" t="str">
        <f>IFERROR(__xludf.DUMMYFUNCTION("""COMPUTED_VALUE"""),"Offical of Hamburg-American Line of steamships")</f>
        <v>Offical of Hamburg-American Line of steamships</v>
      </c>
    </row>
    <row r="433">
      <c r="A433" s="96" t="str">
        <f>IFERROR(__xludf.DUMMYFUNCTION("""COMPUTED_VALUE"""),"00310")</f>
        <v>00310</v>
      </c>
      <c r="B433" s="94" t="str">
        <f>IFERROR(__xludf.DUMMYFUNCTION("""COMPUTED_VALUE"""),"Millar, Eric")</f>
        <v>Millar, Eric</v>
      </c>
      <c r="C433" s="94"/>
      <c r="D433" s="94" t="str">
        <f>IFERROR(__xludf.DUMMYFUNCTION("""COMPUTED_VALUE"""),"1887-1966")</f>
        <v>1887-1966</v>
      </c>
      <c r="E433" s="95" t="str">
        <f>IFERROR(__xludf.DUMMYFUNCTION("""COMPUTED_VALUE"""),"British scholar of English illuminated manuscripts, Keeper of Manuscripts at the British Museum from 1944 on")</f>
        <v>British scholar of English illuminated manuscripts, Keeper of Manuscripts at the British Museum from 1944 on</v>
      </c>
    </row>
    <row r="434">
      <c r="A434" s="96" t="str">
        <f>IFERROR(__xludf.DUMMYFUNCTION("""COMPUTED_VALUE"""),"00561")</f>
        <v>00561</v>
      </c>
      <c r="B434" s="94" t="str">
        <f>IFERROR(__xludf.DUMMYFUNCTION("""COMPUTED_VALUE"""),"Miller, Gerrit Smith")</f>
        <v>Miller, Gerrit Smith</v>
      </c>
      <c r="C434" s="94"/>
      <c r="D434" s="94" t="str">
        <f>IFERROR(__xludf.DUMMYFUNCTION("""COMPUTED_VALUE"""),"1845-1937")</f>
        <v>1845-1937</v>
      </c>
      <c r="E434" s="95" t="str">
        <f>IFERROR(__xludf.DUMMYFUNCTION("""COMPUTED_VALUE"""),"Grandson of abolitionists, businessman, and philanthropist Gerrit Smith; founder of the Oneida Football Blub of Boston; NY State Assembly member (1880)")</f>
        <v>Grandson of abolitionists, businessman, and philanthropist Gerrit Smith; founder of the Oneida Football Blub of Boston; NY State Assembly member (1880)</v>
      </c>
    </row>
    <row r="435">
      <c r="A435" s="96" t="str">
        <f>IFERROR(__xludf.DUMMYFUNCTION("""COMPUTED_VALUE"""),"00562")</f>
        <v>00562</v>
      </c>
      <c r="B435" s="94" t="str">
        <f>IFERROR(__xludf.DUMMYFUNCTION("""COMPUTED_VALUE"""),"Miller, Susan Hunt Dixwell")</f>
        <v>Miller, Susan Hunt Dixwell</v>
      </c>
      <c r="C435" s="94"/>
      <c r="D435" s="94"/>
      <c r="E435" s="95" t="str">
        <f>IFERROR(__xludf.DUMMYFUNCTION("""COMPUTED_VALUE"""),"Wife of Gerrit Smith Miller")</f>
        <v>Wife of Gerrit Smith Miller</v>
      </c>
    </row>
    <row r="436">
      <c r="A436" s="96" t="str">
        <f>IFERROR(__xludf.DUMMYFUNCTION("""COMPUTED_VALUE"""),"00311")</f>
        <v>00311</v>
      </c>
      <c r="B436" s="94" t="str">
        <f>IFERROR(__xludf.DUMMYFUNCTION("""COMPUTED_VALUE"""),"Mills, Beatrice")</f>
        <v>Mills, Beatrice</v>
      </c>
      <c r="C436" s="94"/>
      <c r="D436" s="94" t="str">
        <f>IFERROR(__xludf.DUMMYFUNCTION("""COMPUTED_VALUE"""),"1883-1972")</f>
        <v>1883-1972</v>
      </c>
      <c r="E436" s="95" t="str">
        <f>IFERROR(__xludf.DUMMYFUNCTION("""COMPUTED_VALUE"""),"American-born heiress and horse racer who became Countess of Granard through her marriage to Bernard, Earl of Granard in 1909")</f>
        <v>American-born heiress and horse racer who became Countess of Granard through her marriage to Bernard, Earl of Granard in 1909</v>
      </c>
    </row>
    <row r="437">
      <c r="A437" s="96" t="str">
        <f>IFERROR(__xludf.DUMMYFUNCTION("""COMPUTED_VALUE"""),"00586")</f>
        <v>00586</v>
      </c>
      <c r="B437" s="94" t="str">
        <f>IFERROR(__xludf.DUMMYFUNCTION("""COMPUTED_VALUE"""),"Mills, Weymar")</f>
        <v>Mills, Weymar</v>
      </c>
      <c r="C437" s="94"/>
      <c r="D437" s="94"/>
      <c r="E437" s="95" t="str">
        <f>IFERROR(__xludf.DUMMYFUNCTION("""COMPUTED_VALUE"""),"Unidentified")</f>
        <v>Unidentified</v>
      </c>
    </row>
    <row r="438">
      <c r="A438" s="96" t="str">
        <f>IFERROR(__xludf.DUMMYFUNCTION("""COMPUTED_VALUE"""),"00675")</f>
        <v>00675</v>
      </c>
      <c r="B438" s="94" t="str">
        <f>IFERROR(__xludf.DUMMYFUNCTION("""COMPUTED_VALUE"""),"Miss Miner")</f>
        <v>Miss Miner</v>
      </c>
      <c r="C438" s="94"/>
      <c r="D438" s="94"/>
      <c r="E438" s="95" t="str">
        <f>IFERROR(__xludf.DUMMYFUNCTION("""COMPUTED_VALUE"""),"Editor of the Annual")</f>
        <v>Editor of the Annual</v>
      </c>
    </row>
    <row r="439">
      <c r="A439" s="96" t="str">
        <f>IFERROR(__xludf.DUMMYFUNCTION("""COMPUTED_VALUE"""),"00312")</f>
        <v>00312</v>
      </c>
      <c r="B439" s="94" t="str">
        <f>IFERROR(__xludf.DUMMYFUNCTION("""COMPUTED_VALUE"""),"Mitchell, John Ames")</f>
        <v>Mitchell, John Ames</v>
      </c>
      <c r="C439" s="94"/>
      <c r="D439" s="94" t="str">
        <f>IFERROR(__xludf.DUMMYFUNCTION("""COMPUTED_VALUE"""),"1845-1918")</f>
        <v>1845-1918</v>
      </c>
      <c r="E439" s="95" t="str">
        <f>IFERROR(__xludf.DUMMYFUNCTION("""COMPUTED_VALUE"""),"American publisher, writer, and artist; co-founder, editor, and publisher of Life magazine")</f>
        <v>American publisher, writer, and artist; co-founder, editor, and publisher of Life magazine</v>
      </c>
    </row>
    <row r="440">
      <c r="A440" s="96" t="str">
        <f>IFERROR(__xludf.DUMMYFUNCTION("""COMPUTED_VALUE"""),"00313")</f>
        <v>00313</v>
      </c>
      <c r="B440" s="94" t="str">
        <f>IFERROR(__xludf.DUMMYFUNCTION("""COMPUTED_VALUE"""),"Moore, Charles")</f>
        <v>Moore, Charles</v>
      </c>
      <c r="C440" s="94"/>
      <c r="D440" s="94" t="str">
        <f>IFERROR(__xludf.DUMMYFUNCTION("""COMPUTED_VALUE"""),"1855-1942")</f>
        <v>1855-1942</v>
      </c>
      <c r="E440" s="95" t="str">
        <f>IFERROR(__xludf.DUMMYFUNCTION("""COMPUTED_VALUE"""),"American journalist, historian, and city planner who was a founding member of the Commision of Fine Arts in 1910 and was acting chief of the Manuscripts Division at the Library of Congress (1918-1927)")</f>
        <v>American journalist, historian, and city planner who was a founding member of the Commision of Fine Arts in 1910 and was acting chief of the Manuscripts Division at the Library of Congress (1918-1927)</v>
      </c>
    </row>
    <row r="441">
      <c r="A441" s="96" t="str">
        <f>IFERROR(__xludf.DUMMYFUNCTION("""COMPUTED_VALUE"""),"00314")</f>
        <v>00314</v>
      </c>
      <c r="B441" s="94" t="str">
        <f>IFERROR(__xludf.DUMMYFUNCTION("""COMPUTED_VALUE"""),"Moore, Roland")</f>
        <v>Moore, Roland</v>
      </c>
      <c r="C441" s="94"/>
      <c r="D441" s="94" t="str">
        <f>IFERROR(__xludf.DUMMYFUNCTION("""COMPUTED_VALUE"""),"1888-1962")</f>
        <v>1888-1962</v>
      </c>
      <c r="E441" s="95" t="str">
        <f>IFERROR(__xludf.DUMMYFUNCTION("""COMPUTED_VALUE"""),"Dealer in Chinese art and antiquities, with a focus on snuff boxes and ceramics")</f>
        <v>Dealer in Chinese art and antiquities, with a focus on snuff boxes and ceramics</v>
      </c>
    </row>
    <row r="442">
      <c r="A442" s="96" t="str">
        <f>IFERROR(__xludf.DUMMYFUNCTION("""COMPUTED_VALUE"""),"00678")</f>
        <v>00678</v>
      </c>
      <c r="B442" s="94" t="str">
        <f>IFERROR(__xludf.DUMMYFUNCTION("""COMPUTED_VALUE"""),"Moravia, Alberto")</f>
        <v>Moravia, Alberto</v>
      </c>
      <c r="C442" s="94"/>
      <c r="D442" s="94" t="str">
        <f>IFERROR(__xludf.DUMMYFUNCTION("""COMPUTED_VALUE"""),"1907-1990")</f>
        <v>1907-1990</v>
      </c>
      <c r="E442" s="95" t="str">
        <f>IFERROR(__xludf.DUMMYFUNCTION("""COMPUTED_VALUE"""),"Italian novelist and journalist, known for his anti-fascist novel ")</f>
        <v>Italian novelist and journalist, known for his anti-fascist novel </v>
      </c>
    </row>
    <row r="443">
      <c r="A443" s="96" t="str">
        <f>IFERROR(__xludf.DUMMYFUNCTION("""COMPUTED_VALUE"""),"00630")</f>
        <v>00630</v>
      </c>
      <c r="B443" s="94" t="str">
        <f>IFERROR(__xludf.DUMMYFUNCTION("""COMPUTED_VALUE"""),"Morey, Charles Rufuf")</f>
        <v>Morey, Charles Rufuf</v>
      </c>
      <c r="C443" s="94" t="str">
        <f>IFERROR(__xludf.DUMMYFUNCTION("""COMPUTED_VALUE"""),"Morey")</f>
        <v>Morey</v>
      </c>
      <c r="D443" s="94" t="str">
        <f>IFERROR(__xludf.DUMMYFUNCTION("""COMPUTED_VALUE"""),"1877 - 1955")</f>
        <v>1877 - 1955</v>
      </c>
      <c r="E443" s="95" t="str">
        <f>IFERROR(__xludf.DUMMYFUNCTION("""COMPUTED_VALUE"""),"art historian at Princeton university his field was early Christian art")</f>
        <v>art historian at Princeton university his field was early Christian art</v>
      </c>
    </row>
    <row r="444">
      <c r="A444" s="96" t="str">
        <f>IFERROR(__xludf.DUMMYFUNCTION("""COMPUTED_VALUE"""),"00315")</f>
        <v>00315</v>
      </c>
      <c r="B444" s="94" t="str">
        <f>IFERROR(__xludf.DUMMYFUNCTION("""COMPUTED_VALUE"""),"Morey, Charles Rufus")</f>
        <v>Morey, Charles Rufus</v>
      </c>
      <c r="C444" s="94"/>
      <c r="D444" s="94" t="str">
        <f>IFERROR(__xludf.DUMMYFUNCTION("""COMPUTED_VALUE"""),"1877-1955")</f>
        <v>1877-1955</v>
      </c>
      <c r="E444" s="95" t="str">
        <f>IFERROR(__xludf.DUMMYFUNCTION("""COMPUTED_VALUE"""),"American art historian and professor in Princeton's Art History Department; founder of the Princeton Index of Medieval Art")</f>
        <v>American art historian and professor in Princeton's Art History Department; founder of the Princeton Index of Medieval Art</v>
      </c>
    </row>
    <row r="445">
      <c r="A445" s="96" t="str">
        <f>IFERROR(__xludf.DUMMYFUNCTION("""COMPUTED_VALUE"""),"00316")</f>
        <v>00316</v>
      </c>
      <c r="B445" s="94" t="str">
        <f>IFERROR(__xludf.DUMMYFUNCTION("""COMPUTED_VALUE"""),"Morgan, Alexander Perry")</f>
        <v>Morgan, Alexander Perry</v>
      </c>
      <c r="C445" s="94"/>
      <c r="D445" s="94" t="str">
        <f>IFERROR(__xludf.DUMMYFUNCTION("""COMPUTED_VALUE"""),"1900-1968")</f>
        <v>1900-1968</v>
      </c>
      <c r="E445" s="95" t="str">
        <f>IFERROR(__xludf.DUMMYFUNCTION("""COMPUTED_VALUE"""),"Son of Junius Spencer Morgan, architect of alterations to the Morgan Library carried out between 1959 and 1962")</f>
        <v>Son of Junius Spencer Morgan, architect of alterations to the Morgan Library carried out between 1959 and 1962</v>
      </c>
    </row>
    <row r="446">
      <c r="A446" s="96" t="str">
        <f>IFERROR(__xludf.DUMMYFUNCTION("""COMPUTED_VALUE"""),"00317")</f>
        <v>00317</v>
      </c>
      <c r="B446" s="94" t="str">
        <f>IFERROR(__xludf.DUMMYFUNCTION("""COMPUTED_VALUE"""),"Morgan, Anne")</f>
        <v>Morgan, Anne</v>
      </c>
      <c r="C446" s="94" t="str">
        <f>IFERROR(__xludf.DUMMYFUNCTION("""COMPUTED_VALUE"""),"Annie; Miss Morgan")</f>
        <v>Annie; Miss Morgan</v>
      </c>
      <c r="D446" s="94" t="str">
        <f>IFERROR(__xludf.DUMMYFUNCTION("""COMPUTED_VALUE"""),"1873-1952")</f>
        <v>1873-1952</v>
      </c>
      <c r="E446" s="95" t="str">
        <f>IFERROR(__xludf.DUMMYFUNCTION("""COMPUTED_VALUE"""),"Daughter of John Pierpont Morgan")</f>
        <v>Daughter of John Pierpont Morgan</v>
      </c>
    </row>
    <row r="447">
      <c r="A447" s="96" t="str">
        <f>IFERROR(__xludf.DUMMYFUNCTION("""COMPUTED_VALUE"""),"00318")</f>
        <v>00318</v>
      </c>
      <c r="B447" s="94" t="str">
        <f>IFERROR(__xludf.DUMMYFUNCTION("""COMPUTED_VALUE"""),"Morgan, Frances Louisa Tracy")</f>
        <v>Morgan, Frances Louisa Tracy</v>
      </c>
      <c r="C447" s="94"/>
      <c r="D447" s="94" t="str">
        <f>IFERROR(__xludf.DUMMYFUNCTION("""COMPUTED_VALUE"""),"1842-1924")</f>
        <v>1842-1924</v>
      </c>
      <c r="E447" s="95" t="str">
        <f>IFERROR(__xludf.DUMMYFUNCTION("""COMPUTED_VALUE"""),"American philanthropist and society matron; second wife of J. P. Morgan (m. 1865)")</f>
        <v>American philanthropist and society matron; second wife of J. P. Morgan (m. 1865)</v>
      </c>
    </row>
    <row r="448">
      <c r="A448" s="96" t="str">
        <f>IFERROR(__xludf.DUMMYFUNCTION("""COMPUTED_VALUE"""),"00319")</f>
        <v>00319</v>
      </c>
      <c r="B448" s="94" t="str">
        <f>IFERROR(__xludf.DUMMYFUNCTION("""COMPUTED_VALUE"""),"Morgan, Henry Sturgis")</f>
        <v>Morgan, Henry Sturgis</v>
      </c>
      <c r="C448" s="94"/>
      <c r="D448" s="94" t="str">
        <f>IFERROR(__xludf.DUMMYFUNCTION("""COMPUTED_VALUE"""),"1900-1982")</f>
        <v>1900-1982</v>
      </c>
      <c r="E448" s="95" t="str">
        <f>IFERROR(__xludf.DUMMYFUNCTION("""COMPUTED_VALUE"""),"Son of Jack Morgan, co-founder of Morgan Stanley in 1935 upon passage of Glass-Steagall Act")</f>
        <v>Son of Jack Morgan, co-founder of Morgan Stanley in 1935 upon passage of Glass-Steagall Act</v>
      </c>
    </row>
    <row r="449">
      <c r="A449" s="96" t="str">
        <f>IFERROR(__xludf.DUMMYFUNCTION("""COMPUTED_VALUE"""),"00320")</f>
        <v>00320</v>
      </c>
      <c r="B449" s="94" t="str">
        <f>IFERROR(__xludf.DUMMYFUNCTION("""COMPUTED_VALUE"""),"Morgan, J. Pierpont")</f>
        <v>Morgan, J. Pierpont</v>
      </c>
      <c r="C449" s="94" t="str">
        <f>IFERROR(__xludf.DUMMYFUNCTION("""COMPUTED_VALUE"""),"J.P.M; Big Chief; Boss; Mr. Stick; my Mr. Morgan")</f>
        <v>J.P.M; Big Chief; Boss; Mr. Stick; my Mr. Morgan</v>
      </c>
      <c r="D449" s="94" t="str">
        <f>IFERROR(__xludf.DUMMYFUNCTION("""COMPUTED_VALUE"""),"1837-1913")</f>
        <v>1837-1913</v>
      </c>
      <c r="E449" s="95" t="str">
        <f>IFERROR(__xludf.DUMMYFUNCTION("""COMPUTED_VALUE"""),"Financier, rapacious collector of books, manuscripts, and art, whose collection forms the basis of the Morgan Library and Museum")</f>
        <v>Financier, rapacious collector of books, manuscripts, and art, whose collection forms the basis of the Morgan Library and Museum</v>
      </c>
    </row>
    <row r="450">
      <c r="A450" s="96" t="str">
        <f>IFERROR(__xludf.DUMMYFUNCTION("""COMPUTED_VALUE"""),"00321")</f>
        <v>00321</v>
      </c>
      <c r="B450" s="94" t="str">
        <f>IFERROR(__xludf.DUMMYFUNCTION("""COMPUTED_VALUE"""),"Morgan, J. Pierpont, Jr.")</f>
        <v>Morgan, J. Pierpont, Jr.</v>
      </c>
      <c r="C450" s="94" t="str">
        <f>IFERROR(__xludf.DUMMYFUNCTION("""COMPUTED_VALUE"""),"Jack; Mr. Jack; Junior")</f>
        <v>Jack; Mr. Jack; Junior</v>
      </c>
      <c r="D450" s="94" t="str">
        <f>IFERROR(__xludf.DUMMYFUNCTION("""COMPUTED_VALUE"""),"1867-1943")</f>
        <v>1867-1943</v>
      </c>
      <c r="E450" s="95" t="str">
        <f>IFERROR(__xludf.DUMMYFUNCTION("""COMPUTED_VALUE"""),"Only son of J.P. Morgan, banker, and founder of the Morgan Library and Museum")</f>
        <v>Only son of J.P. Morgan, banker, and founder of the Morgan Library and Museum</v>
      </c>
    </row>
    <row r="451">
      <c r="A451" s="96" t="str">
        <f>IFERROR(__xludf.DUMMYFUNCTION("""COMPUTED_VALUE"""),"00322")</f>
        <v>00322</v>
      </c>
      <c r="B451" s="94" t="str">
        <f>IFERROR(__xludf.DUMMYFUNCTION("""COMPUTED_VALUE"""),"Morgan, Jane Grew")</f>
        <v>Morgan, Jane Grew</v>
      </c>
      <c r="C451" s="94" t="str">
        <f>IFERROR(__xludf.DUMMYFUNCTION("""COMPUTED_VALUE"""),"Mrs. Jack Morgan")</f>
        <v>Mrs. Jack Morgan</v>
      </c>
      <c r="D451" s="94" t="str">
        <f>IFERROR(__xludf.DUMMYFUNCTION("""COMPUTED_VALUE"""),"1868-1925")</f>
        <v>1868-1925</v>
      </c>
      <c r="E451" s="95" t="str">
        <f>IFERROR(__xludf.DUMMYFUNCTION("""COMPUTED_VALUE"""),"Wife of Jack Morgan")</f>
        <v>Wife of Jack Morgan</v>
      </c>
    </row>
    <row r="452">
      <c r="A452" s="96" t="str">
        <f>IFERROR(__xludf.DUMMYFUNCTION("""COMPUTED_VALUE"""),"00323")</f>
        <v>00323</v>
      </c>
      <c r="B452" s="94" t="str">
        <f>IFERROR(__xludf.DUMMYFUNCTION("""COMPUTED_VALUE"""),"Morgan, Josephine Adams Perry")</f>
        <v>Morgan, Josephine Adams Perry</v>
      </c>
      <c r="C452" s="94" t="str">
        <f>IFERROR(__xludf.DUMMYFUNCTION("""COMPUTED_VALUE"""),"Josie")</f>
        <v>Josie</v>
      </c>
      <c r="D452" s="94" t="str">
        <f>IFERROR(__xludf.DUMMYFUNCTION("""COMPUTED_VALUE"""),"1869-1963")</f>
        <v>1869-1963</v>
      </c>
      <c r="E452" s="95" t="str">
        <f>IFERROR(__xludf.DUMMYFUNCTION("""COMPUTED_VALUE"""),"Wife of Junius Spencer Morgan")</f>
        <v>Wife of Junius Spencer Morgan</v>
      </c>
    </row>
    <row r="453">
      <c r="A453" s="96" t="str">
        <f>IFERROR(__xludf.DUMMYFUNCTION("""COMPUTED_VALUE"""),"00324")</f>
        <v>00324</v>
      </c>
      <c r="B453" s="94" t="str">
        <f>IFERROR(__xludf.DUMMYFUNCTION("""COMPUTED_VALUE"""),"Morgan, Junius Spencer")</f>
        <v>Morgan, Junius Spencer</v>
      </c>
      <c r="C453" s="94"/>
      <c r="D453" s="94" t="str">
        <f>IFERROR(__xludf.DUMMYFUNCTION("""COMPUTED_VALUE"""),"1867-1932")</f>
        <v>1867-1932</v>
      </c>
      <c r="E453" s="95" t="str">
        <f>IFERROR(__xludf.DUMMYFUNCTION("""COMPUTED_VALUE"""),"Nephew of J.P. Morgan, bibliophile and Associate Librarian of Princeton University Library who served as unofficial advisor to his uncle and suggested BG for position of his private librarian")</f>
        <v>Nephew of J.P. Morgan, bibliophile and Associate Librarian of Princeton University Library who served as unofficial advisor to his uncle and suggested BG for position of his private librarian</v>
      </c>
    </row>
    <row r="454">
      <c r="A454" s="96" t="str">
        <f>IFERROR(__xludf.DUMMYFUNCTION("""COMPUTED_VALUE"""),"00522")</f>
        <v>00522</v>
      </c>
      <c r="B454" s="94" t="str">
        <f>IFERROR(__xludf.DUMMYFUNCTION("""COMPUTED_VALUE"""),"Morgan, Mary Lyman")</f>
        <v>Morgan, Mary Lyman</v>
      </c>
      <c r="C454" s="94" t="str">
        <f>IFERROR(__xludf.DUMMYFUNCTION("""COMPUTED_VALUE"""),"Mrs. Walter Burns; Mrs. Burns; Mary Burns")</f>
        <v>Mrs. Walter Burns; Mrs. Burns; Mary Burns</v>
      </c>
      <c r="D454" s="94" t="str">
        <f>IFERROR(__xludf.DUMMYFUNCTION("""COMPUTED_VALUE"""),"1844-1919")</f>
        <v>1844-1919</v>
      </c>
      <c r="E454" s="95" t="str">
        <f>IFERROR(__xludf.DUMMYFUNCTION("""COMPUTED_VALUE"""),"Sister of J. Pierpont Morgan; wife of Walter Hayes Burns")</f>
        <v>Sister of J. Pierpont Morgan; wife of Walter Hayes Burns</v>
      </c>
    </row>
    <row r="455">
      <c r="A455" s="96" t="str">
        <f>IFERROR(__xludf.DUMMYFUNCTION("""COMPUTED_VALUE"""),"00325")</f>
        <v>00325</v>
      </c>
      <c r="B455" s="94" t="str">
        <f>IFERROR(__xludf.DUMMYFUNCTION("""COMPUTED_VALUE"""),"Morris, William")</f>
        <v>Morris, William</v>
      </c>
      <c r="C455" s="94"/>
      <c r="D455" s="94" t="str">
        <f>IFERROR(__xludf.DUMMYFUNCTION("""COMPUTED_VALUE"""),"1834-1896")</f>
        <v>1834-1896</v>
      </c>
      <c r="E455" s="95" t="str">
        <f>IFERROR(__xludf.DUMMYFUNCTION("""COMPUTED_VALUE"""),"British designer, artist, and writer central to the growth of the Arts and Crafts movement in the last quarter of the nineteenth cneutry")</f>
        <v>British designer, artist, and writer central to the growth of the Arts and Crafts movement in the last quarter of the nineteenth cneutry</v>
      </c>
    </row>
    <row r="456">
      <c r="A456" s="96" t="str">
        <f>IFERROR(__xludf.DUMMYFUNCTION("""COMPUTED_VALUE"""),"00326")</f>
        <v>00326</v>
      </c>
      <c r="B456" s="94" t="str">
        <f>IFERROR(__xludf.DUMMYFUNCTION("""COMPUTED_VALUE"""),"Morton, Johnson")</f>
        <v>Morton, Johnson</v>
      </c>
      <c r="C456" s="94" t="str">
        <f>IFERROR(__xludf.DUMMYFUNCTION("""COMPUTED_VALUE"""),"Johnny")</f>
        <v>Johnny</v>
      </c>
      <c r="D456" s="94"/>
      <c r="E456" s="95"/>
    </row>
    <row r="457">
      <c r="A457" s="96" t="str">
        <f>IFERROR(__xludf.DUMMYFUNCTION("""COMPUTED_VALUE"""),"00519")</f>
        <v>00519</v>
      </c>
      <c r="B457" s="94" t="str">
        <f>IFERROR(__xludf.DUMMYFUNCTION("""COMPUTED_VALUE"""),"Morton, Paul")</f>
        <v>Morton, Paul</v>
      </c>
      <c r="C457" s="94"/>
      <c r="D457" s="94" t="str">
        <f>IFERROR(__xludf.DUMMYFUNCTION("""COMPUTED_VALUE"""),"1857-1911")</f>
        <v>1857-1911</v>
      </c>
      <c r="E457" s="95" t="str">
        <f>IFERROR(__xludf.DUMMYFUNCTION("""COMPUTED_VALUE"""),"American businessman and politician")</f>
        <v>American businessman and politician</v>
      </c>
    </row>
    <row r="458">
      <c r="A458" s="96" t="str">
        <f>IFERROR(__xludf.DUMMYFUNCTION("""COMPUTED_VALUE"""),"00327")</f>
        <v>00327</v>
      </c>
      <c r="B458" s="94" t="str">
        <f>IFERROR(__xludf.DUMMYFUNCTION("""COMPUTED_VALUE"""),"Mott, Katherine")</f>
        <v>Mott, Katherine</v>
      </c>
      <c r="C458" s="94"/>
      <c r="D458" s="94" t="str">
        <f>IFERROR(__xludf.DUMMYFUNCTION("""COMPUTED_VALUE"""),"1859-1927")</f>
        <v>1859-1927</v>
      </c>
      <c r="E458" s="95" t="str">
        <f>IFERROR(__xludf.DUMMYFUNCTION("""COMPUTED_VALUE"""),"Wife of Jordan Lawrence Mott Jr.")</f>
        <v>Wife of Jordan Lawrence Mott Jr.</v>
      </c>
    </row>
    <row r="459">
      <c r="A459" s="96" t="str">
        <f>IFERROR(__xludf.DUMMYFUNCTION("""COMPUTED_VALUE"""),"00639")</f>
        <v>00639</v>
      </c>
      <c r="B459" s="94" t="str">
        <f>IFERROR(__xludf.DUMMYFUNCTION("""COMPUTED_VALUE"""),"Mrs. Baldwin")</f>
        <v>Mrs. Baldwin</v>
      </c>
      <c r="C459" s="94"/>
      <c r="D459" s="94"/>
      <c r="E459" s="95"/>
    </row>
    <row r="460">
      <c r="A460" s="96" t="str">
        <f>IFERROR(__xludf.DUMMYFUNCTION("""COMPUTED_VALUE"""),"00638")</f>
        <v>00638</v>
      </c>
      <c r="B460" s="94" t="str">
        <f>IFERROR(__xludf.DUMMYFUNCTION("""COMPUTED_VALUE"""),"Mrs. Baron de Meyer")</f>
        <v>Mrs. Baron de Meyer</v>
      </c>
      <c r="C460" s="94"/>
      <c r="D460" s="94"/>
      <c r="E460" s="95"/>
    </row>
    <row r="461">
      <c r="A461" s="96" t="str">
        <f>IFERROR(__xludf.DUMMYFUNCTION("""COMPUTED_VALUE"""),"00644")</f>
        <v>00644</v>
      </c>
      <c r="B461" s="94" t="str">
        <f>IFERROR(__xludf.DUMMYFUNCTION("""COMPUTED_VALUE"""),"Mrs. George")</f>
        <v>Mrs. George</v>
      </c>
      <c r="C461" s="94"/>
      <c r="D461" s="94"/>
      <c r="E461" s="95"/>
    </row>
    <row r="462">
      <c r="A462" s="96" t="str">
        <f>IFERROR(__xludf.DUMMYFUNCTION("""COMPUTED_VALUE"""),"00642")</f>
        <v>00642</v>
      </c>
      <c r="B462" s="94" t="str">
        <f>IFERROR(__xludf.DUMMYFUNCTION("""COMPUTED_VALUE"""),"Mrs. Jacques Seligmann")</f>
        <v>Mrs. Jacques Seligmann</v>
      </c>
      <c r="C462" s="94"/>
      <c r="D462" s="94"/>
      <c r="E462" s="95"/>
    </row>
    <row r="463">
      <c r="A463" s="96" t="str">
        <f>IFERROR(__xludf.DUMMYFUNCTION("""COMPUTED_VALUE"""),"00590")</f>
        <v>00590</v>
      </c>
      <c r="B463" s="94" t="str">
        <f>IFERROR(__xludf.DUMMYFUNCTION("""COMPUTED_VALUE"""),"Mumford, Ethel Watts")</f>
        <v>Mumford, Ethel Watts</v>
      </c>
      <c r="C463" s="94"/>
      <c r="D463" s="94" t="str">
        <f>IFERROR(__xludf.DUMMYFUNCTION("""COMPUTED_VALUE"""),"1876–1940")</f>
        <v>1876–1940</v>
      </c>
      <c r="E463" s="95" t="str">
        <f>IFERROR(__xludf.DUMMYFUNCTION("""COMPUTED_VALUE"""),"New York writer")</f>
        <v>New York writer</v>
      </c>
    </row>
    <row r="464">
      <c r="A464" s="96" t="str">
        <f>IFERROR(__xludf.DUMMYFUNCTION("""COMPUTED_VALUE"""),"00328")</f>
        <v>00328</v>
      </c>
      <c r="B464" s="94" t="str">
        <f>IFERROR(__xludf.DUMMYFUNCTION("""COMPUTED_VALUE"""),"Murray, Charles Fairfax")</f>
        <v>Murray, Charles Fairfax</v>
      </c>
      <c r="C464" s="94"/>
      <c r="D464" s="94" t="str">
        <f>IFERROR(__xludf.DUMMYFUNCTION("""COMPUTED_VALUE"""),"1849-1919")</f>
        <v>1849-1919</v>
      </c>
      <c r="E464" s="95" t="str">
        <f>IFERROR(__xludf.DUMMYFUNCTION("""COMPUTED_VALUE"""),"British artist, connoisseur, collector, and dealer, whose collection of Old Master drawings was acquired by J.P. Morgan in 1910")</f>
        <v>British artist, connoisseur, collector, and dealer, whose collection of Old Master drawings was acquired by J.P. Morgan in 1910</v>
      </c>
    </row>
    <row r="465">
      <c r="A465" s="96" t="str">
        <f>IFERROR(__xludf.DUMMYFUNCTION("""COMPUTED_VALUE"""),"00482")</f>
        <v>00482</v>
      </c>
      <c r="B465" s="94" t="str">
        <f>IFERROR(__xludf.DUMMYFUNCTION("""COMPUTED_VALUE"""),"Myres, Jane Linton")</f>
        <v>Myres, Jane Linton</v>
      </c>
      <c r="C465" s="94"/>
      <c r="D465" s="94"/>
      <c r="E465" s="95" t="str">
        <f>IFERROR(__xludf.DUMMYFUNCTION("""COMPUTED_VALUE"""),"Wife of John Myres")</f>
        <v>Wife of John Myres</v>
      </c>
    </row>
    <row r="466">
      <c r="A466" s="96" t="str">
        <f>IFERROR(__xludf.DUMMYFUNCTION("""COMPUTED_VALUE"""),"00329")</f>
        <v>00329</v>
      </c>
      <c r="B466" s="94" t="str">
        <f>IFERROR(__xludf.DUMMYFUNCTION("""COMPUTED_VALUE"""),"Myres, John L.")</f>
        <v>Myres, John L.</v>
      </c>
      <c r="C466" s="94"/>
      <c r="D466" s="94" t="str">
        <f>IFERROR(__xludf.DUMMYFUNCTION("""COMPUTED_VALUE"""),"1869-1954")</f>
        <v>1869-1954</v>
      </c>
      <c r="E466" s="95" t="str">
        <f>IFERROR(__xludf.DUMMYFUNCTION("""COMPUTED_VALUE"""),"British art historian and archaeologist; Professor first at Oxford and then the University of Liverpool; author of the catalogue of the Cesnola collection of antiquities from Cyprus (1914)")</f>
        <v>British art historian and archaeologist; Professor first at Oxford and then the University of Liverpool; author of the catalogue of the Cesnola collection of antiquities from Cyprus (1914)</v>
      </c>
    </row>
    <row r="467">
      <c r="A467" s="96" t="str">
        <f>IFERROR(__xludf.DUMMYFUNCTION("""COMPUTED_VALUE"""),"00330")</f>
        <v>00330</v>
      </c>
      <c r="B467" s="94" t="str">
        <f>IFERROR(__xludf.DUMMYFUNCTION("""COMPUTED_VALUE"""),"Nazarian, Madame")</f>
        <v>Nazarian, Madame</v>
      </c>
      <c r="C467" s="94"/>
      <c r="D467" s="94"/>
      <c r="E467" s="95" t="str">
        <f>IFERROR(__xludf.DUMMYFUNCTION("""COMPUTED_VALUE"""),"Actress")</f>
        <v>Actress</v>
      </c>
    </row>
    <row r="468">
      <c r="A468" s="96" t="str">
        <f>IFERROR(__xludf.DUMMYFUNCTION("""COMPUTED_VALUE"""),"00331")</f>
        <v>00331</v>
      </c>
      <c r="B468" s="94" t="str">
        <f>IFERROR(__xludf.DUMMYFUNCTION("""COMPUTED_VALUE"""),"Nichols, Marian Clarke")</f>
        <v>Nichols, Marian Clarke</v>
      </c>
      <c r="C468" s="94"/>
      <c r="D468" s="94" t="str">
        <f>IFERROR(__xludf.DUMMYFUNCTION("""COMPUTED_VALUE"""),"1874-1963")</f>
        <v>1874-1963</v>
      </c>
      <c r="E468" s="95" t="str">
        <f>IFERROR(__xludf.DUMMYFUNCTION("""COMPUTED_VALUE"""),"Sister of Rose Standish Nichols")</f>
        <v>Sister of Rose Standish Nichols</v>
      </c>
    </row>
    <row r="469">
      <c r="A469" s="96" t="str">
        <f>IFERROR(__xludf.DUMMYFUNCTION("""COMPUTED_VALUE"""),"00332")</f>
        <v>00332</v>
      </c>
      <c r="B469" s="94" t="str">
        <f>IFERROR(__xludf.DUMMYFUNCTION("""COMPUTED_VALUE"""),"Nichols, Rose Standish")</f>
        <v>Nichols, Rose Standish</v>
      </c>
      <c r="C469" s="94"/>
      <c r="D469" s="94" t="str">
        <f>IFERROR(__xludf.DUMMYFUNCTION("""COMPUTED_VALUE"""),"1872-1960")</f>
        <v>1872-1960</v>
      </c>
      <c r="E469" s="95" t="str">
        <f>IFERROR(__xludf.DUMMYFUNCTION("""COMPUTED_VALUE"""),"American landscape architect [a Rose Standish Davis attended Amherst Summer School with BG; in 1901 was at Carnegie Library, Atlanta, GA]")</f>
        <v>American landscape architect [a Rose Standish Davis attended Amherst Summer School with BG; in 1901 was at Carnegie Library, Atlanta, GA]</v>
      </c>
    </row>
    <row r="470">
      <c r="A470" s="96" t="str">
        <f>IFERROR(__xludf.DUMMYFUNCTION("""COMPUTED_VALUE"""),"00333")</f>
        <v>00333</v>
      </c>
      <c r="B470" s="94" t="str">
        <f>IFERROR(__xludf.DUMMYFUNCTION("""COMPUTED_VALUE"""),"O'Neil, Nance")</f>
        <v>O'Neil, Nance</v>
      </c>
      <c r="C470" s="94"/>
      <c r="D470" s="94" t="str">
        <f>IFERROR(__xludf.DUMMYFUNCTION("""COMPUTED_VALUE"""),"1874-1865")</f>
        <v>1874-1865</v>
      </c>
      <c r="E470" s="95" t="str">
        <f>IFERROR(__xludf.DUMMYFUNCTION("""COMPUTED_VALUE"""),"Amerian stage actress")</f>
        <v>Amerian stage actress</v>
      </c>
    </row>
    <row r="471">
      <c r="A471" s="96" t="str">
        <f>IFERROR(__xludf.DUMMYFUNCTION("""COMPUTED_VALUE"""),"00334")</f>
        <v>00334</v>
      </c>
      <c r="B471" s="94" t="str">
        <f>IFERROR(__xludf.DUMMYFUNCTION("""COMPUTED_VALUE"""),"Oakley, Ethel Alice Greene")</f>
        <v>Oakley, Ethel Alice Greene</v>
      </c>
      <c r="C471" s="94"/>
      <c r="D471" s="94" t="str">
        <f>IFERROR(__xludf.DUMMYFUNCTION("""COMPUTED_VALUE"""),"1880-")</f>
        <v>1880-</v>
      </c>
      <c r="E471" s="95" t="str">
        <f>IFERROR(__xludf.DUMMYFUNCTION("""COMPUTED_VALUE"""),"BG's sister and arts teacher in public schools in Brooklyn and Manhattan; marries George Oakley on 7 July 1915 in Sea Gate")</f>
        <v>BG's sister and arts teacher in public schools in Brooklyn and Manhattan; marries George Oakley on 7 July 1915 in Sea Gate</v>
      </c>
    </row>
    <row r="472">
      <c r="A472" s="96" t="str">
        <f>IFERROR(__xludf.DUMMYFUNCTION("""COMPUTED_VALUE"""),"00335")</f>
        <v>00335</v>
      </c>
      <c r="B472" s="94" t="str">
        <f>IFERROR(__xludf.DUMMYFUNCTION("""COMPUTED_VALUE"""),"Oakley, George")</f>
        <v>Oakley, George</v>
      </c>
      <c r="C472" s="94"/>
      <c r="D472" s="94" t="str">
        <f>IFERROR(__xludf.DUMMYFUNCTION("""COMPUTED_VALUE"""),"1867-1941")</f>
        <v>1867-1941</v>
      </c>
      <c r="E472" s="95" t="str">
        <f>IFERROR(__xludf.DUMMYFUNCTION("""COMPUTED_VALUE"""),"Husband of BG's sister, Ethel Alice Greener Oakley; worked for time as corn merchant")</f>
        <v>Husband of BG's sister, Ethel Alice Greener Oakley; worked for time as corn merchant</v>
      </c>
    </row>
    <row r="473">
      <c r="A473" s="96" t="str">
        <f>IFERROR(__xludf.DUMMYFUNCTION("""COMPUTED_VALUE"""),"00505")</f>
        <v>00505</v>
      </c>
      <c r="B473" s="94" t="str">
        <f>IFERROR(__xludf.DUMMYFUNCTION("""COMPUTED_VALUE"""),"Obach, Charles")</f>
        <v>Obach, Charles</v>
      </c>
      <c r="C473" s="94"/>
      <c r="D473" s="94" t="str">
        <f>IFERROR(__xludf.DUMMYFUNCTION("""COMPUTED_VALUE"""),"1841–1921")</f>
        <v>1841–1921</v>
      </c>
      <c r="E473" s="95" t="str">
        <f>IFERROR(__xludf.DUMMYFUNCTION("""COMPUTED_VALUE"""),"Swiss-born London art dealer")</f>
        <v>Swiss-born London art dealer</v>
      </c>
    </row>
    <row r="474">
      <c r="A474" s="96" t="str">
        <f>IFERROR(__xludf.DUMMYFUNCTION("""COMPUTED_VALUE"""),"00336")</f>
        <v>00336</v>
      </c>
      <c r="B474" s="94" t="str">
        <f>IFERROR(__xludf.DUMMYFUNCTION("""COMPUTED_VALUE"""),"Obrist, Hermann")</f>
        <v>Obrist, Hermann</v>
      </c>
      <c r="C474" s="94"/>
      <c r="D474" s="94" t="str">
        <f>IFERROR(__xludf.DUMMYFUNCTION("""COMPUTED_VALUE"""),"1862-1927")</f>
        <v>1862-1927</v>
      </c>
      <c r="E474" s="95" t="str">
        <f>IFERROR(__xludf.DUMMYFUNCTION("""COMPUTED_VALUE"""),"German sculptor and lover of Mary Berenson")</f>
        <v>German sculptor and lover of Mary Berenson</v>
      </c>
    </row>
    <row r="475">
      <c r="A475" s="96" t="str">
        <f>IFERROR(__xludf.DUMMYFUNCTION("""COMPUTED_VALUE"""),"00337")</f>
        <v>00337</v>
      </c>
      <c r="B475" s="94" t="str">
        <f>IFERROR(__xludf.DUMMYFUNCTION("""COMPUTED_VALUE"""),"Offner, Richard")</f>
        <v>Offner, Richard</v>
      </c>
      <c r="C475" s="94"/>
      <c r="D475" s="94" t="str">
        <f>IFERROR(__xludf.DUMMYFUNCTION("""COMPUTED_VALUE"""),"1889-1965")</f>
        <v>1889-1965</v>
      </c>
      <c r="E475" s="95" t="str">
        <f>IFERROR(__xludf.DUMMYFUNCTION("""COMPUTED_VALUE"""),"Austrian-American art historian specializing in Italian Renaissance painting")</f>
        <v>Austrian-American art historian specializing in Italian Renaissance painting</v>
      </c>
    </row>
    <row r="476">
      <c r="A476" s="96" t="str">
        <f>IFERROR(__xludf.DUMMYFUNCTION("""COMPUTED_VALUE"""),"00622")</f>
        <v>00622</v>
      </c>
      <c r="B476" s="94" t="str">
        <f>IFERROR(__xludf.DUMMYFUNCTION("""COMPUTED_VALUE"""),"Ogle, Mrs. ")</f>
        <v>Ogle, Mrs. </v>
      </c>
      <c r="C476" s="94"/>
      <c r="D476" s="94"/>
      <c r="E476" s="95" t="str">
        <f>IFERROR(__xludf.DUMMYFUNCTION("""COMPUTED_VALUE"""),"Unidentifed")</f>
        <v>Unidentifed</v>
      </c>
    </row>
    <row r="477">
      <c r="A477" s="96" t="str">
        <f>IFERROR(__xludf.DUMMYFUNCTION("""COMPUTED_VALUE"""),"00338")</f>
        <v>00338</v>
      </c>
      <c r="B477" s="94" t="str">
        <f>IFERROR(__xludf.DUMMYFUNCTION("""COMPUTED_VALUE"""),"Olschki, Leo S.")</f>
        <v>Olschki, Leo S.</v>
      </c>
      <c r="C477" s="94"/>
      <c r="D477" s="94" t="str">
        <f>IFERROR(__xludf.DUMMYFUNCTION("""COMPUTED_VALUE"""),"1861-1940")</f>
        <v>1861-1940</v>
      </c>
      <c r="E477" s="95" t="str">
        <f>IFERROR(__xludf.DUMMYFUNCTION("""COMPUTED_VALUE"""),"Italian dealer in rare books and manuscripts and founder of Leo S. Olschki Editore publishing house in Florence in 1886 ")</f>
        <v>Italian dealer in rare books and manuscripts and founder of Leo S. Olschki Editore publishing house in Florence in 1886 </v>
      </c>
    </row>
    <row r="478">
      <c r="A478" s="96" t="str">
        <f>IFERROR(__xludf.DUMMYFUNCTION("""COMPUTED_VALUE"""),"00339")</f>
        <v>00339</v>
      </c>
      <c r="B478" s="94" t="str">
        <f>IFERROR(__xludf.DUMMYFUNCTION("""COMPUTED_VALUE"""),"Omont, Henri")</f>
        <v>Omont, Henri</v>
      </c>
      <c r="C478" s="94"/>
      <c r="D478" s="94" t="str">
        <f>IFERROR(__xludf.DUMMYFUNCTION("""COMPUTED_VALUE"""),"1857-1940")</f>
        <v>1857-1940</v>
      </c>
      <c r="E478" s="95" t="str">
        <f>IFERROR(__xludf.DUMMYFUNCTION("""COMPUTED_VALUE"""),"French art historian and bibliographer specializing in medieval French manuscripts")</f>
        <v>French art historian and bibliographer specializing in medieval French manuscripts</v>
      </c>
    </row>
    <row r="479">
      <c r="A479" s="96" t="str">
        <f>IFERROR(__xludf.DUMMYFUNCTION("""COMPUTED_VALUE"""),"00567")</f>
        <v>00567</v>
      </c>
      <c r="B479" s="94" t="str">
        <f>IFERROR(__xludf.DUMMYFUNCTION("""COMPUTED_VALUE"""),"Osborn, Lucretia Thatcher Perry")</f>
        <v>Osborn, Lucretia Thatcher Perry</v>
      </c>
      <c r="C479" s="94" t="str">
        <f>IFERROR(__xludf.DUMMYFUNCTION("""COMPUTED_VALUE"""),"Mrs. Fairfield Osborn")</f>
        <v>Mrs. Fairfield Osborn</v>
      </c>
      <c r="D479" s="94" t="str">
        <f>IFERROR(__xludf.DUMMYFUNCTION("""COMPUTED_VALUE"""),"1858-1930")</f>
        <v>1858-1930</v>
      </c>
      <c r="E479" s="95" t="str">
        <f>IFERROR(__xludf.DUMMYFUNCTION("""COMPUTED_VALUE"""),"American writer, wife of Henry Fairfield Osborn")</f>
        <v>American writer, wife of Henry Fairfield Osborn</v>
      </c>
    </row>
    <row r="480">
      <c r="A480" s="96" t="str">
        <f>IFERROR(__xludf.DUMMYFUNCTION("""COMPUTED_VALUE"""),"00538")</f>
        <v>00538</v>
      </c>
      <c r="B480" s="94" t="str">
        <f>IFERROR(__xludf.DUMMYFUNCTION("""COMPUTED_VALUE"""),"Pam, Max")</f>
        <v>Pam, Max</v>
      </c>
      <c r="C480" s="94"/>
      <c r="D480" s="94"/>
      <c r="E480" s="95" t="str">
        <f>IFERROR(__xludf.DUMMYFUNCTION("""COMPUTED_VALUE"""),"American lawyer; brother of judge and Zionist leader Hugo Pam")</f>
        <v>American lawyer; brother of judge and Zionist leader Hugo Pam</v>
      </c>
    </row>
    <row r="481">
      <c r="A481" s="96" t="str">
        <f>IFERROR(__xludf.DUMMYFUNCTION("""COMPUTED_VALUE"""),"00629")</f>
        <v>00629</v>
      </c>
      <c r="B481" s="94" t="str">
        <f>IFERROR(__xludf.DUMMYFUNCTION("""COMPUTED_VALUE"""),"Panofsky, Erwin")</f>
        <v>Panofsky, Erwin</v>
      </c>
      <c r="C481" s="94" t="str">
        <f>IFERROR(__xludf.DUMMYFUNCTION("""COMPUTED_VALUE"""),"Panofsky, ")</f>
        <v>Panofsky, </v>
      </c>
      <c r="D481" s="94" t="str">
        <f>IFERROR(__xludf.DUMMYFUNCTION("""COMPUTED_VALUE"""),"1892 - 1968")</f>
        <v>1892 - 1968</v>
      </c>
      <c r="E481" s="95" t="str">
        <f>IFERROR(__xludf.DUMMYFUNCTION("""COMPUTED_VALUE"""),"German-Jewish art historian who went to USA after the Nazi regime, taught at NYU and Princeton University, his field was Northern Renaissance and Iconology; BG worked closely with him for his opnions on pieces")</f>
        <v>German-Jewish art historian who went to USA after the Nazi regime, taught at NYU and Princeton University, his field was Northern Renaissance and Iconology; BG worked closely with him for his opnions on pieces</v>
      </c>
    </row>
    <row r="482">
      <c r="A482" s="96" t="str">
        <f>IFERROR(__xludf.DUMMYFUNCTION("""COMPUTED_VALUE"""),"00340")</f>
        <v>00340</v>
      </c>
      <c r="B482" s="94" t="str">
        <f>IFERROR(__xludf.DUMMYFUNCTION("""COMPUTED_VALUE"""),"Parker, John Henry")</f>
        <v>Parker, John Henry</v>
      </c>
      <c r="C482" s="94"/>
      <c r="D482" s="94" t="str">
        <f>IFERROR(__xludf.DUMMYFUNCTION("""COMPUTED_VALUE"""),"1806-1884")</f>
        <v>1806-1884</v>
      </c>
      <c r="E482" s="95" t="str">
        <f>IFERROR(__xludf.DUMMYFUNCTION("""COMPUTED_VALUE"""),"English archeologist and architectural historian")</f>
        <v>English archeologist and architectural historian</v>
      </c>
    </row>
    <row r="483">
      <c r="A483" s="96" t="str">
        <f>IFERROR(__xludf.DUMMYFUNCTION("""COMPUTED_VALUE"""),"00341")</f>
        <v>00341</v>
      </c>
      <c r="B483" s="94" t="str">
        <f>IFERROR(__xludf.DUMMYFUNCTION("""COMPUTED_VALUE"""),"Pendleton, Charles")</f>
        <v>Pendleton, Charles</v>
      </c>
      <c r="C483" s="94"/>
      <c r="D483" s="94" t="str">
        <f>IFERROR(__xludf.DUMMYFUNCTION("""COMPUTED_VALUE"""),"1846-1904")</f>
        <v>1846-1904</v>
      </c>
      <c r="E483" s="95" t="str">
        <f>IFERROR(__xludf.DUMMYFUNCTION("""COMPUTED_VALUE"""),"American collector of American furniture and decorative arts; lived in Providence and donated his collection in 1904 to the Rhode Island School of Design Museum, which constructed the Charles Pendleton House (the first museum wing dedicated to the exhibit"&amp;"ion of American decorative arts) to house his collection")</f>
        <v>American collector of American furniture and decorative arts; lived in Providence and donated his collection in 1904 to the Rhode Island School of Design Museum, which constructed the Charles Pendleton House (the first museum wing dedicated to the exhibition of American decorative arts) to house his collection</v>
      </c>
    </row>
    <row r="484">
      <c r="A484" s="96" t="str">
        <f>IFERROR(__xludf.DUMMYFUNCTION("""COMPUTED_VALUE"""),"00342")</f>
        <v>00342</v>
      </c>
      <c r="B484" s="94" t="str">
        <f>IFERROR(__xludf.DUMMYFUNCTION("""COMPUTED_VALUE"""),"Pennington, Harper")</f>
        <v>Pennington, Harper</v>
      </c>
      <c r="C484" s="94"/>
      <c r="D484" s="94" t="str">
        <f>IFERROR(__xludf.DUMMYFUNCTION("""COMPUTED_VALUE"""),"1853/1855-1920")</f>
        <v>1853/1855-1920</v>
      </c>
      <c r="E484" s="95" t="str">
        <f>IFERROR(__xludf.DUMMYFUNCTION("""COMPUTED_VALUE"""),"American painter who trained in Paris with Jean Leon Gérome and worked with James McNeill Whistler in Venice and London")</f>
        <v>American painter who trained in Paris with Jean Leon Gérome and worked with James McNeill Whistler in Venice and London</v>
      </c>
    </row>
    <row r="485">
      <c r="A485" s="96" t="str">
        <f>IFERROR(__xludf.DUMMYFUNCTION("""COMPUTED_VALUE"""),"00343")</f>
        <v>00343</v>
      </c>
      <c r="B485" s="94" t="str">
        <f>IFERROR(__xludf.DUMMYFUNCTION("""COMPUTED_VALUE"""),"Perkins, Frederick Mason")</f>
        <v>Perkins, Frederick Mason</v>
      </c>
      <c r="C485" s="94"/>
      <c r="D485" s="94" t="str">
        <f>IFERROR(__xludf.DUMMYFUNCTION("""COMPUTED_VALUE"""),"1874-1955")</f>
        <v>1874-1955</v>
      </c>
      <c r="E485" s="95" t="str">
        <f>IFERROR(__xludf.DUMMYFUNCTION("""COMPUTED_VALUE"""),"Art historian who specialized in Sienese art and lived with other ex-patriates in Florence, collector, and sometime dealer")</f>
        <v>Art historian who specialized in Sienese art and lived with other ex-patriates in Florence, collector, and sometime dealer</v>
      </c>
    </row>
    <row r="486">
      <c r="A486" s="96" t="str">
        <f>IFERROR(__xludf.DUMMYFUNCTION("""COMPUTED_VALUE"""),"00344")</f>
        <v>00344</v>
      </c>
      <c r="B486" s="94" t="str">
        <f>IFERROR(__xludf.DUMMYFUNCTION("""COMPUTED_VALUE"""),"Perkins, George Walbridge")</f>
        <v>Perkins, George Walbridge</v>
      </c>
      <c r="C486" s="94"/>
      <c r="D486" s="94" t="str">
        <f>IFERROR(__xludf.DUMMYFUNCTION("""COMPUTED_VALUE"""),"1862-1920")</f>
        <v>1862-1920</v>
      </c>
      <c r="E486" s="95" t="str">
        <f>IFERROR(__xludf.DUMMYFUNCTION("""COMPUTED_VALUE"""),"American banker and partner of Morgan")</f>
        <v>American banker and partner of Morgan</v>
      </c>
    </row>
    <row r="487">
      <c r="A487" s="96" t="str">
        <f>IFERROR(__xludf.DUMMYFUNCTION("""COMPUTED_VALUE"""),"00490")</f>
        <v>00490</v>
      </c>
      <c r="B487" s="94" t="str">
        <f>IFERROR(__xludf.DUMMYFUNCTION("""COMPUTED_VALUE"""),"Perkins, Mrs.")</f>
        <v>Perkins, Mrs.</v>
      </c>
      <c r="C487" s="94"/>
      <c r="D487" s="94"/>
      <c r="E487" s="95"/>
    </row>
    <row r="488">
      <c r="A488" s="96" t="str">
        <f>IFERROR(__xludf.DUMMYFUNCTION("""COMPUTED_VALUE"""),"00345")</f>
        <v>00345</v>
      </c>
      <c r="B488" s="94" t="str">
        <f>IFERROR(__xludf.DUMMYFUNCTION("""COMPUTED_VALUE"""),"Perry, Marsden J.")</f>
        <v>Perry, Marsden J.</v>
      </c>
      <c r="C488" s="94"/>
      <c r="D488" s="94" t="str">
        <f>IFERROR(__xludf.DUMMYFUNCTION("""COMPUTED_VALUE"""),"1850-1935")</f>
        <v>1850-1935</v>
      </c>
      <c r="E488" s="95" t="str">
        <f>IFERROR(__xludf.DUMMYFUNCTION("""COMPUTED_VALUE"""),"American financier and electricity and streetcar magnate who lived in Providence, RI (in the former John Carter Brown House); collector of rare Shakespeare editions, many of which, after being purchased by Henry Folger, are now at the Folger Shakespeare L"&amp;"irbary in Washington D.C. ")</f>
        <v>American financier and electricity and streetcar magnate who lived in Providence, RI (in the former John Carter Brown House); collector of rare Shakespeare editions, many of which, after being purchased by Henry Folger, are now at the Folger Shakespeare Lirbary in Washington D.C. </v>
      </c>
    </row>
    <row r="489">
      <c r="A489" s="96" t="str">
        <f>IFERROR(__xludf.DUMMYFUNCTION("""COMPUTED_VALUE"""),"00346")</f>
        <v>00346</v>
      </c>
      <c r="B489" s="94" t="str">
        <f>IFERROR(__xludf.DUMMYFUNCTION("""COMPUTED_VALUE"""),"Peterson, Theodore")</f>
        <v>Peterson, Theodore</v>
      </c>
      <c r="C489" s="94"/>
      <c r="D489" s="94"/>
      <c r="E489" s="95" t="str">
        <f>IFERROR(__xludf.DUMMYFUNCTION("""COMPUTED_VALUE"""),"Assistant to Henry Hyvernat and Professor at Catholic University who completed catalogue of Coptic bindings")</f>
        <v>Assistant to Henry Hyvernat and Professor at Catholic University who completed catalogue of Coptic bindings</v>
      </c>
    </row>
    <row r="490">
      <c r="A490" s="96" t="str">
        <f>IFERROR(__xludf.DUMMYFUNCTION("""COMPUTED_VALUE"""),"00347")</f>
        <v>00347</v>
      </c>
      <c r="B490" s="94" t="str">
        <f>IFERROR(__xludf.DUMMYFUNCTION("""COMPUTED_VALUE"""),"Phillips, Claude")</f>
        <v>Phillips, Claude</v>
      </c>
      <c r="C490" s="94"/>
      <c r="D490" s="94" t="str">
        <f>IFERROR(__xludf.DUMMYFUNCTION("""COMPUTED_VALUE"""),"1846-1924")</f>
        <v>1846-1924</v>
      </c>
      <c r="E490" s="95" t="str">
        <f>IFERROR(__xludf.DUMMYFUNCTION("""COMPUTED_VALUE"""),"British writer art critic; Keeper of Wallace Collection")</f>
        <v>British writer art critic; Keeper of Wallace Collection</v>
      </c>
    </row>
    <row r="491">
      <c r="A491" s="96" t="str">
        <f>IFERROR(__xludf.DUMMYFUNCTION("""COMPUTED_VALUE"""),"00348")</f>
        <v>00348</v>
      </c>
      <c r="B491" s="94" t="str">
        <f>IFERROR(__xludf.DUMMYFUNCTION("""COMPUTED_VALUE"""),"Pier, Mrs. Garrett ")</f>
        <v>Pier, Mrs. Garrett </v>
      </c>
      <c r="C491" s="94"/>
      <c r="D491" s="94"/>
      <c r="E491" s="95" t="str">
        <f>IFERROR(__xludf.DUMMYFUNCTION("""COMPUTED_VALUE"""),"American art collector")</f>
        <v>American art collector</v>
      </c>
    </row>
    <row r="492">
      <c r="A492" s="96" t="str">
        <f>IFERROR(__xludf.DUMMYFUNCTION("""COMPUTED_VALUE"""),"00349")</f>
        <v>00349</v>
      </c>
      <c r="B492" s="94" t="str">
        <f>IFERROR(__xludf.DUMMYFUNCTION("""COMPUTED_VALUE"""),"Pinsent, Cecil")</f>
        <v>Pinsent, Cecil</v>
      </c>
      <c r="C492" s="94"/>
      <c r="D492" s="94" t="str">
        <f>IFERROR(__xludf.DUMMYFUNCTION("""COMPUTED_VALUE"""),"1884-1963")</f>
        <v>1884-1963</v>
      </c>
      <c r="E492" s="95" t="str">
        <f>IFERROR(__xludf.DUMMYFUNCTION("""COMPUTED_VALUE"""),"British garden designer and architect working in Tuscany in early twentieth century")</f>
        <v>British garden designer and architect working in Tuscany in early twentieth century</v>
      </c>
    </row>
    <row r="493">
      <c r="A493" s="96" t="str">
        <f>IFERROR(__xludf.DUMMYFUNCTION("""COMPUTED_VALUE"""),"00500")</f>
        <v>00500</v>
      </c>
      <c r="B493" s="94" t="str">
        <f>IFERROR(__xludf.DUMMYFUNCTION("""COMPUTED_VALUE"""),"Platt, Dan Fellows")</f>
        <v>Platt, Dan Fellows</v>
      </c>
      <c r="C493" s="94"/>
      <c r="D493" s="94" t="str">
        <f>IFERROR(__xludf.DUMMYFUNCTION("""COMPUTED_VALUE"""),"1873-1937")</f>
        <v>1873-1937</v>
      </c>
      <c r="E493" s="95" t="str">
        <f>IFERROR(__xludf.DUMMYFUNCTION("""COMPUTED_VALUE"""),"Art collector and Mayor of Englewood; husband of Ethel Bliss Platt")</f>
        <v>Art collector and Mayor of Englewood; husband of Ethel Bliss Platt</v>
      </c>
    </row>
    <row r="494">
      <c r="A494" s="96" t="str">
        <f>IFERROR(__xludf.DUMMYFUNCTION("""COMPUTED_VALUE"""),"00501")</f>
        <v>00501</v>
      </c>
      <c r="B494" s="94" t="str">
        <f>IFERROR(__xludf.DUMMYFUNCTION("""COMPUTED_VALUE"""),"Platt, Ethel Appleby Bliss")</f>
        <v>Platt, Ethel Appleby Bliss</v>
      </c>
      <c r="C494" s="94" t="str">
        <f>IFERROR(__xludf.DUMMYFUNCTION("""COMPUTED_VALUE"""),"Miss Bliss")</f>
        <v>Miss Bliss</v>
      </c>
      <c r="D494" s="94" t="str">
        <f>IFERROR(__xludf.DUMMYFUNCTION("""COMPUTED_VALUE"""),"1881-1971")</f>
        <v>1881-1971</v>
      </c>
      <c r="E494" s="95" t="str">
        <f>IFERROR(__xludf.DUMMYFUNCTION("""COMPUTED_VALUE"""),"American tennis player and art collector; wife of Dan Platt")</f>
        <v>American tennis player and art collector; wife of Dan Platt</v>
      </c>
    </row>
    <row r="495">
      <c r="A495" s="96" t="str">
        <f>IFERROR(__xludf.DUMMYFUNCTION("""COMPUTED_VALUE"""),"00350")</f>
        <v>00350</v>
      </c>
      <c r="B495" s="94" t="str">
        <f>IFERROR(__xludf.DUMMYFUNCTION("""COMPUTED_VALUE"""),"Plunkett, Edward")</f>
        <v>Plunkett, Edward</v>
      </c>
      <c r="C495" s="94" t="str">
        <f>IFERROR(__xludf.DUMMYFUNCTION("""COMPUTED_VALUE"""),"Dunsany; Lord Dunsany")</f>
        <v>Dunsany; Lord Dunsany</v>
      </c>
      <c r="D495" s="94" t="str">
        <f>IFERROR(__xludf.DUMMYFUNCTION("""COMPUTED_VALUE"""),"1878-1957")</f>
        <v>1878-1957</v>
      </c>
      <c r="E495" s="95" t="str">
        <f>IFERROR(__xludf.DUMMYFUNCTION("""COMPUTED_VALUE"""),"Anglo-Irish writer and dramatist who published more than 90 books in the fantasy genre, under the pen name ""Lord Dunsany""")</f>
        <v>Anglo-Irish writer and dramatist who published more than 90 books in the fantasy genre, under the pen name "Lord Dunsany"</v>
      </c>
    </row>
    <row r="496">
      <c r="A496" s="96" t="str">
        <f>IFERROR(__xludf.DUMMYFUNCTION("""COMPUTED_VALUE"""),"00351")</f>
        <v>00351</v>
      </c>
      <c r="B496" s="94" t="str">
        <f>IFERROR(__xludf.DUMMYFUNCTION("""COMPUTED_VALUE"""),"Pollard, Alfred")</f>
        <v>Pollard, Alfred</v>
      </c>
      <c r="C496" s="94"/>
      <c r="D496" s="94" t="str">
        <f>IFERROR(__xludf.DUMMYFUNCTION("""COMPUTED_VALUE"""),"1859-1944")</f>
        <v>1859-1944</v>
      </c>
      <c r="E496" s="95" t="str">
        <f>IFERROR(__xludf.DUMMYFUNCTION("""COMPUTED_VALUE"""),"British bibliographer, Keeper of Printed Books at the British Museum, contributed to the Bennett catalogue")</f>
        <v>British bibliographer, Keeper of Printed Books at the British Museum, contributed to the Bennett catalogue</v>
      </c>
    </row>
    <row r="497">
      <c r="A497" s="96" t="str">
        <f>IFERROR(__xludf.DUMMYFUNCTION("""COMPUTED_VALUE"""),"00489")</f>
        <v>00489</v>
      </c>
      <c r="B497" s="94" t="str">
        <f>IFERROR(__xludf.DUMMYFUNCTION("""COMPUTED_VALUE"""),"Pollock, Francis Lillie")</f>
        <v>Pollock, Francis Lillie</v>
      </c>
      <c r="C497" s="94" t="str">
        <f>IFERROR(__xludf.DUMMYFUNCTION("""COMPUTED_VALUE"""),"Frank Pollock")</f>
        <v>Frank Pollock</v>
      </c>
      <c r="D497" s="94" t="str">
        <f>IFERROR(__xludf.DUMMYFUNCTION("""COMPUTED_VALUE"""),"1876-1957")</f>
        <v>1876-1957</v>
      </c>
      <c r="E497" s="95" t="str">
        <f>IFERROR(__xludf.DUMMYFUNCTION("""COMPUTED_VALUE"""),"Canadian science fiction author")</f>
        <v>Canadian science fiction author</v>
      </c>
    </row>
    <row r="498">
      <c r="A498" s="96" t="str">
        <f>IFERROR(__xludf.DUMMYFUNCTION("""COMPUTED_VALUE"""),"00594")</f>
        <v>00594</v>
      </c>
      <c r="B498" s="94" t="str">
        <f>IFERROR(__xludf.DUMMYFUNCTION("""COMPUTED_VALUE"""),"Pope Pius X")</f>
        <v>Pope Pius X</v>
      </c>
      <c r="C498" s="94"/>
      <c r="D498" s="94" t="str">
        <f>IFERROR(__xludf.DUMMYFUNCTION("""COMPUTED_VALUE"""),"1835–1914")</f>
        <v>1835–1914</v>
      </c>
      <c r="E498" s="95" t="str">
        <f>IFERROR(__xludf.DUMMYFUNCTION("""COMPUTED_VALUE"""),"Head of the Roman Catholic Church from 1903–1914")</f>
        <v>Head of the Roman Catholic Church from 1903–1914</v>
      </c>
    </row>
    <row r="499">
      <c r="A499" s="96" t="str">
        <f>IFERROR(__xludf.DUMMYFUNCTION("""COMPUTED_VALUE"""),"00352")</f>
        <v>00352</v>
      </c>
      <c r="B499" s="94" t="str">
        <f>IFERROR(__xludf.DUMMYFUNCTION("""COMPUTED_VALUE"""),"Post, Chandler Rathfon")</f>
        <v>Post, Chandler Rathfon</v>
      </c>
      <c r="C499" s="94"/>
      <c r="D499" s="94" t="str">
        <f>IFERROR(__xludf.DUMMYFUNCTION("""COMPUTED_VALUE"""),"1881-1959")</f>
        <v>1881-1959</v>
      </c>
      <c r="E499" s="95" t="str">
        <f>IFERROR(__xludf.DUMMYFUNCTION("""COMPUTED_VALUE"""),"Art historian and Hispanicist who served as Interpreter for the American Red Cross Commission to Italy, July to September 1917")</f>
        <v>Art historian and Hispanicist who served as Interpreter for the American Red Cross Commission to Italy, July to September 1917</v>
      </c>
    </row>
    <row r="500">
      <c r="A500" s="96" t="str">
        <f>IFERROR(__xludf.DUMMYFUNCTION("""COMPUTED_VALUE"""),"00578")</f>
        <v>00578</v>
      </c>
      <c r="B500" s="94" t="str">
        <f>IFERROR(__xludf.DUMMYFUNCTION("""COMPUTED_VALUE"""),"Potter, Henry Codman")</f>
        <v>Potter, Henry Codman</v>
      </c>
      <c r="C500" s="94"/>
      <c r="D500" s="94" t="str">
        <f>IFERROR(__xludf.DUMMYFUNCTION("""COMPUTED_VALUE"""),"1834-1908")</f>
        <v>1834-1908</v>
      </c>
      <c r="E500" s="95" t="str">
        <f>IFERROR(__xludf.DUMMYFUNCTION("""COMPUTED_VALUE"""),"American Episcopal Bishop")</f>
        <v>American Episcopal Bishop</v>
      </c>
    </row>
    <row r="501">
      <c r="A501" s="96" t="str">
        <f>IFERROR(__xludf.DUMMYFUNCTION("""COMPUTED_VALUE"""),"00353")</f>
        <v>00353</v>
      </c>
      <c r="B501" s="94" t="str">
        <f>IFERROR(__xludf.DUMMYFUNCTION("""COMPUTED_VALUE"""),"Pratt, Frederick")</f>
        <v>Pratt, Frederick</v>
      </c>
      <c r="C501" s="94"/>
      <c r="D501" s="94"/>
      <c r="E501" s="95" t="str">
        <f>IFERROR(__xludf.DUMMYFUNCTION("""COMPUTED_VALUE"""),"Friend of BG, art collector")</f>
        <v>Friend of BG, art collector</v>
      </c>
    </row>
    <row r="502">
      <c r="A502" s="96" t="str">
        <f>IFERROR(__xludf.DUMMYFUNCTION("""COMPUTED_VALUE"""),"00526")</f>
        <v>00526</v>
      </c>
      <c r="B502" s="94" t="str">
        <f>IFERROR(__xludf.DUMMYFUNCTION("""COMPUTED_VALUE"""),"Prince, John Dyneley")</f>
        <v>Prince, John Dyneley</v>
      </c>
      <c r="C502" s="94"/>
      <c r="D502" s="94" t="str">
        <f>IFERROR(__xludf.DUMMYFUNCTION("""COMPUTED_VALUE"""),"1868-1945")</f>
        <v>1868-1945</v>
      </c>
      <c r="E502" s="95" t="str">
        <f>IFERROR(__xludf.DUMMYFUNCTION("""COMPUTED_VALUE"""),"American linguist, diplomat, and politician; professor at New York University and Columbia University; minister to Denmark and Yugoslavia; leader of both houses of New Jersey Legislature")</f>
        <v>American linguist, diplomat, and politician; professor at New York University and Columbia University; minister to Denmark and Yugoslavia; leader of both houses of New Jersey Legislature</v>
      </c>
    </row>
    <row r="503">
      <c r="A503" s="96" t="str">
        <f>IFERROR(__xludf.DUMMYFUNCTION("""COMPUTED_VALUE"""),"00354")</f>
        <v>00354</v>
      </c>
      <c r="B503" s="94" t="str">
        <f>IFERROR(__xludf.DUMMYFUNCTION("""COMPUTED_VALUE"""),"Proctor, Robert")</f>
        <v>Proctor, Robert</v>
      </c>
      <c r="C503" s="94"/>
      <c r="D503" s="94" t="str">
        <f>IFERROR(__xludf.DUMMYFUNCTION("""COMPUTED_VALUE"""),"1868-1903")</f>
        <v>1868-1903</v>
      </c>
      <c r="E503" s="95" t="str">
        <f>IFERROR(__xludf.DUMMYFUNCTION("""COMPUTED_VALUE"""),"British bibliographer at British Museum, contributed to the Bennett catalogue")</f>
        <v>British bibliographer at British Museum, contributed to the Bennett catalogue</v>
      </c>
    </row>
    <row r="504">
      <c r="A504" s="96" t="str">
        <f>IFERROR(__xludf.DUMMYFUNCTION("""COMPUTED_VALUE"""),"00355")</f>
        <v>00355</v>
      </c>
      <c r="B504" s="94" t="str">
        <f>IFERROR(__xludf.DUMMYFUNCTION("""COMPUTED_VALUE"""),"Purnington, Archer")</f>
        <v>Purnington, Archer</v>
      </c>
      <c r="C504" s="94"/>
      <c r="D504" s="94" t="str">
        <f>IFERROR(__xludf.DUMMYFUNCTION("""COMPUTED_VALUE"""),"1852-1926")</f>
        <v>1852-1926</v>
      </c>
      <c r="E504" s="95" t="str">
        <f>IFERROR(__xludf.DUMMYFUNCTION("""COMPUTED_VALUE"""),"American writer")</f>
        <v>American writer</v>
      </c>
    </row>
    <row r="505">
      <c r="A505" s="96" t="str">
        <f>IFERROR(__xludf.DUMMYFUNCTION("""COMPUTED_VALUE"""),"00551")</f>
        <v>00551</v>
      </c>
      <c r="B505" s="94" t="str">
        <f>IFERROR(__xludf.DUMMYFUNCTION("""COMPUTED_VALUE"""),"Putnam, Emily James Smith")</f>
        <v>Putnam, Emily James Smith</v>
      </c>
      <c r="C505" s="94" t="str">
        <f>IFERROR(__xludf.DUMMYFUNCTION("""COMPUTED_VALUE"""),"Mrs. George Haven Putnam")</f>
        <v>Mrs. George Haven Putnam</v>
      </c>
      <c r="D505" s="94" t="str">
        <f>IFERROR(__xludf.DUMMYFUNCTION("""COMPUTED_VALUE"""),"1865-1944")</f>
        <v>1865-1944</v>
      </c>
      <c r="E505" s="95" t="str">
        <f>IFERROR(__xludf.DUMMYFUNCTION("""COMPUTED_VALUE"""),"American classical scholar, author, and educator; wife of George Haven Putnam")</f>
        <v>American classical scholar, author, and educator; wife of George Haven Putnam</v>
      </c>
    </row>
    <row r="506">
      <c r="A506" s="96" t="str">
        <f>IFERROR(__xludf.DUMMYFUNCTION("""COMPUTED_VALUE"""),"00503")</f>
        <v>00503</v>
      </c>
      <c r="B506" s="94" t="str">
        <f>IFERROR(__xludf.DUMMYFUNCTION("""COMPUTED_VALUE"""),"Pyne, Moses Taylor")</f>
        <v>Pyne, Moses Taylor</v>
      </c>
      <c r="C506" s="94" t="str">
        <f>IFERROR(__xludf.DUMMYFUNCTION("""COMPUTED_VALUE"""),"M. Taylor Pyne")</f>
        <v>M. Taylor Pyne</v>
      </c>
      <c r="D506" s="94" t="str">
        <f>IFERROR(__xludf.DUMMYFUNCTION("""COMPUTED_VALUE"""),"1855-1921")</f>
        <v>1855-1921</v>
      </c>
      <c r="E506" s="95" t="str">
        <f>IFERROR(__xludf.DUMMYFUNCTION("""COMPUTED_VALUE"""),"American financier and philanthropist")</f>
        <v>American financier and philanthropist</v>
      </c>
    </row>
    <row r="507">
      <c r="A507" s="96" t="str">
        <f>IFERROR(__xludf.DUMMYFUNCTION("""COMPUTED_VALUE"""),"00356")</f>
        <v>00356</v>
      </c>
      <c r="B507" s="94" t="str">
        <f>IFERROR(__xludf.DUMMYFUNCTION("""COMPUTED_VALUE"""),"Quaritch, Bernard Alfred")</f>
        <v>Quaritch, Bernard Alfred</v>
      </c>
      <c r="C507" s="94"/>
      <c r="D507" s="94" t="str">
        <f>IFERROR(__xludf.DUMMYFUNCTION("""COMPUTED_VALUE"""),"1870-1913")</f>
        <v>1870-1913</v>
      </c>
      <c r="E507" s="95" t="str">
        <f>IFERROR(__xludf.DUMMYFUNCTION("""COMPUTED_VALUE"""),"Son of antiquarian book dealer Bernard Quaritch and head of Bernard Quaritch firm of rare books and manuscripts dealers")</f>
        <v>Son of antiquarian book dealer Bernard Quaritch and head of Bernard Quaritch firm of rare books and manuscripts dealers</v>
      </c>
    </row>
    <row r="508">
      <c r="A508" s="96" t="str">
        <f>IFERROR(__xludf.DUMMYFUNCTION("""COMPUTED_VALUE"""),"00357")</f>
        <v>00357</v>
      </c>
      <c r="B508" s="94" t="str">
        <f>IFERROR(__xludf.DUMMYFUNCTION("""COMPUTED_VALUE"""),"Rahir, Édouard")</f>
        <v>Rahir, Édouard</v>
      </c>
      <c r="C508" s="94"/>
      <c r="D508" s="94" t="str">
        <f>IFERROR(__xludf.DUMMYFUNCTION("""COMPUTED_VALUE"""),"1862-1924")</f>
        <v>1862-1924</v>
      </c>
      <c r="E508" s="95" t="str">
        <f>IFERROR(__xludf.DUMMYFUNCTION("""COMPUTED_VALUE"""),"French bookseller and collector")</f>
        <v>French bookseller and collector</v>
      </c>
    </row>
    <row r="509">
      <c r="A509" s="96" t="str">
        <f>IFERROR(__xludf.DUMMYFUNCTION("""COMPUTED_VALUE"""),"00358")</f>
        <v>00358</v>
      </c>
      <c r="B509" s="94" t="str">
        <f>IFERROR(__xludf.DUMMYFUNCTION("""COMPUTED_VALUE"""),"Raphael")</f>
        <v>Raphael</v>
      </c>
      <c r="C509" s="94"/>
      <c r="D509" s="94"/>
      <c r="E509" s="95"/>
    </row>
    <row r="510">
      <c r="A510" s="96" t="str">
        <f>IFERROR(__xludf.DUMMYFUNCTION("""COMPUTED_VALUE"""),"00359")</f>
        <v>00359</v>
      </c>
      <c r="B510" s="94" t="str">
        <f>IFERROR(__xludf.DUMMYFUNCTION("""COMPUTED_VALUE"""),"Rauch")</f>
        <v>Rauch</v>
      </c>
      <c r="C510" s="94"/>
      <c r="D510" s="94"/>
      <c r="E510" s="95"/>
    </row>
    <row r="511">
      <c r="A511" s="96" t="str">
        <f>IFERROR(__xludf.DUMMYFUNCTION("""COMPUTED_VALUE"""),"00360")</f>
        <v>00360</v>
      </c>
      <c r="B511" s="94" t="str">
        <f>IFERROR(__xludf.DUMMYFUNCTION("""COMPUTED_VALUE"""),"Read, Charles Hercules")</f>
        <v>Read, Charles Hercules</v>
      </c>
      <c r="C511" s="94"/>
      <c r="D511" s="94" t="str">
        <f>IFERROR(__xludf.DUMMYFUNCTION("""COMPUTED_VALUE"""),"1857-1929")</f>
        <v>1857-1929</v>
      </c>
      <c r="E511" s="95" t="str">
        <f>IFERROR(__xludf.DUMMYFUNCTION("""COMPUTED_VALUE"""),"British bibliographer, archaeologist, and curator who served as Keeper of British and Medieaval Antiquities and Ethnography at the British Museum")</f>
        <v>British bibliographer, archaeologist, and curator who served as Keeper of British and Medieaval Antiquities and Ethnography at the British Museum</v>
      </c>
    </row>
    <row r="512">
      <c r="A512" s="96" t="str">
        <f>IFERROR(__xludf.DUMMYFUNCTION("""COMPUTED_VALUE"""),"00361")</f>
        <v>00361</v>
      </c>
      <c r="B512" s="94" t="str">
        <f>IFERROR(__xludf.DUMMYFUNCTION("""COMPUTED_VALUE"""),"Read, Lady Charles Hercules")</f>
        <v>Read, Lady Charles Hercules</v>
      </c>
      <c r="C512" s="94"/>
      <c r="D512" s="94"/>
      <c r="E512" s="95" t="str">
        <f>IFERROR(__xludf.DUMMYFUNCTION("""COMPUTED_VALUE"""),"Wife of Charles Hercules Read")</f>
        <v>Wife of Charles Hercules Read</v>
      </c>
    </row>
    <row r="513">
      <c r="A513" s="96" t="str">
        <f>IFERROR(__xludf.DUMMYFUNCTION("""COMPUTED_VALUE"""),"00362")</f>
        <v>00362</v>
      </c>
      <c r="B513" s="94" t="str">
        <f>IFERROR(__xludf.DUMMYFUNCTION("""COMPUTED_VALUE"""),"Reinach, Salomon")</f>
        <v>Reinach, Salomon</v>
      </c>
      <c r="C513" s="94"/>
      <c r="D513" s="94" t="str">
        <f>IFERROR(__xludf.DUMMYFUNCTION("""COMPUTED_VALUE"""),"1858-1932")</f>
        <v>1858-1932</v>
      </c>
      <c r="E513" s="95" t="str">
        <f>IFERROR(__xludf.DUMMYFUNCTION("""COMPUTED_VALUE"""),"French archaeologist and art historian; brother of Joseph Reinach, who defended Alfred Dreyfus")</f>
        <v>French archaeologist and art historian; brother of Joseph Reinach, who defended Alfred Dreyfus</v>
      </c>
    </row>
    <row r="514">
      <c r="A514" s="96" t="str">
        <f>IFERROR(__xludf.DUMMYFUNCTION("""COMPUTED_VALUE"""),"00363")</f>
        <v>00363</v>
      </c>
      <c r="B514" s="94" t="str">
        <f>IFERROR(__xludf.DUMMYFUNCTION("""COMPUTED_VALUE"""),"Rembielinski, Stanislas")</f>
        <v>Rembielinski, Stanislas</v>
      </c>
      <c r="C514" s="94"/>
      <c r="D514" s="94" t="str">
        <f>IFERROR(__xludf.DUMMYFUNCTION("""COMPUTED_VALUE"""),"d. July 1909")</f>
        <v>d. July 1909</v>
      </c>
      <c r="E514" s="95" t="str">
        <f>IFERROR(__xludf.DUMMYFUNCTION("""COMPUTED_VALUE"""),"Polish art collector")</f>
        <v>Polish art collector</v>
      </c>
    </row>
    <row r="515">
      <c r="A515" s="96" t="str">
        <f>IFERROR(__xludf.DUMMYFUNCTION("""COMPUTED_VALUE"""),"00364")</f>
        <v>00364</v>
      </c>
      <c r="B515" s="94" t="str">
        <f>IFERROR(__xludf.DUMMYFUNCTION("""COMPUTED_VALUE"""),"Rey, Emile")</f>
        <v>Rey, Emile</v>
      </c>
      <c r="C515" s="94"/>
      <c r="D515" s="94"/>
      <c r="E515" s="95" t="str">
        <f>IFERROR(__xludf.DUMMYFUNCTION("""COMPUTED_VALUE"""),"New York partner of Jacques Seligmann")</f>
        <v>New York partner of Jacques Seligmann</v>
      </c>
    </row>
    <row r="516">
      <c r="A516" s="96" t="str">
        <f>IFERROR(__xludf.DUMMYFUNCTION("""COMPUTED_VALUE"""),"00365")</f>
        <v>00365</v>
      </c>
      <c r="B516" s="94" t="str">
        <f>IFERROR(__xludf.DUMMYFUNCTION("""COMPUTED_VALUE"""),"Ricci, Seymour de")</f>
        <v>Ricci, Seymour de</v>
      </c>
      <c r="C516" s="94"/>
      <c r="D516" s="94" t="str">
        <f>IFERROR(__xludf.DUMMYFUNCTION("""COMPUTED_VALUE"""),"1881-1942")</f>
        <v>1881-1942</v>
      </c>
      <c r="E516" s="95" t="str">
        <f>IFERROR(__xludf.DUMMYFUNCTION("""COMPUTED_VALUE"""),"English/French bibliographer and historian")</f>
        <v>English/French bibliographer and historian</v>
      </c>
    </row>
    <row r="517">
      <c r="A517" s="96" t="str">
        <f>IFERROR(__xludf.DUMMYFUNCTION("""COMPUTED_VALUE"""),"00366")</f>
        <v>00366</v>
      </c>
      <c r="B517" s="94" t="str">
        <f>IFERROR(__xludf.DUMMYFUNCTION("""COMPUTED_VALUE"""),"Richardson, Ernest Cushing")</f>
        <v>Richardson, Ernest Cushing</v>
      </c>
      <c r="C517" s="94"/>
      <c r="D517" s="94" t="str">
        <f>IFERROR(__xludf.DUMMYFUNCTION("""COMPUTED_VALUE"""),"1860-1939")</f>
        <v>1860-1939</v>
      </c>
      <c r="E517" s="95" t="str">
        <f>IFERROR(__xludf.DUMMYFUNCTION("""COMPUTED_VALUE"""),"American librarian and bibliographer, from 1890-1925 served as Director of Princeton University Library and Professor of Bibliography, later became consultant to Library of Congress")</f>
        <v>American librarian and bibliographer, from 1890-1925 served as Director of Princeton University Library and Professor of Bibliography, later became consultant to Library of Congress</v>
      </c>
    </row>
    <row r="518">
      <c r="A518" s="96" t="str">
        <f>IFERROR(__xludf.DUMMYFUNCTION("""COMPUTED_VALUE"""),"00367")</f>
        <v>00367</v>
      </c>
      <c r="B518" s="94" t="str">
        <f>IFERROR(__xludf.DUMMYFUNCTION("""COMPUTED_VALUE"""),"Riggs, Kate Douglas Wiggin")</f>
        <v>Riggs, Kate Douglas Wiggin</v>
      </c>
      <c r="C518" s="94"/>
      <c r="D518" s="94" t="str">
        <f>IFERROR(__xludf.DUMMYFUNCTION("""COMPUTED_VALUE"""),"1856-1923")</f>
        <v>1856-1923</v>
      </c>
      <c r="E518" s="95" t="str">
        <f>IFERROR(__xludf.DUMMYFUNCTION("""COMPUTED_VALUE"""),"American activist and author of children's stories")</f>
        <v>American activist and author of children's stories</v>
      </c>
    </row>
    <row r="519">
      <c r="A519" s="96" t="str">
        <f>IFERROR(__xludf.DUMMYFUNCTION("""COMPUTED_VALUE"""),"00368")</f>
        <v>00368</v>
      </c>
      <c r="B519" s="94" t="str">
        <f>IFERROR(__xludf.DUMMYFUNCTION("""COMPUTED_VALUE"""),"Rives, George L.")</f>
        <v>Rives, George L.</v>
      </c>
      <c r="C519" s="94"/>
      <c r="D519" s="94" t="str">
        <f>IFERROR(__xludf.DUMMYFUNCTION("""COMPUTED_VALUE"""),"1849-1917")</f>
        <v>1849-1917</v>
      </c>
      <c r="E519" s="95" t="str">
        <f>IFERROR(__xludf.DUMMYFUNCTION("""COMPUTED_VALUE"""),"America lawyer, politician, and writer who served as President of NYPL from 1914 to 1917")</f>
        <v>America lawyer, politician, and writer who served as President of NYPL from 1914 to 1917</v>
      </c>
    </row>
    <row r="520">
      <c r="A520" s="96" t="str">
        <f>IFERROR(__xludf.DUMMYFUNCTION("""COMPUTED_VALUE"""),"00556")</f>
        <v>00556</v>
      </c>
      <c r="B520" s="94" t="str">
        <f>IFERROR(__xludf.DUMMYFUNCTION("""COMPUTED_VALUE"""),"Roberts, William Carman")</f>
        <v>Roberts, William Carman</v>
      </c>
      <c r="C520" s="94" t="str">
        <f>IFERROR(__xludf.DUMMYFUNCTION("""COMPUTED_VALUE"""),"Mr. Roberts")</f>
        <v>Mr. Roberts</v>
      </c>
      <c r="D520" s="94" t="str">
        <f>IFERROR(__xludf.DUMMYFUNCTION("""COMPUTED_VALUE"""),"1874-1941")</f>
        <v>1874-1941</v>
      </c>
      <c r="E520" s="95" t="str">
        <f>IFERROR(__xludf.DUMMYFUNCTION("""COMPUTED_VALUE"""),"Canadian poet; professor of politics at NYU; editor of The Literary Digest; husband of Mary Fanton")</f>
        <v>Canadian poet; professor of politics at NYU; editor of The Literary Digest; husband of Mary Fanton</v>
      </c>
    </row>
    <row r="521">
      <c r="A521" s="96" t="str">
        <f>IFERROR(__xludf.DUMMYFUNCTION("""COMPUTED_VALUE"""),"00497")</f>
        <v>00497</v>
      </c>
      <c r="B521" s="94" t="str">
        <f>IFERROR(__xludf.DUMMYFUNCTION("""COMPUTED_VALUE"""),"Robins, Thomas Ellis")</f>
        <v>Robins, Thomas Ellis</v>
      </c>
      <c r="C521" s="94"/>
      <c r="D521" s="94" t="str">
        <f>IFERROR(__xludf.DUMMYFUNCTION("""COMPUTED_VALUE"""),"1884–1962")</f>
        <v>1884–1962</v>
      </c>
      <c r="E521" s="95" t="str">
        <f>IFERROR(__xludf.DUMMYFUNCTION("""COMPUTED_VALUE"""),"American-born British journalist and military officer")</f>
        <v>American-born British journalist and military officer</v>
      </c>
    </row>
    <row r="522">
      <c r="A522" s="96" t="str">
        <f>IFERROR(__xludf.DUMMYFUNCTION("""COMPUTED_VALUE"""),"00369")</f>
        <v>00369</v>
      </c>
      <c r="B522" s="94" t="str">
        <f>IFERROR(__xludf.DUMMYFUNCTION("""COMPUTED_VALUE"""),"Robinson, Edward")</f>
        <v>Robinson, Edward</v>
      </c>
      <c r="C522" s="94"/>
      <c r="D522" s="94" t="str">
        <f>IFERROR(__xludf.DUMMYFUNCTION("""COMPUTED_VALUE"""),"1858-1931")</f>
        <v>1858-1931</v>
      </c>
      <c r="E522" s="95" t="str">
        <f>IFERROR(__xludf.DUMMYFUNCTION("""COMPUTED_VALUE"""),"American art historian, museum curator, and Director of the Metropolitan Museum of Art from 1910-31")</f>
        <v>American art historian, museum curator, and Director of the Metropolitan Museum of Art from 1910-31</v>
      </c>
    </row>
    <row r="523">
      <c r="A523" s="96" t="str">
        <f>IFERROR(__xludf.DUMMYFUNCTION("""COMPUTED_VALUE"""),"00370")</f>
        <v>00370</v>
      </c>
      <c r="B523" s="94" t="str">
        <f>IFERROR(__xludf.DUMMYFUNCTION("""COMPUTED_VALUE"""),"Robinson, Elizabeth Gould")</f>
        <v>Robinson, Elizabeth Gould</v>
      </c>
      <c r="C523" s="94"/>
      <c r="D523" s="94" t="str">
        <f>IFERROR(__xludf.DUMMYFUNCTION("""COMPUTED_VALUE"""),"c. 1859-1952")</f>
        <v>c. 1859-1952</v>
      </c>
      <c r="E523" s="95" t="str">
        <f>IFERROR(__xludf.DUMMYFUNCTION("""COMPUTED_VALUE"""),"Wife of Edward Robinson")</f>
        <v>Wife of Edward Robinson</v>
      </c>
    </row>
    <row r="524">
      <c r="A524" s="96" t="str">
        <f>IFERROR(__xludf.DUMMYFUNCTION("""COMPUTED_VALUE"""),"00371")</f>
        <v>00371</v>
      </c>
      <c r="B524" s="94" t="str">
        <f>IFERROR(__xludf.DUMMYFUNCTION("""COMPUTED_VALUE"""),"Rockefeller, John D.")</f>
        <v>Rockefeller, John D.</v>
      </c>
      <c r="C524" s="94"/>
      <c r="D524" s="94" t="str">
        <f>IFERROR(__xludf.DUMMYFUNCTION("""COMPUTED_VALUE"""),"1839-1937")</f>
        <v>1839-1937</v>
      </c>
      <c r="E524" s="95" t="str">
        <f>IFERROR(__xludf.DUMMYFUNCTION("""COMPUTED_VALUE"""),"Founder of Standard Oil, business magnate")</f>
        <v>Founder of Standard Oil, business magnate</v>
      </c>
    </row>
    <row r="525">
      <c r="A525" s="96" t="str">
        <f>IFERROR(__xludf.DUMMYFUNCTION("""COMPUTED_VALUE"""),"00372")</f>
        <v>00372</v>
      </c>
      <c r="B525" s="94" t="str">
        <f>IFERROR(__xludf.DUMMYFUNCTION("""COMPUTED_VALUE"""),"Rockefeller, John D. Jr.")</f>
        <v>Rockefeller, John D. Jr.</v>
      </c>
      <c r="C525" s="94"/>
      <c r="D525" s="94" t="str">
        <f>IFERROR(__xludf.DUMMYFUNCTION("""COMPUTED_VALUE"""),"1874-1960")</f>
        <v>1874-1960</v>
      </c>
      <c r="E525" s="95" t="str">
        <f>IFERROR(__xludf.DUMMYFUNCTION("""COMPUTED_VALUE"""),"American financier and philanthropist")</f>
        <v>American financier and philanthropist</v>
      </c>
    </row>
    <row r="526">
      <c r="A526" s="96" t="str">
        <f>IFERROR(__xludf.DUMMYFUNCTION("""COMPUTED_VALUE"""),"00523")</f>
        <v>00523</v>
      </c>
      <c r="B526" s="94" t="str">
        <f>IFERROR(__xludf.DUMMYFUNCTION("""COMPUTED_VALUE"""),"Rodin, François Auguste René")</f>
        <v>Rodin, François Auguste René</v>
      </c>
      <c r="C526" s="94"/>
      <c r="D526" s="94" t="str">
        <f>IFERROR(__xludf.DUMMYFUNCTION("""COMPUTED_VALUE"""),"1840-1917")</f>
        <v>1840-1917</v>
      </c>
      <c r="E526" s="95" t="str">
        <f>IFERROR(__xludf.DUMMYFUNCTION("""COMPUTED_VALUE"""),"French sculptor")</f>
        <v>French sculptor</v>
      </c>
    </row>
    <row r="527">
      <c r="A527" s="96" t="str">
        <f>IFERROR(__xludf.DUMMYFUNCTION("""COMPUTED_VALUE"""),"00485")</f>
        <v>00485</v>
      </c>
      <c r="B527" s="94" t="str">
        <f>IFERROR(__xludf.DUMMYFUNCTION("""COMPUTED_VALUE"""),"Rogers, Mary Howard")</f>
        <v>Rogers, Mary Howard</v>
      </c>
      <c r="C527" s="94"/>
      <c r="D527" s="94"/>
      <c r="E527" s="95" t="str">
        <f>IFERROR(__xludf.DUMMYFUNCTION("""COMPUTED_VALUE"""),"Boston socialite and wife of Jacob Rogers, Director of State National Bank of Boston")</f>
        <v>Boston socialite and wife of Jacob Rogers, Director of State National Bank of Boston</v>
      </c>
    </row>
    <row r="528">
      <c r="A528" s="96" t="str">
        <f>IFERROR(__xludf.DUMMYFUNCTION("""COMPUTED_VALUE"""),"00373")</f>
        <v>00373</v>
      </c>
      <c r="B528" s="94" t="str">
        <f>IFERROR(__xludf.DUMMYFUNCTION("""COMPUTED_VALUE"""),"Rogers, Millicent")</f>
        <v>Rogers, Millicent</v>
      </c>
      <c r="C528" s="94"/>
      <c r="D528" s="94" t="str">
        <f>IFERROR(__xludf.DUMMYFUNCTION("""COMPUTED_VALUE"""),"1902-1953")</f>
        <v>1902-1953</v>
      </c>
      <c r="E528" s="95" t="str">
        <f>IFERROR(__xludf.DUMMYFUNCTION("""COMPUTED_VALUE"""),"American socialite and art collector; heiress of the fortune of tycoon Henry Huttleston Rogers of Standard Oil")</f>
        <v>American socialite and art collector; heiress of the fortune of tycoon Henry Huttleston Rogers of Standard Oil</v>
      </c>
    </row>
    <row r="529">
      <c r="A529" s="96" t="str">
        <f>IFERROR(__xludf.DUMMYFUNCTION("""COMPUTED_VALUE"""),"00374")</f>
        <v>00374</v>
      </c>
      <c r="B529" s="94" t="str">
        <f>IFERROR(__xludf.DUMMYFUNCTION("""COMPUTED_VALUE"""),"Romanov, Nicholas II")</f>
        <v>Romanov, Nicholas II</v>
      </c>
      <c r="C529" s="94"/>
      <c r="D529" s="94" t="str">
        <f>IFERROR(__xludf.DUMMYFUNCTION("""COMPUTED_VALUE"""),"1894-1917")</f>
        <v>1894-1917</v>
      </c>
      <c r="E529" s="95" t="str">
        <f>IFERROR(__xludf.DUMMYFUNCTION("""COMPUTED_VALUE"""),"Tsar Nicholas II of Russia; last Russian emperor")</f>
        <v>Tsar Nicholas II of Russia; last Russian emperor</v>
      </c>
    </row>
    <row r="530">
      <c r="A530" s="96" t="str">
        <f>IFERROR(__xludf.DUMMYFUNCTION("""COMPUTED_VALUE"""),"00375")</f>
        <v>00375</v>
      </c>
      <c r="B530" s="94" t="str">
        <f>IFERROR(__xludf.DUMMYFUNCTION("""COMPUTED_VALUE"""),"Root, Elihu")</f>
        <v>Root, Elihu</v>
      </c>
      <c r="C530" s="94"/>
      <c r="D530" s="94" t="str">
        <f>IFERROR(__xludf.DUMMYFUNCTION("""COMPUTED_VALUE"""),"1845-1937")</f>
        <v>1845-1937</v>
      </c>
      <c r="E530" s="95" t="str">
        <f>IFERROR(__xludf.DUMMYFUNCTION("""COMPUTED_VALUE"""),"American lawyer and statesman and former Secretary of State under Roosevelt and former Secretary of War under McKinley")</f>
        <v>American lawyer and statesman and former Secretary of State under Roosevelt and former Secretary of War under McKinley</v>
      </c>
    </row>
    <row r="531">
      <c r="A531" s="96" t="str">
        <f>IFERROR(__xludf.DUMMYFUNCTION("""COMPUTED_VALUE"""),"00376")</f>
        <v>00376</v>
      </c>
      <c r="B531" s="94" t="str">
        <f>IFERROR(__xludf.DUMMYFUNCTION("""COMPUTED_VALUE"""),"Rosenbach, A.S.W.")</f>
        <v>Rosenbach, A.S.W.</v>
      </c>
      <c r="C531" s="94"/>
      <c r="D531" s="94" t="str">
        <f>IFERROR(__xludf.DUMMYFUNCTION("""COMPUTED_VALUE"""),"1876-1952")</f>
        <v>1876-1952</v>
      </c>
      <c r="E531" s="95" t="str">
        <f>IFERROR(__xludf.DUMMYFUNCTION("""COMPUTED_VALUE"""),"American collector, scholar, and dealer of rare books and manuscripts")</f>
        <v>American collector, scholar, and dealer of rare books and manuscripts</v>
      </c>
    </row>
    <row r="532">
      <c r="A532" s="96" t="str">
        <f>IFERROR(__xludf.DUMMYFUNCTION("""COMPUTED_VALUE"""),"00600")</f>
        <v>00600</v>
      </c>
      <c r="B532" s="94" t="str">
        <f>IFERROR(__xludf.DUMMYFUNCTION("""COMPUTED_VALUE"""),"Rosenheim, Max")</f>
        <v>Rosenheim, Max</v>
      </c>
      <c r="C532" s="94"/>
      <c r="D532" s="94" t="str">
        <f>IFERROR(__xludf.DUMMYFUNCTION("""COMPUTED_VALUE"""),"1849–1911")</f>
        <v>1849–1911</v>
      </c>
      <c r="E532" s="95" t="str">
        <f>IFERROR(__xludf.DUMMYFUNCTION("""COMPUTED_VALUE"""),"British art collector")</f>
        <v>British art collector</v>
      </c>
    </row>
    <row r="533">
      <c r="A533" s="96" t="str">
        <f>IFERROR(__xludf.DUMMYFUNCTION("""COMPUTED_VALUE"""),"00377")</f>
        <v>00377</v>
      </c>
      <c r="B533" s="94" t="str">
        <f>IFERROR(__xludf.DUMMYFUNCTION("""COMPUTED_VALUE"""),"Rosenstein, William")</f>
        <v>Rosenstein, William</v>
      </c>
      <c r="C533" s="94"/>
      <c r="D533" s="94" t="str">
        <f>IFERROR(__xludf.DUMMYFUNCTION("""COMPUTED_VALUE"""),"1872-1945")</f>
        <v>1872-1945</v>
      </c>
      <c r="E533" s="95" t="str">
        <f>IFERROR(__xludf.DUMMYFUNCTION("""COMPUTED_VALUE"""),"English artist, particularly celebrated as a portraitist; made chalk portrait of BG (1956.5) in 1912")</f>
        <v>English artist, particularly celebrated as a portraitist; made chalk portrait of BG (1956.5) in 1912</v>
      </c>
    </row>
    <row r="534">
      <c r="A534" s="96" t="str">
        <f>IFERROR(__xludf.DUMMYFUNCTION("""COMPUTED_VALUE"""),"00378")</f>
        <v>00378</v>
      </c>
      <c r="B534" s="94" t="str">
        <f>IFERROR(__xludf.DUMMYFUNCTION("""COMPUTED_VALUE"""),"Ross, Denman")</f>
        <v>Ross, Denman</v>
      </c>
      <c r="C534" s="94"/>
      <c r="D534" s="94" t="str">
        <f>IFERROR(__xludf.DUMMYFUNCTION("""COMPUTED_VALUE"""),"1853-1935")</f>
        <v>1853-1935</v>
      </c>
      <c r="E534" s="95" t="str">
        <f>IFERROR(__xludf.DUMMYFUNCTION("""COMPUTED_VALUE"""),"American painter, art collector, and professor of art history at Harvard")</f>
        <v>American painter, art collector, and professor of art history at Harvard</v>
      </c>
    </row>
    <row r="535">
      <c r="A535" s="96" t="str">
        <f>IFERROR(__xludf.DUMMYFUNCTION("""COMPUTED_VALUE"""),"00677")</f>
        <v>00677</v>
      </c>
      <c r="B535" s="94" t="str">
        <f>IFERROR(__xludf.DUMMYFUNCTION("""COMPUTED_VALUE"""),"Ross, Marvin Chauncey")</f>
        <v>Ross, Marvin Chauncey</v>
      </c>
      <c r="C535" s="94"/>
      <c r="D535" s="94" t="str">
        <f>IFERROR(__xludf.DUMMYFUNCTION("""COMPUTED_VALUE"""),"1904-1977")</f>
        <v>1904-1977</v>
      </c>
      <c r="E535" s="95" t="str">
        <f>IFERROR(__xludf.DUMMYFUNCTION("""COMPUTED_VALUE"""),"a Monument man of WWWW; a scholar at the Walters Art Gallery ")</f>
        <v>a Monument man of WWWW; a scholar at the Walters Art Gallery </v>
      </c>
    </row>
    <row r="536">
      <c r="A536" s="96" t="str">
        <f>IFERROR(__xludf.DUMMYFUNCTION("""COMPUTED_VALUE"""),"00379")</f>
        <v>00379</v>
      </c>
      <c r="B536" s="94" t="str">
        <f>IFERROR(__xludf.DUMMYFUNCTION("""COMPUTED_VALUE"""),"Russell, Ada Dwyer")</f>
        <v>Russell, Ada Dwyer</v>
      </c>
      <c r="C536" s="94"/>
      <c r="D536" s="94" t="str">
        <f>IFERROR(__xludf.DUMMYFUNCTION("""COMPUTED_VALUE"""),"1863-1952")</f>
        <v>1863-1952</v>
      </c>
      <c r="E536" s="95" t="str">
        <f>IFERROR(__xludf.DUMMYFUNCTION("""COMPUTED_VALUE"""),"American actress and longtime partner of Amy Lowell")</f>
        <v>American actress and longtime partner of Amy Lowell</v>
      </c>
    </row>
    <row r="537">
      <c r="A537" s="96" t="str">
        <f>IFERROR(__xludf.DUMMYFUNCTION("""COMPUTED_VALUE"""),"00380")</f>
        <v>00380</v>
      </c>
      <c r="B537" s="94" t="str">
        <f>IFERROR(__xludf.DUMMYFUNCTION("""COMPUTED_VALUE"""),"Russell, Alys (Smith)")</f>
        <v>Russell, Alys (Smith)</v>
      </c>
      <c r="C537" s="94"/>
      <c r="D537" s="94" t="str">
        <f>IFERROR(__xludf.DUMMYFUNCTION("""COMPUTED_VALUE"""),"1867-1951")</f>
        <v>1867-1951</v>
      </c>
      <c r="E537" s="95" t="str">
        <f>IFERROR(__xludf.DUMMYFUNCTION("""COMPUTED_VALUE"""),"Sister of Mary Berenson, Quaker organizer, and first wife of Bertrand Russell (1894-1921)")</f>
        <v>Sister of Mary Berenson, Quaker organizer, and first wife of Bertrand Russell (1894-1921)</v>
      </c>
    </row>
    <row r="538">
      <c r="A538" s="96" t="str">
        <f>IFERROR(__xludf.DUMMYFUNCTION("""COMPUTED_VALUE"""),"00381")</f>
        <v>00381</v>
      </c>
      <c r="B538" s="94" t="str">
        <f>IFERROR(__xludf.DUMMYFUNCTION("""COMPUTED_VALUE"""),"Russell, Bertrand")</f>
        <v>Russell, Bertrand</v>
      </c>
      <c r="C538" s="94"/>
      <c r="D538" s="94" t="str">
        <f>IFERROR(__xludf.DUMMYFUNCTION("""COMPUTED_VALUE"""),"1872-1970")</f>
        <v>1872-1970</v>
      </c>
      <c r="E538" s="95" t="str">
        <f>IFERROR(__xludf.DUMMYFUNCTION("""COMPUTED_VALUE"""),"Celebrated British philosopher and intellectual")</f>
        <v>Celebrated British philosopher and intellectual</v>
      </c>
    </row>
    <row r="539">
      <c r="A539" s="96" t="str">
        <f>IFERROR(__xludf.DUMMYFUNCTION("""COMPUTED_VALUE"""),"00382")</f>
        <v>00382</v>
      </c>
      <c r="B539" s="94" t="str">
        <f>IFERROR(__xludf.DUMMYFUNCTION("""COMPUTED_VALUE"""),"Ruutz-Rees, Caroline")</f>
        <v>Ruutz-Rees, Caroline</v>
      </c>
      <c r="C539" s="94"/>
      <c r="D539" s="94" t="str">
        <f>IFERROR(__xludf.DUMMYFUNCTION("""COMPUTED_VALUE"""),"1865-1954")</f>
        <v>1865-1954</v>
      </c>
      <c r="E539" s="95" t="str">
        <f>IFERROR(__xludf.DUMMYFUNCTION("""COMPUTED_VALUE"""),"Headmistress from 1890 to 1938 of Rosemary Hall school for girls in Greenwich, Connecticut")</f>
        <v>Headmistress from 1890 to 1938 of Rosemary Hall school for girls in Greenwich, Connecticut</v>
      </c>
    </row>
    <row r="540">
      <c r="A540" s="96" t="str">
        <f>IFERROR(__xludf.DUMMYFUNCTION("""COMPUTED_VALUE"""),"00383")</f>
        <v>00383</v>
      </c>
      <c r="B540" s="94" t="str">
        <f>IFERROR(__xludf.DUMMYFUNCTION("""COMPUTED_VALUE"""),"Ryan, John Barry")</f>
        <v>Ryan, John Barry</v>
      </c>
      <c r="C540" s="94"/>
      <c r="D540" s="94" t="str">
        <f>IFERROR(__xludf.DUMMYFUNCTION("""COMPUTED_VALUE"""),"1874-1942")</f>
        <v>1874-1942</v>
      </c>
      <c r="E540" s="95" t="str">
        <f>IFERROR(__xludf.DUMMYFUNCTION("""COMPUTED_VALUE"""),"Son of Thomas Fortune Ryan and financier and writer")</f>
        <v>Son of Thomas Fortune Ryan and financier and writer</v>
      </c>
    </row>
    <row r="541">
      <c r="A541" s="96" t="str">
        <f>IFERROR(__xludf.DUMMYFUNCTION("""COMPUTED_VALUE"""),"00384")</f>
        <v>00384</v>
      </c>
      <c r="B541" s="94" t="str">
        <f>IFERROR(__xludf.DUMMYFUNCTION("""COMPUTED_VALUE"""),"Ryan, Thomas Fortune")</f>
        <v>Ryan, Thomas Fortune</v>
      </c>
      <c r="C541" s="94" t="str">
        <f>IFERROR(__xludf.DUMMYFUNCTION("""COMPUTED_VALUE"""),"Tommy")</f>
        <v>Tommy</v>
      </c>
      <c r="D541" s="94" t="str">
        <f>IFERROR(__xludf.DUMMYFUNCTION("""COMPUTED_VALUE"""),"1851-1928")</f>
        <v>1851-1928</v>
      </c>
      <c r="E541" s="95" t="str">
        <f>IFERROR(__xludf.DUMMYFUNCTION("""COMPUTED_VALUE"""),"New York financier and art collector; important donor of Rodin sculptures to the Metropolitan Museum of Art")</f>
        <v>New York financier and art collector; important donor of Rodin sculptures to the Metropolitan Museum of Art</v>
      </c>
    </row>
    <row r="542">
      <c r="A542" s="96" t="str">
        <f>IFERROR(__xludf.DUMMYFUNCTION("""COMPUTED_VALUE"""),"00385")</f>
        <v>00385</v>
      </c>
      <c r="B542" s="94" t="str">
        <f>IFERROR(__xludf.DUMMYFUNCTION("""COMPUTED_VALUE"""),"Sachs, Paul J. ")</f>
        <v>Sachs, Paul J. </v>
      </c>
      <c r="C542" s="94"/>
      <c r="D542" s="94" t="str">
        <f>IFERROR(__xludf.DUMMYFUNCTION("""COMPUTED_VALUE"""),"1878-1965")</f>
        <v>1878-1965</v>
      </c>
      <c r="E542" s="95" t="str">
        <f>IFERROR(__xludf.DUMMYFUNCTION("""COMPUTED_VALUE"""),"American financier and banker at Goldman Sachs, art collector, art historian, and Associate Director of the Harvard University's Fogg Museum")</f>
        <v>American financier and banker at Goldman Sachs, art collector, art historian, and Associate Director of the Harvard University's Fogg Museum</v>
      </c>
    </row>
    <row r="543">
      <c r="A543" s="96" t="str">
        <f>IFERROR(__xludf.DUMMYFUNCTION("""COMPUTED_VALUE"""),"00582")</f>
        <v>00582</v>
      </c>
      <c r="B543" s="94" t="str">
        <f>IFERROR(__xludf.DUMMYFUNCTION("""COMPUTED_VALUE"""),"Saint-Gaudens, Augustus")</f>
        <v>Saint-Gaudens, Augustus</v>
      </c>
      <c r="C543" s="94"/>
      <c r="D543" s="94" t="str">
        <f>IFERROR(__xludf.DUMMYFUNCTION("""COMPUTED_VALUE"""),"1848-1907")</f>
        <v>1848-1907</v>
      </c>
      <c r="E543" s="95" t="str">
        <f>IFERROR(__xludf.DUMMYFUNCTION("""COMPUTED_VALUE"""),"American sculptor")</f>
        <v>American sculptor</v>
      </c>
    </row>
    <row r="544">
      <c r="A544" s="96" t="str">
        <f>IFERROR(__xludf.DUMMYFUNCTION("""COMPUTED_VALUE"""),"00386")</f>
        <v>00386</v>
      </c>
      <c r="B544" s="94" t="str">
        <f>IFERROR(__xludf.DUMMYFUNCTION("""COMPUTED_VALUE"""),"Salting, George")</f>
        <v>Salting, George</v>
      </c>
      <c r="C544" s="94"/>
      <c r="D544" s="94" t="str">
        <f>IFERROR(__xludf.DUMMYFUNCTION("""COMPUTED_VALUE"""),"1835-1909")</f>
        <v>1835-1909</v>
      </c>
      <c r="E544" s="95" t="str">
        <f>IFERROR(__xludf.DUMMYFUNCTION("""COMPUTED_VALUE"""),"British collector primarily of ceramics whose collection was on long term loan at the Victoria and Albert Museum")</f>
        <v>British collector primarily of ceramics whose collection was on long term loan at the Victoria and Albert Museum</v>
      </c>
    </row>
    <row r="545">
      <c r="A545" s="96" t="str">
        <f>IFERROR(__xludf.DUMMYFUNCTION("""COMPUTED_VALUE"""),"00387")</f>
        <v>00387</v>
      </c>
      <c r="B545" s="94" t="str">
        <f>IFERROR(__xludf.DUMMYFUNCTION("""COMPUTED_VALUE"""),"Sambon, Arthur")</f>
        <v>Sambon, Arthur</v>
      </c>
      <c r="C545" s="94"/>
      <c r="D545" s="94" t="str">
        <f>IFERROR(__xludf.DUMMYFUNCTION("""COMPUTED_VALUE"""),"1867-1947")</f>
        <v>1867-1947</v>
      </c>
      <c r="E545" s="95" t="str">
        <f>IFERROR(__xludf.DUMMYFUNCTION("""COMPUTED_VALUE"""),"Parisian art dealer and collector")</f>
        <v>Parisian art dealer and collector</v>
      </c>
    </row>
    <row r="546">
      <c r="A546" s="96" t="str">
        <f>IFERROR(__xludf.DUMMYFUNCTION("""COMPUTED_VALUE"""),"00668")</f>
        <v>00668</v>
      </c>
      <c r="B546" s="94" t="str">
        <f>IFERROR(__xludf.DUMMYFUNCTION("""COMPUTED_VALUE"""),"Samuels, Mitchell")</f>
        <v>Samuels, Mitchell</v>
      </c>
      <c r="C546" s="94"/>
      <c r="D546" s="94"/>
      <c r="E546" s="95"/>
    </row>
    <row r="547">
      <c r="A547" s="96" t="str">
        <f>IFERROR(__xludf.DUMMYFUNCTION("""COMPUTED_VALUE"""),"00388")</f>
        <v>00388</v>
      </c>
      <c r="B547" s="94" t="str">
        <f>IFERROR(__xludf.DUMMYFUNCTION("""COMPUTED_VALUE"""),"Sands, Gertrude Sheldon")</f>
        <v>Sands, Gertrude Sheldon</v>
      </c>
      <c r="C547" s="94"/>
      <c r="D547" s="94" t="str">
        <f>IFERROR(__xludf.DUMMYFUNCTION("""COMPUTED_VALUE"""),"1888-1969")</f>
        <v>1888-1969</v>
      </c>
      <c r="E547" s="95" t="str">
        <f>IFERROR(__xludf.DUMMYFUNCTION("""COMPUTED_VALUE"""),"American philanthropist and wife of Samuel Stevens Sands III; later married Richard Whitney")</f>
        <v>American philanthropist and wife of Samuel Stevens Sands III; later married Richard Whitney</v>
      </c>
    </row>
    <row r="548">
      <c r="A548" s="96" t="str">
        <f>IFERROR(__xludf.DUMMYFUNCTION("""COMPUTED_VALUE"""),"00389")</f>
        <v>00389</v>
      </c>
      <c r="B548" s="94" t="str">
        <f>IFERROR(__xludf.DUMMYFUNCTION("""COMPUTED_VALUE"""),"Sands, Samuel Stevens (III)")</f>
        <v>Sands, Samuel Stevens (III)</v>
      </c>
      <c r="C548" s="94"/>
      <c r="D548" s="94" t="str">
        <f>IFERROR(__xludf.DUMMYFUNCTION("""COMPUTED_VALUE"""),"1884-1913")</f>
        <v>1884-1913</v>
      </c>
      <c r="E548" s="95" t="str">
        <f>IFERROR(__xludf.DUMMYFUNCTION("""COMPUTED_VALUE"""),"American bon vivant and husband of Gertrude Sheldon ")</f>
        <v>American bon vivant and husband of Gertrude Sheldon </v>
      </c>
    </row>
    <row r="549">
      <c r="A549" s="96" t="str">
        <f>IFERROR(__xludf.DUMMYFUNCTION("""COMPUTED_VALUE"""),"00565")</f>
        <v>00565</v>
      </c>
      <c r="B549" s="94" t="str">
        <f>IFERROR(__xludf.DUMMYFUNCTION("""COMPUTED_VALUE"""),"Sanger, Virginia Osborn")</f>
        <v>Sanger, Virginia Osborn</v>
      </c>
      <c r="C549" s="94" t="str">
        <f>IFERROR(__xludf.DUMMYFUNCTION("""COMPUTED_VALUE"""),"Mistress Sanger")</f>
        <v>Mistress Sanger</v>
      </c>
      <c r="D549" s="94" t="str">
        <f>IFERROR(__xludf.DUMMYFUNCTION("""COMPUTED_VALUE"""),"1882-1955")</f>
        <v>1882-1955</v>
      </c>
      <c r="E549" s="95" t="str">
        <f>IFERROR(__xludf.DUMMYFUNCTION("""COMPUTED_VALUE"""),"Relief worker during WWI, daughter of Lucretia Thatcher Perry and Henry Fairfield Osborn")</f>
        <v>Relief worker during WWI, daughter of Lucretia Thatcher Perry and Henry Fairfield Osborn</v>
      </c>
    </row>
    <row r="550">
      <c r="A550" s="96" t="str">
        <f>IFERROR(__xludf.DUMMYFUNCTION("""COMPUTED_VALUE"""),"00390")</f>
        <v>00390</v>
      </c>
      <c r="B550" s="94" t="str">
        <f>IFERROR(__xludf.DUMMYFUNCTION("""COMPUTED_VALUE"""),"Sassoon, Lady")</f>
        <v>Sassoon, Lady</v>
      </c>
      <c r="C550" s="94"/>
      <c r="D550" s="94" t="str">
        <f>IFERROR(__xludf.DUMMYFUNCTION("""COMPUTED_VALUE"""),"1867-1909")</f>
        <v>1867-1909</v>
      </c>
      <c r="E550" s="95" t="str">
        <f>IFERROR(__xludf.DUMMYFUNCTION("""COMPUTED_VALUE"""),"Alice Caroline de Rothschild: French socialite ")</f>
        <v>Alice Caroline de Rothschild: French socialite </v>
      </c>
    </row>
    <row r="551">
      <c r="A551" s="96" t="str">
        <f>IFERROR(__xludf.DUMMYFUNCTION("""COMPUTED_VALUE"""),"00391")</f>
        <v>00391</v>
      </c>
      <c r="B551" s="94" t="str">
        <f>IFERROR(__xludf.DUMMYFUNCTION("""COMPUTED_VALUE"""),"Satterlee, Herbert Livingston")</f>
        <v>Satterlee, Herbert Livingston</v>
      </c>
      <c r="C551" s="94"/>
      <c r="D551" s="94" t="str">
        <f>IFERROR(__xludf.DUMMYFUNCTION("""COMPUTED_VALUE"""),"1863-1947")</f>
        <v>1863-1947</v>
      </c>
      <c r="E551" s="95" t="str">
        <f>IFERROR(__xludf.DUMMYFUNCTION("""COMPUTED_VALUE"""),"American lawyer, writer, and businessman; former Assistant Secretary of the Treasury and then the Assistant Secretary of the Navy; married Louisa Pierpont Morgan in 1900")</f>
        <v>American lawyer, writer, and businessman; former Assistant Secretary of the Treasury and then the Assistant Secretary of the Navy; married Louisa Pierpont Morgan in 1900</v>
      </c>
    </row>
    <row r="552">
      <c r="A552" s="96" t="str">
        <f>IFERROR(__xludf.DUMMYFUNCTION("""COMPUTED_VALUE"""),"00669")</f>
        <v>00669</v>
      </c>
      <c r="B552" s="94" t="str">
        <f>IFERROR(__xludf.DUMMYFUNCTION("""COMPUTED_VALUE"""),"Scaramanga, Julia")</f>
        <v>Scaramanga, Julia</v>
      </c>
      <c r="C552" s="94" t="str">
        <f>IFERROR(__xludf.DUMMYFUNCTION("""COMPUTED_VALUE"""),"Eumo's")</f>
        <v>Eumo's</v>
      </c>
      <c r="D552" s="94" t="str">
        <f>IFERROR(__xludf.DUMMYFUNCTION("""COMPUTED_VALUE"""),"1864 - 1944")</f>
        <v>1864 - 1944</v>
      </c>
      <c r="E552" s="95"/>
    </row>
    <row r="553">
      <c r="A553" s="96" t="str">
        <f>IFERROR(__xludf.DUMMYFUNCTION("""COMPUTED_VALUE"""),"00392")</f>
        <v>00392</v>
      </c>
      <c r="B553" s="94" t="str">
        <f>IFERROR(__xludf.DUMMYFUNCTION("""COMPUTED_VALUE"""),"Schiff, Jacob")</f>
        <v>Schiff, Jacob</v>
      </c>
      <c r="C553" s="94"/>
      <c r="D553" s="94" t="str">
        <f>IFERROR(__xludf.DUMMYFUNCTION("""COMPUTED_VALUE"""),"1847-1920")</f>
        <v>1847-1920</v>
      </c>
      <c r="E553" s="95" t="str">
        <f>IFERROR(__xludf.DUMMYFUNCTION("""COMPUTED_VALUE"""),"American banker, businessman, and philanthropist who served on the board for many New York and American museums with a focus on Jewish studies and charities")</f>
        <v>American banker, businessman, and philanthropist who served on the board for many New York and American museums with a focus on Jewish studies and charities</v>
      </c>
    </row>
    <row r="554">
      <c r="A554" s="96" t="str">
        <f>IFERROR(__xludf.DUMMYFUNCTION("""COMPUTED_VALUE"""),"00393")</f>
        <v>00393</v>
      </c>
      <c r="B554" s="94" t="str">
        <f>IFERROR(__xludf.DUMMYFUNCTION("""COMPUTED_VALUE"""),"Scott, Geoffrey")</f>
        <v>Scott, Geoffrey</v>
      </c>
      <c r="C554" s="94"/>
      <c r="D554" s="94" t="str">
        <f>IFERROR(__xludf.DUMMYFUNCTION("""COMPUTED_VALUE"""),"1884-1929")</f>
        <v>1884-1929</v>
      </c>
      <c r="E554" s="95" t="str">
        <f>IFERROR(__xludf.DUMMYFUNCTION("""COMPUTED_VALUE"""),"English writer and architectural historian close with Mary and Bernard Berenson")</f>
        <v>English writer and architectural historian close with Mary and Bernard Berenson</v>
      </c>
    </row>
    <row r="555">
      <c r="A555" s="96" t="str">
        <f>IFERROR(__xludf.DUMMYFUNCTION("""COMPUTED_VALUE"""),"00394")</f>
        <v>00394</v>
      </c>
      <c r="B555" s="94" t="str">
        <f>IFERROR(__xludf.DUMMYFUNCTION("""COMPUTED_VALUE"""),"Seligmann, Arnold")</f>
        <v>Seligmann, Arnold</v>
      </c>
      <c r="C555" s="94"/>
      <c r="D555" s="94" t="str">
        <f>IFERROR(__xludf.DUMMYFUNCTION("""COMPUTED_VALUE"""),"1870-1932")</f>
        <v>1870-1932</v>
      </c>
      <c r="E555" s="95" t="str">
        <f>IFERROR(__xludf.DUMMYFUNCTION("""COMPUTED_VALUE"""),"Brother of Jacques Seligmann; joined Galerie Seligmann in Paris in 1900 and following family feud in 1912, established Arnold Seligmann &amp; Cie. in Place Vendome; went on to form Arnold Seligmann, Rey &amp; Co. in New York in 1921 and a branch in Berlin in 1932")</f>
        <v>Brother of Jacques Seligmann; joined Galerie Seligmann in Paris in 1900 and following family feud in 1912, established Arnold Seligmann &amp; Cie. in Place Vendome; went on to form Arnold Seligmann, Rey &amp; Co. in New York in 1921 and a branch in Berlin in 1932</v>
      </c>
    </row>
    <row r="556">
      <c r="A556" s="96" t="str">
        <f>IFERROR(__xludf.DUMMYFUNCTION("""COMPUTED_VALUE"""),"00395")</f>
        <v>00395</v>
      </c>
      <c r="B556" s="94" t="str">
        <f>IFERROR(__xludf.DUMMYFUNCTION("""COMPUTED_VALUE"""),"Seligmann, Jacques")</f>
        <v>Seligmann, Jacques</v>
      </c>
      <c r="C556" s="94" t="str">
        <f>IFERROR(__xludf.DUMMYFUNCTION("""COMPUTED_VALUE"""),"J. S.; Selmann?")</f>
        <v>J. S.; Selmann?</v>
      </c>
      <c r="D556" s="94" t="str">
        <f>IFERROR(__xludf.DUMMYFUNCTION("""COMPUTED_VALUE"""),"1858-1923")</f>
        <v>1858-1923</v>
      </c>
      <c r="E556" s="95" t="str">
        <f>IFERROR(__xludf.DUMMYFUNCTION("""COMPUTED_VALUE"""),"French art collector, dealer and gallery owner ")</f>
        <v>French art collector, dealer and gallery owner </v>
      </c>
    </row>
    <row r="557">
      <c r="A557" s="96" t="str">
        <f>IFERROR(__xludf.DUMMYFUNCTION("""COMPUTED_VALUE"""),"00636")</f>
        <v>00636</v>
      </c>
      <c r="B557" s="94" t="str">
        <f>IFERROR(__xludf.DUMMYFUNCTION("""COMPUTED_VALUE"""),"Selimann, Bob")</f>
        <v>Selimann, Bob</v>
      </c>
      <c r="C557" s="94"/>
      <c r="D557" s="94"/>
      <c r="E557" s="95"/>
    </row>
    <row r="558">
      <c r="A558" s="96" t="str">
        <f>IFERROR(__xludf.DUMMYFUNCTION("""COMPUTED_VALUE"""),"00396")</f>
        <v>00396</v>
      </c>
      <c r="B558" s="94" t="str">
        <f>IFERROR(__xludf.DUMMYFUNCTION("""COMPUTED_VALUE"""),"Serristori, Hortense")</f>
        <v>Serristori, Hortense</v>
      </c>
      <c r="C558" s="94" t="str">
        <f>IFERROR(__xludf.DUMMYFUNCTION("""COMPUTED_VALUE"""),"Madame La Serristori")</f>
        <v>Madame La Serristori</v>
      </c>
      <c r="D558" s="94" t="str">
        <f>IFERROR(__xludf.DUMMYFUNCTION("""COMPUTED_VALUE"""),"1871-1960")</f>
        <v>1871-1960</v>
      </c>
      <c r="E558" s="95" t="str">
        <f>IFERROR(__xludf.DUMMYFUNCTION("""COMPUTED_VALUE"""),"Italian writer and Countess")</f>
        <v>Italian writer and Countess</v>
      </c>
    </row>
    <row r="559">
      <c r="A559" s="96" t="str">
        <f>IFERROR(__xludf.DUMMYFUNCTION("""COMPUTED_VALUE"""),"00397")</f>
        <v>00397</v>
      </c>
      <c r="B559" s="94" t="str">
        <f>IFERROR(__xludf.DUMMYFUNCTION("""COMPUTED_VALUE"""),"Shahan, Thomas Joseph")</f>
        <v>Shahan, Thomas Joseph</v>
      </c>
      <c r="C559" s="94"/>
      <c r="D559" s="94" t="str">
        <f>IFERROR(__xludf.DUMMYFUNCTION("""COMPUTED_VALUE"""),"1857-1932")</f>
        <v>1857-1932</v>
      </c>
      <c r="E559" s="95" t="str">
        <f>IFERROR(__xludf.DUMMYFUNCTION("""COMPUTED_VALUE"""),"American theologian and President of of Catholic University")</f>
        <v>American theologian and President of of Catholic University</v>
      </c>
    </row>
    <row r="560">
      <c r="A560" s="96" t="str">
        <f>IFERROR(__xludf.DUMMYFUNCTION("""COMPUTED_VALUE"""),"00674")</f>
        <v>00674</v>
      </c>
      <c r="B560" s="94" t="str">
        <f>IFERROR(__xludf.DUMMYFUNCTION("""COMPUTED_VALUE"""),"Shapley, John ")</f>
        <v>Shapley, John </v>
      </c>
      <c r="C560" s="94"/>
      <c r="D560" s="94"/>
      <c r="E560" s="95" t="str">
        <f>IFERROR(__xludf.DUMMYFUNCTION("""COMPUTED_VALUE"""),"Unidentifed")</f>
        <v>Unidentifed</v>
      </c>
    </row>
    <row r="561">
      <c r="A561" s="96" t="str">
        <f>IFERROR(__xludf.DUMMYFUNCTION("""COMPUTED_VALUE"""),"00516")</f>
        <v>00516</v>
      </c>
      <c r="B561" s="94" t="str">
        <f>IFERROR(__xludf.DUMMYFUNCTION("""COMPUTED_VALUE"""),"Sheehan, William F.")</f>
        <v>Sheehan, William F.</v>
      </c>
      <c r="C561" s="94"/>
      <c r="D561" s="94" t="str">
        <f>IFERROR(__xludf.DUMMYFUNCTION("""COMPUTED_VALUE"""),"1859-1917")</f>
        <v>1859-1917</v>
      </c>
      <c r="E561" s="95" t="str">
        <f>IFERROR(__xludf.DUMMYFUNCTION("""COMPUTED_VALUE"""),"American lawyer and politician")</f>
        <v>American lawyer and politician</v>
      </c>
    </row>
    <row r="562">
      <c r="A562" s="96" t="str">
        <f>IFERROR(__xludf.DUMMYFUNCTION("""COMPUTED_VALUE"""),"00398")</f>
        <v>00398</v>
      </c>
      <c r="B562" s="94" t="str">
        <f>IFERROR(__xludf.DUMMYFUNCTION("""COMPUTED_VALUE"""),"Sherman, Frederic Fairchild")</f>
        <v>Sherman, Frederic Fairchild</v>
      </c>
      <c r="C562" s="94"/>
      <c r="D562" s="94" t="str">
        <f>IFERROR(__xludf.DUMMYFUNCTION("""COMPUTED_VALUE"""),"1874-1940")</f>
        <v>1874-1940</v>
      </c>
      <c r="E562" s="95" t="str">
        <f>IFERROR(__xludf.DUMMYFUNCTION("""COMPUTED_VALUE"""),"Founder and editor-in-chief of Art in America magazine 1917-1940")</f>
        <v>Founder and editor-in-chief of Art in America magazine 1917-1940</v>
      </c>
    </row>
    <row r="563">
      <c r="A563" s="96" t="str">
        <f>IFERROR(__xludf.DUMMYFUNCTION("""COMPUTED_VALUE"""),"00399")</f>
        <v>00399</v>
      </c>
      <c r="B563" s="94" t="str">
        <f>IFERROR(__xludf.DUMMYFUNCTION("""COMPUTED_VALUE"""),"Shinn, Everett")</f>
        <v>Shinn, Everett</v>
      </c>
      <c r="C563" s="94"/>
      <c r="D563" s="94" t="str">
        <f>IFERROR(__xludf.DUMMYFUNCTION("""COMPUTED_VALUE"""),"1876-1953")</f>
        <v>1876-1953</v>
      </c>
      <c r="E563" s="95" t="str">
        <f>IFERROR(__xludf.DUMMYFUNCTION("""COMPUTED_VALUE"""),"American painter and illustrator who frequently depicted urban scenes and theater performances")</f>
        <v>American painter and illustrator who frequently depicted urban scenes and theater performances</v>
      </c>
    </row>
    <row r="564">
      <c r="A564" s="96" t="str">
        <f>IFERROR(__xludf.DUMMYFUNCTION("""COMPUTED_VALUE"""),"00581")</f>
        <v>00581</v>
      </c>
      <c r="B564" s="94" t="str">
        <f>IFERROR(__xludf.DUMMYFUNCTION("""COMPUTED_VALUE"""),"Shinn, Florence Scovel")</f>
        <v>Shinn, Florence Scovel</v>
      </c>
      <c r="C564" s="94"/>
      <c r="D564" s="94" t="str">
        <f>IFERROR(__xludf.DUMMYFUNCTION("""COMPUTED_VALUE"""),"1871-1940")</f>
        <v>1871-1940</v>
      </c>
      <c r="E564" s="95" t="str">
        <f>IFERROR(__xludf.DUMMYFUNCTION("""COMPUTED_VALUE"""),"American artist and writer")</f>
        <v>American artist and writer</v>
      </c>
    </row>
    <row r="565">
      <c r="A565" s="96" t="str">
        <f>IFERROR(__xludf.DUMMYFUNCTION("""COMPUTED_VALUE"""),"00400")</f>
        <v>00400</v>
      </c>
      <c r="B565" s="94" t="str">
        <f>IFERROR(__xludf.DUMMYFUNCTION("""COMPUTED_VALUE"""),"Simkhovitch, Vladimir")</f>
        <v>Simkhovitch, Vladimir</v>
      </c>
      <c r="C565" s="94"/>
      <c r="D565" s="94" t="str">
        <f>IFERROR(__xludf.DUMMYFUNCTION("""COMPUTED_VALUE"""),"1874-1959")</f>
        <v>1874-1959</v>
      </c>
      <c r="E565" s="95" t="str">
        <f>IFERROR(__xludf.DUMMYFUNCTION("""COMPUTED_VALUE"""),"Russian art collector and Professor of Economic History and Economics at Columbia University")</f>
        <v>Russian art collector and Professor of Economic History and Economics at Columbia University</v>
      </c>
    </row>
    <row r="566">
      <c r="A566" s="96" t="str">
        <f>IFERROR(__xludf.DUMMYFUNCTION("""COMPUTED_VALUE"""),"00401")</f>
        <v>00401</v>
      </c>
      <c r="B566" s="94" t="str">
        <f>IFERROR(__xludf.DUMMYFUNCTION("""COMPUTED_VALUE"""),"Sirén, Osvald")</f>
        <v>Sirén, Osvald</v>
      </c>
      <c r="C566" s="94"/>
      <c r="D566" s="94" t="str">
        <f>IFERROR(__xludf.DUMMYFUNCTION("""COMPUTED_VALUE"""),"1879-1966")</f>
        <v>1879-1966</v>
      </c>
      <c r="E566" s="95" t="str">
        <f>IFERROR(__xludf.DUMMYFUNCTION("""COMPUTED_VALUE"""),"Swedish art historian whose scholarship focused on Italian Renaissance and Chinese art")</f>
        <v>Swedish art historian whose scholarship focused on Italian Renaissance and Chinese art</v>
      </c>
    </row>
    <row r="567">
      <c r="A567" s="96" t="str">
        <f>IFERROR(__xludf.DUMMYFUNCTION("""COMPUTED_VALUE"""),"00402")</f>
        <v>00402</v>
      </c>
      <c r="B567" s="94" t="str">
        <f>IFERROR(__xludf.DUMMYFUNCTION("""COMPUTED_VALUE"""),"Sitwell, George R.")</f>
        <v>Sitwell, George R.</v>
      </c>
      <c r="C567" s="94"/>
      <c r="D567" s="94" t="str">
        <f>IFERROR(__xludf.DUMMYFUNCTION("""COMPUTED_VALUE"""),"1860-1943")</f>
        <v>1860-1943</v>
      </c>
      <c r="E567" s="95" t="str">
        <f>IFERROR(__xludf.DUMMYFUNCTION("""COMPUTED_VALUE"""),"English politician, antiquarian, and art collector")</f>
        <v>English politician, antiquarian, and art collector</v>
      </c>
    </row>
    <row r="568">
      <c r="A568" s="96" t="str">
        <f>IFERROR(__xludf.DUMMYFUNCTION("""COMPUTED_VALUE"""),"00403")</f>
        <v>00403</v>
      </c>
      <c r="B568" s="94" t="str">
        <f>IFERROR(__xludf.DUMMYFUNCTION("""COMPUTED_VALUE"""),"Sloane, Mary Espy Johnstone")</f>
        <v>Sloane, Mary Espy Johnstone</v>
      </c>
      <c r="C568" s="94"/>
      <c r="D568" s="94" t="str">
        <f>IFERROR(__xludf.DUMMYFUNCTION("""COMPUTED_VALUE"""),"1850-1930")</f>
        <v>1850-1930</v>
      </c>
      <c r="E568" s="95" t="str">
        <f>IFERROR(__xludf.DUMMYFUNCTION("""COMPUTED_VALUE"""),"Wife of William Milligan Sloane")</f>
        <v>Wife of William Milligan Sloane</v>
      </c>
    </row>
    <row r="569">
      <c r="A569" s="96" t="str">
        <f>IFERROR(__xludf.DUMMYFUNCTION("""COMPUTED_VALUE"""),"00404")</f>
        <v>00404</v>
      </c>
      <c r="B569" s="94" t="str">
        <f>IFERROR(__xludf.DUMMYFUNCTION("""COMPUTED_VALUE"""),"Sloane, William Milligan")</f>
        <v>Sloane, William Milligan</v>
      </c>
      <c r="C569" s="94"/>
      <c r="D569" s="94" t="str">
        <f>IFERROR(__xludf.DUMMYFUNCTION("""COMPUTED_VALUE"""),"1850-1928")</f>
        <v>1850-1928</v>
      </c>
      <c r="E569" s="95" t="str">
        <f>IFERROR(__xludf.DUMMYFUNCTION("""COMPUTED_VALUE"""),"American historian and professor first at Princeton and then Columbia, as the Seth Low Professor of History")</f>
        <v>American historian and professor first at Princeton and then Columbia, as the Seth Low Professor of History</v>
      </c>
    </row>
    <row r="570">
      <c r="A570" s="96" t="str">
        <f>IFERROR(__xludf.DUMMYFUNCTION("""COMPUTED_VALUE"""),"00599")</f>
        <v>00599</v>
      </c>
      <c r="B570" s="94" t="str">
        <f>IFERROR(__xludf.DUMMYFUNCTION("""COMPUTED_VALUE"""),"Smith, Clifford")</f>
        <v>Smith, Clifford</v>
      </c>
      <c r="C570" s="94"/>
      <c r="D570" s="94"/>
      <c r="E570" s="95" t="str">
        <f>IFERROR(__xludf.DUMMYFUNCTION("""COMPUTED_VALUE"""),"unidentified")</f>
        <v>unidentified</v>
      </c>
    </row>
    <row r="571">
      <c r="A571" s="96" t="str">
        <f>IFERROR(__xludf.DUMMYFUNCTION("""COMPUTED_VALUE"""),"00564")</f>
        <v>00564</v>
      </c>
      <c r="B571" s="94" t="str">
        <f>IFERROR(__xludf.DUMMYFUNCTION("""COMPUTED_VALUE"""),"Smith, George D.")</f>
        <v>Smith, George D.</v>
      </c>
      <c r="C571" s="94"/>
      <c r="D571" s="94" t="str">
        <f>IFERROR(__xludf.DUMMYFUNCTION("""COMPUTED_VALUE"""),"1870-1920")</f>
        <v>1870-1920</v>
      </c>
      <c r="E571" s="95" t="str">
        <f>IFERROR(__xludf.DUMMYFUNCTION("""COMPUTED_VALUE"""),"New York bookdealer who served as Henry E. Huntington's agent")</f>
        <v>New York bookdealer who served as Henry E. Huntington's agent</v>
      </c>
    </row>
    <row r="572">
      <c r="A572" s="96" t="str">
        <f>IFERROR(__xludf.DUMMYFUNCTION("""COMPUTED_VALUE"""),"00405")</f>
        <v>00405</v>
      </c>
      <c r="B572" s="94" t="str">
        <f>IFERROR(__xludf.DUMMYFUNCTION("""COMPUTED_VALUE"""),"Smith, Hannah Whitall")</f>
        <v>Smith, Hannah Whitall</v>
      </c>
      <c r="C572" s="94"/>
      <c r="D572" s="94" t="str">
        <f>IFERROR(__xludf.DUMMYFUNCTION("""COMPUTED_VALUE"""),"1832-1911")</f>
        <v>1832-1911</v>
      </c>
      <c r="E572" s="95" t="str">
        <f>IFERROR(__xludf.DUMMYFUNCTION("""COMPUTED_VALUE"""),"American Quaker activist invovled in women's suffrage and Temperance movements")</f>
        <v>American Quaker activist invovled in women's suffrage and Temperance movements</v>
      </c>
    </row>
    <row r="573">
      <c r="A573" s="96" t="str">
        <f>IFERROR(__xludf.DUMMYFUNCTION("""COMPUTED_VALUE"""),"00511")</f>
        <v>00511</v>
      </c>
      <c r="B573" s="94" t="str">
        <f>IFERROR(__xludf.DUMMYFUNCTION("""COMPUTED_VALUE"""),"Smith, Marguerite Alice Hélène")</f>
        <v>Smith, Marguerite Alice Hélène</v>
      </c>
      <c r="C573" s="94" t="str">
        <f>IFERROR(__xludf.DUMMYFUNCTION("""COMPUTED_VALUE"""),"Marguerite Sylva; Maggie Smith")</f>
        <v>Marguerite Sylva; Maggie Smith</v>
      </c>
      <c r="D573" s="94" t="str">
        <f>IFERROR(__xludf.DUMMYFUNCTION("""COMPUTED_VALUE"""),"1875-1957")</f>
        <v>1875-1957</v>
      </c>
      <c r="E573" s="95" t="str">
        <f>IFERROR(__xludf.DUMMYFUNCTION("""COMPUTED_VALUE"""),"Belgian opera singer and muscial theater performer")</f>
        <v>Belgian opera singer and muscial theater performer</v>
      </c>
    </row>
    <row r="574">
      <c r="A574" s="96" t="str">
        <f>IFERROR(__xludf.DUMMYFUNCTION("""COMPUTED_VALUE"""),"00406")</f>
        <v>00406</v>
      </c>
      <c r="B574" s="94" t="str">
        <f>IFERROR(__xludf.DUMMYFUNCTION("""COMPUTED_VALUE"""),"Smith, Robinson")</f>
        <v>Smith, Robinson</v>
      </c>
      <c r="C574" s="94"/>
      <c r="D574" s="94"/>
      <c r="E574" s="95"/>
    </row>
    <row r="575">
      <c r="A575" s="96" t="str">
        <f>IFERROR(__xludf.DUMMYFUNCTION("""COMPUTED_VALUE"""),"00653")</f>
        <v>00653</v>
      </c>
      <c r="B575" s="94" t="str">
        <f>IFERROR(__xludf.DUMMYFUNCTION("""COMPUTED_VALUE"""),"Smith, Vivian")</f>
        <v>Smith, Vivian</v>
      </c>
      <c r="C575" s="94"/>
      <c r="D575" s="94"/>
      <c r="E575" s="95"/>
    </row>
    <row r="576">
      <c r="A576" s="96" t="str">
        <f>IFERROR(__xludf.DUMMYFUNCTION("""COMPUTED_VALUE"""),"00494")</f>
        <v>00494</v>
      </c>
      <c r="B576" s="94" t="str">
        <f>IFERROR(__xludf.DUMMYFUNCTION("""COMPUTED_VALUE"""),"Snyder, Carl")</f>
        <v>Snyder, Carl</v>
      </c>
      <c r="C576" s="94"/>
      <c r="D576" s="94" t="str">
        <f>IFERROR(__xludf.DUMMYFUNCTION("""COMPUTED_VALUE"""),"1869-1946")</f>
        <v>1869-1946</v>
      </c>
      <c r="E576" s="95" t="str">
        <f>IFERROR(__xludf.DUMMYFUNCTION("""COMPUTED_VALUE"""),"American economist and statistician")</f>
        <v>American economist and statistician</v>
      </c>
    </row>
    <row r="577">
      <c r="A577" s="96" t="str">
        <f>IFERROR(__xludf.DUMMYFUNCTION("""COMPUTED_VALUE"""),"00407")</f>
        <v>00407</v>
      </c>
      <c r="B577" s="94" t="str">
        <f>IFERROR(__xludf.DUMMYFUNCTION("""COMPUTED_VALUE"""),"Sothern, E.H.")</f>
        <v>Sothern, E.H.</v>
      </c>
      <c r="C577" s="94"/>
      <c r="D577" s="94" t="str">
        <f>IFERROR(__xludf.DUMMYFUNCTION("""COMPUTED_VALUE"""),"1859-1933")</f>
        <v>1859-1933</v>
      </c>
      <c r="E577" s="95" t="str">
        <f>IFERROR(__xludf.DUMMYFUNCTION("""COMPUTED_VALUE"""),"American actor who performed at the premiere performances of the New Theatre")</f>
        <v>American actor who performed at the premiere performances of the New Theatre</v>
      </c>
    </row>
    <row r="578">
      <c r="A578" s="96" t="str">
        <f>IFERROR(__xludf.DUMMYFUNCTION("""COMPUTED_VALUE"""),"00408")</f>
        <v>00408</v>
      </c>
      <c r="B578" s="94" t="str">
        <f>IFERROR(__xludf.DUMMYFUNCTION("""COMPUTED_VALUE"""),"Sousas")</f>
        <v>Sousas</v>
      </c>
      <c r="C578" s="94"/>
      <c r="D578" s="94"/>
      <c r="E578" s="95"/>
    </row>
    <row r="579">
      <c r="A579" s="96" t="str">
        <f>IFERROR(__xludf.DUMMYFUNCTION("""COMPUTED_VALUE"""),"00664")</f>
        <v>00664</v>
      </c>
      <c r="B579" s="94" t="str">
        <f>IFERROR(__xludf.DUMMYFUNCTION("""COMPUTED_VALUE"""),"Spreckels, Lurline Elizabeth")</f>
        <v>Spreckels, Lurline Elizabeth</v>
      </c>
      <c r="C579" s="94"/>
      <c r="D579" s="94" t="str">
        <f>IFERROR(__xludf.DUMMYFUNCTION("""COMPUTED_VALUE"""),"1886 - 1969")</f>
        <v>1886 - 1969</v>
      </c>
      <c r="E579" s="95" t="str">
        <f>IFERROR(__xludf.DUMMYFUNCTION("""COMPUTED_VALUE"""),"Wife of Spencer F. Eddy")</f>
        <v>Wife of Spencer F. Eddy</v>
      </c>
    </row>
    <row r="580">
      <c r="A580" s="96" t="str">
        <f>IFERROR(__xludf.DUMMYFUNCTION("""COMPUTED_VALUE"""),"00547")</f>
        <v>00547</v>
      </c>
      <c r="B580" s="94" t="str">
        <f>IFERROR(__xludf.DUMMYFUNCTION("""COMPUTED_VALUE"""),"Stanchfield, John Barry")</f>
        <v>Stanchfield, John Barry</v>
      </c>
      <c r="C580" s="94"/>
      <c r="D580" s="94" t="str">
        <f>IFERROR(__xludf.DUMMYFUNCTION("""COMPUTED_VALUE"""),"1855-1921")</f>
        <v>1855-1921</v>
      </c>
      <c r="E580" s="95" t="str">
        <f>IFERROR(__xludf.DUMMYFUNCTION("""COMPUTED_VALUE"""),"American lawyer and politician; Mayor of Elmira Heights, NY (1886-188); NY State Representative (1895-1896)")</f>
        <v>American lawyer and politician; Mayor of Elmira Heights, NY (1886-188); NY State Representative (1895-1896)</v>
      </c>
    </row>
    <row r="581">
      <c r="A581" s="96" t="str">
        <f>IFERROR(__xludf.DUMMYFUNCTION("""COMPUTED_VALUE"""),"00409")</f>
        <v>00409</v>
      </c>
      <c r="B581" s="94" t="str">
        <f>IFERROR(__xludf.DUMMYFUNCTION("""COMPUTED_VALUE"""),"Steichen, Edward")</f>
        <v>Steichen, Edward</v>
      </c>
      <c r="C581" s="94"/>
      <c r="D581" s="94" t="str">
        <f>IFERROR(__xludf.DUMMYFUNCTION("""COMPUTED_VALUE"""),"1879-1973")</f>
        <v>1879-1973</v>
      </c>
      <c r="E581" s="95" t="str">
        <f>IFERROR(__xludf.DUMMYFUNCTION("""COMPUTED_VALUE"""),"Photographer who with Alfred Stieglitz founded the Photo-Secession, established gallery 291, and started Camera Work; photographed JPM in 1903")</f>
        <v>Photographer who with Alfred Stieglitz founded the Photo-Secession, established gallery 291, and started Camera Work; photographed JPM in 1903</v>
      </c>
    </row>
    <row r="582">
      <c r="A582" s="96" t="str">
        <f>IFERROR(__xludf.DUMMYFUNCTION("""COMPUTED_VALUE"""),"00410")</f>
        <v>00410</v>
      </c>
      <c r="B582" s="94" t="str">
        <f>IFERROR(__xludf.DUMMYFUNCTION("""COMPUTED_VALUE"""),"Stein, Aurel")</f>
        <v>Stein, Aurel</v>
      </c>
      <c r="C582" s="94"/>
      <c r="D582" s="94" t="str">
        <f>IFERROR(__xludf.DUMMYFUNCTION("""COMPUTED_VALUE"""),"1862-1943")</f>
        <v>1862-1943</v>
      </c>
      <c r="E582" s="95" t="str">
        <f>IFERROR(__xludf.DUMMYFUNCTION("""COMPUTED_VALUE"""),"Hungarian-born British archaeologist, primarily known for his explorations and archaeological discoveries in Central Asia")</f>
        <v>Hungarian-born British archaeologist, primarily known for his explorations and archaeological discoveries in Central Asia</v>
      </c>
    </row>
    <row r="583">
      <c r="A583" s="96" t="str">
        <f>IFERROR(__xludf.DUMMYFUNCTION("""COMPUTED_VALUE"""),"00411")</f>
        <v>00411</v>
      </c>
      <c r="B583" s="94" t="str">
        <f>IFERROR(__xludf.DUMMYFUNCTION("""COMPUTED_VALUE"""),"Stein, Leo")</f>
        <v>Stein, Leo</v>
      </c>
      <c r="C583" s="94"/>
      <c r="D583" s="94" t="str">
        <f>IFERROR(__xludf.DUMMYFUNCTION("""COMPUTED_VALUE"""),"1872-1947")</f>
        <v>1872-1947</v>
      </c>
      <c r="E583" s="95" t="str">
        <f>IFERROR(__xludf.DUMMYFUNCTION("""COMPUTED_VALUE"""),"American art collector and brother of Gertrude Stein")</f>
        <v>American art collector and brother of Gertrude Stein</v>
      </c>
    </row>
    <row r="584">
      <c r="A584" s="96" t="str">
        <f>IFERROR(__xludf.DUMMYFUNCTION("""COMPUTED_VALUE"""),"00412")</f>
        <v>00412</v>
      </c>
      <c r="B584" s="94" t="str">
        <f>IFERROR(__xludf.DUMMYFUNCTION("""COMPUTED_VALUE"""),"Stephen, Karin")</f>
        <v>Stephen, Karin</v>
      </c>
      <c r="C584" s="94"/>
      <c r="D584" s="94" t="str">
        <f>IFERROR(__xludf.DUMMYFUNCTION("""COMPUTED_VALUE"""),"1889-1953")</f>
        <v>1889-1953</v>
      </c>
      <c r="E584" s="95" t="str">
        <f>IFERROR(__xludf.DUMMYFUNCTION("""COMPUTED_VALUE"""),"Daughter of Mary Berenson and Frank Costelloe (born Catherine Elizabeth Costelloe); wife of Adrian Stephen (brother of Virginia Woolf and Vanessa Bell); psychologist and psychoanalyst")</f>
        <v>Daughter of Mary Berenson and Frank Costelloe (born Catherine Elizabeth Costelloe); wife of Adrian Stephen (brother of Virginia Woolf and Vanessa Bell); psychologist and psychoanalyst</v>
      </c>
    </row>
    <row r="585">
      <c r="A585" s="96" t="str">
        <f>IFERROR(__xludf.DUMMYFUNCTION("""COMPUTED_VALUE"""),"00520")</f>
        <v>00520</v>
      </c>
      <c r="B585" s="94" t="str">
        <f>IFERROR(__xludf.DUMMYFUNCTION("""COMPUTED_VALUE"""),"Stern")</f>
        <v>Stern</v>
      </c>
      <c r="C585" s="94"/>
      <c r="D585" s="94"/>
      <c r="E585" s="95"/>
    </row>
    <row r="586">
      <c r="A586" s="96" t="str">
        <f>IFERROR(__xludf.DUMMYFUNCTION("""COMPUTED_VALUE"""),"00413")</f>
        <v>00413</v>
      </c>
      <c r="B586" s="94" t="str">
        <f>IFERROR(__xludf.DUMMYFUNCTION("""COMPUTED_VALUE"""),"Stieglitz, Alfred")</f>
        <v>Stieglitz, Alfred</v>
      </c>
      <c r="C586" s="94"/>
      <c r="D586" s="94" t="str">
        <f>IFERROR(__xludf.DUMMYFUNCTION("""COMPUTED_VALUE"""),"1864-1946")</f>
        <v>1864-1946</v>
      </c>
      <c r="E586" s="95" t="str">
        <f>IFERROR(__xludf.DUMMYFUNCTION("""COMPUTED_VALUE"""),"American photographer and pubisher of Camera Work; collaborator with Edward Steichen and Clarence White")</f>
        <v>American photographer and pubisher of Camera Work; collaborator with Edward Steichen and Clarence White</v>
      </c>
    </row>
    <row r="587">
      <c r="A587" s="96" t="str">
        <f>IFERROR(__xludf.DUMMYFUNCTION("""COMPUTED_VALUE"""),"00414")</f>
        <v>00414</v>
      </c>
      <c r="B587" s="94" t="str">
        <f>IFERROR(__xludf.DUMMYFUNCTION("""COMPUTED_VALUE"""),"Stockton, Kate")</f>
        <v>Stockton, Kate</v>
      </c>
      <c r="C587" s="94"/>
      <c r="D587" s="94"/>
      <c r="E587" s="95" t="str">
        <f>IFERROR(__xludf.DUMMYFUNCTION("""COMPUTED_VALUE"""),"BG friend from Princeton who became sister at convent of Saint John the Baptist in New Jersey")</f>
        <v>BG friend from Princeton who became sister at convent of Saint John the Baptist in New Jersey</v>
      </c>
    </row>
    <row r="588">
      <c r="A588" s="96" t="str">
        <f>IFERROR(__xludf.DUMMYFUNCTION("""COMPUTED_VALUE"""),"00545")</f>
        <v>00545</v>
      </c>
      <c r="B588" s="94" t="str">
        <f>IFERROR(__xludf.DUMMYFUNCTION("""COMPUTED_VALUE"""),"Stone, Melville Elijah")</f>
        <v>Stone, Melville Elijah</v>
      </c>
      <c r="C588" s="94"/>
      <c r="D588" s="94" t="str">
        <f>IFERROR(__xludf.DUMMYFUNCTION("""COMPUTED_VALUE"""),"1848-1929")</f>
        <v>1848-1929</v>
      </c>
      <c r="E588" s="95" t="str">
        <f>IFERROR(__xludf.DUMMYFUNCTION("""COMPUTED_VALUE"""),"American newspaper publisher; founder of the Chicago Daily News; general manager of the Associated Press")</f>
        <v>American newspaper publisher; founder of the Chicago Daily News; general manager of the Associated Press</v>
      </c>
    </row>
    <row r="589">
      <c r="A589" s="96" t="str">
        <f>IFERROR(__xludf.DUMMYFUNCTION("""COMPUTED_VALUE"""),"00415")</f>
        <v>00415</v>
      </c>
      <c r="B589" s="94" t="str">
        <f>IFERROR(__xludf.DUMMYFUNCTION("""COMPUTED_VALUE"""),"Strong, Eugénie Sellers")</f>
        <v>Strong, Eugénie Sellers</v>
      </c>
      <c r="C589" s="94"/>
      <c r="D589" s="94" t="str">
        <f>IFERROR(__xludf.DUMMYFUNCTION("""COMPUTED_VALUE"""),"1860-1943")</f>
        <v>1860-1943</v>
      </c>
      <c r="E589" s="95" t="str">
        <f>IFERROR(__xludf.DUMMYFUNCTION("""COMPUTED_VALUE"""),"Librarian to the Eighth Duke of Devonshire (1904-1909), a position she began following the death of the previous Librarian, her husband, Sandford Alfred Strong; later Assistant Director of the British School at Rome")</f>
        <v>Librarian to the Eighth Duke of Devonshire (1904-1909), a position she began following the death of the previous Librarian, her husband, Sandford Alfred Strong; later Assistant Director of the British School at Rome</v>
      </c>
    </row>
    <row r="590">
      <c r="A590" s="96" t="str">
        <f>IFERROR(__xludf.DUMMYFUNCTION("""COMPUTED_VALUE"""),"00416")</f>
        <v>00416</v>
      </c>
      <c r="B590" s="94" t="str">
        <f>IFERROR(__xludf.DUMMYFUNCTION("""COMPUTED_VALUE"""),"Sturgis, Frank K.")</f>
        <v>Sturgis, Frank K.</v>
      </c>
      <c r="C590" s="94"/>
      <c r="D590" s="94" t="str">
        <f>IFERROR(__xludf.DUMMYFUNCTION("""COMPUTED_VALUE"""),"1863-1947")</f>
        <v>1863-1947</v>
      </c>
      <c r="E590" s="95" t="str">
        <f>IFERROR(__xludf.DUMMYFUNCTION("""COMPUTED_VALUE"""),"American banker who served as president of the New York Stock Exchange and joined many of New York's social clubs, such as The Union Club, the New York Yacht Club, and the Metropolitan Club")</f>
        <v>American banker who served as president of the New York Stock Exchange and joined many of New York's social clubs, such as The Union Club, the New York Yacht Club, and the Metropolitan Club</v>
      </c>
    </row>
    <row r="591">
      <c r="A591" s="96" t="str">
        <f>IFERROR(__xludf.DUMMYFUNCTION("""COMPUTED_VALUE"""),"00649")</f>
        <v>00649</v>
      </c>
      <c r="B591" s="94" t="str">
        <f>IFERROR(__xludf.DUMMYFUNCTION("""COMPUTED_VALUE"""),"Swarzenski, Hanns ")</f>
        <v>Swarzenski, Hanns </v>
      </c>
      <c r="C591" s="94"/>
      <c r="D591" s="94" t="str">
        <f>IFERROR(__xludf.DUMMYFUNCTION("""COMPUTED_VALUE"""),"1903-1985 ")</f>
        <v>1903-1985 </v>
      </c>
      <c r="E591" s="95" t="str">
        <f>IFERROR(__xludf.DUMMYFUNCTION("""COMPUTED_VALUE"""),"German Art Historian specializing in medieval art, worked at the Museum of Fine Arts Boston; Wrote a publication (1943) on Bertoold Misaal at the ML that BG calls the Swarzenski book")</f>
        <v>German Art Historian specializing in medieval art, worked at the Museum of Fine Arts Boston; Wrote a publication (1943) on Bertoold Misaal at the ML that BG calls the Swarzenski book</v>
      </c>
    </row>
    <row r="592">
      <c r="A592" s="96" t="str">
        <f>IFERROR(__xludf.DUMMYFUNCTION("""COMPUTED_VALUE"""),"00417")</f>
        <v>00417</v>
      </c>
      <c r="B592" s="94" t="str">
        <f>IFERROR(__xludf.DUMMYFUNCTION("""COMPUTED_VALUE"""),"Sylva, Marguerite")</f>
        <v>Sylva, Marguerite</v>
      </c>
      <c r="C592" s="94" t="str">
        <f>IFERROR(__xludf.DUMMYFUNCTION("""COMPUTED_VALUE"""),"Maggie Smith")</f>
        <v>Maggie Smith</v>
      </c>
      <c r="D592" s="94" t="str">
        <f>IFERROR(__xludf.DUMMYFUNCTION("""COMPUTED_VALUE"""),"1875-1957")</f>
        <v>1875-1957</v>
      </c>
      <c r="E592" s="95" t="str">
        <f>IFERROR(__xludf.DUMMYFUNCTION("""COMPUTED_VALUE"""),"Belgian-born mezzo-soprano opera singer")</f>
        <v>Belgian-born mezzo-soprano opera singer</v>
      </c>
    </row>
    <row r="593">
      <c r="A593" s="96" t="str">
        <f>IFERROR(__xludf.DUMMYFUNCTION("""COMPUTED_VALUE"""),"00514")</f>
        <v>00514</v>
      </c>
      <c r="B593" s="94" t="str">
        <f>IFERROR(__xludf.DUMMYFUNCTION("""COMPUTED_VALUE"""),"Taft, Charles Phelps")</f>
        <v>Taft, Charles Phelps</v>
      </c>
      <c r="C593" s="94"/>
      <c r="D593" s="94" t="str">
        <f>IFERROR(__xludf.DUMMYFUNCTION("""COMPUTED_VALUE"""),"1843-1929")</f>
        <v>1843-1929</v>
      </c>
      <c r="E593" s="95" t="str">
        <f>IFERROR(__xludf.DUMMYFUNCTION("""COMPUTED_VALUE"""),"Brother of President William Howard Taft; American lawyer and politician")</f>
        <v>Brother of President William Howard Taft; American lawyer and politician</v>
      </c>
    </row>
    <row r="594">
      <c r="A594" s="96" t="str">
        <f>IFERROR(__xludf.DUMMYFUNCTION("""COMPUTED_VALUE"""),"00577")</f>
        <v>00577</v>
      </c>
      <c r="B594" s="94" t="str">
        <f>IFERROR(__xludf.DUMMYFUNCTION("""COMPUTED_VALUE"""),"Taylor, Clara Sidney Potter Davidge ")</f>
        <v>Taylor, Clara Sidney Potter Davidge </v>
      </c>
      <c r="C594" s="94" t="str">
        <f>IFERROR(__xludf.DUMMYFUNCTION("""COMPUTED_VALUE"""),"Mrs. Davidge")</f>
        <v>Mrs. Davidge</v>
      </c>
      <c r="D594" s="94" t="str">
        <f>IFERROR(__xludf.DUMMYFUNCTION("""COMPUTED_VALUE"""),"1858-1921")</f>
        <v>1858-1921</v>
      </c>
      <c r="E594" s="95" t="str">
        <f>IFERROR(__xludf.DUMMYFUNCTION("""COMPUTED_VALUE"""),"American interior decorator")</f>
        <v>American interior decorator</v>
      </c>
    </row>
    <row r="595">
      <c r="A595" s="96" t="str">
        <f>IFERROR(__xludf.DUMMYFUNCTION("""COMPUTED_VALUE"""),"00418")</f>
        <v>00418</v>
      </c>
      <c r="B595" s="94" t="str">
        <f>IFERROR(__xludf.DUMMYFUNCTION("""COMPUTED_VALUE"""),"Teall, Gardner")</f>
        <v>Teall, Gardner</v>
      </c>
      <c r="C595" s="94"/>
      <c r="D595" s="94" t="str">
        <f>IFERROR(__xludf.DUMMYFUNCTION("""COMPUTED_VALUE"""),"1876-1956")</f>
        <v>1876-1956</v>
      </c>
      <c r="E595" s="95" t="str">
        <f>IFERROR(__xludf.DUMMYFUNCTION("""COMPUTED_VALUE"""),"American author, artist, editor, and collector; author of ""The Pleasure of Collectin"" and ""A Little Garden the Year 'Round""")</f>
        <v>American author, artist, editor, and collector; author of "The Pleasure of Collectin" and "A Little Garden the Year 'Round"</v>
      </c>
    </row>
    <row r="596">
      <c r="A596" s="96" t="str">
        <f>IFERROR(__xludf.DUMMYFUNCTION("""COMPUTED_VALUE"""),"00419")</f>
        <v>00419</v>
      </c>
      <c r="B596" s="94" t="str">
        <f>IFERROR(__xludf.DUMMYFUNCTION("""COMPUTED_VALUE"""),"Terry, Ellen")</f>
        <v>Terry, Ellen</v>
      </c>
      <c r="C596" s="94"/>
      <c r="D596" s="94" t="str">
        <f>IFERROR(__xludf.DUMMYFUNCTION("""COMPUTED_VALUE"""),"1847-1928")</f>
        <v>1847-1928</v>
      </c>
      <c r="E596" s="95" t="str">
        <f>IFERROR(__xludf.DUMMYFUNCTION("""COMPUTED_VALUE"""),"Renowned British actress")</f>
        <v>Renowned British actress</v>
      </c>
    </row>
    <row r="597">
      <c r="A597" s="96" t="str">
        <f>IFERROR(__xludf.DUMMYFUNCTION("""COMPUTED_VALUE"""),"00632")</f>
        <v>00632</v>
      </c>
      <c r="B597" s="94" t="str">
        <f>IFERROR(__xludf.DUMMYFUNCTION("""COMPUTED_VALUE"""),"Thacher, Jack")</f>
        <v>Thacher, Jack</v>
      </c>
      <c r="C597" s="94"/>
      <c r="D597" s="94"/>
      <c r="E597" s="95" t="str">
        <f>IFERROR(__xludf.DUMMYFUNCTION("""COMPUTED_VALUE"""),"a friend of BB; Unidentified")</f>
        <v>a friend of BB; Unidentified</v>
      </c>
    </row>
    <row r="598">
      <c r="A598" s="96" t="str">
        <f>IFERROR(__xludf.DUMMYFUNCTION("""COMPUTED_VALUE"""),"00420")</f>
        <v>00420</v>
      </c>
      <c r="B598" s="94" t="str">
        <f>IFERROR(__xludf.DUMMYFUNCTION("""COMPUTED_VALUE"""),"Thompson, Daniel Varney")</f>
        <v>Thompson, Daniel Varney</v>
      </c>
      <c r="C598" s="94"/>
      <c r="D598" s="94" t="str">
        <f>IFERROR(__xludf.DUMMYFUNCTION("""COMPUTED_VALUE"""),"1902-1980")</f>
        <v>1902-1980</v>
      </c>
      <c r="E598" s="95" t="str">
        <f>IFERROR(__xludf.DUMMYFUNCTION("""COMPUTED_VALUE"""),"American art historian and translator of Cennino Cennini's Craftsman's Handbook")</f>
        <v>American art historian and translator of Cennino Cennini's Craftsman's Handbook</v>
      </c>
    </row>
    <row r="599">
      <c r="A599" s="96" t="str">
        <f>IFERROR(__xludf.DUMMYFUNCTION("""COMPUTED_VALUE"""),"00421")</f>
        <v>00421</v>
      </c>
      <c r="B599" s="94" t="str">
        <f>IFERROR(__xludf.DUMMYFUNCTION("""COMPUTED_VALUE"""),"Thompson, Edward Maunde")</f>
        <v>Thompson, Edward Maunde</v>
      </c>
      <c r="C599" s="94"/>
      <c r="D599" s="94" t="str">
        <f>IFERROR(__xludf.DUMMYFUNCTION("""COMPUTED_VALUE"""),"1840-1929")</f>
        <v>1840-1929</v>
      </c>
      <c r="E599" s="95" t="str">
        <f>IFERROR(__xludf.DUMMYFUNCTION("""COMPUTED_VALUE"""),"British bibliographer and paleographer and Principal Librarian and first Director of the British Museum")</f>
        <v>British bibliographer and paleographer and Principal Librarian and first Director of the British Museum</v>
      </c>
    </row>
    <row r="600">
      <c r="A600" s="96" t="str">
        <f>IFERROR(__xludf.DUMMYFUNCTION("""COMPUTED_VALUE"""),"00422")</f>
        <v>00422</v>
      </c>
      <c r="B600" s="94" t="str">
        <f>IFERROR(__xludf.DUMMYFUNCTION("""COMPUTED_VALUE"""),"Thompson, Elizabeth Smith")</f>
        <v>Thompson, Elizabeth Smith</v>
      </c>
      <c r="C600" s="94"/>
      <c r="D600" s="94" t="str">
        <f>IFERROR(__xludf.DUMMYFUNCTION("""COMPUTED_VALUE"""),"1855-1941")</f>
        <v>1855-1941</v>
      </c>
      <c r="E600" s="95" t="str">
        <f>IFERROR(__xludf.DUMMYFUNCTION("""COMPUTED_VALUE"""),"Wife of Henry Yates Thompson")</f>
        <v>Wife of Henry Yates Thompson</v>
      </c>
    </row>
    <row r="601">
      <c r="A601" s="96" t="str">
        <f>IFERROR(__xludf.DUMMYFUNCTION("""COMPUTED_VALUE"""),"00423")</f>
        <v>00423</v>
      </c>
      <c r="B601" s="94" t="str">
        <f>IFERROR(__xludf.DUMMYFUNCTION("""COMPUTED_VALUE"""),"Thompson, Henry Yates")</f>
        <v>Thompson, Henry Yates</v>
      </c>
      <c r="C601" s="94"/>
      <c r="D601" s="94" t="str">
        <f>IFERROR(__xludf.DUMMYFUNCTION("""COMPUTED_VALUE"""),"1838-1928")</f>
        <v>1838-1928</v>
      </c>
      <c r="E601" s="95" t="str">
        <f>IFERROR(__xludf.DUMMYFUNCTION("""COMPUTED_VALUE"""),"British collector of illuminated manuscripts and newspaper owner")</f>
        <v>British collector of illuminated manuscripts and newspaper owner</v>
      </c>
    </row>
    <row r="602">
      <c r="A602" s="96" t="str">
        <f>IFERROR(__xludf.DUMMYFUNCTION("""COMPUTED_VALUE"""),"00424")</f>
        <v>00424</v>
      </c>
      <c r="B602" s="94" t="str">
        <f>IFERROR(__xludf.DUMMYFUNCTION("""COMPUTED_VALUE"""),"Thorne, Oakleigh")</f>
        <v>Thorne, Oakleigh</v>
      </c>
      <c r="C602" s="94"/>
      <c r="D602" s="94" t="str">
        <f>IFERROR(__xludf.DUMMYFUNCTION("""COMPUTED_VALUE"""),"1866-1948")</f>
        <v>1866-1948</v>
      </c>
      <c r="E602" s="95" t="str">
        <f>IFERROR(__xludf.DUMMYFUNCTION("""COMPUTED_VALUE"""),"American financier and president of the Trust Company of America; worked with Morgan during Panic of 1907")</f>
        <v>American financier and president of the Trust Company of America; worked with Morgan during Panic of 1907</v>
      </c>
    </row>
    <row r="603">
      <c r="A603" s="96" t="str">
        <f>IFERROR(__xludf.DUMMYFUNCTION("""COMPUTED_VALUE"""),"00425")</f>
        <v>00425</v>
      </c>
      <c r="B603" s="94" t="str">
        <f>IFERROR(__xludf.DUMMYFUNCTION("""COMPUTED_VALUE"""),"Thurston, Ada")</f>
        <v>Thurston, Ada</v>
      </c>
      <c r="C603" s="94" t="str">
        <f>IFERROR(__xludf.DUMMYFUNCTION("""COMPUTED_VALUE"""),"Thursty")</f>
        <v>Thursty</v>
      </c>
      <c r="D603" s="94" t="str">
        <f>IFERROR(__xludf.DUMMYFUNCTION("""COMPUTED_VALUE"""),"1865-1944")</f>
        <v>1865-1944</v>
      </c>
      <c r="E603" s="95" t="str">
        <f>IFERROR(__xludf.DUMMYFUNCTION("""COMPUTED_VALUE"""),"Longtime librarian at Morgan Library, initially serving as BG's assistant")</f>
        <v>Longtime librarian at Morgan Library, initially serving as BG's assistant</v>
      </c>
    </row>
    <row r="604">
      <c r="A604" s="96" t="str">
        <f>IFERROR(__xludf.DUMMYFUNCTION("""COMPUTED_VALUE"""),"00666")</f>
        <v>00666</v>
      </c>
      <c r="B604" s="94" t="str">
        <f>IFERROR(__xludf.DUMMYFUNCTION("""COMPUTED_VALUE"""),"Tiffany, Louis Comfort")</f>
        <v>Tiffany, Louis Comfort</v>
      </c>
      <c r="C604" s="94"/>
      <c r="D604" s="94" t="str">
        <f>IFERROR(__xludf.DUMMYFUNCTION("""COMPUTED_VALUE"""),"1848 - 1933")</f>
        <v>1848 - 1933</v>
      </c>
      <c r="E604" s="95" t="str">
        <f>IFERROR(__xludf.DUMMYFUNCTION("""COMPUTED_VALUE"""),"American artist (associated with Art Nouveau and Aesthetic movements) and designer")</f>
        <v>American artist (associated with Art Nouveau and Aesthetic movements) and designer</v>
      </c>
    </row>
    <row r="605">
      <c r="A605" s="96" t="str">
        <f>IFERROR(__xludf.DUMMYFUNCTION("""COMPUTED_VALUE"""),"00633")</f>
        <v>00633</v>
      </c>
      <c r="B605" s="94" t="str">
        <f>IFERROR(__xludf.DUMMYFUNCTION("""COMPUTED_VALUE"""),"Tisserant, Eugène Gabriel Gervais Laurent ")</f>
        <v>Tisserant, Eugène Gabriel Gervais Laurent </v>
      </c>
      <c r="C605" s="94" t="str">
        <f>IFERROR(__xludf.DUMMYFUNCTION("""COMPUTED_VALUE"""),"Cardinal Tisserant")</f>
        <v>Cardinal Tisserant</v>
      </c>
      <c r="D605" s="94" t="str">
        <f>IFERROR(__xludf.DUMMYFUNCTION("""COMPUTED_VALUE"""),"1884 - 1972")</f>
        <v>1884 - 1972</v>
      </c>
      <c r="E605" s="95" t="str">
        <f>IFERROR(__xludf.DUMMYFUNCTION("""COMPUTED_VALUE"""),"BG's ""pet for many, many years;"" French Cardinal ")</f>
        <v>BG's "pet for many, many years;" French Cardinal </v>
      </c>
    </row>
    <row r="606">
      <c r="A606" s="96" t="str">
        <f>IFERROR(__xludf.DUMMYFUNCTION("""COMPUTED_VALUE"""),"00579")</f>
        <v>00579</v>
      </c>
      <c r="B606" s="94" t="str">
        <f>IFERROR(__xludf.DUMMYFUNCTION("""COMPUTED_VALUE"""),"Tonetti-Dozzi, François Michel Louis")</f>
        <v>Tonetti-Dozzi, François Michel Louis</v>
      </c>
      <c r="C606" s="94"/>
      <c r="D606" s="94" t="str">
        <f>IFERROR(__xludf.DUMMYFUNCTION("""COMPUTED_VALUE"""),"1858-1920")</f>
        <v>1858-1920</v>
      </c>
      <c r="E606" s="95" t="str">
        <f>IFERROR(__xludf.DUMMYFUNCTION("""COMPUTED_VALUE"""),"French sculptor")</f>
        <v>French sculptor</v>
      </c>
    </row>
    <row r="607">
      <c r="A607" s="96" t="str">
        <f>IFERROR(__xludf.DUMMYFUNCTION("""COMPUTED_VALUE"""),"00657")</f>
        <v>00657</v>
      </c>
      <c r="B607" s="94" t="str">
        <f>IFERROR(__xludf.DUMMYFUNCTION("""COMPUTED_VALUE"""),"Trevelyan, George Macaulay")</f>
        <v>Trevelyan, George Macaulay</v>
      </c>
      <c r="C607" s="94"/>
      <c r="D607" s="94" t="str">
        <f>IFERROR(__xludf.DUMMYFUNCTION("""COMPUTED_VALUE"""),"1876 - 1962")</f>
        <v>1876 - 1962</v>
      </c>
      <c r="E607" s="95" t="str">
        <f>IFERROR(__xludf.DUMMYFUNCTION("""COMPUTED_VALUE"""),"Professor of history at Cambrdige and rector of Trinity College")</f>
        <v>Professor of history at Cambrdige and rector of Trinity College</v>
      </c>
    </row>
    <row r="608">
      <c r="A608" s="96" t="str">
        <f>IFERROR(__xludf.DUMMYFUNCTION("""COMPUTED_VALUE"""),"00658")</f>
        <v>00658</v>
      </c>
      <c r="B608" s="94" t="str">
        <f>IFERROR(__xludf.DUMMYFUNCTION("""COMPUTED_VALUE"""),"Trevelyan, Mrs. George Macaulay")</f>
        <v>Trevelyan, Mrs. George Macaulay</v>
      </c>
      <c r="C608" s="94"/>
      <c r="D608" s="94"/>
      <c r="E608" s="95"/>
    </row>
    <row r="609">
      <c r="A609" s="96" t="str">
        <f>IFERROR(__xludf.DUMMYFUNCTION("""COMPUTED_VALUE"""),"00535")</f>
        <v>00535</v>
      </c>
      <c r="B609" s="94" t="str">
        <f>IFERROR(__xludf.DUMMYFUNCTION("""COMPUTED_VALUE"""),"Trotti, René Avogli")</f>
        <v>Trotti, René Avogli</v>
      </c>
      <c r="C609" s="94"/>
      <c r="D609" s="94"/>
      <c r="E609" s="95" t="str">
        <f>IFERROR(__xludf.DUMMYFUNCTION("""COMPUTED_VALUE"""),"Italian nobleman and art collector and seller")</f>
        <v>Italian nobleman and art collector and seller</v>
      </c>
    </row>
    <row r="610">
      <c r="A610" s="96" t="str">
        <f>IFERROR(__xludf.DUMMYFUNCTION("""COMPUTED_VALUE"""),"00426")</f>
        <v>00426</v>
      </c>
      <c r="B610" s="94" t="str">
        <f>IFERROR(__xludf.DUMMYFUNCTION("""COMPUTED_VALUE"""),"Troubetzkoy, Amélie Rives")</f>
        <v>Troubetzkoy, Amélie Rives</v>
      </c>
      <c r="C610" s="94"/>
      <c r="D610" s="94" t="str">
        <f>IFERROR(__xludf.DUMMYFUNCTION("""COMPUTED_VALUE"""),"1863-1945")</f>
        <v>1863-1945</v>
      </c>
      <c r="E610" s="95" t="str">
        <f>IFERROR(__xludf.DUMMYFUNCTION("""COMPUTED_VALUE"""),"American author of best-selling novels around turn of twentieth century")</f>
        <v>American author of best-selling novels around turn of twentieth century</v>
      </c>
    </row>
    <row r="611">
      <c r="A611" s="96" t="str">
        <f>IFERROR(__xludf.DUMMYFUNCTION("""COMPUTED_VALUE"""),"00427")</f>
        <v>00427</v>
      </c>
      <c r="B611" s="94" t="str">
        <f>IFERROR(__xludf.DUMMYFUNCTION("""COMPUTED_VALUE"""),"Troubetzkoy, Paul")</f>
        <v>Troubetzkoy, Paul</v>
      </c>
      <c r="C611" s="94"/>
      <c r="D611" s="94" t="str">
        <f>IFERROR(__xludf.DUMMYFUNCTION("""COMPUTED_VALUE"""),"1866-1938")</f>
        <v>1866-1938</v>
      </c>
      <c r="E611" s="95" t="str">
        <f>IFERROR(__xludf.DUMMYFUNCTION("""COMPUTED_VALUE"""),"Russian artist and sculptor")</f>
        <v>Russian artist and sculptor</v>
      </c>
    </row>
    <row r="612">
      <c r="A612" s="96" t="str">
        <f>IFERROR(__xludf.DUMMYFUNCTION("""COMPUTED_VALUE"""),"00428")</f>
        <v>00428</v>
      </c>
      <c r="B612" s="94" t="str">
        <f>IFERROR(__xludf.DUMMYFUNCTION("""COMPUTED_VALUE"""),"Truesdale, Annie Topping")</f>
        <v>Truesdale, Annie Topping</v>
      </c>
      <c r="C612" s="94"/>
      <c r="D612" s="94" t="str">
        <f>IFERROR(__xludf.DUMMYFUNCTION("""COMPUTED_VALUE"""),"1858-1923")</f>
        <v>1858-1923</v>
      </c>
      <c r="E612" s="95" t="str">
        <f>IFERROR(__xludf.DUMMYFUNCTION("""COMPUTED_VALUE"""),"Wife of William H. Truesdale")</f>
        <v>Wife of William H. Truesdale</v>
      </c>
    </row>
    <row r="613">
      <c r="A613" s="96" t="str">
        <f>IFERROR(__xludf.DUMMYFUNCTION("""COMPUTED_VALUE"""),"00429")</f>
        <v>00429</v>
      </c>
      <c r="B613" s="94" t="str">
        <f>IFERROR(__xludf.DUMMYFUNCTION("""COMPUTED_VALUE"""),"Truesdale, William")</f>
        <v>Truesdale, William</v>
      </c>
      <c r="C613" s="94"/>
      <c r="D613" s="94" t="str">
        <f>IFERROR(__xludf.DUMMYFUNCTION("""COMPUTED_VALUE"""),"1851-1935")</f>
        <v>1851-1935</v>
      </c>
      <c r="E613" s="95" t="str">
        <f>IFERROR(__xludf.DUMMYFUNCTION("""COMPUTED_VALUE"""),"American railroad executive; husband of Annie Topping ")</f>
        <v>American railroad executive; husband of Annie Topping </v>
      </c>
    </row>
    <row r="614">
      <c r="A614" s="96" t="str">
        <f>IFERROR(__xludf.DUMMYFUNCTION("""COMPUTED_VALUE"""),"00616")</f>
        <v>00616</v>
      </c>
      <c r="B614" s="94" t="str">
        <f>IFERROR(__xludf.DUMMYFUNCTION("""COMPUTED_VALUE"""),"Turner, Sara")</f>
        <v>Turner, Sara</v>
      </c>
      <c r="C614" s="94"/>
      <c r="D614" s="94"/>
      <c r="E614" s="95" t="str">
        <f>IFERROR(__xludf.DUMMYFUNCTION("""COMPUTED_VALUE"""),"Unidentified")</f>
        <v>Unidentified</v>
      </c>
    </row>
    <row r="615">
      <c r="A615" s="96" t="str">
        <f>IFERROR(__xludf.DUMMYFUNCTION("""COMPUTED_VALUE"""),"00593")</f>
        <v>00593</v>
      </c>
      <c r="B615" s="94" t="str">
        <f>IFERROR(__xludf.DUMMYFUNCTION("""COMPUTED_VALUE"""),"Ugolini, Monsieur")</f>
        <v>Ugolini, Monsieur</v>
      </c>
      <c r="C615" s="94"/>
      <c r="D615" s="94"/>
      <c r="E615" s="95" t="str">
        <f>IFERROR(__xludf.DUMMYFUNCTION("""COMPUTED_VALUE"""),"Unidentified")</f>
        <v>Unidentified</v>
      </c>
    </row>
    <row r="616">
      <c r="A616" s="96" t="str">
        <f>IFERROR(__xludf.DUMMYFUNCTION("""COMPUTED_VALUE"""),"00253")</f>
        <v>00253</v>
      </c>
      <c r="B616" s="94" t="str">
        <f>IFERROR(__xludf.DUMMYFUNCTION("""COMPUTED_VALUE"""),"Unidentified")</f>
        <v>Unidentified</v>
      </c>
      <c r="C616" s="94"/>
      <c r="D616" s="94"/>
      <c r="E616" s="95"/>
    </row>
    <row r="617">
      <c r="A617" s="96" t="str">
        <f>IFERROR(__xludf.DUMMYFUNCTION("""COMPUTED_VALUE"""),"00430")</f>
        <v>00430</v>
      </c>
      <c r="B617" s="94" t="str">
        <f>IFERROR(__xludf.DUMMYFUNCTION("""COMPUTED_VALUE"""),"Untermyer, Minnie Carl")</f>
        <v>Untermyer, Minnie Carl</v>
      </c>
      <c r="C617" s="94" t="str">
        <f>IFERROR(__xludf.DUMMYFUNCTION("""COMPUTED_VALUE"""),"Mrs. Untermyer")</f>
        <v>Mrs. Untermyer</v>
      </c>
      <c r="D617" s="94" t="str">
        <f>IFERROR(__xludf.DUMMYFUNCTION("""COMPUTED_VALUE"""),"1857-1924")</f>
        <v>1857-1924</v>
      </c>
      <c r="E617" s="95" t="str">
        <f>IFERROR(__xludf.DUMMYFUNCTION("""COMPUTED_VALUE"""),"American socialite and wife of Samuel Untermyer")</f>
        <v>American socialite and wife of Samuel Untermyer</v>
      </c>
    </row>
    <row r="618">
      <c r="A618" s="96" t="str">
        <f>IFERROR(__xludf.DUMMYFUNCTION("""COMPUTED_VALUE"""),"00431")</f>
        <v>00431</v>
      </c>
      <c r="B618" s="94" t="str">
        <f>IFERROR(__xludf.DUMMYFUNCTION("""COMPUTED_VALUE"""),"Untermyer, Samuel")</f>
        <v>Untermyer, Samuel</v>
      </c>
      <c r="C618" s="94" t="str">
        <f>IFERROR(__xludf.DUMMYFUNCTION("""COMPUTED_VALUE"""),"Sam ")</f>
        <v>Sam </v>
      </c>
      <c r="D618" s="94" t="str">
        <f>IFERROR(__xludf.DUMMYFUNCTION("""COMPUTED_VALUE"""),"1858-1940")</f>
        <v>1858-1940</v>
      </c>
      <c r="E618" s="95" t="str">
        <f>IFERROR(__xludf.DUMMYFUNCTION("""COMPUTED_VALUE"""),"New York lawyer, collector, and philanthropist")</f>
        <v>New York lawyer, collector, and philanthropist</v>
      </c>
    </row>
    <row r="619">
      <c r="A619" s="96" t="str">
        <f>IFERROR(__xludf.DUMMYFUNCTION("""COMPUTED_VALUE"""),"00546")</f>
        <v>00546</v>
      </c>
      <c r="B619" s="94" t="str">
        <f>IFERROR(__xludf.DUMMYFUNCTION("""COMPUTED_VALUE"""),"Updike, Daniel Berkeley")</f>
        <v>Updike, Daniel Berkeley</v>
      </c>
      <c r="C619" s="94" t="str">
        <f>IFERROR(__xludf.DUMMYFUNCTION("""COMPUTED_VALUE"""),"Berkeley Updike")</f>
        <v>Berkeley Updike</v>
      </c>
      <c r="D619" s="94" t="str">
        <f>IFERROR(__xludf.DUMMYFUNCTION("""COMPUTED_VALUE"""),"1860-1941")</f>
        <v>1860-1941</v>
      </c>
      <c r="E619" s="95" t="str">
        <f>IFERROR(__xludf.DUMMYFUNCTION("""COMPUTED_VALUE"""),"American printer and historian of typography")</f>
        <v>American printer and historian of typography</v>
      </c>
    </row>
    <row r="620">
      <c r="A620" s="96" t="str">
        <f>IFERROR(__xludf.DUMMYFUNCTION("""COMPUTED_VALUE"""),"00432")</f>
        <v>00432</v>
      </c>
      <c r="B620" s="94" t="str">
        <f>IFERROR(__xludf.DUMMYFUNCTION("""COMPUTED_VALUE"""),"Updyke, Bertie")</f>
        <v>Updyke, Bertie</v>
      </c>
      <c r="C620" s="94"/>
      <c r="D620" s="94"/>
      <c r="E620" s="95" t="str">
        <f>IFERROR(__xludf.DUMMYFUNCTION("""COMPUTED_VALUE"""),"BG friend in Boston")</f>
        <v>BG friend in Boston</v>
      </c>
    </row>
    <row r="621">
      <c r="A621" s="96" t="str">
        <f>IFERROR(__xludf.DUMMYFUNCTION("""COMPUTED_VALUE"""),"00433")</f>
        <v>00433</v>
      </c>
      <c r="B621" s="94" t="str">
        <f>IFERROR(__xludf.DUMMYFUNCTION("""COMPUTED_VALUE"""),"Upson, Arthur")</f>
        <v>Upson, Arthur</v>
      </c>
      <c r="C621" s="94"/>
      <c r="D621" s="94" t="str">
        <f>IFERROR(__xludf.DUMMYFUNCTION("""COMPUTED_VALUE"""),"1877-1908")</f>
        <v>1877-1908</v>
      </c>
      <c r="E621" s="95" t="str">
        <f>IFERROR(__xludf.DUMMYFUNCTION("""COMPUTED_VALUE"""),"American poet")</f>
        <v>American poet</v>
      </c>
    </row>
    <row r="622">
      <c r="A622" s="96" t="str">
        <f>IFERROR(__xludf.DUMMYFUNCTION("""COMPUTED_VALUE"""),"00434")</f>
        <v>00434</v>
      </c>
      <c r="B622" s="94" t="str">
        <f>IFERROR(__xludf.DUMMYFUNCTION("""COMPUTED_VALUE"""),"Val, Rafael Merry del")</f>
        <v>Val, Rafael Merry del</v>
      </c>
      <c r="C622" s="94"/>
      <c r="D622" s="94" t="str">
        <f>IFERROR(__xludf.DUMMYFUNCTION("""COMPUTED_VALUE"""),"1865-1930")</f>
        <v>1865-1930</v>
      </c>
      <c r="E622" s="95" t="str">
        <f>IFERROR(__xludf.DUMMYFUNCTION("""COMPUTED_VALUE"""),"Spanish Roman Catholic Cardinal")</f>
        <v>Spanish Roman Catholic Cardinal</v>
      </c>
    </row>
    <row r="623">
      <c r="A623" s="96" t="str">
        <f>IFERROR(__xludf.DUMMYFUNCTION("""COMPUTED_VALUE"""),"00435")</f>
        <v>00435</v>
      </c>
      <c r="B623" s="94" t="str">
        <f>IFERROR(__xludf.DUMMYFUNCTION("""COMPUTED_VALUE"""),"Valentiner, Wilhelm")</f>
        <v>Valentiner, Wilhelm</v>
      </c>
      <c r="C623" s="94"/>
      <c r="D623" s="94" t="str">
        <f>IFERROR(__xludf.DUMMYFUNCTION("""COMPUTED_VALUE"""),"1880-1958")</f>
        <v>1880-1958</v>
      </c>
      <c r="E623" s="95" t="str">
        <f>IFERROR(__xludf.DUMMYFUNCTION("""COMPUTED_VALUE"""),"German art historian, curator of decorative arts at the Metropolitan Museum of Art and later Director of the Detroit Institute of Arts")</f>
        <v>German art historian, curator of decorative arts at the Metropolitan Museum of Art and later Director of the Detroit Institute of Arts</v>
      </c>
    </row>
    <row r="624">
      <c r="A624" s="96" t="str">
        <f>IFERROR(__xludf.DUMMYFUNCTION("""COMPUTED_VALUE"""),"00436")</f>
        <v>00436</v>
      </c>
      <c r="B624" s="94" t="str">
        <f>IFERROR(__xludf.DUMMYFUNCTION("""COMPUTED_VALUE"""),"Van Dusen")</f>
        <v>Van Dusen</v>
      </c>
      <c r="C624" s="94"/>
      <c r="D624" s="94"/>
      <c r="E624" s="95" t="str">
        <f>IFERROR(__xludf.DUMMYFUNCTION("""COMPUTED_VALUE"""),"Book collector")</f>
        <v>Book collector</v>
      </c>
    </row>
    <row r="625">
      <c r="A625" s="96" t="str">
        <f>IFERROR(__xludf.DUMMYFUNCTION("""COMPUTED_VALUE"""),"00437")</f>
        <v>00437</v>
      </c>
      <c r="B625" s="94" t="str">
        <f>IFERROR(__xludf.DUMMYFUNCTION("""COMPUTED_VALUE"""),"Van Vechten, Anna Snyder")</f>
        <v>Van Vechten, Anna Snyder</v>
      </c>
      <c r="C625" s="94"/>
      <c r="D625" s="94"/>
      <c r="E625" s="95" t="str">
        <f>IFERROR(__xludf.DUMMYFUNCTION("""COMPUTED_VALUE"""),"First wife (1907-1912) of Carl Van Vechten")</f>
        <v>First wife (1907-1912) of Carl Van Vechten</v>
      </c>
    </row>
    <row r="626">
      <c r="A626" s="96" t="str">
        <f>IFERROR(__xludf.DUMMYFUNCTION("""COMPUTED_VALUE"""),"00438")</f>
        <v>00438</v>
      </c>
      <c r="B626" s="94" t="str">
        <f>IFERROR(__xludf.DUMMYFUNCTION("""COMPUTED_VALUE"""),"Van Vechten, Carl")</f>
        <v>Van Vechten, Carl</v>
      </c>
      <c r="C626" s="94"/>
      <c r="D626" s="94" t="str">
        <f>IFERROR(__xludf.DUMMYFUNCTION("""COMPUTED_VALUE"""),"1880-1964")</f>
        <v>1880-1964</v>
      </c>
      <c r="E626" s="95" t="str">
        <f>IFERROR(__xludf.DUMMYFUNCTION("""COMPUTED_VALUE"""),"American photographer and portraitist")</f>
        <v>American photographer and portraitist</v>
      </c>
    </row>
    <row r="627">
      <c r="A627" s="96" t="str">
        <f>IFERROR(__xludf.DUMMYFUNCTION("""COMPUTED_VALUE"""),"00439")</f>
        <v>00439</v>
      </c>
      <c r="B627" s="94" t="str">
        <f>IFERROR(__xludf.DUMMYFUNCTION("""COMPUTED_VALUE"""),"Vanderbilt, Anne Harriman Sands Rutherford")</f>
        <v>Vanderbilt, Anne Harriman Sands Rutherford</v>
      </c>
      <c r="C627" s="94"/>
      <c r="D627" s="94" t="str">
        <f>IFERROR(__xludf.DUMMYFUNCTION("""COMPUTED_VALUE"""),"1861-1940")</f>
        <v>1861-1940</v>
      </c>
      <c r="E627" s="95" t="str">
        <f>IFERROR(__xludf.DUMMYFUNCTION("""COMPUTED_VALUE"""),"Second wife of William Kissam Vanderbilt (m. 1930), with Anne Morgan and Elisabeth Marbury, helped found the Colony Club")</f>
        <v>Second wife of William Kissam Vanderbilt (m. 1930), with Anne Morgan and Elisabeth Marbury, helped found the Colony Club</v>
      </c>
    </row>
    <row r="628">
      <c r="A628" s="96" t="str">
        <f>IFERROR(__xludf.DUMMYFUNCTION("""COMPUTED_VALUE"""),"00440")</f>
        <v>00440</v>
      </c>
      <c r="B628" s="94" t="str">
        <f>IFERROR(__xludf.DUMMYFUNCTION("""COMPUTED_VALUE"""),"Vanderbilt, Cathleen Neilson")</f>
        <v>Vanderbilt, Cathleen Neilson</v>
      </c>
      <c r="C628" s="94"/>
      <c r="D628" s="94" t="str">
        <f>IFERROR(__xludf.DUMMYFUNCTION("""COMPUTED_VALUE"""),"1885-1927")</f>
        <v>1885-1927</v>
      </c>
      <c r="E628" s="95" t="str">
        <f>IFERROR(__xludf.DUMMYFUNCTION("""COMPUTED_VALUE"""),"First wife of Reginald Vanderbilt; ")</f>
        <v>First wife of Reginald Vanderbilt; </v>
      </c>
    </row>
    <row r="629">
      <c r="A629" s="96" t="str">
        <f>IFERROR(__xludf.DUMMYFUNCTION("""COMPUTED_VALUE"""),"00441")</f>
        <v>00441</v>
      </c>
      <c r="B629" s="94" t="str">
        <f>IFERROR(__xludf.DUMMYFUNCTION("""COMPUTED_VALUE"""),"Vanderbilt, George Washington ")</f>
        <v>Vanderbilt, George Washington </v>
      </c>
      <c r="C629" s="94"/>
      <c r="D629" s="94" t="str">
        <f>IFERROR(__xludf.DUMMYFUNCTION("""COMPUTED_VALUE"""),"1862-1914")</f>
        <v>1862-1914</v>
      </c>
      <c r="E629" s="95" t="str">
        <f>IFERROR(__xludf.DUMMYFUNCTION("""COMPUTED_VALUE"""),"American art collector and owner of Biltmore Estate in Asheville, North Carolina")</f>
        <v>American art collector and owner of Biltmore Estate in Asheville, North Carolina</v>
      </c>
    </row>
    <row r="630">
      <c r="A630" s="96" t="str">
        <f>IFERROR(__xludf.DUMMYFUNCTION("""COMPUTED_VALUE"""),"00442")</f>
        <v>00442</v>
      </c>
      <c r="B630" s="94" t="str">
        <f>IFERROR(__xludf.DUMMYFUNCTION("""COMPUTED_VALUE"""),"Vanderbilt, Reginald Claypool")</f>
        <v>Vanderbilt, Reginald Claypool</v>
      </c>
      <c r="C630" s="94" t="str">
        <f>IFERROR(__xludf.DUMMYFUNCTION("""COMPUTED_VALUE"""),"Reggie")</f>
        <v>Reggie</v>
      </c>
      <c r="D630" s="94" t="str">
        <f>IFERROR(__xludf.DUMMYFUNCTION("""COMPUTED_VALUE"""),"1880-1925")</f>
        <v>1880-1925</v>
      </c>
      <c r="E630" s="95" t="str">
        <f>IFERROR(__xludf.DUMMYFUNCTION("""COMPUTED_VALUE"""),"Equestrian and gambler")</f>
        <v>Equestrian and gambler</v>
      </c>
    </row>
    <row r="631">
      <c r="A631" s="96" t="str">
        <f>IFERROR(__xludf.DUMMYFUNCTION("""COMPUTED_VALUE"""),"00443")</f>
        <v>00443</v>
      </c>
      <c r="B631" s="94" t="str">
        <f>IFERROR(__xludf.DUMMYFUNCTION("""COMPUTED_VALUE"""),"Vanderbilt, William Kissam")</f>
        <v>Vanderbilt, William Kissam</v>
      </c>
      <c r="C631" s="94"/>
      <c r="D631" s="94" t="str">
        <f>IFERROR(__xludf.DUMMYFUNCTION("""COMPUTED_VALUE"""),"1849-1920")</f>
        <v>1849-1920</v>
      </c>
      <c r="E631" s="95" t="str">
        <f>IFERROR(__xludf.DUMMYFUNCTION("""COMPUTED_VALUE"""),"American businessman and horsebreeder")</f>
        <v>American businessman and horsebreeder</v>
      </c>
    </row>
    <row r="632">
      <c r="A632" s="96" t="str">
        <f>IFERROR(__xludf.DUMMYFUNCTION("""COMPUTED_VALUE"""),"00444")</f>
        <v>00444</v>
      </c>
      <c r="B632" s="94" t="str">
        <f>IFERROR(__xludf.DUMMYFUNCTION("""COMPUTED_VALUE"""),"Vandervede, Lalla Speyer")</f>
        <v>Vandervede, Lalla Speyer</v>
      </c>
      <c r="C632" s="94"/>
      <c r="D632" s="94" t="str">
        <f>IFERROR(__xludf.DUMMYFUNCTION("""COMPUTED_VALUE"""),"1870-1965")</f>
        <v>1870-1965</v>
      </c>
      <c r="E632" s="95" t="str">
        <f>IFERROR(__xludf.DUMMYFUNCTION("""COMPUTED_VALUE"""),"Writer and widow of Belgian politican, Emile Vandervelde")</f>
        <v>Writer and widow of Belgian politican, Emile Vandervelde</v>
      </c>
    </row>
    <row r="633">
      <c r="A633" s="96" t="str">
        <f>IFERROR(__xludf.DUMMYFUNCTION("""COMPUTED_VALUE"""),"00544")</f>
        <v>00544</v>
      </c>
      <c r="B633" s="94" t="str">
        <f>IFERROR(__xludf.DUMMYFUNCTION("""COMPUTED_VALUE"""),"Vitry, Paul")</f>
        <v>Vitry, Paul</v>
      </c>
      <c r="C633" s="94"/>
      <c r="D633" s="94" t="str">
        <f>IFERROR(__xludf.DUMMYFUNCTION("""COMPUTED_VALUE"""),"1872-1941")</f>
        <v>1872-1941</v>
      </c>
      <c r="E633" s="95" t="str">
        <f>IFERROR(__xludf.DUMMYFUNCTION("""COMPUTED_VALUE"""),"French art historian")</f>
        <v>French art historian</v>
      </c>
    </row>
    <row r="634">
      <c r="A634" s="96" t="str">
        <f>IFERROR(__xludf.DUMMYFUNCTION("""COMPUTED_VALUE"""),"00445")</f>
        <v>00445</v>
      </c>
      <c r="B634" s="94" t="str">
        <f>IFERROR(__xludf.DUMMYFUNCTION("""COMPUTED_VALUE"""),"Viviani, René")</f>
        <v>Viviani, René</v>
      </c>
      <c r="C634" s="94"/>
      <c r="D634" s="94" t="str">
        <f>IFERROR(__xludf.DUMMYFUNCTION("""COMPUTED_VALUE"""),"1863-1925")</f>
        <v>1863-1925</v>
      </c>
      <c r="E634" s="95" t="str">
        <f>IFERROR(__xludf.DUMMYFUNCTION("""COMPUTED_VALUE"""),"French politician and Prime Minister in early World War I")</f>
        <v>French politician and Prime Minister in early World War I</v>
      </c>
    </row>
    <row r="635">
      <c r="A635" s="96" t="str">
        <f>IFERROR(__xludf.DUMMYFUNCTION("""COMPUTED_VALUE"""),"00446")</f>
        <v>00446</v>
      </c>
      <c r="B635" s="94" t="str">
        <f>IFERROR(__xludf.DUMMYFUNCTION("""COMPUTED_VALUE"""),"Volpi, Elia")</f>
        <v>Volpi, Elia</v>
      </c>
      <c r="C635" s="94"/>
      <c r="D635" s="94" t="str">
        <f>IFERROR(__xludf.DUMMYFUNCTION("""COMPUTED_VALUE"""),"1838-1938")</f>
        <v>1838-1938</v>
      </c>
      <c r="E635" s="95" t="str">
        <f>IFERROR(__xludf.DUMMYFUNCTION("""COMPUTED_VALUE"""),"Florentine art delaer and founder of the Palazzo Davanzati Museum")</f>
        <v>Florentine art delaer and founder of the Palazzo Davanzati Museum</v>
      </c>
    </row>
    <row r="636">
      <c r="A636" s="96" t="str">
        <f>IFERROR(__xludf.DUMMYFUNCTION("""COMPUTED_VALUE"""),"00447")</f>
        <v>00447</v>
      </c>
      <c r="B636" s="94" t="str">
        <f>IFERROR(__xludf.DUMMYFUNCTION("""COMPUTED_VALUE"""),"Von Wahrlich, Reinhold")</f>
        <v>Von Wahrlich, Reinhold</v>
      </c>
      <c r="C636" s="94"/>
      <c r="D636" s="94" t="str">
        <f>IFERROR(__xludf.DUMMYFUNCTION("""COMPUTED_VALUE"""),"1877-1939")</f>
        <v>1877-1939</v>
      </c>
      <c r="E636" s="95" t="str">
        <f>IFERROR(__xludf.DUMMYFUNCTION("""COMPUTED_VALUE"""),"Russian opera bass")</f>
        <v>Russian opera bass</v>
      </c>
    </row>
    <row r="637">
      <c r="A637" s="96" t="str">
        <f>IFERROR(__xludf.DUMMYFUNCTION("""COMPUTED_VALUE"""),"00448")</f>
        <v>00448</v>
      </c>
      <c r="B637" s="94" t="str">
        <f>IFERROR(__xludf.DUMMYFUNCTION("""COMPUTED_VALUE"""),"Voynich, Wilfrid")</f>
        <v>Voynich, Wilfrid</v>
      </c>
      <c r="C637" s="94"/>
      <c r="D637" s="94" t="str">
        <f>IFERROR(__xludf.DUMMYFUNCTION("""COMPUTED_VALUE"""),"1865-1930")</f>
        <v>1865-1930</v>
      </c>
      <c r="E637" s="95" t="str">
        <f>IFERROR(__xludf.DUMMYFUNCTION("""COMPUTED_VALUE"""),"Polish book dealer ")</f>
        <v>Polish book dealer </v>
      </c>
    </row>
    <row r="638">
      <c r="A638" s="96" t="str">
        <f>IFERROR(__xludf.DUMMYFUNCTION("""COMPUTED_VALUE"""),"00449")</f>
        <v>00449</v>
      </c>
      <c r="B638" s="94" t="str">
        <f>IFERROR(__xludf.DUMMYFUNCTION("""COMPUTED_VALUE"""),"Wagstaff, Alfred Jr.")</f>
        <v>Wagstaff, Alfred Jr.</v>
      </c>
      <c r="C638" s="94"/>
      <c r="D638" s="94" t="str">
        <f>IFERROR(__xludf.DUMMYFUNCTION("""COMPUTED_VALUE"""),"1844-1921")</f>
        <v>1844-1921</v>
      </c>
      <c r="E638" s="95" t="str">
        <f>IFERROR(__xludf.DUMMYFUNCTION("""COMPUTED_VALUE"""),"American lawyer and politician")</f>
        <v>American lawyer and politician</v>
      </c>
    </row>
    <row r="639">
      <c r="A639" s="96" t="str">
        <f>IFERROR(__xludf.DUMMYFUNCTION("""COMPUTED_VALUE"""),"00450")</f>
        <v>00450</v>
      </c>
      <c r="B639" s="94" t="str">
        <f>IFERROR(__xludf.DUMMYFUNCTION("""COMPUTED_VALUE"""),"Wagstaff, Mary Barnard")</f>
        <v>Wagstaff, Mary Barnard</v>
      </c>
      <c r="C639" s="94"/>
      <c r="D639" s="94" t="str">
        <f>IFERROR(__xludf.DUMMYFUNCTION("""COMPUTED_VALUE"""),"1860-1938")</f>
        <v>1860-1938</v>
      </c>
      <c r="E639" s="95" t="str">
        <f>IFERROR(__xludf.DUMMYFUNCTION("""COMPUTED_VALUE"""),"Wife of Alfred Wagstaff Jr.")</f>
        <v>Wife of Alfred Wagstaff Jr.</v>
      </c>
    </row>
    <row r="640">
      <c r="A640" s="96" t="str">
        <f>IFERROR(__xludf.DUMMYFUNCTION("""COMPUTED_VALUE"""),"00451")</f>
        <v>00451</v>
      </c>
      <c r="B640" s="94" t="str">
        <f>IFERROR(__xludf.DUMMYFUNCTION("""COMPUTED_VALUE"""),"Wales, Edward VIII Prince of")</f>
        <v>Wales, Edward VIII Prince of</v>
      </c>
      <c r="C640" s="94"/>
      <c r="D640" s="94" t="str">
        <f>IFERROR(__xludf.DUMMYFUNCTION("""COMPUTED_VALUE"""),"1894-1972")</f>
        <v>1894-1972</v>
      </c>
      <c r="E640" s="95" t="str">
        <f>IFERROR(__xludf.DUMMYFUNCTION("""COMPUTED_VALUE"""),"King of United Kingdom in 1936; visited New York in November of 1919 (first royal to visit the United States after his grandfather, Edward VI, visited 50 years earlier)")</f>
        <v>King of United Kingdom in 1936; visited New York in November of 1919 (first royal to visit the United States after his grandfather, Edward VI, visited 50 years earlier)</v>
      </c>
    </row>
    <row r="641">
      <c r="A641" s="96" t="str">
        <f>IFERROR(__xludf.DUMMYFUNCTION("""COMPUTED_VALUE"""),"00452")</f>
        <v>00452</v>
      </c>
      <c r="B641" s="94" t="str">
        <f>IFERROR(__xludf.DUMMYFUNCTION("""COMPUTED_VALUE"""),"Walker, Thomas Barlow")</f>
        <v>Walker, Thomas Barlow</v>
      </c>
      <c r="C641" s="94"/>
      <c r="D641" s="94" t="str">
        <f>IFERROR(__xludf.DUMMYFUNCTION("""COMPUTED_VALUE"""),"1840-1928")</f>
        <v>1840-1928</v>
      </c>
      <c r="E641" s="95" t="str">
        <f>IFERROR(__xludf.DUMMYFUNCTION("""COMPUTED_VALUE"""),"Minnesota businessman and art collector; founder of the Walker Galleries (today the Walker Art Center)")</f>
        <v>Minnesota businessman and art collector; founder of the Walker Galleries (today the Walker Art Center)</v>
      </c>
    </row>
    <row r="642">
      <c r="A642" s="96" t="str">
        <f>IFERROR(__xludf.DUMMYFUNCTION("""COMPUTED_VALUE"""),"00453")</f>
        <v>00453</v>
      </c>
      <c r="B642" s="94" t="str">
        <f>IFERROR(__xludf.DUMMYFUNCTION("""COMPUTED_VALUE"""),"Walters, Henry")</f>
        <v>Walters, Henry</v>
      </c>
      <c r="C642" s="94" t="str">
        <f>IFERROR(__xludf.DUMMYFUNCTION("""COMPUTED_VALUE"""),"Harry")</f>
        <v>Harry</v>
      </c>
      <c r="D642" s="94" t="str">
        <f>IFERROR(__xludf.DUMMYFUNCTION("""COMPUTED_VALUE"""),"1848-1931")</f>
        <v>1848-1931</v>
      </c>
      <c r="E642" s="95" t="str">
        <f>IFERROR(__xludf.DUMMYFUNCTION("""COMPUTED_VALUE"""),"Philanthropist and art collector from Baltimore, founded Walters Art Gallery, inherited father William T. Walters' collection of European and Asian art ")</f>
        <v>Philanthropist and art collector from Baltimore, founded Walters Art Gallery, inherited father William T. Walters' collection of European and Asian art </v>
      </c>
    </row>
    <row r="643">
      <c r="A643" s="96" t="str">
        <f>IFERROR(__xludf.DUMMYFUNCTION("""COMPUTED_VALUE"""),"00454")</f>
        <v>00454</v>
      </c>
      <c r="B643" s="94" t="str">
        <f>IFERROR(__xludf.DUMMYFUNCTION("""COMPUTED_VALUE"""),"Ward, Freda Dudley")</f>
        <v>Ward, Freda Dudley</v>
      </c>
      <c r="C643" s="94"/>
      <c r="D643" s="94" t="str">
        <f>IFERROR(__xludf.DUMMYFUNCTION("""COMPUTED_VALUE"""),"1894-1983")</f>
        <v>1894-1983</v>
      </c>
      <c r="E643" s="95" t="str">
        <f>IFERROR(__xludf.DUMMYFUNCTION("""COMPUTED_VALUE"""),"English socialite who is best known for being the paramour of Edward VIII, Prince of Wales")</f>
        <v>English socialite who is best known for being the paramour of Edward VIII, Prince of Wales</v>
      </c>
    </row>
    <row r="644">
      <c r="A644" s="96" t="str">
        <f>IFERROR(__xludf.DUMMYFUNCTION("""COMPUTED_VALUE"""),"00623")</f>
        <v>00623</v>
      </c>
      <c r="B644" s="94" t="str">
        <f>IFERROR(__xludf.DUMMYFUNCTION("""COMPUTED_VALUE"""),"Warwick")</f>
        <v>Warwick</v>
      </c>
      <c r="C644" s="94"/>
      <c r="D644" s="94"/>
      <c r="E644" s="95" t="str">
        <f>IFERROR(__xludf.DUMMYFUNCTION("""COMPUTED_VALUE"""),"Unidentified")</f>
        <v>Unidentified</v>
      </c>
    </row>
    <row r="645">
      <c r="A645" s="96" t="str">
        <f>IFERROR(__xludf.DUMMYFUNCTION("""COMPUTED_VALUE"""),"00455")</f>
        <v>00455</v>
      </c>
      <c r="B645" s="94" t="str">
        <f>IFERROR(__xludf.DUMMYFUNCTION("""COMPUTED_VALUE"""),"Watson, Thomas J.")</f>
        <v>Watson, Thomas J.</v>
      </c>
      <c r="C645" s="94"/>
      <c r="D645" s="94" t="str">
        <f>IFERROR(__xludf.DUMMYFUNCTION("""COMPUTED_VALUE"""),"1874-1956")</f>
        <v>1874-1956</v>
      </c>
      <c r="E645" s="95" t="str">
        <f>IFERROR(__xludf.DUMMYFUNCTION("""COMPUTED_VALUE"""),"American businessman; head of National Cash Register office in Dayton (a position for which he was later convicted for antitrust violation); later CEO of IBM; patron of Metropolitan Museum of Art")</f>
        <v>American businessman; head of National Cash Register office in Dayton (a position for which he was later convicted for antitrust violation); later CEO of IBM; patron of Metropolitan Museum of Art</v>
      </c>
    </row>
    <row r="646">
      <c r="A646" s="96" t="str">
        <f>IFERROR(__xludf.DUMMYFUNCTION("""COMPUTED_VALUE"""),"00571")</f>
        <v>00571</v>
      </c>
      <c r="B646" s="94" t="str">
        <f>IFERROR(__xludf.DUMMYFUNCTION("""COMPUTED_VALUE"""),"Wellman, Mrs.")</f>
        <v>Wellman, Mrs.</v>
      </c>
      <c r="C646" s="94"/>
      <c r="D646" s="94"/>
      <c r="E646" s="95" t="str">
        <f>IFERROR(__xludf.DUMMYFUNCTION("""COMPUTED_VALUE"""),"In her 3/1/10 letter BG mentions attending ""a musical which Mrs. Wellman (Emma Jack) was giving."" Only vague references to ""Emma Jack"" have been discovered, and her connection to a ""Mrs. Wellman"" is unclear. ")</f>
        <v>In her 3/1/10 letter BG mentions attending "a musical which Mrs. Wellman (Emma Jack) was giving." Only vague references to "Emma Jack" have been discovered, and her connection to a "Mrs. Wellman" is unclear. </v>
      </c>
    </row>
    <row r="647">
      <c r="A647" s="96" t="str">
        <f>IFERROR(__xludf.DUMMYFUNCTION("""COMPUTED_VALUE"""),"00576")</f>
        <v>00576</v>
      </c>
      <c r="B647" s="94" t="str">
        <f>IFERROR(__xludf.DUMMYFUNCTION("""COMPUTED_VALUE"""),"Wendell, Barrett")</f>
        <v>Wendell, Barrett</v>
      </c>
      <c r="C647" s="94"/>
      <c r="D647" s="94" t="str">
        <f>IFERROR(__xludf.DUMMYFUNCTION("""COMPUTED_VALUE"""),"1855-1921")</f>
        <v>1855-1921</v>
      </c>
      <c r="E647" s="95" t="str">
        <f>IFERROR(__xludf.DUMMYFUNCTION("""COMPUTED_VALUE"""),"American academic and Harvard English professor")</f>
        <v>American academic and Harvard English professor</v>
      </c>
    </row>
    <row r="648">
      <c r="A648" s="96" t="str">
        <f>IFERROR(__xludf.DUMMYFUNCTION("""COMPUTED_VALUE"""),"00608")</f>
        <v>00608</v>
      </c>
      <c r="B648" s="94" t="str">
        <f>IFERROR(__xludf.DUMMYFUNCTION("""COMPUTED_VALUE"""),"Wertheimer, Asher")</f>
        <v>Wertheimer, Asher</v>
      </c>
      <c r="C648" s="94"/>
      <c r="D648" s="94" t="str">
        <f>IFERROR(__xludf.DUMMYFUNCTION("""COMPUTED_VALUE"""),"1844–1918")</f>
        <v>1844–1918</v>
      </c>
      <c r="E648" s="95" t="str">
        <f>IFERROR(__xludf.DUMMYFUNCTION("""COMPUTED_VALUE"""),"British art dealer")</f>
        <v>British art dealer</v>
      </c>
    </row>
    <row r="649">
      <c r="A649" s="96" t="str">
        <f>IFERROR(__xludf.DUMMYFUNCTION("""COMPUTED_VALUE"""),"00456")</f>
        <v>00456</v>
      </c>
      <c r="B649" s="94" t="str">
        <f>IFERROR(__xludf.DUMMYFUNCTION("""COMPUTED_VALUE"""),"West, Rebecca")</f>
        <v>West, Rebecca</v>
      </c>
      <c r="C649" s="94"/>
      <c r="D649" s="94" t="str">
        <f>IFERROR(__xludf.DUMMYFUNCTION("""COMPUTED_VALUE"""),"1892-1983")</f>
        <v>1892-1983</v>
      </c>
      <c r="E649" s="95" t="str">
        <f>IFERROR(__xludf.DUMMYFUNCTION("""COMPUTED_VALUE"""),"British journalist and author")</f>
        <v>British journalist and author</v>
      </c>
    </row>
    <row r="650">
      <c r="A650" s="96" t="str">
        <f>IFERROR(__xludf.DUMMYFUNCTION("""COMPUTED_VALUE"""),"00457")</f>
        <v>00457</v>
      </c>
      <c r="B650" s="94" t="str">
        <f>IFERROR(__xludf.DUMMYFUNCTION("""COMPUTED_VALUE"""),"Wetzel, Harvey E.")</f>
        <v>Wetzel, Harvey E.</v>
      </c>
      <c r="C650" s="94"/>
      <c r="D650" s="94" t="str">
        <f>IFERROR(__xludf.DUMMYFUNCTION("""COMPUTED_VALUE"""),"1888-1918")</f>
        <v>1888-1918</v>
      </c>
      <c r="E650" s="95" t="str">
        <f>IFERROR(__xludf.DUMMYFUNCTION("""COMPUTED_VALUE"""),"Art collector with particular interest in Chinese sculpture")</f>
        <v>Art collector with particular interest in Chinese sculpture</v>
      </c>
    </row>
    <row r="651">
      <c r="A651" s="96" t="str">
        <f>IFERROR(__xludf.DUMMYFUNCTION("""COMPUTED_VALUE"""),"00634")</f>
        <v>00634</v>
      </c>
      <c r="B651" s="94" t="str">
        <f>IFERROR(__xludf.DUMMYFUNCTION("""COMPUTED_VALUE"""),"Weyhe, Erhard ")</f>
        <v>Weyhe, Erhard </v>
      </c>
      <c r="C651" s="94" t="str">
        <f>IFERROR(__xludf.DUMMYFUNCTION("""COMPUTED_VALUE"""),"Weyhe")</f>
        <v>Weyhe</v>
      </c>
      <c r="D651" s="94" t="str">
        <f>IFERROR(__xludf.DUMMYFUNCTION("""COMPUTED_VALUE"""),"1883-1972")</f>
        <v>1883-1972</v>
      </c>
      <c r="E651" s="95" t="str">
        <f>IFERROR(__xludf.DUMMYFUNCTION("""COMPUTED_VALUE"""),"a NY art dealer and owner of Weyhe Gallery ")</f>
        <v>a NY art dealer and owner of Weyhe Gallery </v>
      </c>
    </row>
    <row r="652">
      <c r="A652" s="96" t="str">
        <f>IFERROR(__xludf.DUMMYFUNCTION("""COMPUTED_VALUE"""),"00458")</f>
        <v>00458</v>
      </c>
      <c r="B652" s="94" t="str">
        <f>IFERROR(__xludf.DUMMYFUNCTION("""COMPUTED_VALUE"""),"Wharton, Edith")</f>
        <v>Wharton, Edith</v>
      </c>
      <c r="C652" s="94" t="str">
        <f>IFERROR(__xludf.DUMMYFUNCTION("""COMPUTED_VALUE"""),"Mrs. Wharton")</f>
        <v>Mrs. Wharton</v>
      </c>
      <c r="D652" s="94" t="str">
        <f>IFERROR(__xludf.DUMMYFUNCTION("""COMPUTED_VALUE"""),"1862-1937")</f>
        <v>1862-1937</v>
      </c>
      <c r="E652" s="95" t="str">
        <f>IFERROR(__xludf.DUMMYFUNCTION("""COMPUTED_VALUE"""),"American writer ")</f>
        <v>American writer </v>
      </c>
    </row>
    <row r="653">
      <c r="A653" s="96" t="str">
        <f>IFERROR(__xludf.DUMMYFUNCTION("""COMPUTED_VALUE"""),"00459")</f>
        <v>00459</v>
      </c>
      <c r="B653" s="94" t="str">
        <f>IFERROR(__xludf.DUMMYFUNCTION("""COMPUTED_VALUE"""),"Wheeler, Frank Augustus")</f>
        <v>Wheeler, Frank Augustus</v>
      </c>
      <c r="C653" s="94"/>
      <c r="D653" s="94" t="str">
        <f>IFERROR(__xludf.DUMMYFUNCTION("""COMPUTED_VALUE"""),"1865-c. 1931")</f>
        <v>1865-c. 1931</v>
      </c>
      <c r="E653" s="95" t="str">
        <f>IFERROR(__xludf.DUMMYFUNCTION("""COMPUTED_VALUE"""),"Rare book dealer at firm of Pearson &amp; Co.")</f>
        <v>Rare book dealer at firm of Pearson &amp; Co.</v>
      </c>
    </row>
    <row r="654">
      <c r="A654" s="96" t="str">
        <f>IFERROR(__xludf.DUMMYFUNCTION("""COMPUTED_VALUE"""),"00460")</f>
        <v>00460</v>
      </c>
      <c r="B654" s="94" t="str">
        <f>IFERROR(__xludf.DUMMYFUNCTION("""COMPUTED_VALUE"""),"White, Clarence H.")</f>
        <v>White, Clarence H.</v>
      </c>
      <c r="C654" s="94"/>
      <c r="D654" s="94" t="str">
        <f>IFERROR(__xludf.DUMMYFUNCTION("""COMPUTED_VALUE"""),"1871-1925")</f>
        <v>1871-1925</v>
      </c>
      <c r="E654" s="95" t="str">
        <f>IFERROR(__xludf.DUMMYFUNCTION("""COMPUTED_VALUE"""),"American photographer, part of Photo-Secession movement")</f>
        <v>American photographer, part of Photo-Secession movement</v>
      </c>
    </row>
    <row r="655">
      <c r="A655" s="96" t="str">
        <f>IFERROR(__xludf.DUMMYFUNCTION("""COMPUTED_VALUE"""),"00461")</f>
        <v>00461</v>
      </c>
      <c r="B655" s="94" t="str">
        <f>IFERROR(__xludf.DUMMYFUNCTION("""COMPUTED_VALUE"""),"Whittemore, Thomas")</f>
        <v>Whittemore, Thomas</v>
      </c>
      <c r="C655" s="94"/>
      <c r="D655" s="94" t="str">
        <f>IFERROR(__xludf.DUMMYFUNCTION("""COMPUTED_VALUE"""),"1871-1950")</f>
        <v>1871-1950</v>
      </c>
      <c r="E655" s="95" t="str">
        <f>IFERROR(__xludf.DUMMYFUNCTION("""COMPUTED_VALUE"""),"American archaeologist and founder of the Byzantine Institute of America")</f>
        <v>American archaeologist and founder of the Byzantine Institute of America</v>
      </c>
    </row>
    <row r="656">
      <c r="A656" s="96" t="str">
        <f>IFERROR(__xludf.DUMMYFUNCTION("""COMPUTED_VALUE"""),"00462")</f>
        <v>00462</v>
      </c>
      <c r="B656" s="94" t="str">
        <f>IFERROR(__xludf.DUMMYFUNCTION("""COMPUTED_VALUE"""),"Widener, Eleanor Elkins")</f>
        <v>Widener, Eleanor Elkins</v>
      </c>
      <c r="C656" s="94" t="str">
        <f>IFERROR(__xludf.DUMMYFUNCTION("""COMPUTED_VALUE"""),"Mrs. George Widener; Mrs. W.")</f>
        <v>Mrs. George Widener; Mrs. W.</v>
      </c>
      <c r="D656" s="94" t="str">
        <f>IFERROR(__xludf.DUMMYFUNCTION("""COMPUTED_VALUE"""),"1862-1937")</f>
        <v>1862-1937</v>
      </c>
      <c r="E656" s="95" t="str">
        <f>IFERROR(__xludf.DUMMYFUNCTION("""COMPUTED_VALUE"""),"American socilaite who donated the Widener Library to Harvard in memory of her husband (George Dunton) and eldest son (Harry Elkins) who both died on the Titanic")</f>
        <v>American socilaite who donated the Widener Library to Harvard in memory of her husband (George Dunton) and eldest son (Harry Elkins) who both died on the Titanic</v>
      </c>
    </row>
    <row r="657">
      <c r="A657" s="96" t="str">
        <f>IFERROR(__xludf.DUMMYFUNCTION("""COMPUTED_VALUE"""),"00463")</f>
        <v>00463</v>
      </c>
      <c r="B657" s="94" t="str">
        <f>IFERROR(__xludf.DUMMYFUNCTION("""COMPUTED_VALUE"""),"Widener, Harry Elkins")</f>
        <v>Widener, Harry Elkins</v>
      </c>
      <c r="C657" s="94"/>
      <c r="D657" s="94" t="str">
        <f>IFERROR(__xludf.DUMMYFUNCTION("""COMPUTED_VALUE"""),"1885-1912")</f>
        <v>1885-1912</v>
      </c>
      <c r="E657" s="95" t="str">
        <f>IFERROR(__xludf.DUMMYFUNCTION("""COMPUTED_VALUE"""),"American businessman and bibliophile who died on the Titanic")</f>
        <v>American businessman and bibliophile who died on the Titanic</v>
      </c>
    </row>
    <row r="658">
      <c r="A658" s="96" t="str">
        <f>IFERROR(__xludf.DUMMYFUNCTION("""COMPUTED_VALUE"""),"00464")</f>
        <v>00464</v>
      </c>
      <c r="B658" s="94" t="str">
        <f>IFERROR(__xludf.DUMMYFUNCTION("""COMPUTED_VALUE"""),"Widener, Joseph E.")</f>
        <v>Widener, Joseph E.</v>
      </c>
      <c r="C658" s="94"/>
      <c r="D658" s="94" t="str">
        <f>IFERROR(__xludf.DUMMYFUNCTION("""COMPUTED_VALUE"""),"1871-1943")</f>
        <v>1871-1943</v>
      </c>
      <c r="E658" s="95" t="str">
        <f>IFERROR(__xludf.DUMMYFUNCTION("""COMPUTED_VALUE"""),"American art collector and founding benefactor of National Gallery of Art in Washington D.C")</f>
        <v>American art collector and founding benefactor of National Gallery of Art in Washington D.C</v>
      </c>
    </row>
    <row r="659">
      <c r="A659" s="96" t="str">
        <f>IFERROR(__xludf.DUMMYFUNCTION("""COMPUTED_VALUE"""),"00465")</f>
        <v>00465</v>
      </c>
      <c r="B659" s="94" t="str">
        <f>IFERROR(__xludf.DUMMYFUNCTION("""COMPUTED_VALUE"""),"Widener, Peter")</f>
        <v>Widener, Peter</v>
      </c>
      <c r="C659" s="94"/>
      <c r="D659" s="94" t="str">
        <f>IFERROR(__xludf.DUMMYFUNCTION("""COMPUTED_VALUE"""),"1834-1915")</f>
        <v>1834-1915</v>
      </c>
      <c r="E659" s="95" t="str">
        <f>IFERROR(__xludf.DUMMYFUNCTION("""COMPUTED_VALUE"""),"American financier and collector of Italian Renaissance art ")</f>
        <v>American financier and collector of Italian Renaissance art </v>
      </c>
    </row>
    <row r="660">
      <c r="A660" s="96" t="str">
        <f>IFERROR(__xludf.DUMMYFUNCTION("""COMPUTED_VALUE"""),"00466")</f>
        <v>00466</v>
      </c>
      <c r="B660" s="94" t="str">
        <f>IFERROR(__xludf.DUMMYFUNCTION("""COMPUTED_VALUE"""),"Wierzbicki, Vincent de")</f>
        <v>Wierzbicki, Vincent de</v>
      </c>
      <c r="C660" s="94"/>
      <c r="D660" s="94"/>
      <c r="E660" s="95" t="str">
        <f>IFERROR(__xludf.DUMMYFUNCTION("""COMPUTED_VALUE"""),"BG's French tutor")</f>
        <v>BG's French tutor</v>
      </c>
    </row>
    <row r="661">
      <c r="A661" s="96" t="str">
        <f>IFERROR(__xludf.DUMMYFUNCTION("""COMPUTED_VALUE"""),"00467")</f>
        <v>00467</v>
      </c>
      <c r="B661" s="94" t="str">
        <f>IFERROR(__xludf.DUMMYFUNCTION("""COMPUTED_VALUE"""),"Wildenstein, Georges")</f>
        <v>Wildenstein, Georges</v>
      </c>
      <c r="C661" s="94"/>
      <c r="D661" s="94" t="str">
        <f>IFERROR(__xludf.DUMMYFUNCTION("""COMPUTED_VALUE"""),"1892-1963")</f>
        <v>1892-1963</v>
      </c>
      <c r="E661" s="95" t="str">
        <f>IFERROR(__xludf.DUMMYFUNCTION("""COMPUTED_VALUE"""),"Son of Georges Wildenstein; joined film in 1912")</f>
        <v>Son of Georges Wildenstein; joined film in 1912</v>
      </c>
    </row>
    <row r="662">
      <c r="A662" s="96" t="str">
        <f>IFERROR(__xludf.DUMMYFUNCTION("""COMPUTED_VALUE"""),"00468")</f>
        <v>00468</v>
      </c>
      <c r="B662" s="94" t="str">
        <f>IFERROR(__xludf.DUMMYFUNCTION("""COMPUTED_VALUE"""),"Wildenstein, Nathan")</f>
        <v>Wildenstein, Nathan</v>
      </c>
      <c r="C662" s="94"/>
      <c r="D662" s="94" t="str">
        <f>IFERROR(__xludf.DUMMYFUNCTION("""COMPUTED_VALUE"""),"1851-1934")</f>
        <v>1851-1934</v>
      </c>
      <c r="E662" s="95" t="str">
        <f>IFERROR(__xludf.DUMMYFUNCTION("""COMPUTED_VALUE"""),"French art dealer who founded Wildenstein &amp; Co")</f>
        <v>French art dealer who founded Wildenstein &amp; Co</v>
      </c>
    </row>
    <row r="663">
      <c r="A663" s="96" t="str">
        <f>IFERROR(__xludf.DUMMYFUNCTION("""COMPUTED_VALUE"""),"00469")</f>
        <v>00469</v>
      </c>
      <c r="B663" s="94" t="str">
        <f>IFERROR(__xludf.DUMMYFUNCTION("""COMPUTED_VALUE"""),"Williamson, George C.")</f>
        <v>Williamson, George C.</v>
      </c>
      <c r="C663" s="94"/>
      <c r="D663" s="94" t="str">
        <f>IFERROR(__xludf.DUMMYFUNCTION("""COMPUTED_VALUE"""),"1858-1942")</f>
        <v>1858-1942</v>
      </c>
      <c r="E663" s="95" t="str">
        <f>IFERROR(__xludf.DUMMYFUNCTION("""COMPUTED_VALUE"""),"British art historian and antiquarian, cataloguer of J.P. Morgan's collection of portrait miniatures")</f>
        <v>British art historian and antiquarian, cataloguer of J.P. Morgan's collection of portrait miniatures</v>
      </c>
    </row>
    <row r="664">
      <c r="A664" s="96" t="str">
        <f>IFERROR(__xludf.DUMMYFUNCTION("""COMPUTED_VALUE"""),"00614")</f>
        <v>00614</v>
      </c>
      <c r="B664" s="94" t="str">
        <f>IFERROR(__xludf.DUMMYFUNCTION("""COMPUTED_VALUE"""),"Williamson, Louisa Mary Lethbridge")</f>
        <v>Williamson, Louisa Mary Lethbridge</v>
      </c>
      <c r="C664" s="94"/>
      <c r="D664" s="94"/>
      <c r="E664" s="95" t="str">
        <f>IFERROR(__xludf.DUMMYFUNCTION("""COMPUTED_VALUE"""),"Wife of George C. Williamson")</f>
        <v>Wife of George C. Williamson</v>
      </c>
    </row>
    <row r="665">
      <c r="A665" s="96" t="str">
        <f>IFERROR(__xludf.DUMMYFUNCTION("""COMPUTED_VALUE"""),"00470")</f>
        <v>00470</v>
      </c>
      <c r="B665" s="94" t="str">
        <f>IFERROR(__xludf.DUMMYFUNCTION("""COMPUTED_VALUE"""),"Wilson, Ellen Axson")</f>
        <v>Wilson, Ellen Axson</v>
      </c>
      <c r="C665" s="94"/>
      <c r="D665" s="94" t="str">
        <f>IFERROR(__xludf.DUMMYFUNCTION("""COMPUTED_VALUE"""),"1860-1914")</f>
        <v>1860-1914</v>
      </c>
      <c r="E665" s="95" t="str">
        <f>IFERROR(__xludf.DUMMYFUNCTION("""COMPUTED_VALUE"""),"First wife of Woodrow Wilson")</f>
        <v>First wife of Woodrow Wilson</v>
      </c>
    </row>
    <row r="666">
      <c r="A666" s="96" t="str">
        <f>IFERROR(__xludf.DUMMYFUNCTION("""COMPUTED_VALUE"""),"00471")</f>
        <v>00471</v>
      </c>
      <c r="B666" s="94" t="str">
        <f>IFERROR(__xludf.DUMMYFUNCTION("""COMPUTED_VALUE"""),"Wilson, Woodrow")</f>
        <v>Wilson, Woodrow</v>
      </c>
      <c r="C666" s="94"/>
      <c r="D666" s="94" t="str">
        <f>IFERROR(__xludf.DUMMYFUNCTION("""COMPUTED_VALUE"""),"1856-1924")</f>
        <v>1856-1924</v>
      </c>
      <c r="E666" s="95" t="str">
        <f>IFERROR(__xludf.DUMMYFUNCTION("""COMPUTED_VALUE"""),"Twenty-eighth President of United States; Princeton University President (1902-1910)")</f>
        <v>Twenty-eighth President of United States; Princeton University President (1902-1910)</v>
      </c>
    </row>
    <row r="667">
      <c r="A667" s="96" t="str">
        <f>IFERROR(__xludf.DUMMYFUNCTION("""COMPUTED_VALUE"""),"00498")</f>
        <v>00498</v>
      </c>
      <c r="B667" s="94" t="str">
        <f>IFERROR(__xludf.DUMMYFUNCTION("""COMPUTED_VALUE"""),"Winlock, Herbert Eustis")</f>
        <v>Winlock, Herbert Eustis</v>
      </c>
      <c r="C667" s="94"/>
      <c r="D667" s="94" t="str">
        <f>IFERROR(__xludf.DUMMYFUNCTION("""COMPUTED_VALUE"""),"1884-1950")</f>
        <v>1884-1950</v>
      </c>
      <c r="E667" s="95" t="str">
        <f>IFERROR(__xludf.DUMMYFUNCTION("""COMPUTED_VALUE"""),"American egyptologist and archaeologist; worked at the Metropolitan Museum of Art (served as Director from 1932-1939)")</f>
        <v>American egyptologist and archaeologist; worked at the Metropolitan Museum of Art (served as Director from 1932-1939)</v>
      </c>
    </row>
    <row r="668">
      <c r="A668" s="96" t="str">
        <f>IFERROR(__xludf.DUMMYFUNCTION("""COMPUTED_VALUE"""),"00472")</f>
        <v>00472</v>
      </c>
      <c r="B668" s="94" t="str">
        <f>IFERROR(__xludf.DUMMYFUNCTION("""COMPUTED_VALUE"""),"Winship, William")</f>
        <v>Winship, William</v>
      </c>
      <c r="C668" s="94" t="str">
        <f>IFERROR(__xludf.DUMMYFUNCTION("""COMPUTED_VALUE"""),"Willie")</f>
        <v>Willie</v>
      </c>
      <c r="D668" s="94"/>
      <c r="E668" s="95" t="str">
        <f>IFERROR(__xludf.DUMMYFUNCTION("""COMPUTED_VALUE"""),"BG friend in Boston")</f>
        <v>BG friend in Boston</v>
      </c>
    </row>
    <row r="669">
      <c r="A669" s="96" t="str">
        <f>IFERROR(__xludf.DUMMYFUNCTION("""COMPUTED_VALUE"""),"00473")</f>
        <v>00473</v>
      </c>
      <c r="B669" s="94" t="str">
        <f>IFERROR(__xludf.DUMMYFUNCTION("""COMPUTED_VALUE"""),"Witt, Robert")</f>
        <v>Witt, Robert</v>
      </c>
      <c r="C669" s="94" t="str">
        <f>IFERROR(__xludf.DUMMYFUNCTION("""COMPUTED_VALUE"""),"Sir Robert")</f>
        <v>Sir Robert</v>
      </c>
      <c r="D669" s="94" t="str">
        <f>IFERROR(__xludf.DUMMYFUNCTION("""COMPUTED_VALUE"""),"1872-1952")</f>
        <v>1872-1952</v>
      </c>
      <c r="E669" s="95" t="str">
        <f>IFERROR(__xludf.DUMMYFUNCTION("""COMPUTED_VALUE"""),"English art collector and founder of the Witt Reference Library, London")</f>
        <v>English art collector and founder of the Witt Reference Library, London</v>
      </c>
    </row>
    <row r="670">
      <c r="A670" s="96" t="str">
        <f>IFERROR(__xludf.DUMMYFUNCTION("""COMPUTED_VALUE"""),"00587")</f>
        <v>00587</v>
      </c>
      <c r="B670" s="94" t="str">
        <f>IFERROR(__xludf.DUMMYFUNCTION("""COMPUTED_VALUE"""),"Wombwell")</f>
        <v>Wombwell</v>
      </c>
      <c r="C670" s="94"/>
      <c r="D670" s="94"/>
      <c r="E670" s="95" t="str">
        <f>IFERROR(__xludf.DUMMYFUNCTION("""COMPUTED_VALUE"""),"Unidentified English polo player")</f>
        <v>Unidentified English polo player</v>
      </c>
    </row>
    <row r="671">
      <c r="A671" s="96" t="str">
        <f>IFERROR(__xludf.DUMMYFUNCTION("""COMPUTED_VALUE"""),"00474")</f>
        <v>00474</v>
      </c>
      <c r="B671" s="94" t="str">
        <f>IFERROR(__xludf.DUMMYFUNCTION("""COMPUTED_VALUE"""),"Wood, Arnold")</f>
        <v>Wood, Arnold</v>
      </c>
      <c r="C671" s="94"/>
      <c r="D671" s="94"/>
      <c r="E671" s="95"/>
    </row>
    <row r="672">
      <c r="A672" s="96" t="str">
        <f>IFERROR(__xludf.DUMMYFUNCTION("""COMPUTED_VALUE"""),"00534")</f>
        <v>00534</v>
      </c>
      <c r="B672" s="94" t="str">
        <f>IFERROR(__xludf.DUMMYFUNCTION("""COMPUTED_VALUE"""),"Worth, Jean-Philippe")</f>
        <v>Worth, Jean-Philippe</v>
      </c>
      <c r="C672" s="94"/>
      <c r="D672" s="94" t="str">
        <f>IFERROR(__xludf.DUMMYFUNCTION("""COMPUTED_VALUE"""),"1856-1926")</f>
        <v>1856-1926</v>
      </c>
      <c r="E672" s="95" t="str">
        <f>IFERROR(__xludf.DUMMYFUNCTION("""COMPUTED_VALUE"""),"French fashion designer; son of Charles Frederick Worth")</f>
        <v>French fashion designer; son of Charles Frederick Worth</v>
      </c>
    </row>
    <row r="673">
      <c r="A673" s="96" t="str">
        <f>IFERROR(__xludf.DUMMYFUNCTION("""COMPUTED_VALUE"""),"00475")</f>
        <v>00475</v>
      </c>
      <c r="B673" s="94" t="str">
        <f>IFERROR(__xludf.DUMMYFUNCTION("""COMPUTED_VALUE"""),"Wroth, Lawrence C.")</f>
        <v>Wroth, Lawrence C.</v>
      </c>
      <c r="C673" s="94"/>
      <c r="D673" s="94" t="str">
        <f>IFERROR(__xludf.DUMMYFUNCTION("""COMPUTED_VALUE"""),"1884-1970")</f>
        <v>1884-1970</v>
      </c>
      <c r="E673" s="95" t="str">
        <f>IFERROR(__xludf.DUMMYFUNCTION("""COMPUTED_VALUE"""),"American historian specializing in early printed Americana")</f>
        <v>American historian specializing in early printed Americana</v>
      </c>
    </row>
    <row r="674">
      <c r="A674" s="96" t="str">
        <f>IFERROR(__xludf.DUMMYFUNCTION("""COMPUTED_VALUE"""),"00476")</f>
        <v>00476</v>
      </c>
      <c r="B674" s="94" t="str">
        <f>IFERROR(__xludf.DUMMYFUNCTION("""COMPUTED_VALUE"""),"Yamanaka, Sadjiro")</f>
        <v>Yamanaka, Sadjiro</v>
      </c>
      <c r="C674" s="94"/>
      <c r="D674" s="94" t="str">
        <f>IFERROR(__xludf.DUMMYFUNCTION("""COMPUTED_VALUE"""),"1866-1936")</f>
        <v>1866-1936</v>
      </c>
      <c r="E674" s="95" t="str">
        <f>IFERROR(__xludf.DUMMYFUNCTION("""COMPUTED_VALUE"""),"Japanese art dealer originally from Osaka; founder of Yamakana &amp; Company in 1917")</f>
        <v>Japanese art dealer originally from Osaka; founder of Yamakana &amp; Company in 1917</v>
      </c>
    </row>
    <row r="675">
      <c r="A675" s="96" t="str">
        <f>IFERROR(__xludf.DUMMYFUNCTION("""COMPUTED_VALUE"""),"00611")</f>
        <v>00611</v>
      </c>
      <c r="B675" s="94" t="str">
        <f>IFERROR(__xludf.DUMMYFUNCTION("""COMPUTED_VALUE"""),"Yerkes, Charles T. ")</f>
        <v>Yerkes, Charles T. </v>
      </c>
      <c r="C675" s="94"/>
      <c r="D675" s="94" t="str">
        <f>IFERROR(__xludf.DUMMYFUNCTION("""COMPUTED_VALUE"""),"1837–1905")</f>
        <v>1837–1905</v>
      </c>
      <c r="E675" s="95" t="str">
        <f>IFERROR(__xludf.DUMMYFUNCTION("""COMPUTED_VALUE"""),"Chicago industrialist")</f>
        <v>Chicago industrialist</v>
      </c>
    </row>
    <row r="676">
      <c r="A676" s="96" t="str">
        <f>IFERROR(__xludf.DUMMYFUNCTION("""COMPUTED_VALUE"""),"00477")</f>
        <v>00477</v>
      </c>
      <c r="B676" s="94" t="str">
        <f>IFERROR(__xludf.DUMMYFUNCTION("""COMPUTED_VALUE"""),"Zuloaga, Ignacio")</f>
        <v>Zuloaga, Ignacio</v>
      </c>
      <c r="C676" s="94"/>
      <c r="D676" s="94" t="str">
        <f>IFERROR(__xludf.DUMMYFUNCTION("""COMPUTED_VALUE"""),"1870-1945")</f>
        <v>1870-1945</v>
      </c>
      <c r="E676" s="95" t="str">
        <f>IFERROR(__xludf.DUMMYFUNCTION("""COMPUTED_VALUE"""),"Basque painter who had an exhibition at the Hispanic Society in 1909")</f>
        <v>Basque painter who had an exhibition at the Hispanic Society in 1909</v>
      </c>
    </row>
    <row r="677">
      <c r="A677" s="94"/>
      <c r="B677" s="94"/>
      <c r="C677" s="94"/>
      <c r="D677" s="94"/>
      <c r="E677" s="95"/>
    </row>
    <row r="678">
      <c r="A678" s="96" t="str">
        <f>IFERROR(__xludf.DUMMYFUNCTION("""COMPUTED_VALUE"""),"00681")</f>
        <v>00681</v>
      </c>
      <c r="B678" s="94"/>
      <c r="C678" s="94"/>
      <c r="D678" s="94"/>
      <c r="E678" s="95"/>
    </row>
    <row r="679">
      <c r="A679" s="96" t="str">
        <f>IFERROR(__xludf.DUMMYFUNCTION("""COMPUTED_VALUE"""),"00682")</f>
        <v>00682</v>
      </c>
      <c r="B679" s="94"/>
      <c r="C679" s="94"/>
      <c r="D679" s="94"/>
      <c r="E679" s="95"/>
    </row>
    <row r="680">
      <c r="A680" s="96" t="str">
        <f>IFERROR(__xludf.DUMMYFUNCTION("""COMPUTED_VALUE"""),"00683")</f>
        <v>00683</v>
      </c>
      <c r="B680" s="94"/>
      <c r="C680" s="94"/>
      <c r="D680" s="94"/>
      <c r="E680" s="95"/>
    </row>
    <row r="681">
      <c r="A681" s="96" t="str">
        <f>IFERROR(__xludf.DUMMYFUNCTION("""COMPUTED_VALUE"""),"00684")</f>
        <v>00684</v>
      </c>
      <c r="B681" s="94"/>
      <c r="C681" s="94"/>
      <c r="D681" s="94"/>
      <c r="E681" s="95"/>
    </row>
    <row r="682">
      <c r="A682" s="96" t="str">
        <f>IFERROR(__xludf.DUMMYFUNCTION("""COMPUTED_VALUE"""),"00685")</f>
        <v>00685</v>
      </c>
      <c r="B682" s="94"/>
      <c r="C682" s="94"/>
      <c r="D682" s="94"/>
      <c r="E682" s="95"/>
    </row>
    <row r="683">
      <c r="A683" s="96" t="str">
        <f>IFERROR(__xludf.DUMMYFUNCTION("""COMPUTED_VALUE"""),"00686")</f>
        <v>00686</v>
      </c>
      <c r="B683" s="94"/>
      <c r="C683" s="94"/>
      <c r="D683" s="94"/>
      <c r="E683" s="95"/>
    </row>
    <row r="684">
      <c r="A684" s="96" t="str">
        <f>IFERROR(__xludf.DUMMYFUNCTION("""COMPUTED_VALUE"""),"00687")</f>
        <v>00687</v>
      </c>
      <c r="B684" s="94"/>
      <c r="C684" s="94"/>
      <c r="D684" s="94"/>
      <c r="E684" s="95"/>
    </row>
    <row r="685">
      <c r="A685" s="96" t="str">
        <f>IFERROR(__xludf.DUMMYFUNCTION("""COMPUTED_VALUE"""),"00688")</f>
        <v>00688</v>
      </c>
      <c r="B685" s="94"/>
      <c r="C685" s="94"/>
      <c r="D685" s="94"/>
      <c r="E685" s="95"/>
    </row>
    <row r="686">
      <c r="A686" s="96" t="str">
        <f>IFERROR(__xludf.DUMMYFUNCTION("""COMPUTED_VALUE"""),"00689")</f>
        <v>00689</v>
      </c>
      <c r="B686" s="94"/>
      <c r="C686" s="94"/>
      <c r="D686" s="94"/>
      <c r="E686" s="95"/>
    </row>
    <row r="687">
      <c r="A687" s="96" t="str">
        <f>IFERROR(__xludf.DUMMYFUNCTION("""COMPUTED_VALUE"""),"00690")</f>
        <v>00690</v>
      </c>
      <c r="B687" s="94"/>
      <c r="C687" s="94"/>
      <c r="D687" s="94"/>
      <c r="E687" s="95"/>
    </row>
    <row r="688">
      <c r="A688" s="96" t="str">
        <f>IFERROR(__xludf.DUMMYFUNCTION("""COMPUTED_VALUE"""),"00691")</f>
        <v>00691</v>
      </c>
      <c r="B688" s="94"/>
      <c r="C688" s="94"/>
      <c r="D688" s="94"/>
      <c r="E688" s="95"/>
    </row>
    <row r="689">
      <c r="A689" s="96" t="str">
        <f>IFERROR(__xludf.DUMMYFUNCTION("""COMPUTED_VALUE"""),"00692")</f>
        <v>00692</v>
      </c>
      <c r="B689" s="94"/>
      <c r="C689" s="94"/>
      <c r="D689" s="94"/>
      <c r="E689" s="95"/>
    </row>
    <row r="690">
      <c r="A690" s="96" t="str">
        <f>IFERROR(__xludf.DUMMYFUNCTION("""COMPUTED_VALUE"""),"00693")</f>
        <v>00693</v>
      </c>
      <c r="B690" s="94"/>
      <c r="C690" s="94"/>
      <c r="D690" s="94"/>
      <c r="E690" s="95"/>
    </row>
    <row r="691">
      <c r="A691" s="96" t="str">
        <f>IFERROR(__xludf.DUMMYFUNCTION("""COMPUTED_VALUE"""),"00694")</f>
        <v>00694</v>
      </c>
      <c r="B691" s="94"/>
      <c r="C691" s="94"/>
      <c r="D691" s="94"/>
      <c r="E691" s="95"/>
    </row>
    <row r="692">
      <c r="A692" s="96" t="str">
        <f>IFERROR(__xludf.DUMMYFUNCTION("""COMPUTED_VALUE"""),"00695")</f>
        <v>00695</v>
      </c>
      <c r="B692" s="94"/>
      <c r="C692" s="94"/>
      <c r="D692" s="94"/>
      <c r="E692" s="95"/>
    </row>
    <row r="693">
      <c r="A693" s="96" t="str">
        <f>IFERROR(__xludf.DUMMYFUNCTION("""COMPUTED_VALUE"""),"00696")</f>
        <v>00696</v>
      </c>
      <c r="B693" s="94"/>
      <c r="C693" s="94"/>
      <c r="D693" s="94"/>
      <c r="E693" s="95"/>
    </row>
    <row r="694">
      <c r="A694" s="96" t="str">
        <f>IFERROR(__xludf.DUMMYFUNCTION("""COMPUTED_VALUE"""),"00697")</f>
        <v>00697</v>
      </c>
      <c r="B694" s="94"/>
      <c r="C694" s="94"/>
      <c r="D694" s="94"/>
      <c r="E694" s="95"/>
    </row>
    <row r="695">
      <c r="A695" s="96" t="str">
        <f>IFERROR(__xludf.DUMMYFUNCTION("""COMPUTED_VALUE"""),"00698")</f>
        <v>00698</v>
      </c>
      <c r="B695" s="94"/>
      <c r="C695" s="94"/>
      <c r="D695" s="94"/>
      <c r="E695" s="95"/>
    </row>
    <row r="696">
      <c r="A696" s="96" t="str">
        <f>IFERROR(__xludf.DUMMYFUNCTION("""COMPUTED_VALUE"""),"00699")</f>
        <v>00699</v>
      </c>
      <c r="B696" s="94"/>
      <c r="C696" s="94"/>
      <c r="D696" s="94"/>
      <c r="E696" s="95"/>
    </row>
    <row r="697">
      <c r="A697" s="96" t="str">
        <f>IFERROR(__xludf.DUMMYFUNCTION("""COMPUTED_VALUE"""),"00700")</f>
        <v>00700</v>
      </c>
      <c r="B697" s="94"/>
      <c r="C697" s="94"/>
      <c r="D697" s="94"/>
      <c r="E697" s="95"/>
    </row>
    <row r="698">
      <c r="A698" s="96" t="str">
        <f>IFERROR(__xludf.DUMMYFUNCTION("""COMPUTED_VALUE"""),"00701")</f>
        <v>00701</v>
      </c>
      <c r="B698" s="94"/>
      <c r="C698" s="94"/>
      <c r="D698" s="94"/>
      <c r="E698" s="95"/>
    </row>
    <row r="699">
      <c r="A699" s="96" t="str">
        <f>IFERROR(__xludf.DUMMYFUNCTION("""COMPUTED_VALUE"""),"00702")</f>
        <v>00702</v>
      </c>
      <c r="B699" s="94"/>
      <c r="C699" s="94"/>
      <c r="D699" s="94"/>
      <c r="E699" s="95"/>
    </row>
    <row r="700">
      <c r="A700" s="96" t="str">
        <f>IFERROR(__xludf.DUMMYFUNCTION("""COMPUTED_VALUE"""),"00703")</f>
        <v>00703</v>
      </c>
      <c r="B700" s="94"/>
      <c r="C700" s="94"/>
      <c r="D700" s="94"/>
      <c r="E700" s="95"/>
    </row>
    <row r="701">
      <c r="A701" s="96" t="str">
        <f>IFERROR(__xludf.DUMMYFUNCTION("""COMPUTED_VALUE"""),"00704")</f>
        <v>00704</v>
      </c>
      <c r="B701" s="94"/>
      <c r="C701" s="94"/>
      <c r="D701" s="94"/>
      <c r="E701" s="95"/>
    </row>
    <row r="702">
      <c r="A702" s="96" t="str">
        <f>IFERROR(__xludf.DUMMYFUNCTION("""COMPUTED_VALUE"""),"00705")</f>
        <v>00705</v>
      </c>
      <c r="B702" s="94"/>
      <c r="C702" s="94"/>
      <c r="D702" s="94"/>
      <c r="E702" s="95"/>
    </row>
    <row r="703">
      <c r="A703" s="96" t="str">
        <f>IFERROR(__xludf.DUMMYFUNCTION("""COMPUTED_VALUE"""),"00706")</f>
        <v>00706</v>
      </c>
      <c r="B703" s="94"/>
      <c r="C703" s="94"/>
      <c r="D703" s="94"/>
      <c r="E703" s="95"/>
    </row>
    <row r="704">
      <c r="A704" s="96" t="str">
        <f>IFERROR(__xludf.DUMMYFUNCTION("""COMPUTED_VALUE"""),"00707")</f>
        <v>00707</v>
      </c>
      <c r="B704" s="94"/>
      <c r="C704" s="94"/>
      <c r="D704" s="94"/>
      <c r="E704" s="95"/>
    </row>
    <row r="705">
      <c r="A705" s="96" t="str">
        <f>IFERROR(__xludf.DUMMYFUNCTION("""COMPUTED_VALUE"""),"00708")</f>
        <v>00708</v>
      </c>
      <c r="B705" s="94"/>
      <c r="C705" s="94"/>
      <c r="D705" s="94"/>
      <c r="E705" s="95"/>
    </row>
    <row r="706">
      <c r="A706" s="96" t="str">
        <f>IFERROR(__xludf.DUMMYFUNCTION("""COMPUTED_VALUE"""),"00709")</f>
        <v>00709</v>
      </c>
      <c r="B706" s="94"/>
      <c r="C706" s="94"/>
      <c r="D706" s="94"/>
      <c r="E706" s="95"/>
    </row>
    <row r="707">
      <c r="A707" s="96" t="str">
        <f>IFERROR(__xludf.DUMMYFUNCTION("""COMPUTED_VALUE"""),"00710")</f>
        <v>00710</v>
      </c>
      <c r="B707" s="94"/>
      <c r="C707" s="94"/>
      <c r="D707" s="94"/>
      <c r="E707" s="95"/>
    </row>
    <row r="708">
      <c r="A708" s="96" t="str">
        <f>IFERROR(__xludf.DUMMYFUNCTION("""COMPUTED_VALUE"""),"00711")</f>
        <v>00711</v>
      </c>
      <c r="B708" s="94"/>
      <c r="C708" s="94"/>
      <c r="D708" s="94"/>
      <c r="E708" s="95"/>
    </row>
    <row r="709">
      <c r="A709" s="96" t="str">
        <f>IFERROR(__xludf.DUMMYFUNCTION("""COMPUTED_VALUE"""),"00712")</f>
        <v>00712</v>
      </c>
      <c r="B709" s="94"/>
      <c r="C709" s="94"/>
      <c r="D709" s="94"/>
      <c r="E709" s="95"/>
    </row>
    <row r="710">
      <c r="A710" s="96" t="str">
        <f>IFERROR(__xludf.DUMMYFUNCTION("""COMPUTED_VALUE"""),"00713")</f>
        <v>00713</v>
      </c>
      <c r="B710" s="94"/>
      <c r="C710" s="94"/>
      <c r="D710" s="94"/>
      <c r="E710" s="95"/>
    </row>
    <row r="711">
      <c r="A711" s="96" t="str">
        <f>IFERROR(__xludf.DUMMYFUNCTION("""COMPUTED_VALUE"""),"00714")</f>
        <v>00714</v>
      </c>
      <c r="B711" s="94"/>
      <c r="C711" s="94"/>
      <c r="D711" s="94"/>
      <c r="E711" s="95"/>
    </row>
    <row r="712">
      <c r="A712" s="96" t="str">
        <f>IFERROR(__xludf.DUMMYFUNCTION("""COMPUTED_VALUE"""),"00715")</f>
        <v>00715</v>
      </c>
      <c r="B712" s="94"/>
      <c r="C712" s="94"/>
      <c r="D712" s="94"/>
      <c r="E712" s="95"/>
    </row>
    <row r="713">
      <c r="A713" s="96" t="str">
        <f>IFERROR(__xludf.DUMMYFUNCTION("""COMPUTED_VALUE"""),"00716")</f>
        <v>00716</v>
      </c>
      <c r="B713" s="94"/>
      <c r="C713" s="94"/>
      <c r="D713" s="94"/>
      <c r="E713" s="95"/>
    </row>
    <row r="714">
      <c r="A714" s="96" t="str">
        <f>IFERROR(__xludf.DUMMYFUNCTION("""COMPUTED_VALUE"""),"00717")</f>
        <v>00717</v>
      </c>
      <c r="B714" s="94"/>
      <c r="C714" s="94"/>
      <c r="D714" s="94"/>
      <c r="E714" s="95"/>
    </row>
    <row r="715">
      <c r="A715" s="96" t="str">
        <f>IFERROR(__xludf.DUMMYFUNCTION("""COMPUTED_VALUE"""),"00718")</f>
        <v>00718</v>
      </c>
      <c r="B715" s="94"/>
      <c r="C715" s="94"/>
      <c r="D715" s="94"/>
      <c r="E715" s="95"/>
    </row>
    <row r="716">
      <c r="A716" s="96" t="str">
        <f>IFERROR(__xludf.DUMMYFUNCTION("""COMPUTED_VALUE"""),"00719")</f>
        <v>00719</v>
      </c>
      <c r="B716" s="94"/>
      <c r="C716" s="94"/>
      <c r="D716" s="94"/>
      <c r="E716" s="95"/>
    </row>
    <row r="717">
      <c r="A717" s="96" t="str">
        <f>IFERROR(__xludf.DUMMYFUNCTION("""COMPUTED_VALUE"""),"00720")</f>
        <v>00720</v>
      </c>
      <c r="B717" s="94"/>
      <c r="C717" s="94"/>
      <c r="D717" s="94"/>
      <c r="E717" s="95"/>
    </row>
    <row r="718">
      <c r="A718" s="96" t="str">
        <f>IFERROR(__xludf.DUMMYFUNCTION("""COMPUTED_VALUE"""),"00721")</f>
        <v>00721</v>
      </c>
      <c r="B718" s="94"/>
      <c r="C718" s="94"/>
      <c r="D718" s="94"/>
      <c r="E718" s="95"/>
    </row>
    <row r="719">
      <c r="A719" s="96" t="str">
        <f>IFERROR(__xludf.DUMMYFUNCTION("""COMPUTED_VALUE"""),"00722")</f>
        <v>00722</v>
      </c>
      <c r="B719" s="94"/>
      <c r="C719" s="94"/>
      <c r="D719" s="94"/>
      <c r="E719" s="95"/>
    </row>
    <row r="720">
      <c r="A720" s="96" t="str">
        <f>IFERROR(__xludf.DUMMYFUNCTION("""COMPUTED_VALUE"""),"00723")</f>
        <v>00723</v>
      </c>
      <c r="B720" s="94"/>
      <c r="C720" s="94"/>
      <c r="D720" s="94"/>
      <c r="E720" s="95"/>
    </row>
    <row r="721">
      <c r="A721" s="96" t="str">
        <f>IFERROR(__xludf.DUMMYFUNCTION("""COMPUTED_VALUE"""),"00724")</f>
        <v>00724</v>
      </c>
      <c r="B721" s="94"/>
      <c r="C721" s="94"/>
      <c r="D721" s="94"/>
      <c r="E721" s="95"/>
    </row>
    <row r="722">
      <c r="A722" s="96" t="str">
        <f>IFERROR(__xludf.DUMMYFUNCTION("""COMPUTED_VALUE"""),"00725")</f>
        <v>00725</v>
      </c>
      <c r="B722" s="94"/>
      <c r="C722" s="94"/>
      <c r="D722" s="94"/>
      <c r="E722" s="95"/>
    </row>
    <row r="723">
      <c r="A723" s="96" t="str">
        <f>IFERROR(__xludf.DUMMYFUNCTION("""COMPUTED_VALUE"""),"00726")</f>
        <v>00726</v>
      </c>
      <c r="B723" s="94"/>
      <c r="C723" s="94"/>
      <c r="D723" s="94"/>
      <c r="E723" s="95"/>
    </row>
    <row r="724">
      <c r="A724" s="96" t="str">
        <f>IFERROR(__xludf.DUMMYFUNCTION("""COMPUTED_VALUE"""),"00727")</f>
        <v>00727</v>
      </c>
      <c r="B724" s="94"/>
      <c r="C724" s="94"/>
      <c r="D724" s="94"/>
      <c r="E724" s="95"/>
    </row>
    <row r="725">
      <c r="A725" s="96" t="str">
        <f>IFERROR(__xludf.DUMMYFUNCTION("""COMPUTED_VALUE"""),"00728")</f>
        <v>00728</v>
      </c>
      <c r="B725" s="94"/>
      <c r="C725" s="94"/>
      <c r="D725" s="94"/>
      <c r="E725" s="95"/>
    </row>
    <row r="726">
      <c r="A726" s="96" t="str">
        <f>IFERROR(__xludf.DUMMYFUNCTION("""COMPUTED_VALUE"""),"00729")</f>
        <v>00729</v>
      </c>
      <c r="B726" s="94"/>
      <c r="C726" s="94"/>
      <c r="D726" s="94"/>
      <c r="E726" s="95"/>
    </row>
    <row r="727">
      <c r="A727" s="96" t="str">
        <f>IFERROR(__xludf.DUMMYFUNCTION("""COMPUTED_VALUE"""),"00730")</f>
        <v>00730</v>
      </c>
      <c r="B727" s="94"/>
      <c r="C727" s="94"/>
      <c r="D727" s="94"/>
      <c r="E727" s="95"/>
    </row>
    <row r="728">
      <c r="A728" s="96" t="str">
        <f>IFERROR(__xludf.DUMMYFUNCTION("""COMPUTED_VALUE"""),"00731")</f>
        <v>00731</v>
      </c>
      <c r="B728" s="94"/>
      <c r="C728" s="94"/>
      <c r="D728" s="94"/>
      <c r="E728" s="95"/>
    </row>
    <row r="729">
      <c r="A729" s="96" t="str">
        <f>IFERROR(__xludf.DUMMYFUNCTION("""COMPUTED_VALUE"""),"00732")</f>
        <v>00732</v>
      </c>
      <c r="B729" s="94"/>
      <c r="C729" s="94"/>
      <c r="D729" s="94"/>
      <c r="E729" s="95"/>
    </row>
    <row r="730">
      <c r="A730" s="96" t="str">
        <f>IFERROR(__xludf.DUMMYFUNCTION("""COMPUTED_VALUE"""),"00733")</f>
        <v>00733</v>
      </c>
      <c r="B730" s="94"/>
      <c r="C730" s="94"/>
      <c r="D730" s="94"/>
      <c r="E730" s="95"/>
    </row>
    <row r="731">
      <c r="A731" s="96" t="str">
        <f>IFERROR(__xludf.DUMMYFUNCTION("""COMPUTED_VALUE"""),"00734")</f>
        <v>00734</v>
      </c>
      <c r="B731" s="94"/>
      <c r="C731" s="94"/>
      <c r="D731" s="94"/>
      <c r="E731" s="95"/>
    </row>
    <row r="732">
      <c r="A732" s="96" t="str">
        <f>IFERROR(__xludf.DUMMYFUNCTION("""COMPUTED_VALUE"""),"00735")</f>
        <v>00735</v>
      </c>
      <c r="B732" s="94"/>
      <c r="C732" s="94"/>
      <c r="D732" s="94"/>
      <c r="E732" s="95"/>
    </row>
    <row r="733">
      <c r="A733" s="96" t="str">
        <f>IFERROR(__xludf.DUMMYFUNCTION("""COMPUTED_VALUE"""),"00736")</f>
        <v>00736</v>
      </c>
      <c r="B733" s="94"/>
      <c r="C733" s="94"/>
      <c r="D733" s="94"/>
      <c r="E733" s="95"/>
    </row>
    <row r="734">
      <c r="A734" s="96" t="str">
        <f>IFERROR(__xludf.DUMMYFUNCTION("""COMPUTED_VALUE"""),"00737")</f>
        <v>00737</v>
      </c>
      <c r="B734" s="94"/>
      <c r="C734" s="94"/>
      <c r="D734" s="94"/>
      <c r="E734" s="95"/>
    </row>
    <row r="735">
      <c r="A735" s="96" t="str">
        <f>IFERROR(__xludf.DUMMYFUNCTION("""COMPUTED_VALUE"""),"00738")</f>
        <v>00738</v>
      </c>
      <c r="B735" s="94"/>
      <c r="C735" s="94"/>
      <c r="D735" s="94"/>
      <c r="E735" s="95"/>
    </row>
    <row r="736">
      <c r="A736" s="96" t="str">
        <f>IFERROR(__xludf.DUMMYFUNCTION("""COMPUTED_VALUE"""),"00739")</f>
        <v>00739</v>
      </c>
      <c r="B736" s="94"/>
      <c r="C736" s="94"/>
      <c r="D736" s="94"/>
      <c r="E736" s="95"/>
    </row>
    <row r="737">
      <c r="A737" s="96" t="str">
        <f>IFERROR(__xludf.DUMMYFUNCTION("""COMPUTED_VALUE"""),"00740")</f>
        <v>00740</v>
      </c>
      <c r="B737" s="94"/>
      <c r="C737" s="94"/>
      <c r="D737" s="94"/>
      <c r="E737" s="95"/>
    </row>
    <row r="738">
      <c r="A738" s="96" t="str">
        <f>IFERROR(__xludf.DUMMYFUNCTION("""COMPUTED_VALUE"""),"00741")</f>
        <v>00741</v>
      </c>
      <c r="B738" s="94"/>
      <c r="C738" s="94"/>
      <c r="D738" s="94"/>
      <c r="E738" s="95"/>
    </row>
    <row r="739">
      <c r="A739" s="96" t="str">
        <f>IFERROR(__xludf.DUMMYFUNCTION("""COMPUTED_VALUE"""),"00742")</f>
        <v>00742</v>
      </c>
      <c r="B739" s="94"/>
      <c r="C739" s="94"/>
      <c r="D739" s="94"/>
      <c r="E739" s="95"/>
    </row>
    <row r="740">
      <c r="A740" s="96" t="str">
        <f>IFERROR(__xludf.DUMMYFUNCTION("""COMPUTED_VALUE"""),"00743")</f>
        <v>00743</v>
      </c>
      <c r="B740" s="94"/>
      <c r="C740" s="94"/>
      <c r="D740" s="94"/>
      <c r="E740" s="95"/>
    </row>
    <row r="741">
      <c r="A741" s="96" t="str">
        <f>IFERROR(__xludf.DUMMYFUNCTION("""COMPUTED_VALUE"""),"00744")</f>
        <v>00744</v>
      </c>
      <c r="B741" s="94"/>
      <c r="C741" s="94"/>
      <c r="D741" s="94"/>
      <c r="E741" s="95"/>
    </row>
    <row r="742">
      <c r="A742" s="96" t="str">
        <f>IFERROR(__xludf.DUMMYFUNCTION("""COMPUTED_VALUE"""),"00745")</f>
        <v>00745</v>
      </c>
      <c r="B742" s="94"/>
      <c r="C742" s="94"/>
      <c r="D742" s="94"/>
      <c r="E742" s="95"/>
    </row>
    <row r="743">
      <c r="A743" s="96" t="str">
        <f>IFERROR(__xludf.DUMMYFUNCTION("""COMPUTED_VALUE"""),"00746")</f>
        <v>00746</v>
      </c>
      <c r="B743" s="94"/>
      <c r="C743" s="94"/>
      <c r="D743" s="94"/>
      <c r="E743" s="95"/>
    </row>
    <row r="744">
      <c r="A744" s="96" t="str">
        <f>IFERROR(__xludf.DUMMYFUNCTION("""COMPUTED_VALUE"""),"00747")</f>
        <v>00747</v>
      </c>
      <c r="B744" s="94"/>
      <c r="C744" s="94"/>
      <c r="D744" s="94"/>
      <c r="E744" s="95"/>
    </row>
    <row r="745">
      <c r="A745" s="96" t="str">
        <f>IFERROR(__xludf.DUMMYFUNCTION("""COMPUTED_VALUE"""),"00748")</f>
        <v>00748</v>
      </c>
      <c r="B745" s="94"/>
      <c r="C745" s="94"/>
      <c r="D745" s="94"/>
      <c r="E745" s="95"/>
    </row>
    <row r="746">
      <c r="A746" s="96" t="str">
        <f>IFERROR(__xludf.DUMMYFUNCTION("""COMPUTED_VALUE"""),"00749")</f>
        <v>00749</v>
      </c>
      <c r="B746" s="94"/>
      <c r="C746" s="94"/>
      <c r="D746" s="94"/>
      <c r="E746" s="95"/>
    </row>
    <row r="747">
      <c r="A747" s="96" t="str">
        <f>IFERROR(__xludf.DUMMYFUNCTION("""COMPUTED_VALUE"""),"00750")</f>
        <v>00750</v>
      </c>
      <c r="B747" s="94"/>
      <c r="C747" s="94"/>
      <c r="D747" s="94"/>
      <c r="E747" s="95"/>
    </row>
    <row r="748">
      <c r="A748" s="96" t="str">
        <f>IFERROR(__xludf.DUMMYFUNCTION("""COMPUTED_VALUE"""),"00751")</f>
        <v>00751</v>
      </c>
      <c r="B748" s="94"/>
      <c r="C748" s="94"/>
      <c r="D748" s="94"/>
      <c r="E748" s="95"/>
    </row>
    <row r="749">
      <c r="A749" s="96" t="str">
        <f>IFERROR(__xludf.DUMMYFUNCTION("""COMPUTED_VALUE"""),"00752")</f>
        <v>00752</v>
      </c>
      <c r="B749" s="94"/>
      <c r="C749" s="94"/>
      <c r="D749" s="94"/>
      <c r="E749" s="95"/>
    </row>
    <row r="750">
      <c r="A750" s="96" t="str">
        <f>IFERROR(__xludf.DUMMYFUNCTION("""COMPUTED_VALUE"""),"00753")</f>
        <v>00753</v>
      </c>
      <c r="B750" s="94"/>
      <c r="C750" s="94"/>
      <c r="D750" s="94"/>
      <c r="E750" s="95"/>
    </row>
    <row r="751">
      <c r="A751" s="96" t="str">
        <f>IFERROR(__xludf.DUMMYFUNCTION("""COMPUTED_VALUE"""),"00754")</f>
        <v>00754</v>
      </c>
      <c r="B751" s="94"/>
      <c r="C751" s="94"/>
      <c r="D751" s="94"/>
      <c r="E751" s="95"/>
    </row>
    <row r="752">
      <c r="A752" s="96" t="str">
        <f>IFERROR(__xludf.DUMMYFUNCTION("""COMPUTED_VALUE"""),"00755")</f>
        <v>00755</v>
      </c>
      <c r="B752" s="94"/>
      <c r="C752" s="94"/>
      <c r="D752" s="94"/>
      <c r="E752" s="95"/>
    </row>
    <row r="753">
      <c r="A753" s="96" t="str">
        <f>IFERROR(__xludf.DUMMYFUNCTION("""COMPUTED_VALUE"""),"00756")</f>
        <v>00756</v>
      </c>
      <c r="B753" s="94"/>
      <c r="C753" s="94"/>
      <c r="D753" s="94"/>
      <c r="E753" s="95"/>
    </row>
    <row r="754">
      <c r="A754" s="96" t="str">
        <f>IFERROR(__xludf.DUMMYFUNCTION("""COMPUTED_VALUE"""),"00757")</f>
        <v>00757</v>
      </c>
      <c r="B754" s="94"/>
      <c r="C754" s="94"/>
      <c r="D754" s="94"/>
      <c r="E754" s="95"/>
    </row>
    <row r="755">
      <c r="A755" s="96" t="str">
        <f>IFERROR(__xludf.DUMMYFUNCTION("""COMPUTED_VALUE"""),"00758")</f>
        <v>00758</v>
      </c>
      <c r="B755" s="94"/>
      <c r="C755" s="94"/>
      <c r="D755" s="94"/>
      <c r="E755" s="95"/>
    </row>
    <row r="756">
      <c r="A756" s="96" t="str">
        <f>IFERROR(__xludf.DUMMYFUNCTION("""COMPUTED_VALUE"""),"00759")</f>
        <v>00759</v>
      </c>
      <c r="B756" s="94"/>
      <c r="C756" s="94"/>
      <c r="D756" s="94"/>
      <c r="E756" s="95"/>
    </row>
    <row r="757">
      <c r="A757" s="96" t="str">
        <f>IFERROR(__xludf.DUMMYFUNCTION("""COMPUTED_VALUE"""),"00760")</f>
        <v>00760</v>
      </c>
      <c r="B757" s="94"/>
      <c r="C757" s="94"/>
      <c r="D757" s="94"/>
      <c r="E757" s="95"/>
    </row>
    <row r="758">
      <c r="A758" s="96" t="str">
        <f>IFERROR(__xludf.DUMMYFUNCTION("""COMPUTED_VALUE"""),"00761")</f>
        <v>00761</v>
      </c>
      <c r="B758" s="94"/>
      <c r="C758" s="94"/>
      <c r="D758" s="94"/>
      <c r="E758" s="95"/>
    </row>
    <row r="759">
      <c r="A759" s="96" t="str">
        <f>IFERROR(__xludf.DUMMYFUNCTION("""COMPUTED_VALUE"""),"00762")</f>
        <v>00762</v>
      </c>
      <c r="B759" s="94"/>
      <c r="C759" s="94"/>
      <c r="D759" s="94"/>
      <c r="E759" s="95"/>
    </row>
    <row r="760">
      <c r="A760" s="96" t="str">
        <f>IFERROR(__xludf.DUMMYFUNCTION("""COMPUTED_VALUE"""),"00763")</f>
        <v>00763</v>
      </c>
      <c r="B760" s="94"/>
      <c r="C760" s="94"/>
      <c r="D760" s="94"/>
      <c r="E760" s="95"/>
    </row>
    <row r="761">
      <c r="A761" s="96" t="str">
        <f>IFERROR(__xludf.DUMMYFUNCTION("""COMPUTED_VALUE"""),"00764")</f>
        <v>00764</v>
      </c>
      <c r="B761" s="94"/>
      <c r="C761" s="94"/>
      <c r="D761" s="94"/>
      <c r="E761" s="95"/>
    </row>
    <row r="762">
      <c r="A762" s="96" t="str">
        <f>IFERROR(__xludf.DUMMYFUNCTION("""COMPUTED_VALUE"""),"00765")</f>
        <v>00765</v>
      </c>
      <c r="B762" s="94"/>
      <c r="C762" s="94"/>
      <c r="D762" s="94"/>
      <c r="E762" s="95"/>
    </row>
    <row r="763">
      <c r="A763" s="96" t="str">
        <f>IFERROR(__xludf.DUMMYFUNCTION("""COMPUTED_VALUE"""),"00766")</f>
        <v>00766</v>
      </c>
      <c r="B763" s="94"/>
      <c r="C763" s="94"/>
      <c r="D763" s="94"/>
      <c r="E763" s="95"/>
    </row>
    <row r="764">
      <c r="A764" s="96" t="str">
        <f>IFERROR(__xludf.DUMMYFUNCTION("""COMPUTED_VALUE"""),"00767")</f>
        <v>00767</v>
      </c>
      <c r="B764" s="94"/>
      <c r="C764" s="94"/>
      <c r="D764" s="94"/>
      <c r="E764" s="95"/>
    </row>
    <row r="765">
      <c r="A765" s="96" t="str">
        <f>IFERROR(__xludf.DUMMYFUNCTION("""COMPUTED_VALUE"""),"00768")</f>
        <v>00768</v>
      </c>
      <c r="B765" s="94"/>
      <c r="C765" s="94"/>
      <c r="D765" s="94"/>
      <c r="E765" s="95"/>
    </row>
    <row r="766">
      <c r="A766" s="96" t="str">
        <f>IFERROR(__xludf.DUMMYFUNCTION("""COMPUTED_VALUE"""),"00769")</f>
        <v>00769</v>
      </c>
      <c r="B766" s="94"/>
      <c r="C766" s="94"/>
      <c r="D766" s="94"/>
      <c r="E766" s="95"/>
    </row>
    <row r="767">
      <c r="A767" s="96" t="str">
        <f>IFERROR(__xludf.DUMMYFUNCTION("""COMPUTED_VALUE"""),"00770")</f>
        <v>00770</v>
      </c>
      <c r="B767" s="94"/>
      <c r="C767" s="94"/>
      <c r="D767" s="94"/>
      <c r="E767" s="95"/>
    </row>
    <row r="768">
      <c r="A768" s="96" t="str">
        <f>IFERROR(__xludf.DUMMYFUNCTION("""COMPUTED_VALUE"""),"00771")</f>
        <v>00771</v>
      </c>
      <c r="B768" s="94"/>
      <c r="C768" s="94"/>
      <c r="D768" s="94"/>
      <c r="E768" s="95"/>
    </row>
    <row r="769">
      <c r="A769" s="96" t="str">
        <f>IFERROR(__xludf.DUMMYFUNCTION("""COMPUTED_VALUE"""),"00772")</f>
        <v>00772</v>
      </c>
      <c r="B769" s="94"/>
      <c r="C769" s="94"/>
      <c r="D769" s="94"/>
      <c r="E769" s="95"/>
    </row>
    <row r="770">
      <c r="A770" s="96" t="str">
        <f>IFERROR(__xludf.DUMMYFUNCTION("""COMPUTED_VALUE"""),"00773")</f>
        <v>00773</v>
      </c>
      <c r="B770" s="94"/>
      <c r="C770" s="94"/>
      <c r="D770" s="94"/>
      <c r="E770" s="95"/>
    </row>
    <row r="771">
      <c r="A771" s="96" t="str">
        <f>IFERROR(__xludf.DUMMYFUNCTION("""COMPUTED_VALUE"""),"00774")</f>
        <v>00774</v>
      </c>
      <c r="B771" s="94"/>
      <c r="C771" s="94"/>
      <c r="D771" s="94"/>
      <c r="E771" s="95"/>
    </row>
    <row r="772">
      <c r="A772" s="96" t="str">
        <f>IFERROR(__xludf.DUMMYFUNCTION("""COMPUTED_VALUE"""),"00775")</f>
        <v>00775</v>
      </c>
      <c r="B772" s="94"/>
      <c r="C772" s="94"/>
      <c r="D772" s="94"/>
      <c r="E772" s="95"/>
    </row>
    <row r="773">
      <c r="A773" s="96" t="str">
        <f>IFERROR(__xludf.DUMMYFUNCTION("""COMPUTED_VALUE"""),"00776")</f>
        <v>00776</v>
      </c>
      <c r="B773" s="94"/>
      <c r="C773" s="94"/>
      <c r="D773" s="94"/>
      <c r="E773" s="95"/>
    </row>
    <row r="774">
      <c r="A774" s="96" t="str">
        <f>IFERROR(__xludf.DUMMYFUNCTION("""COMPUTED_VALUE"""),"00777")</f>
        <v>00777</v>
      </c>
      <c r="B774" s="94"/>
      <c r="C774" s="94"/>
      <c r="D774" s="94"/>
      <c r="E774" s="95"/>
    </row>
    <row r="775">
      <c r="A775" s="96" t="str">
        <f>IFERROR(__xludf.DUMMYFUNCTION("""COMPUTED_VALUE"""),"00778")</f>
        <v>00778</v>
      </c>
      <c r="B775" s="94"/>
      <c r="C775" s="94"/>
      <c r="D775" s="94"/>
      <c r="E775" s="95"/>
    </row>
    <row r="776">
      <c r="A776" s="96" t="str">
        <f>IFERROR(__xludf.DUMMYFUNCTION("""COMPUTED_VALUE"""),"00779")</f>
        <v>00779</v>
      </c>
      <c r="B776" s="94"/>
      <c r="C776" s="94"/>
      <c r="D776" s="94"/>
      <c r="E776" s="95"/>
    </row>
    <row r="777">
      <c r="A777" s="96" t="str">
        <f>IFERROR(__xludf.DUMMYFUNCTION("""COMPUTED_VALUE"""),"00780")</f>
        <v>00780</v>
      </c>
      <c r="B777" s="94"/>
      <c r="C777" s="94"/>
      <c r="D777" s="94"/>
      <c r="E777" s="95"/>
    </row>
    <row r="778">
      <c r="A778" s="96" t="str">
        <f>IFERROR(__xludf.DUMMYFUNCTION("""COMPUTED_VALUE"""),"00781")</f>
        <v>00781</v>
      </c>
      <c r="B778" s="94"/>
      <c r="C778" s="94"/>
      <c r="D778" s="94"/>
      <c r="E778" s="95"/>
    </row>
    <row r="779">
      <c r="A779" s="96" t="str">
        <f>IFERROR(__xludf.DUMMYFUNCTION("""COMPUTED_VALUE"""),"00782")</f>
        <v>00782</v>
      </c>
      <c r="B779" s="94"/>
      <c r="C779" s="94"/>
      <c r="D779" s="94"/>
      <c r="E779" s="95"/>
    </row>
    <row r="780">
      <c r="A780" s="96" t="str">
        <f>IFERROR(__xludf.DUMMYFUNCTION("""COMPUTED_VALUE"""),"00783")</f>
        <v>00783</v>
      </c>
      <c r="B780" s="94"/>
      <c r="C780" s="94"/>
      <c r="D780" s="94"/>
      <c r="E780" s="95"/>
    </row>
    <row r="781">
      <c r="A781" s="96" t="str">
        <f>IFERROR(__xludf.DUMMYFUNCTION("""COMPUTED_VALUE"""),"00784")</f>
        <v>00784</v>
      </c>
      <c r="B781" s="94"/>
      <c r="C781" s="94"/>
      <c r="D781" s="94"/>
      <c r="E781" s="95"/>
    </row>
    <row r="782">
      <c r="A782" s="96" t="str">
        <f>IFERROR(__xludf.DUMMYFUNCTION("""COMPUTED_VALUE"""),"00785")</f>
        <v>00785</v>
      </c>
      <c r="B782" s="94"/>
      <c r="C782" s="94"/>
      <c r="D782" s="94"/>
      <c r="E782" s="95"/>
    </row>
    <row r="783">
      <c r="A783" s="96" t="str">
        <f>IFERROR(__xludf.DUMMYFUNCTION("""COMPUTED_VALUE"""),"00786")</f>
        <v>00786</v>
      </c>
      <c r="B783" s="94"/>
      <c r="C783" s="94"/>
      <c r="D783" s="94"/>
      <c r="E783" s="95"/>
    </row>
    <row r="784">
      <c r="A784" s="96" t="str">
        <f>IFERROR(__xludf.DUMMYFUNCTION("""COMPUTED_VALUE"""),"00787")</f>
        <v>00787</v>
      </c>
      <c r="B784" s="94"/>
      <c r="C784" s="94"/>
      <c r="D784" s="94"/>
      <c r="E784" s="95"/>
    </row>
    <row r="785">
      <c r="A785" s="96" t="str">
        <f>IFERROR(__xludf.DUMMYFUNCTION("""COMPUTED_VALUE"""),"00788")</f>
        <v>00788</v>
      </c>
      <c r="B785" s="94"/>
      <c r="C785" s="94"/>
      <c r="D785" s="94"/>
      <c r="E785" s="95"/>
    </row>
    <row r="786">
      <c r="A786" s="96" t="str">
        <f>IFERROR(__xludf.DUMMYFUNCTION("""COMPUTED_VALUE"""),"00789")</f>
        <v>00789</v>
      </c>
      <c r="B786" s="94"/>
      <c r="C786" s="94"/>
      <c r="D786" s="94"/>
      <c r="E786" s="95"/>
    </row>
    <row r="787">
      <c r="A787" s="96" t="str">
        <f>IFERROR(__xludf.DUMMYFUNCTION("""COMPUTED_VALUE"""),"00790")</f>
        <v>00790</v>
      </c>
      <c r="B787" s="94"/>
      <c r="C787" s="94"/>
      <c r="D787" s="94"/>
      <c r="E787" s="95"/>
    </row>
    <row r="788">
      <c r="A788" s="96" t="str">
        <f>IFERROR(__xludf.DUMMYFUNCTION("""COMPUTED_VALUE"""),"00791")</f>
        <v>00791</v>
      </c>
      <c r="B788" s="94"/>
      <c r="C788" s="94"/>
      <c r="D788" s="94"/>
      <c r="E788" s="95"/>
    </row>
    <row r="789">
      <c r="A789" s="96" t="str">
        <f>IFERROR(__xludf.DUMMYFUNCTION("""COMPUTED_VALUE"""),"00792")</f>
        <v>00792</v>
      </c>
      <c r="B789" s="94"/>
      <c r="C789" s="94"/>
      <c r="D789" s="94"/>
      <c r="E789" s="95"/>
    </row>
    <row r="790">
      <c r="A790" s="96" t="str">
        <f>IFERROR(__xludf.DUMMYFUNCTION("""COMPUTED_VALUE"""),"00793")</f>
        <v>00793</v>
      </c>
      <c r="B790" s="94"/>
      <c r="C790" s="94"/>
      <c r="D790" s="94"/>
      <c r="E790" s="95"/>
    </row>
    <row r="791">
      <c r="A791" s="96" t="str">
        <f>IFERROR(__xludf.DUMMYFUNCTION("""COMPUTED_VALUE"""),"00794")</f>
        <v>00794</v>
      </c>
      <c r="B791" s="94"/>
      <c r="C791" s="94"/>
      <c r="D791" s="94"/>
      <c r="E791" s="95"/>
    </row>
    <row r="792">
      <c r="A792" s="96" t="str">
        <f>IFERROR(__xludf.DUMMYFUNCTION("""COMPUTED_VALUE"""),"00795")</f>
        <v>00795</v>
      </c>
      <c r="B792" s="94"/>
      <c r="C792" s="94"/>
      <c r="D792" s="94"/>
      <c r="E792" s="95"/>
    </row>
    <row r="793">
      <c r="A793" s="96" t="str">
        <f>IFERROR(__xludf.DUMMYFUNCTION("""COMPUTED_VALUE"""),"00796")</f>
        <v>00796</v>
      </c>
      <c r="B793" s="94"/>
      <c r="C793" s="94"/>
      <c r="D793" s="94"/>
      <c r="E793" s="95"/>
    </row>
    <row r="794">
      <c r="A794" s="96" t="str">
        <f>IFERROR(__xludf.DUMMYFUNCTION("""COMPUTED_VALUE"""),"00797")</f>
        <v>00797</v>
      </c>
      <c r="B794" s="94"/>
      <c r="C794" s="94"/>
      <c r="D794" s="94"/>
      <c r="E794" s="95"/>
    </row>
    <row r="795">
      <c r="A795" s="96" t="str">
        <f>IFERROR(__xludf.DUMMYFUNCTION("""COMPUTED_VALUE"""),"00798")</f>
        <v>00798</v>
      </c>
      <c r="B795" s="94"/>
      <c r="C795" s="94"/>
      <c r="D795" s="94"/>
      <c r="E795" s="95"/>
    </row>
    <row r="796">
      <c r="A796" s="96" t="str">
        <f>IFERROR(__xludf.DUMMYFUNCTION("""COMPUTED_VALUE"""),"00799")</f>
        <v>00799</v>
      </c>
      <c r="B796" s="94"/>
      <c r="C796" s="94"/>
      <c r="D796" s="94"/>
      <c r="E796" s="95"/>
    </row>
    <row r="797">
      <c r="A797" s="96" t="str">
        <f>IFERROR(__xludf.DUMMYFUNCTION("""COMPUTED_VALUE"""),"00800")</f>
        <v>00800</v>
      </c>
      <c r="B797" s="94"/>
      <c r="C797" s="94"/>
      <c r="D797" s="94"/>
      <c r="E797" s="95"/>
    </row>
    <row r="798">
      <c r="A798" s="96" t="str">
        <f>IFERROR(__xludf.DUMMYFUNCTION("""COMPUTED_VALUE"""),"00801")</f>
        <v>00801</v>
      </c>
      <c r="B798" s="94"/>
      <c r="C798" s="94"/>
      <c r="D798" s="94"/>
      <c r="E798" s="95"/>
    </row>
    <row r="799">
      <c r="A799" s="96" t="str">
        <f>IFERROR(__xludf.DUMMYFUNCTION("""COMPUTED_VALUE"""),"00802")</f>
        <v>00802</v>
      </c>
      <c r="B799" s="94"/>
      <c r="C799" s="94"/>
      <c r="D799" s="94"/>
      <c r="E799" s="95"/>
    </row>
    <row r="800">
      <c r="A800" s="96" t="str">
        <f>IFERROR(__xludf.DUMMYFUNCTION("""COMPUTED_VALUE"""),"00803")</f>
        <v>00803</v>
      </c>
      <c r="B800" s="94"/>
      <c r="C800" s="94"/>
      <c r="D800" s="94"/>
      <c r="E800" s="95"/>
    </row>
    <row r="801">
      <c r="A801" s="96" t="str">
        <f>IFERROR(__xludf.DUMMYFUNCTION("""COMPUTED_VALUE"""),"00804")</f>
        <v>00804</v>
      </c>
      <c r="B801" s="94"/>
      <c r="C801" s="94"/>
      <c r="D801" s="94"/>
      <c r="E801" s="95"/>
    </row>
    <row r="802">
      <c r="A802" s="96" t="str">
        <f>IFERROR(__xludf.DUMMYFUNCTION("""COMPUTED_VALUE"""),"00805")</f>
        <v>00805</v>
      </c>
      <c r="B802" s="94"/>
      <c r="C802" s="94"/>
      <c r="D802" s="94"/>
      <c r="E802" s="95"/>
    </row>
    <row r="803">
      <c r="A803" s="96" t="str">
        <f>IFERROR(__xludf.DUMMYFUNCTION("""COMPUTED_VALUE"""),"00806")</f>
        <v>00806</v>
      </c>
      <c r="B803" s="94"/>
      <c r="C803" s="94"/>
      <c r="D803" s="94"/>
      <c r="E803" s="95"/>
    </row>
    <row r="804">
      <c r="A804" s="96" t="str">
        <f>IFERROR(__xludf.DUMMYFUNCTION("""COMPUTED_VALUE"""),"00807")</f>
        <v>00807</v>
      </c>
      <c r="B804" s="94"/>
      <c r="C804" s="94"/>
      <c r="D804" s="94"/>
      <c r="E804" s="95"/>
    </row>
    <row r="805">
      <c r="A805" s="96" t="str">
        <f>IFERROR(__xludf.DUMMYFUNCTION("""COMPUTED_VALUE"""),"00808")</f>
        <v>00808</v>
      </c>
      <c r="B805" s="94"/>
      <c r="C805" s="94"/>
      <c r="D805" s="94"/>
      <c r="E805" s="95"/>
    </row>
    <row r="806">
      <c r="A806" s="96" t="str">
        <f>IFERROR(__xludf.DUMMYFUNCTION("""COMPUTED_VALUE"""),"00809")</f>
        <v>00809</v>
      </c>
      <c r="B806" s="94"/>
      <c r="C806" s="94"/>
      <c r="D806" s="94"/>
      <c r="E806" s="95"/>
    </row>
    <row r="807">
      <c r="A807" s="96" t="str">
        <f>IFERROR(__xludf.DUMMYFUNCTION("""COMPUTED_VALUE"""),"00810")</f>
        <v>00810</v>
      </c>
      <c r="B807" s="94"/>
      <c r="C807" s="94"/>
      <c r="D807" s="94"/>
      <c r="E807" s="95"/>
    </row>
    <row r="808">
      <c r="A808" s="96" t="str">
        <f>IFERROR(__xludf.DUMMYFUNCTION("""COMPUTED_VALUE"""),"00811")</f>
        <v>00811</v>
      </c>
      <c r="B808" s="94"/>
      <c r="C808" s="94"/>
      <c r="D808" s="94"/>
      <c r="E808" s="95"/>
    </row>
    <row r="809">
      <c r="A809" s="96" t="str">
        <f>IFERROR(__xludf.DUMMYFUNCTION("""COMPUTED_VALUE"""),"00812")</f>
        <v>00812</v>
      </c>
      <c r="B809" s="94"/>
      <c r="C809" s="94"/>
      <c r="D809" s="94"/>
      <c r="E809" s="95"/>
    </row>
    <row r="810">
      <c r="A810" s="96" t="str">
        <f>IFERROR(__xludf.DUMMYFUNCTION("""COMPUTED_VALUE"""),"00813")</f>
        <v>00813</v>
      </c>
      <c r="B810" s="94"/>
      <c r="C810" s="94"/>
      <c r="D810" s="94"/>
      <c r="E810" s="95"/>
    </row>
    <row r="811">
      <c r="A811" s="96" t="str">
        <f>IFERROR(__xludf.DUMMYFUNCTION("""COMPUTED_VALUE"""),"00814")</f>
        <v>00814</v>
      </c>
      <c r="B811" s="94"/>
      <c r="C811" s="94"/>
      <c r="D811" s="94"/>
      <c r="E811" s="95"/>
    </row>
    <row r="812">
      <c r="A812" s="96" t="str">
        <f>IFERROR(__xludf.DUMMYFUNCTION("""COMPUTED_VALUE"""),"00815")</f>
        <v>00815</v>
      </c>
      <c r="B812" s="94"/>
      <c r="C812" s="94"/>
      <c r="D812" s="94"/>
      <c r="E812" s="95"/>
    </row>
    <row r="813">
      <c r="A813" s="96" t="str">
        <f>IFERROR(__xludf.DUMMYFUNCTION("""COMPUTED_VALUE"""),"00816")</f>
        <v>00816</v>
      </c>
      <c r="B813" s="94"/>
      <c r="C813" s="94"/>
      <c r="D813" s="94"/>
      <c r="E813" s="95"/>
    </row>
    <row r="814">
      <c r="A814" s="96" t="str">
        <f>IFERROR(__xludf.DUMMYFUNCTION("""COMPUTED_VALUE"""),"00817")</f>
        <v>00817</v>
      </c>
      <c r="B814" s="94"/>
      <c r="C814" s="94"/>
      <c r="D814" s="94"/>
      <c r="E814" s="95"/>
    </row>
    <row r="815">
      <c r="A815" s="96" t="str">
        <f>IFERROR(__xludf.DUMMYFUNCTION("""COMPUTED_VALUE"""),"00818")</f>
        <v>00818</v>
      </c>
      <c r="B815" s="94"/>
      <c r="C815" s="94"/>
      <c r="D815" s="94"/>
      <c r="E815" s="95"/>
    </row>
    <row r="816">
      <c r="A816" s="96" t="str">
        <f>IFERROR(__xludf.DUMMYFUNCTION("""COMPUTED_VALUE"""),"00819")</f>
        <v>00819</v>
      </c>
      <c r="B816" s="94"/>
      <c r="C816" s="94"/>
      <c r="D816" s="94"/>
      <c r="E816" s="95"/>
    </row>
    <row r="817">
      <c r="A817" s="96" t="str">
        <f>IFERROR(__xludf.DUMMYFUNCTION("""COMPUTED_VALUE"""),"00820")</f>
        <v>00820</v>
      </c>
      <c r="B817" s="94"/>
      <c r="C817" s="94"/>
      <c r="D817" s="94"/>
      <c r="E817" s="95"/>
    </row>
    <row r="818">
      <c r="A818" s="96" t="str">
        <f>IFERROR(__xludf.DUMMYFUNCTION("""COMPUTED_VALUE"""),"00821")</f>
        <v>00821</v>
      </c>
      <c r="B818" s="94"/>
      <c r="C818" s="94"/>
      <c r="D818" s="94"/>
      <c r="E818" s="95"/>
    </row>
    <row r="819">
      <c r="A819" s="96" t="str">
        <f>IFERROR(__xludf.DUMMYFUNCTION("""COMPUTED_VALUE"""),"00822")</f>
        <v>00822</v>
      </c>
      <c r="B819" s="94"/>
      <c r="C819" s="94"/>
      <c r="D819" s="94"/>
      <c r="E819" s="95"/>
    </row>
    <row r="820">
      <c r="A820" s="96" t="str">
        <f>IFERROR(__xludf.DUMMYFUNCTION("""COMPUTED_VALUE"""),"00823")</f>
        <v>00823</v>
      </c>
      <c r="B820" s="94"/>
      <c r="C820" s="94"/>
      <c r="D820" s="94"/>
      <c r="E820" s="95"/>
    </row>
    <row r="821">
      <c r="A821" s="96" t="str">
        <f>IFERROR(__xludf.DUMMYFUNCTION("""COMPUTED_VALUE"""),"00824")</f>
        <v>00824</v>
      </c>
      <c r="B821" s="94"/>
      <c r="C821" s="94"/>
      <c r="D821" s="94"/>
      <c r="E821" s="95"/>
    </row>
    <row r="822">
      <c r="A822" s="96" t="str">
        <f>IFERROR(__xludf.DUMMYFUNCTION("""COMPUTED_VALUE"""),"00825")</f>
        <v>00825</v>
      </c>
      <c r="B822" s="94"/>
      <c r="C822" s="94"/>
      <c r="D822" s="94"/>
      <c r="E822" s="95"/>
    </row>
    <row r="823">
      <c r="A823" s="96" t="str">
        <f>IFERROR(__xludf.DUMMYFUNCTION("""COMPUTED_VALUE"""),"00826")</f>
        <v>00826</v>
      </c>
      <c r="B823" s="94"/>
      <c r="C823" s="94"/>
      <c r="D823" s="94"/>
      <c r="E823" s="95"/>
    </row>
    <row r="824">
      <c r="A824" s="96" t="str">
        <f>IFERROR(__xludf.DUMMYFUNCTION("""COMPUTED_VALUE"""),"00827")</f>
        <v>00827</v>
      </c>
      <c r="B824" s="94"/>
      <c r="C824" s="94"/>
      <c r="D824" s="94"/>
      <c r="E824" s="95"/>
    </row>
    <row r="825">
      <c r="A825" s="96" t="str">
        <f>IFERROR(__xludf.DUMMYFUNCTION("""COMPUTED_VALUE"""),"00828")</f>
        <v>00828</v>
      </c>
      <c r="B825" s="94"/>
      <c r="C825" s="94"/>
      <c r="D825" s="94"/>
      <c r="E825" s="95"/>
    </row>
    <row r="826">
      <c r="A826" s="96" t="str">
        <f>IFERROR(__xludf.DUMMYFUNCTION("""COMPUTED_VALUE"""),"00829")</f>
        <v>00829</v>
      </c>
      <c r="B826" s="94"/>
      <c r="C826" s="94"/>
      <c r="D826" s="94"/>
      <c r="E826" s="95"/>
    </row>
    <row r="827">
      <c r="A827" s="96" t="str">
        <f>IFERROR(__xludf.DUMMYFUNCTION("""COMPUTED_VALUE"""),"00830")</f>
        <v>00830</v>
      </c>
      <c r="B827" s="94"/>
      <c r="C827" s="94"/>
      <c r="D827" s="94"/>
      <c r="E827" s="95"/>
    </row>
    <row r="828">
      <c r="A828" s="96" t="str">
        <f>IFERROR(__xludf.DUMMYFUNCTION("""COMPUTED_VALUE"""),"00831")</f>
        <v>00831</v>
      </c>
      <c r="B828" s="94"/>
      <c r="C828" s="94"/>
      <c r="D828" s="94"/>
      <c r="E828" s="95"/>
    </row>
    <row r="829">
      <c r="A829" s="96" t="str">
        <f>IFERROR(__xludf.DUMMYFUNCTION("""COMPUTED_VALUE"""),"00832")</f>
        <v>00832</v>
      </c>
      <c r="B829" s="94"/>
      <c r="C829" s="94"/>
      <c r="D829" s="94"/>
      <c r="E829" s="95"/>
    </row>
    <row r="830">
      <c r="A830" s="96" t="str">
        <f>IFERROR(__xludf.DUMMYFUNCTION("""COMPUTED_VALUE"""),"00833")</f>
        <v>00833</v>
      </c>
      <c r="B830" s="94"/>
      <c r="C830" s="94"/>
      <c r="D830" s="94"/>
      <c r="E830" s="95"/>
    </row>
    <row r="831">
      <c r="A831" s="96" t="str">
        <f>IFERROR(__xludf.DUMMYFUNCTION("""COMPUTED_VALUE"""),"00834")</f>
        <v>00834</v>
      </c>
      <c r="B831" s="94"/>
      <c r="C831" s="94"/>
      <c r="D831" s="94"/>
      <c r="E831" s="95"/>
    </row>
    <row r="832">
      <c r="A832" s="96" t="str">
        <f>IFERROR(__xludf.DUMMYFUNCTION("""COMPUTED_VALUE"""),"00835")</f>
        <v>00835</v>
      </c>
      <c r="B832" s="94"/>
      <c r="C832" s="94"/>
      <c r="D832" s="94"/>
      <c r="E832" s="95"/>
    </row>
    <row r="833">
      <c r="A833" s="96" t="str">
        <f>IFERROR(__xludf.DUMMYFUNCTION("""COMPUTED_VALUE"""),"00836")</f>
        <v>00836</v>
      </c>
      <c r="B833" s="94"/>
      <c r="C833" s="94"/>
      <c r="D833" s="94"/>
      <c r="E833" s="95"/>
    </row>
    <row r="834">
      <c r="A834" s="96" t="str">
        <f>IFERROR(__xludf.DUMMYFUNCTION("""COMPUTED_VALUE"""),"00837")</f>
        <v>00837</v>
      </c>
      <c r="B834" s="94"/>
      <c r="C834" s="94"/>
      <c r="D834" s="94"/>
      <c r="E834" s="95"/>
    </row>
    <row r="835">
      <c r="A835" s="96" t="str">
        <f>IFERROR(__xludf.DUMMYFUNCTION("""COMPUTED_VALUE"""),"00838")</f>
        <v>00838</v>
      </c>
      <c r="B835" s="94"/>
      <c r="C835" s="94"/>
      <c r="D835" s="94"/>
      <c r="E835" s="95"/>
    </row>
    <row r="836">
      <c r="A836" s="96" t="str">
        <f>IFERROR(__xludf.DUMMYFUNCTION("""COMPUTED_VALUE"""),"00839")</f>
        <v>00839</v>
      </c>
      <c r="B836" s="94"/>
      <c r="C836" s="94"/>
      <c r="D836" s="94"/>
      <c r="E836" s="95"/>
    </row>
    <row r="837">
      <c r="A837" s="96" t="str">
        <f>IFERROR(__xludf.DUMMYFUNCTION("""COMPUTED_VALUE"""),"00840")</f>
        <v>00840</v>
      </c>
      <c r="B837" s="94"/>
      <c r="C837" s="94"/>
      <c r="D837" s="94"/>
      <c r="E837" s="95"/>
    </row>
    <row r="838">
      <c r="A838" s="96" t="str">
        <f>IFERROR(__xludf.DUMMYFUNCTION("""COMPUTED_VALUE"""),"00841")</f>
        <v>00841</v>
      </c>
      <c r="B838" s="94"/>
      <c r="C838" s="94"/>
      <c r="D838" s="94"/>
      <c r="E838" s="95"/>
    </row>
    <row r="839">
      <c r="A839" s="96" t="str">
        <f>IFERROR(__xludf.DUMMYFUNCTION("""COMPUTED_VALUE"""),"00842")</f>
        <v>00842</v>
      </c>
      <c r="B839" s="94"/>
      <c r="C839" s="94"/>
      <c r="D839" s="94"/>
      <c r="E839" s="95"/>
    </row>
    <row r="840">
      <c r="A840" s="96" t="str">
        <f>IFERROR(__xludf.DUMMYFUNCTION("""COMPUTED_VALUE"""),"00843")</f>
        <v>00843</v>
      </c>
      <c r="B840" s="94"/>
      <c r="C840" s="94"/>
      <c r="D840" s="94"/>
      <c r="E840" s="95"/>
    </row>
    <row r="841">
      <c r="A841" s="96" t="str">
        <f>IFERROR(__xludf.DUMMYFUNCTION("""COMPUTED_VALUE"""),"00844")</f>
        <v>00844</v>
      </c>
      <c r="B841" s="94"/>
      <c r="C841" s="94"/>
      <c r="D841" s="94"/>
      <c r="E841" s="95"/>
    </row>
    <row r="842">
      <c r="A842" s="96" t="str">
        <f>IFERROR(__xludf.DUMMYFUNCTION("""COMPUTED_VALUE"""),"00845")</f>
        <v>00845</v>
      </c>
      <c r="B842" s="94"/>
      <c r="C842" s="94"/>
      <c r="D842" s="94"/>
      <c r="E842" s="95"/>
    </row>
    <row r="843">
      <c r="A843" s="96" t="str">
        <f>IFERROR(__xludf.DUMMYFUNCTION("""COMPUTED_VALUE"""),"00846")</f>
        <v>00846</v>
      </c>
      <c r="B843" s="94"/>
      <c r="C843" s="94"/>
      <c r="D843" s="94"/>
      <c r="E843" s="95"/>
    </row>
    <row r="844">
      <c r="A844" s="96" t="str">
        <f>IFERROR(__xludf.DUMMYFUNCTION("""COMPUTED_VALUE"""),"00847")</f>
        <v>00847</v>
      </c>
      <c r="B844" s="94"/>
      <c r="C844" s="94"/>
      <c r="D844" s="94"/>
      <c r="E844" s="95"/>
    </row>
    <row r="845">
      <c r="A845" s="96" t="str">
        <f>IFERROR(__xludf.DUMMYFUNCTION("""COMPUTED_VALUE"""),"00848")</f>
        <v>00848</v>
      </c>
      <c r="B845" s="94"/>
      <c r="C845" s="94"/>
      <c r="D845" s="94"/>
      <c r="E845" s="95"/>
    </row>
    <row r="846">
      <c r="A846" s="96" t="str">
        <f>IFERROR(__xludf.DUMMYFUNCTION("""COMPUTED_VALUE"""),"00849")</f>
        <v>00849</v>
      </c>
      <c r="B846" s="94"/>
      <c r="C846" s="94"/>
      <c r="D846" s="94"/>
      <c r="E846" s="95"/>
    </row>
    <row r="847">
      <c r="A847" s="96" t="str">
        <f>IFERROR(__xludf.DUMMYFUNCTION("""COMPUTED_VALUE"""),"00850")</f>
        <v>00850</v>
      </c>
      <c r="B847" s="94"/>
      <c r="C847" s="94"/>
      <c r="D847" s="94"/>
      <c r="E847" s="95"/>
    </row>
    <row r="848">
      <c r="A848" s="96" t="str">
        <f>IFERROR(__xludf.DUMMYFUNCTION("""COMPUTED_VALUE"""),"00851")</f>
        <v>00851</v>
      </c>
      <c r="B848" s="94"/>
      <c r="C848" s="94"/>
      <c r="D848" s="94"/>
      <c r="E848" s="95"/>
    </row>
    <row r="849">
      <c r="A849" s="96" t="str">
        <f>IFERROR(__xludf.DUMMYFUNCTION("""COMPUTED_VALUE"""),"00852")</f>
        <v>00852</v>
      </c>
      <c r="B849" s="94"/>
      <c r="C849" s="94"/>
      <c r="D849" s="94"/>
      <c r="E849" s="95"/>
    </row>
    <row r="850">
      <c r="A850" s="96" t="str">
        <f>IFERROR(__xludf.DUMMYFUNCTION("""COMPUTED_VALUE"""),"00853")</f>
        <v>00853</v>
      </c>
      <c r="B850" s="94"/>
      <c r="C850" s="94"/>
      <c r="D850" s="94"/>
      <c r="E850" s="95"/>
    </row>
    <row r="851">
      <c r="A851" s="96" t="str">
        <f>IFERROR(__xludf.DUMMYFUNCTION("""COMPUTED_VALUE"""),"00854")</f>
        <v>00854</v>
      </c>
      <c r="B851" s="94"/>
      <c r="C851" s="94"/>
      <c r="D851" s="94"/>
      <c r="E851" s="95"/>
    </row>
    <row r="852">
      <c r="A852" s="96" t="str">
        <f>IFERROR(__xludf.DUMMYFUNCTION("""COMPUTED_VALUE"""),"00855")</f>
        <v>00855</v>
      </c>
      <c r="B852" s="94"/>
      <c r="C852" s="94"/>
      <c r="D852" s="94"/>
      <c r="E852" s="95"/>
    </row>
    <row r="853">
      <c r="A853" s="96" t="str">
        <f>IFERROR(__xludf.DUMMYFUNCTION("""COMPUTED_VALUE"""),"00856")</f>
        <v>00856</v>
      </c>
      <c r="B853" s="94"/>
      <c r="C853" s="94"/>
      <c r="D853" s="94"/>
      <c r="E853" s="95"/>
    </row>
    <row r="854">
      <c r="A854" s="96" t="str">
        <f>IFERROR(__xludf.DUMMYFUNCTION("""COMPUTED_VALUE"""),"00857")</f>
        <v>00857</v>
      </c>
      <c r="B854" s="94"/>
      <c r="C854" s="94"/>
      <c r="D854" s="94"/>
      <c r="E854" s="95"/>
    </row>
    <row r="855">
      <c r="A855" s="96" t="str">
        <f>IFERROR(__xludf.DUMMYFUNCTION("""COMPUTED_VALUE"""),"00858")</f>
        <v>00858</v>
      </c>
      <c r="B855" s="94"/>
      <c r="C855" s="94"/>
      <c r="D855" s="94"/>
      <c r="E855" s="95"/>
    </row>
    <row r="856">
      <c r="A856" s="96" t="str">
        <f>IFERROR(__xludf.DUMMYFUNCTION("""COMPUTED_VALUE"""),"00859")</f>
        <v>00859</v>
      </c>
      <c r="B856" s="94"/>
      <c r="C856" s="94"/>
      <c r="D856" s="94"/>
      <c r="E856" s="95"/>
    </row>
    <row r="857">
      <c r="A857" s="96" t="str">
        <f>IFERROR(__xludf.DUMMYFUNCTION("""COMPUTED_VALUE"""),"00860")</f>
        <v>00860</v>
      </c>
      <c r="B857" s="94"/>
      <c r="C857" s="94"/>
      <c r="D857" s="94"/>
      <c r="E857" s="95"/>
    </row>
    <row r="858">
      <c r="A858" s="96" t="str">
        <f>IFERROR(__xludf.DUMMYFUNCTION("""COMPUTED_VALUE"""),"00861")</f>
        <v>00861</v>
      </c>
      <c r="B858" s="94"/>
      <c r="C858" s="94"/>
      <c r="D858" s="94"/>
      <c r="E858" s="95"/>
    </row>
    <row r="859">
      <c r="A859" s="96" t="str">
        <f>IFERROR(__xludf.DUMMYFUNCTION("""COMPUTED_VALUE"""),"00862")</f>
        <v>00862</v>
      </c>
      <c r="B859" s="94"/>
      <c r="C859" s="94"/>
      <c r="D859" s="94"/>
      <c r="E859" s="95"/>
    </row>
    <row r="860">
      <c r="A860" s="96" t="str">
        <f>IFERROR(__xludf.DUMMYFUNCTION("""COMPUTED_VALUE"""),"00863")</f>
        <v>00863</v>
      </c>
      <c r="B860" s="94"/>
      <c r="C860" s="94"/>
      <c r="D860" s="94"/>
      <c r="E860" s="95"/>
    </row>
    <row r="861">
      <c r="A861" s="96" t="str">
        <f>IFERROR(__xludf.DUMMYFUNCTION("""COMPUTED_VALUE"""),"00864")</f>
        <v>00864</v>
      </c>
      <c r="B861" s="94"/>
      <c r="C861" s="94"/>
      <c r="D861" s="94"/>
      <c r="E861" s="95"/>
    </row>
    <row r="862">
      <c r="A862" s="96" t="str">
        <f>IFERROR(__xludf.DUMMYFUNCTION("""COMPUTED_VALUE"""),"00865")</f>
        <v>00865</v>
      </c>
      <c r="B862" s="94"/>
      <c r="C862" s="94"/>
      <c r="D862" s="94"/>
      <c r="E862" s="95"/>
    </row>
    <row r="863">
      <c r="A863" s="96" t="str">
        <f>IFERROR(__xludf.DUMMYFUNCTION("""COMPUTED_VALUE"""),"00866")</f>
        <v>00866</v>
      </c>
      <c r="B863" s="94"/>
      <c r="C863" s="94"/>
      <c r="D863" s="94"/>
      <c r="E863" s="95"/>
    </row>
    <row r="864">
      <c r="A864" s="96" t="str">
        <f>IFERROR(__xludf.DUMMYFUNCTION("""COMPUTED_VALUE"""),"00867")</f>
        <v>00867</v>
      </c>
      <c r="B864" s="94"/>
      <c r="C864" s="94"/>
      <c r="D864" s="94"/>
      <c r="E864" s="95"/>
    </row>
    <row r="865">
      <c r="A865" s="96" t="str">
        <f>IFERROR(__xludf.DUMMYFUNCTION("""COMPUTED_VALUE"""),"00868")</f>
        <v>00868</v>
      </c>
      <c r="B865" s="94"/>
      <c r="C865" s="94"/>
      <c r="D865" s="94"/>
      <c r="E865" s="95"/>
    </row>
    <row r="866">
      <c r="A866" s="96" t="str">
        <f>IFERROR(__xludf.DUMMYFUNCTION("""COMPUTED_VALUE"""),"00869")</f>
        <v>00869</v>
      </c>
      <c r="B866" s="94"/>
      <c r="C866" s="94"/>
      <c r="D866" s="94"/>
      <c r="E866" s="95"/>
    </row>
    <row r="867">
      <c r="A867" s="96" t="str">
        <f>IFERROR(__xludf.DUMMYFUNCTION("""COMPUTED_VALUE"""),"00870")</f>
        <v>00870</v>
      </c>
      <c r="B867" s="94"/>
      <c r="C867" s="94"/>
      <c r="D867" s="94"/>
      <c r="E867" s="95"/>
    </row>
    <row r="868">
      <c r="A868" s="96" t="str">
        <f>IFERROR(__xludf.DUMMYFUNCTION("""COMPUTED_VALUE"""),"00871")</f>
        <v>00871</v>
      </c>
      <c r="B868" s="94"/>
      <c r="C868" s="94"/>
      <c r="D868" s="94"/>
      <c r="E868" s="95"/>
    </row>
    <row r="869">
      <c r="A869" s="96" t="str">
        <f>IFERROR(__xludf.DUMMYFUNCTION("""COMPUTED_VALUE"""),"00872")</f>
        <v>00872</v>
      </c>
      <c r="B869" s="94"/>
      <c r="C869" s="94"/>
      <c r="D869" s="94"/>
      <c r="E869" s="95"/>
    </row>
    <row r="870">
      <c r="A870" s="96" t="str">
        <f>IFERROR(__xludf.DUMMYFUNCTION("""COMPUTED_VALUE"""),"00873")</f>
        <v>00873</v>
      </c>
      <c r="B870" s="94"/>
      <c r="C870" s="94"/>
      <c r="D870" s="94"/>
      <c r="E870" s="95"/>
    </row>
    <row r="871">
      <c r="A871" s="96" t="str">
        <f>IFERROR(__xludf.DUMMYFUNCTION("""COMPUTED_VALUE"""),"00874")</f>
        <v>00874</v>
      </c>
      <c r="B871" s="94"/>
      <c r="C871" s="94"/>
      <c r="D871" s="94"/>
      <c r="E871" s="95"/>
    </row>
    <row r="872">
      <c r="A872" s="96" t="str">
        <f>IFERROR(__xludf.DUMMYFUNCTION("""COMPUTED_VALUE"""),"00875")</f>
        <v>00875</v>
      </c>
      <c r="B872" s="94"/>
      <c r="C872" s="94"/>
      <c r="D872" s="94"/>
      <c r="E872" s="95"/>
    </row>
    <row r="873">
      <c r="A873" s="96" t="str">
        <f>IFERROR(__xludf.DUMMYFUNCTION("""COMPUTED_VALUE"""),"00876")</f>
        <v>00876</v>
      </c>
      <c r="B873" s="94"/>
      <c r="C873" s="94"/>
      <c r="D873" s="94"/>
      <c r="E873" s="95"/>
    </row>
    <row r="874">
      <c r="A874" s="96" t="str">
        <f>IFERROR(__xludf.DUMMYFUNCTION("""COMPUTED_VALUE"""),"00877")</f>
        <v>00877</v>
      </c>
      <c r="B874" s="94"/>
      <c r="C874" s="94"/>
      <c r="D874" s="94"/>
      <c r="E874" s="95"/>
    </row>
    <row r="875">
      <c r="A875" s="96" t="str">
        <f>IFERROR(__xludf.DUMMYFUNCTION("""COMPUTED_VALUE"""),"00878")</f>
        <v>00878</v>
      </c>
      <c r="B875" s="94"/>
      <c r="C875" s="94"/>
      <c r="D875" s="94"/>
      <c r="E875" s="95"/>
    </row>
    <row r="876">
      <c r="A876" s="96" t="str">
        <f>IFERROR(__xludf.DUMMYFUNCTION("""COMPUTED_VALUE"""),"00879")</f>
        <v>00879</v>
      </c>
      <c r="B876" s="94"/>
      <c r="C876" s="94"/>
      <c r="D876" s="94"/>
      <c r="E876" s="95"/>
    </row>
    <row r="877">
      <c r="A877" s="96" t="str">
        <f>IFERROR(__xludf.DUMMYFUNCTION("""COMPUTED_VALUE"""),"00880")</f>
        <v>00880</v>
      </c>
      <c r="B877" s="94"/>
      <c r="C877" s="94"/>
      <c r="D877" s="94"/>
      <c r="E877" s="95"/>
    </row>
    <row r="878">
      <c r="A878" s="96" t="str">
        <f>IFERROR(__xludf.DUMMYFUNCTION("""COMPUTED_VALUE"""),"00881")</f>
        <v>00881</v>
      </c>
      <c r="B878" s="94"/>
      <c r="C878" s="94"/>
      <c r="D878" s="94"/>
      <c r="E878" s="95"/>
    </row>
    <row r="879">
      <c r="A879" s="96" t="str">
        <f>IFERROR(__xludf.DUMMYFUNCTION("""COMPUTED_VALUE"""),"00882")</f>
        <v>00882</v>
      </c>
      <c r="B879" s="94"/>
      <c r="C879" s="94"/>
      <c r="D879" s="94"/>
      <c r="E879" s="95"/>
    </row>
    <row r="880">
      <c r="A880" s="96" t="str">
        <f>IFERROR(__xludf.DUMMYFUNCTION("""COMPUTED_VALUE"""),"00883")</f>
        <v>00883</v>
      </c>
      <c r="B880" s="94"/>
      <c r="C880" s="94"/>
      <c r="D880" s="94"/>
      <c r="E880" s="95"/>
    </row>
    <row r="881">
      <c r="A881" s="96" t="str">
        <f>IFERROR(__xludf.DUMMYFUNCTION("""COMPUTED_VALUE"""),"00884")</f>
        <v>00884</v>
      </c>
      <c r="B881" s="94"/>
      <c r="C881" s="94"/>
      <c r="D881" s="94"/>
      <c r="E881" s="95"/>
    </row>
    <row r="882">
      <c r="A882" s="96" t="str">
        <f>IFERROR(__xludf.DUMMYFUNCTION("""COMPUTED_VALUE"""),"00885")</f>
        <v>00885</v>
      </c>
      <c r="B882" s="94"/>
      <c r="C882" s="94"/>
      <c r="D882" s="94"/>
      <c r="E882" s="95"/>
    </row>
    <row r="883">
      <c r="A883" s="96" t="str">
        <f>IFERROR(__xludf.DUMMYFUNCTION("""COMPUTED_VALUE"""),"00886")</f>
        <v>00886</v>
      </c>
      <c r="B883" s="94"/>
      <c r="C883" s="94"/>
      <c r="D883" s="94"/>
      <c r="E883" s="95"/>
    </row>
    <row r="884">
      <c r="A884" s="96" t="str">
        <f>IFERROR(__xludf.DUMMYFUNCTION("""COMPUTED_VALUE"""),"00887")</f>
        <v>00887</v>
      </c>
      <c r="B884" s="94"/>
      <c r="C884" s="94"/>
      <c r="D884" s="94"/>
      <c r="E884" s="95"/>
    </row>
    <row r="885">
      <c r="A885" s="96" t="str">
        <f>IFERROR(__xludf.DUMMYFUNCTION("""COMPUTED_VALUE"""),"00888")</f>
        <v>00888</v>
      </c>
      <c r="B885" s="94"/>
      <c r="C885" s="94"/>
      <c r="D885" s="94"/>
      <c r="E885" s="95"/>
    </row>
    <row r="886">
      <c r="A886" s="96" t="str">
        <f>IFERROR(__xludf.DUMMYFUNCTION("""COMPUTED_VALUE"""),"00889")</f>
        <v>00889</v>
      </c>
      <c r="B886" s="94"/>
      <c r="C886" s="94"/>
      <c r="D886" s="94"/>
      <c r="E886" s="95"/>
    </row>
    <row r="887">
      <c r="A887" s="96" t="str">
        <f>IFERROR(__xludf.DUMMYFUNCTION("""COMPUTED_VALUE"""),"00890")</f>
        <v>00890</v>
      </c>
      <c r="B887" s="94"/>
      <c r="C887" s="94"/>
      <c r="D887" s="94"/>
      <c r="E887" s="95"/>
    </row>
    <row r="888">
      <c r="A888" s="96" t="str">
        <f>IFERROR(__xludf.DUMMYFUNCTION("""COMPUTED_VALUE"""),"00891")</f>
        <v>00891</v>
      </c>
      <c r="B888" s="94"/>
      <c r="C888" s="94"/>
      <c r="D888" s="94"/>
      <c r="E888" s="95"/>
    </row>
    <row r="889">
      <c r="A889" s="96" t="str">
        <f>IFERROR(__xludf.DUMMYFUNCTION("""COMPUTED_VALUE"""),"00892")</f>
        <v>00892</v>
      </c>
      <c r="B889" s="94"/>
      <c r="C889" s="94"/>
      <c r="D889" s="94"/>
      <c r="E889" s="95"/>
    </row>
    <row r="890">
      <c r="A890" s="96" t="str">
        <f>IFERROR(__xludf.DUMMYFUNCTION("""COMPUTED_VALUE"""),"00893")</f>
        <v>00893</v>
      </c>
      <c r="B890" s="94"/>
      <c r="C890" s="94"/>
      <c r="D890" s="94"/>
      <c r="E890" s="95"/>
    </row>
    <row r="891">
      <c r="A891" s="96" t="str">
        <f>IFERROR(__xludf.DUMMYFUNCTION("""COMPUTED_VALUE"""),"00894")</f>
        <v>00894</v>
      </c>
      <c r="B891" s="94"/>
      <c r="C891" s="94"/>
      <c r="D891" s="94"/>
      <c r="E891" s="95"/>
    </row>
    <row r="892">
      <c r="A892" s="96" t="str">
        <f>IFERROR(__xludf.DUMMYFUNCTION("""COMPUTED_VALUE"""),"00895")</f>
        <v>00895</v>
      </c>
      <c r="B892" s="94"/>
      <c r="C892" s="94"/>
      <c r="D892" s="94"/>
      <c r="E892" s="95"/>
    </row>
    <row r="893">
      <c r="A893" s="96" t="str">
        <f>IFERROR(__xludf.DUMMYFUNCTION("""COMPUTED_VALUE"""),"00896")</f>
        <v>00896</v>
      </c>
      <c r="B893" s="94"/>
      <c r="C893" s="94"/>
      <c r="D893" s="94"/>
      <c r="E893" s="95"/>
    </row>
    <row r="894">
      <c r="A894" s="96" t="str">
        <f>IFERROR(__xludf.DUMMYFUNCTION("""COMPUTED_VALUE"""),"00897")</f>
        <v>00897</v>
      </c>
      <c r="B894" s="94"/>
      <c r="C894" s="94"/>
      <c r="D894" s="94"/>
      <c r="E894" s="95"/>
    </row>
    <row r="895">
      <c r="A895" s="96" t="str">
        <f>IFERROR(__xludf.DUMMYFUNCTION("""COMPUTED_VALUE"""),"00898")</f>
        <v>00898</v>
      </c>
      <c r="B895" s="94"/>
      <c r="C895" s="94"/>
      <c r="D895" s="94"/>
      <c r="E895" s="95"/>
    </row>
    <row r="896">
      <c r="A896" s="96" t="str">
        <f>IFERROR(__xludf.DUMMYFUNCTION("""COMPUTED_VALUE"""),"00899")</f>
        <v>00899</v>
      </c>
      <c r="B896" s="94"/>
      <c r="C896" s="94"/>
      <c r="D896" s="94"/>
      <c r="E896" s="95"/>
    </row>
    <row r="897">
      <c r="A897" s="96" t="str">
        <f>IFERROR(__xludf.DUMMYFUNCTION("""COMPUTED_VALUE"""),"00900")</f>
        <v>00900</v>
      </c>
      <c r="B897" s="94"/>
      <c r="C897" s="94"/>
      <c r="D897" s="94"/>
      <c r="E897" s="95"/>
    </row>
    <row r="898">
      <c r="A898" s="96" t="str">
        <f>IFERROR(__xludf.DUMMYFUNCTION("""COMPUTED_VALUE"""),"00901")</f>
        <v>00901</v>
      </c>
      <c r="B898" s="94"/>
      <c r="C898" s="94"/>
      <c r="D898" s="94"/>
      <c r="E898" s="95"/>
    </row>
    <row r="899">
      <c r="A899" s="96" t="str">
        <f>IFERROR(__xludf.DUMMYFUNCTION("""COMPUTED_VALUE"""),"00902")</f>
        <v>00902</v>
      </c>
      <c r="B899" s="94"/>
      <c r="C899" s="94"/>
      <c r="D899" s="94"/>
      <c r="E899" s="95"/>
    </row>
    <row r="900">
      <c r="A900" s="96" t="str">
        <f>IFERROR(__xludf.DUMMYFUNCTION("""COMPUTED_VALUE"""),"00903")</f>
        <v>00903</v>
      </c>
      <c r="B900" s="94"/>
      <c r="C900" s="94"/>
      <c r="D900" s="94"/>
      <c r="E900" s="95"/>
    </row>
    <row r="901">
      <c r="A901" s="96" t="str">
        <f>IFERROR(__xludf.DUMMYFUNCTION("""COMPUTED_VALUE"""),"00904")</f>
        <v>00904</v>
      </c>
      <c r="B901" s="94"/>
      <c r="C901" s="94"/>
      <c r="D901" s="94"/>
      <c r="E901" s="95"/>
    </row>
    <row r="902">
      <c r="A902" s="96" t="str">
        <f>IFERROR(__xludf.DUMMYFUNCTION("""COMPUTED_VALUE"""),"00905")</f>
        <v>00905</v>
      </c>
      <c r="B902" s="94"/>
      <c r="C902" s="94"/>
      <c r="D902" s="94"/>
      <c r="E902" s="95"/>
    </row>
    <row r="903">
      <c r="A903" s="96" t="str">
        <f>IFERROR(__xludf.DUMMYFUNCTION("""COMPUTED_VALUE"""),"00906")</f>
        <v>00906</v>
      </c>
      <c r="B903" s="94"/>
      <c r="C903" s="94"/>
      <c r="D903" s="94"/>
      <c r="E903" s="95"/>
    </row>
    <row r="904">
      <c r="A904" s="96" t="str">
        <f>IFERROR(__xludf.DUMMYFUNCTION("""COMPUTED_VALUE"""),"00907")</f>
        <v>00907</v>
      </c>
      <c r="B904" s="94"/>
      <c r="C904" s="94"/>
      <c r="D904" s="94"/>
      <c r="E904" s="95"/>
    </row>
    <row r="905">
      <c r="A905" s="96" t="str">
        <f>IFERROR(__xludf.DUMMYFUNCTION("""COMPUTED_VALUE"""),"00908")</f>
        <v>00908</v>
      </c>
      <c r="B905" s="94"/>
      <c r="C905" s="94"/>
      <c r="D905" s="94"/>
      <c r="E905" s="95"/>
    </row>
    <row r="906">
      <c r="A906" s="96" t="str">
        <f>IFERROR(__xludf.DUMMYFUNCTION("""COMPUTED_VALUE"""),"00909")</f>
        <v>00909</v>
      </c>
      <c r="B906" s="94"/>
      <c r="C906" s="94"/>
      <c r="D906" s="94"/>
      <c r="E906" s="95"/>
    </row>
    <row r="907">
      <c r="A907" s="96" t="str">
        <f>IFERROR(__xludf.DUMMYFUNCTION("""COMPUTED_VALUE"""),"00910")</f>
        <v>00910</v>
      </c>
      <c r="B907" s="94"/>
      <c r="C907" s="94"/>
      <c r="D907" s="94"/>
      <c r="E907" s="95"/>
    </row>
    <row r="908">
      <c r="A908" s="96" t="str">
        <f>IFERROR(__xludf.DUMMYFUNCTION("""COMPUTED_VALUE"""),"00911")</f>
        <v>00911</v>
      </c>
      <c r="B908" s="94"/>
      <c r="C908" s="94"/>
      <c r="D908" s="94"/>
      <c r="E908" s="95"/>
    </row>
    <row r="909">
      <c r="A909" s="96" t="str">
        <f>IFERROR(__xludf.DUMMYFUNCTION("""COMPUTED_VALUE"""),"00912")</f>
        <v>00912</v>
      </c>
      <c r="B909" s="94"/>
      <c r="C909" s="94"/>
      <c r="D909" s="94"/>
      <c r="E909" s="95"/>
    </row>
    <row r="910">
      <c r="A910" s="96" t="str">
        <f>IFERROR(__xludf.DUMMYFUNCTION("""COMPUTED_VALUE"""),"00913")</f>
        <v>00913</v>
      </c>
      <c r="B910" s="94"/>
      <c r="C910" s="94"/>
      <c r="D910" s="94"/>
      <c r="E910" s="95"/>
    </row>
    <row r="911">
      <c r="A911" s="96" t="str">
        <f>IFERROR(__xludf.DUMMYFUNCTION("""COMPUTED_VALUE"""),"00914")</f>
        <v>00914</v>
      </c>
      <c r="B911" s="94"/>
      <c r="C911" s="94"/>
      <c r="D911" s="94"/>
      <c r="E911" s="95"/>
    </row>
    <row r="912">
      <c r="A912" s="96" t="str">
        <f>IFERROR(__xludf.DUMMYFUNCTION("""COMPUTED_VALUE"""),"00915")</f>
        <v>00915</v>
      </c>
      <c r="B912" s="94"/>
      <c r="C912" s="94"/>
      <c r="D912" s="94"/>
      <c r="E912" s="95"/>
    </row>
    <row r="913">
      <c r="A913" s="96" t="str">
        <f>IFERROR(__xludf.DUMMYFUNCTION("""COMPUTED_VALUE"""),"00916")</f>
        <v>00916</v>
      </c>
      <c r="B913" s="94"/>
      <c r="C913" s="94"/>
      <c r="D913" s="94"/>
      <c r="E913" s="95"/>
    </row>
    <row r="914">
      <c r="A914" s="96" t="str">
        <f>IFERROR(__xludf.DUMMYFUNCTION("""COMPUTED_VALUE"""),"00917")</f>
        <v>00917</v>
      </c>
      <c r="B914" s="94"/>
      <c r="C914" s="94"/>
      <c r="D914" s="94"/>
      <c r="E914" s="95"/>
    </row>
    <row r="915">
      <c r="A915" s="96" t="str">
        <f>IFERROR(__xludf.DUMMYFUNCTION("""COMPUTED_VALUE"""),"00918")</f>
        <v>00918</v>
      </c>
      <c r="B915" s="94"/>
      <c r="C915" s="94"/>
      <c r="D915" s="94"/>
      <c r="E915" s="95"/>
    </row>
    <row r="916">
      <c r="A916" s="96" t="str">
        <f>IFERROR(__xludf.DUMMYFUNCTION("""COMPUTED_VALUE"""),"00919")</f>
        <v>00919</v>
      </c>
      <c r="B916" s="94"/>
      <c r="C916" s="94"/>
      <c r="D916" s="94"/>
      <c r="E916" s="95"/>
    </row>
    <row r="917">
      <c r="A917" s="96" t="str">
        <f>IFERROR(__xludf.DUMMYFUNCTION("""COMPUTED_VALUE"""),"00920")</f>
        <v>00920</v>
      </c>
      <c r="B917" s="94"/>
      <c r="C917" s="94"/>
      <c r="D917" s="94"/>
      <c r="E917" s="95"/>
    </row>
    <row r="918">
      <c r="A918" s="96" t="str">
        <f>IFERROR(__xludf.DUMMYFUNCTION("""COMPUTED_VALUE"""),"00921")</f>
        <v>00921</v>
      </c>
      <c r="B918" s="94"/>
      <c r="C918" s="94"/>
      <c r="D918" s="94"/>
      <c r="E918" s="95"/>
    </row>
    <row r="919">
      <c r="A919" s="96" t="str">
        <f>IFERROR(__xludf.DUMMYFUNCTION("""COMPUTED_VALUE"""),"00922")</f>
        <v>00922</v>
      </c>
      <c r="B919" s="94"/>
      <c r="C919" s="94"/>
      <c r="D919" s="94"/>
      <c r="E919" s="95"/>
    </row>
    <row r="920">
      <c r="A920" s="96" t="str">
        <f>IFERROR(__xludf.DUMMYFUNCTION("""COMPUTED_VALUE"""),"00923")</f>
        <v>00923</v>
      </c>
      <c r="B920" s="94"/>
      <c r="C920" s="94"/>
      <c r="D920" s="94"/>
      <c r="E920" s="95"/>
    </row>
    <row r="921">
      <c r="A921" s="96" t="str">
        <f>IFERROR(__xludf.DUMMYFUNCTION("""COMPUTED_VALUE"""),"00924")</f>
        <v>00924</v>
      </c>
      <c r="B921" s="94"/>
      <c r="C921" s="94"/>
      <c r="D921" s="94"/>
      <c r="E921" s="95"/>
    </row>
    <row r="922">
      <c r="A922" s="96" t="str">
        <f>IFERROR(__xludf.DUMMYFUNCTION("""COMPUTED_VALUE"""),"00925")</f>
        <v>00925</v>
      </c>
      <c r="B922" s="94"/>
      <c r="C922" s="94"/>
      <c r="D922" s="94"/>
      <c r="E922" s="95"/>
    </row>
    <row r="923">
      <c r="A923" s="96" t="str">
        <f>IFERROR(__xludf.DUMMYFUNCTION("""COMPUTED_VALUE"""),"00926")</f>
        <v>00926</v>
      </c>
      <c r="B923" s="94"/>
      <c r="C923" s="94"/>
      <c r="D923" s="94"/>
      <c r="E923" s="95"/>
    </row>
    <row r="924">
      <c r="A924" s="96" t="str">
        <f>IFERROR(__xludf.DUMMYFUNCTION("""COMPUTED_VALUE"""),"00927")</f>
        <v>00927</v>
      </c>
      <c r="B924" s="94"/>
      <c r="C924" s="94"/>
      <c r="D924" s="94"/>
      <c r="E924" s="95"/>
    </row>
    <row r="925">
      <c r="A925" s="96" t="str">
        <f>IFERROR(__xludf.DUMMYFUNCTION("""COMPUTED_VALUE"""),"00928")</f>
        <v>00928</v>
      </c>
      <c r="B925" s="94"/>
      <c r="C925" s="94"/>
      <c r="D925" s="94"/>
      <c r="E925" s="95"/>
    </row>
    <row r="926">
      <c r="A926" s="96" t="str">
        <f>IFERROR(__xludf.DUMMYFUNCTION("""COMPUTED_VALUE"""),"00929")</f>
        <v>00929</v>
      </c>
      <c r="B926" s="94"/>
      <c r="C926" s="94"/>
      <c r="D926" s="94"/>
      <c r="E926" s="95"/>
    </row>
    <row r="927">
      <c r="A927" s="96" t="str">
        <f>IFERROR(__xludf.DUMMYFUNCTION("""COMPUTED_VALUE"""),"00930")</f>
        <v>00930</v>
      </c>
      <c r="B927" s="94"/>
      <c r="C927" s="94"/>
      <c r="D927" s="94"/>
      <c r="E927" s="95"/>
    </row>
    <row r="928">
      <c r="A928" s="96" t="str">
        <f>IFERROR(__xludf.DUMMYFUNCTION("""COMPUTED_VALUE"""),"00931")</f>
        <v>00931</v>
      </c>
      <c r="B928" s="94"/>
      <c r="C928" s="94"/>
      <c r="D928" s="94"/>
      <c r="E928" s="95"/>
    </row>
    <row r="929">
      <c r="A929" s="96" t="str">
        <f>IFERROR(__xludf.DUMMYFUNCTION("""COMPUTED_VALUE"""),"00932")</f>
        <v>00932</v>
      </c>
      <c r="B929" s="94"/>
      <c r="C929" s="94"/>
      <c r="D929" s="94"/>
      <c r="E929" s="95"/>
    </row>
    <row r="930">
      <c r="A930" s="96" t="str">
        <f>IFERROR(__xludf.DUMMYFUNCTION("""COMPUTED_VALUE"""),"00933")</f>
        <v>00933</v>
      </c>
      <c r="B930" s="94"/>
      <c r="C930" s="94"/>
      <c r="D930" s="94"/>
      <c r="E930" s="95"/>
    </row>
    <row r="931">
      <c r="A931" s="96" t="str">
        <f>IFERROR(__xludf.DUMMYFUNCTION("""COMPUTED_VALUE"""),"00934")</f>
        <v>00934</v>
      </c>
      <c r="B931" s="94"/>
      <c r="C931" s="94"/>
      <c r="D931" s="94"/>
      <c r="E931" s="95"/>
    </row>
    <row r="932">
      <c r="A932" s="96" t="str">
        <f>IFERROR(__xludf.DUMMYFUNCTION("""COMPUTED_VALUE"""),"00935")</f>
        <v>00935</v>
      </c>
      <c r="B932" s="94"/>
      <c r="C932" s="94"/>
      <c r="D932" s="94"/>
      <c r="E932" s="95"/>
    </row>
    <row r="933">
      <c r="A933" s="96" t="str">
        <f>IFERROR(__xludf.DUMMYFUNCTION("""COMPUTED_VALUE"""),"00936")</f>
        <v>00936</v>
      </c>
      <c r="B933" s="94"/>
      <c r="C933" s="94"/>
      <c r="D933" s="94"/>
      <c r="E933" s="95"/>
    </row>
    <row r="934">
      <c r="A934" s="96" t="str">
        <f>IFERROR(__xludf.DUMMYFUNCTION("""COMPUTED_VALUE"""),"00937")</f>
        <v>00937</v>
      </c>
      <c r="B934" s="94"/>
      <c r="C934" s="94"/>
      <c r="D934" s="94"/>
      <c r="E934" s="95"/>
    </row>
    <row r="935">
      <c r="A935" s="96" t="str">
        <f>IFERROR(__xludf.DUMMYFUNCTION("""COMPUTED_VALUE"""),"00938")</f>
        <v>00938</v>
      </c>
      <c r="B935" s="94"/>
      <c r="C935" s="94"/>
      <c r="D935" s="94"/>
      <c r="E935" s="95"/>
    </row>
    <row r="936">
      <c r="A936" s="96" t="str">
        <f>IFERROR(__xludf.DUMMYFUNCTION("""COMPUTED_VALUE"""),"00939")</f>
        <v>00939</v>
      </c>
      <c r="B936" s="94"/>
      <c r="C936" s="94"/>
      <c r="D936" s="94"/>
      <c r="E936" s="95"/>
    </row>
    <row r="937">
      <c r="A937" s="96" t="str">
        <f>IFERROR(__xludf.DUMMYFUNCTION("""COMPUTED_VALUE"""),"00940")</f>
        <v>00940</v>
      </c>
      <c r="B937" s="94"/>
      <c r="C937" s="94"/>
      <c r="D937" s="94"/>
      <c r="E937" s="95"/>
    </row>
    <row r="938">
      <c r="A938" s="96" t="str">
        <f>IFERROR(__xludf.DUMMYFUNCTION("""COMPUTED_VALUE"""),"00941")</f>
        <v>00941</v>
      </c>
      <c r="B938" s="94"/>
      <c r="C938" s="94"/>
      <c r="D938" s="94"/>
      <c r="E938" s="95"/>
    </row>
    <row r="939">
      <c r="A939" s="96" t="str">
        <f>IFERROR(__xludf.DUMMYFUNCTION("""COMPUTED_VALUE"""),"00942")</f>
        <v>00942</v>
      </c>
      <c r="B939" s="94"/>
      <c r="C939" s="94"/>
      <c r="D939" s="94"/>
      <c r="E939" s="95"/>
    </row>
    <row r="940">
      <c r="A940" s="96" t="str">
        <f>IFERROR(__xludf.DUMMYFUNCTION("""COMPUTED_VALUE"""),"00943")</f>
        <v>00943</v>
      </c>
      <c r="B940" s="94"/>
      <c r="C940" s="94"/>
      <c r="D940" s="94"/>
      <c r="E940" s="95"/>
    </row>
    <row r="941">
      <c r="A941" s="96" t="str">
        <f>IFERROR(__xludf.DUMMYFUNCTION("""COMPUTED_VALUE"""),"00944")</f>
        <v>00944</v>
      </c>
      <c r="B941" s="94"/>
      <c r="C941" s="94"/>
      <c r="D941" s="94"/>
      <c r="E941" s="95"/>
    </row>
    <row r="942">
      <c r="A942" s="96" t="str">
        <f>IFERROR(__xludf.DUMMYFUNCTION("""COMPUTED_VALUE"""),"00945")</f>
        <v>00945</v>
      </c>
      <c r="B942" s="94"/>
      <c r="C942" s="94"/>
      <c r="D942" s="94"/>
      <c r="E942" s="95"/>
    </row>
    <row r="943">
      <c r="A943" s="96" t="str">
        <f>IFERROR(__xludf.DUMMYFUNCTION("""COMPUTED_VALUE"""),"00946")</f>
        <v>00946</v>
      </c>
      <c r="B943" s="94"/>
      <c r="C943" s="94"/>
      <c r="D943" s="94"/>
      <c r="E943" s="95"/>
    </row>
    <row r="944">
      <c r="A944" s="96" t="str">
        <f>IFERROR(__xludf.DUMMYFUNCTION("""COMPUTED_VALUE"""),"00947")</f>
        <v>00947</v>
      </c>
      <c r="B944" s="94"/>
      <c r="C944" s="94"/>
      <c r="D944" s="94"/>
      <c r="E944" s="95"/>
    </row>
    <row r="945">
      <c r="A945" s="96" t="str">
        <f>IFERROR(__xludf.DUMMYFUNCTION("""COMPUTED_VALUE"""),"00948")</f>
        <v>00948</v>
      </c>
      <c r="B945" s="94"/>
      <c r="C945" s="94"/>
      <c r="D945" s="94"/>
      <c r="E945" s="95"/>
    </row>
    <row r="946">
      <c r="A946" s="96" t="str">
        <f>IFERROR(__xludf.DUMMYFUNCTION("""COMPUTED_VALUE"""),"00949")</f>
        <v>00949</v>
      </c>
      <c r="B946" s="94"/>
      <c r="C946" s="94"/>
      <c r="D946" s="94"/>
      <c r="E946" s="95"/>
    </row>
    <row r="947">
      <c r="A947" s="96" t="str">
        <f>IFERROR(__xludf.DUMMYFUNCTION("""COMPUTED_VALUE"""),"00950")</f>
        <v>00950</v>
      </c>
      <c r="B947" s="94"/>
      <c r="C947" s="94"/>
      <c r="D947" s="94"/>
      <c r="E947" s="95"/>
    </row>
    <row r="948">
      <c r="A948" s="96" t="str">
        <f>IFERROR(__xludf.DUMMYFUNCTION("""COMPUTED_VALUE"""),"00951")</f>
        <v>00951</v>
      </c>
      <c r="B948" s="94"/>
      <c r="C948" s="94"/>
      <c r="D948" s="94"/>
      <c r="E948" s="95"/>
    </row>
    <row r="949">
      <c r="A949" s="96" t="str">
        <f>IFERROR(__xludf.DUMMYFUNCTION("""COMPUTED_VALUE"""),"00952")</f>
        <v>00952</v>
      </c>
      <c r="B949" s="94"/>
      <c r="C949" s="94"/>
      <c r="D949" s="94"/>
      <c r="E949" s="95"/>
    </row>
    <row r="950">
      <c r="A950" s="96" t="str">
        <f>IFERROR(__xludf.DUMMYFUNCTION("""COMPUTED_VALUE"""),"00953")</f>
        <v>00953</v>
      </c>
      <c r="B950" s="94"/>
      <c r="C950" s="94"/>
      <c r="D950" s="94"/>
      <c r="E950" s="95"/>
    </row>
    <row r="951">
      <c r="A951" s="96" t="str">
        <f>IFERROR(__xludf.DUMMYFUNCTION("""COMPUTED_VALUE"""),"00954")</f>
        <v>00954</v>
      </c>
      <c r="B951" s="94"/>
      <c r="C951" s="94"/>
      <c r="D951" s="94"/>
      <c r="E951" s="95"/>
    </row>
    <row r="952">
      <c r="A952" s="96" t="str">
        <f>IFERROR(__xludf.DUMMYFUNCTION("""COMPUTED_VALUE"""),"00955")</f>
        <v>00955</v>
      </c>
      <c r="B952" s="94"/>
      <c r="C952" s="94"/>
      <c r="D952" s="94"/>
      <c r="E952" s="95"/>
    </row>
    <row r="953">
      <c r="A953" s="96" t="str">
        <f>IFERROR(__xludf.DUMMYFUNCTION("""COMPUTED_VALUE"""),"00956")</f>
        <v>00956</v>
      </c>
      <c r="B953" s="94"/>
      <c r="C953" s="94"/>
      <c r="D953" s="94"/>
      <c r="E953" s="95"/>
    </row>
    <row r="954">
      <c r="A954" s="96" t="str">
        <f>IFERROR(__xludf.DUMMYFUNCTION("""COMPUTED_VALUE"""),"00957")</f>
        <v>00957</v>
      </c>
      <c r="B954" s="94"/>
      <c r="C954" s="94"/>
      <c r="D954" s="94"/>
      <c r="E954" s="95"/>
    </row>
    <row r="955">
      <c r="A955" s="96" t="str">
        <f>IFERROR(__xludf.DUMMYFUNCTION("""COMPUTED_VALUE"""),"00958")</f>
        <v>00958</v>
      </c>
      <c r="B955" s="94"/>
      <c r="C955" s="94"/>
      <c r="D955" s="94"/>
      <c r="E955" s="95"/>
    </row>
    <row r="956">
      <c r="A956" s="96" t="str">
        <f>IFERROR(__xludf.DUMMYFUNCTION("""COMPUTED_VALUE"""),"00959")</f>
        <v>00959</v>
      </c>
      <c r="B956" s="94"/>
      <c r="C956" s="94"/>
      <c r="D956" s="94"/>
      <c r="E956" s="95"/>
    </row>
    <row r="957">
      <c r="A957" s="96" t="str">
        <f>IFERROR(__xludf.DUMMYFUNCTION("""COMPUTED_VALUE"""),"00960")</f>
        <v>00960</v>
      </c>
      <c r="B957" s="94"/>
      <c r="C957" s="94"/>
      <c r="D957" s="94"/>
      <c r="E957" s="95"/>
    </row>
    <row r="958">
      <c r="A958" s="96" t="str">
        <f>IFERROR(__xludf.DUMMYFUNCTION("""COMPUTED_VALUE"""),"00961")</f>
        <v>00961</v>
      </c>
      <c r="B958" s="94"/>
      <c r="C958" s="94"/>
      <c r="D958" s="94"/>
      <c r="E958" s="95"/>
    </row>
    <row r="959">
      <c r="A959" s="96" t="str">
        <f>IFERROR(__xludf.DUMMYFUNCTION("""COMPUTED_VALUE"""),"00962")</f>
        <v>00962</v>
      </c>
      <c r="B959" s="94"/>
      <c r="C959" s="94"/>
      <c r="D959" s="94"/>
      <c r="E959" s="95"/>
    </row>
    <row r="960">
      <c r="A960" s="96" t="str">
        <f>IFERROR(__xludf.DUMMYFUNCTION("""COMPUTED_VALUE"""),"00963")</f>
        <v>00963</v>
      </c>
      <c r="B960" s="94"/>
      <c r="C960" s="94"/>
      <c r="D960" s="94"/>
      <c r="E960" s="95"/>
    </row>
    <row r="961">
      <c r="A961" s="96" t="str">
        <f>IFERROR(__xludf.DUMMYFUNCTION("""COMPUTED_VALUE"""),"00964")</f>
        <v>00964</v>
      </c>
      <c r="B961" s="94"/>
      <c r="C961" s="94"/>
      <c r="D961" s="94"/>
      <c r="E961" s="95"/>
    </row>
    <row r="962">
      <c r="A962" s="96" t="str">
        <f>IFERROR(__xludf.DUMMYFUNCTION("""COMPUTED_VALUE"""),"00965")</f>
        <v>00965</v>
      </c>
      <c r="B962" s="94"/>
      <c r="C962" s="94"/>
      <c r="D962" s="94"/>
      <c r="E962" s="95"/>
    </row>
    <row r="963">
      <c r="A963" s="96" t="str">
        <f>IFERROR(__xludf.DUMMYFUNCTION("""COMPUTED_VALUE"""),"00966")</f>
        <v>00966</v>
      </c>
      <c r="B963" s="94"/>
      <c r="C963" s="94"/>
      <c r="D963" s="94"/>
      <c r="E963" s="95"/>
    </row>
    <row r="964">
      <c r="A964" s="96" t="str">
        <f>IFERROR(__xludf.DUMMYFUNCTION("""COMPUTED_VALUE"""),"00967")</f>
        <v>00967</v>
      </c>
      <c r="B964" s="94"/>
      <c r="C964" s="94"/>
      <c r="D964" s="94"/>
      <c r="E964" s="95"/>
    </row>
    <row r="965">
      <c r="A965" s="96" t="str">
        <f>IFERROR(__xludf.DUMMYFUNCTION("""COMPUTED_VALUE"""),"00968")</f>
        <v>00968</v>
      </c>
      <c r="B965" s="94"/>
      <c r="C965" s="94"/>
      <c r="D965" s="94"/>
      <c r="E965" s="95"/>
    </row>
    <row r="966">
      <c r="A966" s="96" t="str">
        <f>IFERROR(__xludf.DUMMYFUNCTION("""COMPUTED_VALUE"""),"00969")</f>
        <v>00969</v>
      </c>
      <c r="B966" s="94"/>
      <c r="C966" s="94"/>
      <c r="D966" s="94"/>
      <c r="E966" s="95"/>
    </row>
    <row r="967">
      <c r="A967" s="96" t="str">
        <f>IFERROR(__xludf.DUMMYFUNCTION("""COMPUTED_VALUE"""),"00970")</f>
        <v>00970</v>
      </c>
      <c r="B967" s="94"/>
      <c r="C967" s="94"/>
      <c r="D967" s="94"/>
      <c r="E967" s="95"/>
    </row>
    <row r="968">
      <c r="A968" s="96" t="str">
        <f>IFERROR(__xludf.DUMMYFUNCTION("""COMPUTED_VALUE"""),"00971")</f>
        <v>00971</v>
      </c>
      <c r="B968" s="94"/>
      <c r="C968" s="94"/>
      <c r="D968" s="94"/>
      <c r="E968" s="95"/>
    </row>
    <row r="969">
      <c r="A969" s="96" t="str">
        <f>IFERROR(__xludf.DUMMYFUNCTION("""COMPUTED_VALUE"""),"00972")</f>
        <v>00972</v>
      </c>
      <c r="B969" s="94"/>
      <c r="C969" s="94"/>
      <c r="D969" s="94"/>
      <c r="E969" s="95"/>
    </row>
    <row r="970">
      <c r="A970" s="96" t="str">
        <f>IFERROR(__xludf.DUMMYFUNCTION("""COMPUTED_VALUE"""),"00973")</f>
        <v>00973</v>
      </c>
      <c r="B970" s="94"/>
      <c r="C970" s="94"/>
      <c r="D970" s="94"/>
      <c r="E970" s="95"/>
    </row>
    <row r="971">
      <c r="A971" s="96" t="str">
        <f>IFERROR(__xludf.DUMMYFUNCTION("""COMPUTED_VALUE"""),"00974")</f>
        <v>00974</v>
      </c>
      <c r="B971" s="94"/>
      <c r="C971" s="94"/>
      <c r="D971" s="94"/>
      <c r="E971" s="95"/>
    </row>
    <row r="972">
      <c r="A972" s="96" t="str">
        <f>IFERROR(__xludf.DUMMYFUNCTION("""COMPUTED_VALUE"""),"00975")</f>
        <v>00975</v>
      </c>
      <c r="B972" s="94"/>
      <c r="C972" s="94"/>
      <c r="D972" s="94"/>
      <c r="E972" s="95"/>
    </row>
    <row r="973">
      <c r="A973" s="96" t="str">
        <f>IFERROR(__xludf.DUMMYFUNCTION("""COMPUTED_VALUE"""),"00976")</f>
        <v>00976</v>
      </c>
      <c r="B973" s="94"/>
      <c r="C973" s="94"/>
      <c r="D973" s="94"/>
      <c r="E973" s="95"/>
    </row>
    <row r="974">
      <c r="A974" s="96" t="str">
        <f>IFERROR(__xludf.DUMMYFUNCTION("""COMPUTED_VALUE"""),"00977")</f>
        <v>00977</v>
      </c>
      <c r="B974" s="94"/>
      <c r="C974" s="94"/>
      <c r="D974" s="94"/>
      <c r="E974" s="95"/>
    </row>
    <row r="975">
      <c r="A975" s="96" t="str">
        <f>IFERROR(__xludf.DUMMYFUNCTION("""COMPUTED_VALUE"""),"00978")</f>
        <v>00978</v>
      </c>
      <c r="B975" s="94"/>
      <c r="C975" s="94"/>
      <c r="D975" s="94"/>
      <c r="E975" s="95"/>
    </row>
    <row r="976">
      <c r="A976" s="96" t="str">
        <f>IFERROR(__xludf.DUMMYFUNCTION("""COMPUTED_VALUE"""),"00979")</f>
        <v>00979</v>
      </c>
      <c r="B976" s="94"/>
      <c r="C976" s="94"/>
      <c r="D976" s="94"/>
      <c r="E976" s="95"/>
    </row>
    <row r="977">
      <c r="A977" s="96" t="str">
        <f>IFERROR(__xludf.DUMMYFUNCTION("""COMPUTED_VALUE"""),"00980")</f>
        <v>00980</v>
      </c>
      <c r="B977" s="94"/>
      <c r="C977" s="94"/>
      <c r="D977" s="94"/>
      <c r="E977" s="95"/>
    </row>
    <row r="978">
      <c r="A978" s="96" t="str">
        <f>IFERROR(__xludf.DUMMYFUNCTION("""COMPUTED_VALUE"""),"00981")</f>
        <v>00981</v>
      </c>
      <c r="B978" s="94"/>
      <c r="C978" s="94"/>
      <c r="D978" s="94"/>
      <c r="E978" s="95"/>
    </row>
    <row r="979">
      <c r="A979" s="96" t="str">
        <f>IFERROR(__xludf.DUMMYFUNCTION("""COMPUTED_VALUE"""),"00982")</f>
        <v>00982</v>
      </c>
      <c r="B979" s="94"/>
      <c r="C979" s="94"/>
      <c r="D979" s="94"/>
      <c r="E979" s="95"/>
    </row>
    <row r="980">
      <c r="A980" s="96" t="str">
        <f>IFERROR(__xludf.DUMMYFUNCTION("""COMPUTED_VALUE"""),"00983")</f>
        <v>00983</v>
      </c>
      <c r="B980" s="94"/>
      <c r="C980" s="94"/>
      <c r="D980" s="94"/>
      <c r="E980" s="95"/>
    </row>
    <row r="981">
      <c r="A981" s="96" t="str">
        <f>IFERROR(__xludf.DUMMYFUNCTION("""COMPUTED_VALUE"""),"00984")</f>
        <v>00984</v>
      </c>
      <c r="B981" s="94"/>
      <c r="C981" s="94"/>
      <c r="D981" s="94"/>
      <c r="E981" s="95"/>
    </row>
    <row r="982">
      <c r="A982" s="96" t="str">
        <f>IFERROR(__xludf.DUMMYFUNCTION("""COMPUTED_VALUE"""),"00985")</f>
        <v>00985</v>
      </c>
      <c r="B982" s="94"/>
      <c r="C982" s="94"/>
      <c r="D982" s="94"/>
      <c r="E982" s="95"/>
    </row>
    <row r="983">
      <c r="A983" s="96" t="str">
        <f>IFERROR(__xludf.DUMMYFUNCTION("""COMPUTED_VALUE"""),"00986")</f>
        <v>00986</v>
      </c>
      <c r="B983" s="94"/>
      <c r="C983" s="94"/>
      <c r="D983" s="94"/>
      <c r="E983" s="95"/>
    </row>
    <row r="984">
      <c r="A984" s="96" t="str">
        <f>IFERROR(__xludf.DUMMYFUNCTION("""COMPUTED_VALUE"""),"00987")</f>
        <v>00987</v>
      </c>
      <c r="B984" s="94"/>
      <c r="C984" s="94"/>
      <c r="D984" s="94"/>
      <c r="E984" s="95"/>
    </row>
    <row r="985">
      <c r="A985" s="96" t="str">
        <f>IFERROR(__xludf.DUMMYFUNCTION("""COMPUTED_VALUE"""),"00988")</f>
        <v>00988</v>
      </c>
      <c r="B985" s="94"/>
      <c r="C985" s="94"/>
      <c r="D985" s="94"/>
      <c r="E985" s="95"/>
    </row>
    <row r="986">
      <c r="A986" s="96" t="str">
        <f>IFERROR(__xludf.DUMMYFUNCTION("""COMPUTED_VALUE"""),"00989")</f>
        <v>00989</v>
      </c>
      <c r="B986" s="94"/>
      <c r="C986" s="94"/>
      <c r="D986" s="94"/>
      <c r="E986" s="95"/>
    </row>
    <row r="987">
      <c r="A987" s="96" t="str">
        <f>IFERROR(__xludf.DUMMYFUNCTION("""COMPUTED_VALUE"""),"00990")</f>
        <v>00990</v>
      </c>
      <c r="B987" s="94"/>
      <c r="C987" s="94"/>
      <c r="D987" s="94"/>
      <c r="E987" s="95"/>
    </row>
    <row r="988">
      <c r="A988" s="96" t="str">
        <f>IFERROR(__xludf.DUMMYFUNCTION("""COMPUTED_VALUE"""),"00991")</f>
        <v>00991</v>
      </c>
      <c r="B988" s="94"/>
      <c r="C988" s="94"/>
      <c r="D988" s="94"/>
      <c r="E988" s="95"/>
    </row>
    <row r="989">
      <c r="A989" s="96" t="str">
        <f>IFERROR(__xludf.DUMMYFUNCTION("""COMPUTED_VALUE"""),"00992")</f>
        <v>00992</v>
      </c>
      <c r="B989" s="94"/>
      <c r="C989" s="94"/>
      <c r="D989" s="94"/>
      <c r="E989" s="95"/>
    </row>
    <row r="990">
      <c r="A990" s="96" t="str">
        <f>IFERROR(__xludf.DUMMYFUNCTION("""COMPUTED_VALUE"""),"00993")</f>
        <v>00993</v>
      </c>
      <c r="B990" s="94"/>
      <c r="C990" s="94"/>
      <c r="D990" s="94"/>
      <c r="E990" s="95"/>
    </row>
    <row r="991">
      <c r="A991" s="96" t="str">
        <f>IFERROR(__xludf.DUMMYFUNCTION("""COMPUTED_VALUE"""),"00994")</f>
        <v>00994</v>
      </c>
      <c r="B991" s="94"/>
      <c r="C991" s="94"/>
      <c r="D991" s="94"/>
      <c r="E991" s="95"/>
    </row>
    <row r="992">
      <c r="A992" s="96" t="str">
        <f>IFERROR(__xludf.DUMMYFUNCTION("""COMPUTED_VALUE"""),"00995")</f>
        <v>00995</v>
      </c>
      <c r="B992" s="94"/>
      <c r="C992" s="94"/>
      <c r="D992" s="94"/>
      <c r="E992" s="95"/>
    </row>
    <row r="993">
      <c r="A993" s="96" t="str">
        <f>IFERROR(__xludf.DUMMYFUNCTION("""COMPUTED_VALUE"""),"00996")</f>
        <v>00996</v>
      </c>
      <c r="B993" s="94"/>
      <c r="C993" s="94"/>
      <c r="D993" s="94"/>
      <c r="E993" s="95"/>
    </row>
    <row r="994">
      <c r="A994" s="96" t="str">
        <f>IFERROR(__xludf.DUMMYFUNCTION("""COMPUTED_VALUE"""),"00997")</f>
        <v>00997</v>
      </c>
      <c r="B994" s="94"/>
      <c r="C994" s="94"/>
      <c r="D994" s="94"/>
      <c r="E994" s="95"/>
    </row>
    <row r="995">
      <c r="A995" s="96" t="str">
        <f>IFERROR(__xludf.DUMMYFUNCTION("""COMPUTED_VALUE"""),"00998")</f>
        <v>00998</v>
      </c>
      <c r="B995" s="94"/>
      <c r="C995" s="94"/>
      <c r="D995" s="94"/>
      <c r="E995" s="95"/>
    </row>
    <row r="996">
      <c r="A996" s="96" t="str">
        <f>IFERROR(__xludf.DUMMYFUNCTION("""COMPUTED_VALUE"""),"00999")</f>
        <v>00999</v>
      </c>
      <c r="B996" s="94"/>
      <c r="C996" s="94"/>
      <c r="D996" s="94"/>
      <c r="E996" s="95"/>
    </row>
    <row r="997">
      <c r="E997" s="95"/>
    </row>
    <row r="998">
      <c r="E998" s="9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2" max="2" width="22.89"/>
    <col customWidth="1" min="3" max="3" width="20.78"/>
    <col customWidth="1" min="4" max="4" width="20.89"/>
    <col customWidth="1" min="5" max="5" width="22.0"/>
    <col customWidth="1" min="6" max="6" width="25.33"/>
    <col customWidth="1" min="7" max="7" width="23.67"/>
    <col customWidth="1" min="8" max="8" width="25.89"/>
    <col customWidth="1" min="9" max="9" width="24.56"/>
    <col customWidth="1" min="10" max="10" width="26.22"/>
    <col customWidth="1" min="11" max="11" width="25.89"/>
    <col customWidth="1" min="12" max="12" width="19.67"/>
  </cols>
  <sheetData>
    <row r="1" ht="27.0" customHeight="1">
      <c r="A1" s="97" t="s">
        <v>26</v>
      </c>
      <c r="B1" s="98" t="s">
        <v>4435</v>
      </c>
      <c r="C1" s="97" t="s">
        <v>4436</v>
      </c>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99"/>
      <c r="AO1" s="99"/>
      <c r="AP1" s="99"/>
      <c r="AQ1" s="99"/>
    </row>
    <row r="2">
      <c r="A2" s="96" t="str">
        <f t="array" ref="A2:A1160">Sheet1!AC2:AC1526</f>
        <v>00001</v>
      </c>
      <c r="B2" s="95" t="str">
        <f>IFERROR(__xludf.DUMMYFUNCTION("ARRAYFORMULA(split(Sheet1!D2:D1526, "",""))"),"32044150446383_001")</f>
        <v>32044150446383_001</v>
      </c>
      <c r="C2" s="94" t="str">
        <f>IFERROR(__xludf.DUMMYFUNCTION("""COMPUTED_VALUE""")," 32044150446383_002")</f>
        <v> 32044150446383_002</v>
      </c>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c r="AG2" s="94"/>
    </row>
    <row r="3">
      <c r="A3" s="96" t="s">
        <v>58</v>
      </c>
      <c r="B3" s="95" t="str">
        <f>IFERROR(__xludf.DUMMYFUNCTION("""COMPUTED_VALUE"""),"32044150446383_003")</f>
        <v>32044150446383_003</v>
      </c>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row>
    <row r="4">
      <c r="A4" s="96" t="s">
        <v>68</v>
      </c>
      <c r="B4" s="95" t="str">
        <f>IFERROR(__xludf.DUMMYFUNCTION("""COMPUTED_VALUE"""),"32044150446383_004")</f>
        <v>32044150446383_004</v>
      </c>
      <c r="C4" s="94" t="str">
        <f>IFERROR(__xludf.DUMMYFUNCTION("""COMPUTED_VALUE""")," 32044150446383_005")</f>
        <v> 32044150446383_005</v>
      </c>
      <c r="D4" s="94" t="str">
        <f>IFERROR(__xludf.DUMMYFUNCTION("""COMPUTED_VALUE""")," 32044150446383_006")</f>
        <v> 32044150446383_006</v>
      </c>
      <c r="E4" s="94" t="str">
        <f>IFERROR(__xludf.DUMMYFUNCTION("""COMPUTED_VALUE""")," 32044150446383_007")</f>
        <v> 32044150446383_007</v>
      </c>
      <c r="F4" s="94" t="str">
        <f>IFERROR(__xludf.DUMMYFUNCTION("""COMPUTED_VALUE""")," 32044150446383_008")</f>
        <v> 32044150446383_008</v>
      </c>
      <c r="G4" s="94" t="str">
        <f>IFERROR(__xludf.DUMMYFUNCTION("""COMPUTED_VALUE""")," 32044150446383_009")</f>
        <v> 32044150446383_009</v>
      </c>
      <c r="H4" s="94"/>
      <c r="I4" s="94"/>
      <c r="J4" s="94"/>
      <c r="K4" s="94"/>
      <c r="L4" s="94"/>
      <c r="M4" s="94"/>
      <c r="N4" s="94"/>
      <c r="O4" s="94"/>
      <c r="P4" s="94"/>
      <c r="Q4" s="94"/>
      <c r="R4" s="94"/>
      <c r="S4" s="94"/>
      <c r="T4" s="94"/>
      <c r="U4" s="94"/>
      <c r="V4" s="94"/>
      <c r="W4" s="94"/>
      <c r="X4" s="94"/>
      <c r="Y4" s="94"/>
      <c r="Z4" s="94"/>
      <c r="AA4" s="94"/>
      <c r="AB4" s="94"/>
      <c r="AC4" s="94"/>
      <c r="AD4" s="94"/>
      <c r="AE4" s="94"/>
      <c r="AF4" s="94"/>
      <c r="AG4" s="94"/>
    </row>
    <row r="5">
      <c r="A5" s="96" t="s">
        <v>81</v>
      </c>
      <c r="B5" s="95" t="str">
        <f>IFERROR(__xludf.DUMMYFUNCTION("""COMPUTED_VALUE"""),"32044150446383_010")</f>
        <v>32044150446383_010</v>
      </c>
      <c r="C5" s="94" t="str">
        <f>IFERROR(__xludf.DUMMYFUNCTION("""COMPUTED_VALUE""")," 32044150446383_011")</f>
        <v> 32044150446383_011</v>
      </c>
      <c r="D5" s="94" t="str">
        <f>IFERROR(__xludf.DUMMYFUNCTION("""COMPUTED_VALUE""")," 32044150446383_012")</f>
        <v> 32044150446383_012</v>
      </c>
      <c r="E5" s="94" t="str">
        <f>IFERROR(__xludf.DUMMYFUNCTION("""COMPUTED_VALUE""")," 32044150446383_013")</f>
        <v> 32044150446383_013</v>
      </c>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4"/>
    </row>
    <row r="6">
      <c r="A6" s="96" t="s">
        <v>87</v>
      </c>
      <c r="B6" s="95" t="str">
        <f>IFERROR(__xludf.DUMMYFUNCTION("""COMPUTED_VALUE"""),"32044150446383_014")</f>
        <v>32044150446383_014</v>
      </c>
      <c r="C6" s="94" t="str">
        <f>IFERROR(__xludf.DUMMYFUNCTION("""COMPUTED_VALUE""")," 32044150446383_015")</f>
        <v> 32044150446383_015</v>
      </c>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row>
    <row r="7">
      <c r="A7" s="96" t="s">
        <v>92</v>
      </c>
      <c r="B7" s="95" t="str">
        <f>IFERROR(__xludf.DUMMYFUNCTION("""COMPUTED_VALUE"""),"32044150446383_016")</f>
        <v>32044150446383_016</v>
      </c>
      <c r="C7" s="94" t="str">
        <f>IFERROR(__xludf.DUMMYFUNCTION("""COMPUTED_VALUE""")," 32044150446383_017")</f>
        <v> 32044150446383_017</v>
      </c>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row>
    <row r="8">
      <c r="A8" s="96" t="s">
        <v>100</v>
      </c>
      <c r="B8" s="95" t="str">
        <f>IFERROR(__xludf.DUMMYFUNCTION("""COMPUTED_VALUE"""),"32044150446383_018")</f>
        <v>32044150446383_018</v>
      </c>
      <c r="C8" s="94" t="str">
        <f>IFERROR(__xludf.DUMMYFUNCTION("""COMPUTED_VALUE""")," 32044150446383_019")</f>
        <v> 32044150446383_019</v>
      </c>
      <c r="D8" s="94" t="str">
        <f>IFERROR(__xludf.DUMMYFUNCTION("""COMPUTED_VALUE""")," 32044150446383_020")</f>
        <v> 32044150446383_020</v>
      </c>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row>
    <row r="9">
      <c r="A9" s="96" t="s">
        <v>108</v>
      </c>
      <c r="B9" s="95" t="str">
        <f>IFERROR(__xludf.DUMMYFUNCTION("""COMPUTED_VALUE"""),"32044150446383_021")</f>
        <v>32044150446383_021</v>
      </c>
      <c r="C9" s="94" t="str">
        <f>IFERROR(__xludf.DUMMYFUNCTION("""COMPUTED_VALUE""")," 32044150446383_022")</f>
        <v> 32044150446383_022</v>
      </c>
      <c r="D9" s="94" t="str">
        <f>IFERROR(__xludf.DUMMYFUNCTION("""COMPUTED_VALUE""")," 32044150446383_023")</f>
        <v> 32044150446383_023</v>
      </c>
      <c r="E9" s="94" t="str">
        <f>IFERROR(__xludf.DUMMYFUNCTION("""COMPUTED_VALUE""")," 32044150446383_024")</f>
        <v> 32044150446383_024</v>
      </c>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row>
    <row r="10">
      <c r="A10" s="96" t="s">
        <v>115</v>
      </c>
      <c r="B10" s="95" t="str">
        <f>IFERROR(__xludf.DUMMYFUNCTION("""COMPUTED_VALUE"""),"32044150446383_025")</f>
        <v>32044150446383_025</v>
      </c>
      <c r="C10" s="94" t="str">
        <f>IFERROR(__xludf.DUMMYFUNCTION("""COMPUTED_VALUE""")," 32044150446383_026")</f>
        <v> 32044150446383_026</v>
      </c>
      <c r="D10" s="94" t="str">
        <f>IFERROR(__xludf.DUMMYFUNCTION("""COMPUTED_VALUE""")," 32044150446383_027")</f>
        <v> 32044150446383_027</v>
      </c>
      <c r="E10" s="94" t="str">
        <f>IFERROR(__xludf.DUMMYFUNCTION("""COMPUTED_VALUE""")," 32044150446383_028")</f>
        <v> 32044150446383_028</v>
      </c>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row>
    <row r="11">
      <c r="A11" s="96" t="s">
        <v>126</v>
      </c>
      <c r="B11" s="95" t="str">
        <f>IFERROR(__xludf.DUMMYFUNCTION("""COMPUTED_VALUE"""),"32044150446375_001")</f>
        <v>32044150446375_001</v>
      </c>
      <c r="C11" s="94" t="str">
        <f>IFERROR(__xludf.DUMMYFUNCTION("""COMPUTED_VALUE""")," 32044150446375_002")</f>
        <v> 32044150446375_002</v>
      </c>
      <c r="D11" s="94" t="str">
        <f>IFERROR(__xludf.DUMMYFUNCTION("""COMPUTED_VALUE""")," 32044150446375_003")</f>
        <v> 32044150446375_003</v>
      </c>
      <c r="E11" s="94" t="str">
        <f>IFERROR(__xludf.DUMMYFUNCTION("""COMPUTED_VALUE""")," 32044150446375_004")</f>
        <v> 32044150446375_004</v>
      </c>
      <c r="F11" s="94" t="str">
        <f>IFERROR(__xludf.DUMMYFUNCTION("""COMPUTED_VALUE""")," 32044150446375_005")</f>
        <v> 32044150446375_005</v>
      </c>
      <c r="G11" s="94" t="str">
        <f>IFERROR(__xludf.DUMMYFUNCTION("""COMPUTED_VALUE""")," 32044150446375_006")</f>
        <v> 32044150446375_006</v>
      </c>
      <c r="H11" s="94"/>
      <c r="I11" s="94"/>
      <c r="J11" s="94"/>
      <c r="K11" s="94"/>
      <c r="L11" s="94"/>
      <c r="M11" s="94"/>
      <c r="N11" s="94"/>
      <c r="O11" s="94"/>
      <c r="P11" s="94"/>
      <c r="Q11" s="94"/>
      <c r="R11" s="94"/>
      <c r="S11" s="94"/>
      <c r="T11" s="94"/>
      <c r="U11" s="94"/>
      <c r="V11" s="94"/>
      <c r="W11" s="94"/>
      <c r="X11" s="94"/>
      <c r="Y11" s="94"/>
      <c r="Z11" s="94"/>
      <c r="AA11" s="94"/>
      <c r="AB11" s="94"/>
      <c r="AC11" s="94"/>
      <c r="AD11" s="94"/>
      <c r="AE11" s="94"/>
      <c r="AF11" s="94"/>
      <c r="AG11" s="94"/>
    </row>
    <row r="12">
      <c r="A12" s="96" t="s">
        <v>136</v>
      </c>
      <c r="B12" s="95" t="str">
        <f>IFERROR(__xludf.DUMMYFUNCTION("""COMPUTED_VALUE"""),"32044150446375_007")</f>
        <v>32044150446375_007</v>
      </c>
      <c r="C12" s="94" t="str">
        <f>IFERROR(__xludf.DUMMYFUNCTION("""COMPUTED_VALUE""")," 32044150446375_008")</f>
        <v> 32044150446375_008</v>
      </c>
      <c r="D12" s="94" t="str">
        <f>IFERROR(__xludf.DUMMYFUNCTION("""COMPUTED_VALUE""")," 32044150446375_009")</f>
        <v> 32044150446375_009</v>
      </c>
      <c r="E12" s="94" t="str">
        <f>IFERROR(__xludf.DUMMYFUNCTION("""COMPUTED_VALUE""")," 32044150446375_010")</f>
        <v> 32044150446375_010</v>
      </c>
      <c r="F12" s="94" t="str">
        <f>IFERROR(__xludf.DUMMYFUNCTION("""COMPUTED_VALUE""")," 32044150446375_011")</f>
        <v> 32044150446375_011</v>
      </c>
      <c r="G12" s="94" t="str">
        <f>IFERROR(__xludf.DUMMYFUNCTION("""COMPUTED_VALUE""")," 32044150446375_046")</f>
        <v> 32044150446375_046</v>
      </c>
      <c r="H12" s="94" t="str">
        <f>IFERROR(__xludf.DUMMYFUNCTION("""COMPUTED_VALUE""")," 32044150446375_048")</f>
        <v> 32044150446375_048</v>
      </c>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row>
    <row r="13">
      <c r="A13" s="96" t="s">
        <v>148</v>
      </c>
      <c r="B13" s="95" t="str">
        <f>IFERROR(__xludf.DUMMYFUNCTION("""COMPUTED_VALUE"""),"32044150446375_012")</f>
        <v>32044150446375_012</v>
      </c>
      <c r="C13" s="94" t="str">
        <f>IFERROR(__xludf.DUMMYFUNCTION("""COMPUTED_VALUE""")," 32044150446375_013")</f>
        <v> 32044150446375_013</v>
      </c>
      <c r="D13" s="94" t="str">
        <f>IFERROR(__xludf.DUMMYFUNCTION("""COMPUTED_VALUE""")," 32044150446375_014")</f>
        <v> 32044150446375_014</v>
      </c>
      <c r="E13" s="94" t="str">
        <f>IFERROR(__xludf.DUMMYFUNCTION("""COMPUTED_VALUE""")," 32044150446375_015")</f>
        <v> 32044150446375_015</v>
      </c>
      <c r="F13" s="94" t="str">
        <f>IFERROR(__xludf.DUMMYFUNCTION("""COMPUTED_VALUE""")," 32044150446375_016")</f>
        <v> 32044150446375_016</v>
      </c>
      <c r="G13" s="94" t="str">
        <f>IFERROR(__xludf.DUMMYFUNCTION("""COMPUTED_VALUE""")," 32044150446375_017")</f>
        <v> 32044150446375_017</v>
      </c>
      <c r="H13" s="94" t="str">
        <f>IFERROR(__xludf.DUMMYFUNCTION("""COMPUTED_VALUE""")," 32044150446375_018")</f>
        <v> 32044150446375_018</v>
      </c>
      <c r="I13" s="94" t="str">
        <f>IFERROR(__xludf.DUMMYFUNCTION("""COMPUTED_VALUE""")," 32044150446375_019")</f>
        <v> 32044150446375_019</v>
      </c>
      <c r="J13" s="94"/>
      <c r="K13" s="94"/>
      <c r="L13" s="94"/>
      <c r="M13" s="94"/>
      <c r="N13" s="94"/>
      <c r="O13" s="94"/>
      <c r="P13" s="94"/>
      <c r="Q13" s="94"/>
      <c r="R13" s="94"/>
      <c r="S13" s="94"/>
      <c r="T13" s="94"/>
      <c r="U13" s="94"/>
      <c r="V13" s="94"/>
      <c r="W13" s="94"/>
      <c r="X13" s="94"/>
      <c r="Y13" s="94"/>
      <c r="Z13" s="94"/>
      <c r="AA13" s="94"/>
      <c r="AB13" s="94"/>
      <c r="AC13" s="94"/>
      <c r="AD13" s="94"/>
      <c r="AE13" s="94"/>
      <c r="AF13" s="94"/>
      <c r="AG13" s="94"/>
    </row>
    <row r="14">
      <c r="A14" s="96" t="s">
        <v>157</v>
      </c>
      <c r="B14" s="95" t="str">
        <f>IFERROR(__xludf.DUMMYFUNCTION("""COMPUTED_VALUE"""),"32044150446375_020")</f>
        <v>32044150446375_020</v>
      </c>
      <c r="C14" s="94" t="str">
        <f>IFERROR(__xludf.DUMMYFUNCTION("""COMPUTED_VALUE""")," 32044150446375_021")</f>
        <v> 32044150446375_021</v>
      </c>
      <c r="D14" s="94" t="str">
        <f>IFERROR(__xludf.DUMMYFUNCTION("""COMPUTED_VALUE""")," 32044150446375_022")</f>
        <v> 32044150446375_022</v>
      </c>
      <c r="E14" s="94" t="str">
        <f>IFERROR(__xludf.DUMMYFUNCTION("""COMPUTED_VALUE""")," 32044150446375_023")</f>
        <v> 32044150446375_023</v>
      </c>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row>
    <row r="15">
      <c r="A15" s="96" t="s">
        <v>167</v>
      </c>
      <c r="B15" s="95" t="str">
        <f>IFERROR(__xludf.DUMMYFUNCTION("""COMPUTED_VALUE"""),"32044150446375_024")</f>
        <v>32044150446375_024</v>
      </c>
      <c r="C15" s="94" t="str">
        <f>IFERROR(__xludf.DUMMYFUNCTION("""COMPUTED_VALUE""")," 32044150446375_025")</f>
        <v> 32044150446375_025</v>
      </c>
      <c r="D15" s="94" t="str">
        <f>IFERROR(__xludf.DUMMYFUNCTION("""COMPUTED_VALUE""")," 32044150446375_026")</f>
        <v> 32044150446375_026</v>
      </c>
      <c r="E15" s="94" t="str">
        <f>IFERROR(__xludf.DUMMYFUNCTION("""COMPUTED_VALUE""")," 32044150446375_027")</f>
        <v> 32044150446375_027</v>
      </c>
      <c r="F15" s="94" t="str">
        <f>IFERROR(__xludf.DUMMYFUNCTION("""COMPUTED_VALUE""")," 32044150446375_028")</f>
        <v> 32044150446375_028</v>
      </c>
      <c r="G15" s="94" t="str">
        <f>IFERROR(__xludf.DUMMYFUNCTION("""COMPUTED_VALUE""")," 32044150446375_029")</f>
        <v> 32044150446375_029</v>
      </c>
      <c r="H15" s="94" t="str">
        <f>IFERROR(__xludf.DUMMYFUNCTION("""COMPUTED_VALUE""")," 32044150446375_030")</f>
        <v> 32044150446375_030</v>
      </c>
      <c r="I15" s="94" t="str">
        <f>IFERROR(__xludf.DUMMYFUNCTION("""COMPUTED_VALUE""")," 32044150446375_031")</f>
        <v> 32044150446375_031</v>
      </c>
      <c r="J15" s="94" t="str">
        <f>IFERROR(__xludf.DUMMYFUNCTION("""COMPUTED_VALUE""")," 32044150446375_032")</f>
        <v> 32044150446375_032</v>
      </c>
      <c r="K15" s="94"/>
      <c r="L15" s="94"/>
      <c r="M15" s="94"/>
      <c r="N15" s="94"/>
      <c r="O15" s="94"/>
      <c r="P15" s="94"/>
      <c r="Q15" s="94"/>
      <c r="R15" s="94"/>
      <c r="S15" s="94"/>
      <c r="T15" s="94"/>
      <c r="U15" s="94"/>
      <c r="V15" s="94"/>
      <c r="W15" s="94"/>
      <c r="X15" s="94"/>
      <c r="Y15" s="94"/>
      <c r="Z15" s="94"/>
      <c r="AA15" s="94"/>
      <c r="AB15" s="94"/>
      <c r="AC15" s="94"/>
      <c r="AD15" s="94"/>
      <c r="AE15" s="94"/>
      <c r="AF15" s="94"/>
      <c r="AG15" s="94"/>
    </row>
    <row r="16">
      <c r="A16" s="96" t="s">
        <v>175</v>
      </c>
      <c r="B16" s="95" t="str">
        <f>IFERROR(__xludf.DUMMYFUNCTION("""COMPUTED_VALUE"""),"32044150446375_033")</f>
        <v>32044150446375_033</v>
      </c>
      <c r="C16" s="94" t="str">
        <f>IFERROR(__xludf.DUMMYFUNCTION("""COMPUTED_VALUE""")," 32044150446375_034")</f>
        <v> 32044150446375_034</v>
      </c>
      <c r="D16" s="94" t="str">
        <f>IFERROR(__xludf.DUMMYFUNCTION("""COMPUTED_VALUE""")," 32044150446375_035")</f>
        <v> 32044150446375_035</v>
      </c>
      <c r="E16" s="94" t="str">
        <f>IFERROR(__xludf.DUMMYFUNCTION("""COMPUTED_VALUE""")," 32044150446375_036")</f>
        <v> 32044150446375_036</v>
      </c>
      <c r="F16" s="94" t="str">
        <f>IFERROR(__xludf.DUMMYFUNCTION("""COMPUTED_VALUE""")," 32044150446375_037")</f>
        <v> 32044150446375_037</v>
      </c>
      <c r="G16" s="94" t="str">
        <f>IFERROR(__xludf.DUMMYFUNCTION("""COMPUTED_VALUE""")," 32044150446375_038")</f>
        <v> 32044150446375_038</v>
      </c>
      <c r="H16" s="94" t="str">
        <f>IFERROR(__xludf.DUMMYFUNCTION("""COMPUTED_VALUE""")," 32044150446375_039")</f>
        <v> 32044150446375_039</v>
      </c>
      <c r="I16" s="94"/>
      <c r="J16" s="94"/>
      <c r="K16" s="94"/>
      <c r="L16" s="94"/>
      <c r="M16" s="94"/>
      <c r="N16" s="94"/>
      <c r="O16" s="94"/>
      <c r="P16" s="94"/>
      <c r="Q16" s="94"/>
      <c r="R16" s="94"/>
      <c r="S16" s="94"/>
      <c r="T16" s="94"/>
      <c r="U16" s="94"/>
      <c r="V16" s="94"/>
      <c r="W16" s="94"/>
      <c r="X16" s="94"/>
      <c r="Y16" s="94"/>
      <c r="Z16" s="94"/>
      <c r="AA16" s="94"/>
      <c r="AB16" s="94"/>
      <c r="AC16" s="94"/>
      <c r="AD16" s="94"/>
      <c r="AE16" s="94"/>
      <c r="AF16" s="94"/>
      <c r="AG16" s="94"/>
    </row>
    <row r="17">
      <c r="A17" s="96" t="s">
        <v>183</v>
      </c>
      <c r="B17" s="95" t="str">
        <f>IFERROR(__xludf.DUMMYFUNCTION("""COMPUTED_VALUE"""),"32044150446375_040")</f>
        <v>32044150446375_040</v>
      </c>
      <c r="C17" s="94" t="str">
        <f>IFERROR(__xludf.DUMMYFUNCTION("""COMPUTED_VALUE""")," 32044150446375_041")</f>
        <v> 32044150446375_041</v>
      </c>
      <c r="D17" s="94" t="str">
        <f>IFERROR(__xludf.DUMMYFUNCTION("""COMPUTED_VALUE""")," 32044150446375_042")</f>
        <v> 32044150446375_042</v>
      </c>
      <c r="E17" s="94"/>
      <c r="F17" s="94"/>
      <c r="G17" s="94"/>
      <c r="H17" s="94"/>
      <c r="I17" s="94"/>
      <c r="J17" s="94"/>
      <c r="K17" s="94"/>
      <c r="L17" s="94"/>
      <c r="M17" s="94"/>
      <c r="N17" s="94"/>
      <c r="O17" s="94"/>
      <c r="P17" s="94"/>
      <c r="Q17" s="94"/>
      <c r="R17" s="94"/>
      <c r="S17" s="94"/>
      <c r="T17" s="94"/>
      <c r="U17" s="94"/>
      <c r="V17" s="94"/>
      <c r="W17" s="94"/>
      <c r="X17" s="94"/>
      <c r="Y17" s="94"/>
      <c r="Z17" s="94"/>
      <c r="AA17" s="94"/>
      <c r="AB17" s="94"/>
      <c r="AC17" s="94"/>
      <c r="AD17" s="94"/>
      <c r="AE17" s="94"/>
      <c r="AF17" s="94"/>
      <c r="AG17" s="94"/>
    </row>
    <row r="18">
      <c r="A18" s="96" t="s">
        <v>191</v>
      </c>
      <c r="B18" s="95" t="str">
        <f>IFERROR(__xludf.DUMMYFUNCTION("""COMPUTED_VALUE"""),"32044150446375_043")</f>
        <v>32044150446375_043</v>
      </c>
      <c r="C18" s="94" t="str">
        <f>IFERROR(__xludf.DUMMYFUNCTION("""COMPUTED_VALUE""")," 32044150446375_044")</f>
        <v> 32044150446375_044</v>
      </c>
      <c r="D18" s="94" t="str">
        <f>IFERROR(__xludf.DUMMYFUNCTION("""COMPUTED_VALUE""")," 32044150446375_045")</f>
        <v> 32044150446375_045</v>
      </c>
      <c r="E18" s="94" t="str">
        <f>IFERROR(__xludf.DUMMYFUNCTION("""COMPUTED_VALUE""")," 32044150446375_047")</f>
        <v> 32044150446375_047</v>
      </c>
      <c r="F18" s="94"/>
      <c r="G18" s="94"/>
      <c r="H18" s="94"/>
      <c r="I18" s="94"/>
      <c r="J18" s="94"/>
      <c r="K18" s="94"/>
      <c r="L18" s="94"/>
      <c r="M18" s="94"/>
      <c r="N18" s="94"/>
      <c r="O18" s="94"/>
      <c r="P18" s="94"/>
      <c r="Q18" s="94"/>
      <c r="R18" s="94"/>
      <c r="S18" s="94"/>
      <c r="T18" s="94"/>
      <c r="U18" s="94"/>
      <c r="V18" s="94"/>
      <c r="W18" s="94"/>
      <c r="X18" s="94"/>
      <c r="Y18" s="94"/>
      <c r="Z18" s="94"/>
      <c r="AA18" s="94"/>
      <c r="AB18" s="94"/>
      <c r="AC18" s="94"/>
      <c r="AD18" s="94"/>
      <c r="AE18" s="94"/>
      <c r="AF18" s="94"/>
      <c r="AG18" s="94"/>
    </row>
    <row r="19">
      <c r="A19" s="96" t="s">
        <v>202</v>
      </c>
      <c r="B19" s="95" t="str">
        <f>IFERROR(__xludf.DUMMYFUNCTION("""COMPUTED_VALUE"""),"32044150446391_001")</f>
        <v>32044150446391_001</v>
      </c>
      <c r="C19" s="94" t="str">
        <f>IFERROR(__xludf.DUMMYFUNCTION("""COMPUTED_VALUE""")," 32044150446391_002")</f>
        <v> 32044150446391_002</v>
      </c>
      <c r="D19" s="94"/>
      <c r="E19" s="94"/>
      <c r="F19" s="94"/>
      <c r="G19" s="94"/>
      <c r="H19" s="94"/>
      <c r="I19" s="94"/>
      <c r="J19" s="94"/>
      <c r="K19" s="94"/>
      <c r="L19" s="94"/>
      <c r="M19" s="94"/>
      <c r="N19" s="94"/>
      <c r="O19" s="94"/>
      <c r="P19" s="94"/>
      <c r="Q19" s="94"/>
      <c r="R19" s="94"/>
      <c r="S19" s="94"/>
      <c r="T19" s="94"/>
      <c r="U19" s="94"/>
      <c r="V19" s="94"/>
      <c r="W19" s="94"/>
      <c r="X19" s="94"/>
      <c r="Y19" s="94"/>
      <c r="Z19" s="94"/>
      <c r="AA19" s="94"/>
      <c r="AB19" s="94"/>
      <c r="AC19" s="94"/>
      <c r="AD19" s="94"/>
      <c r="AE19" s="94"/>
      <c r="AF19" s="94"/>
      <c r="AG19" s="94"/>
    </row>
    <row r="20">
      <c r="A20" s="96" t="s">
        <v>212</v>
      </c>
      <c r="B20" s="95" t="str">
        <f>IFERROR(__xludf.DUMMYFUNCTION("""COMPUTED_VALUE"""),"32044150446391_003")</f>
        <v>32044150446391_003</v>
      </c>
      <c r="C20" s="94" t="str">
        <f>IFERROR(__xludf.DUMMYFUNCTION("""COMPUTED_VALUE""")," 32044150446391_004")</f>
        <v> 32044150446391_004</v>
      </c>
      <c r="D20" s="94" t="str">
        <f>IFERROR(__xludf.DUMMYFUNCTION("""COMPUTED_VALUE""")," 32044150446391_005")</f>
        <v> 32044150446391_005</v>
      </c>
      <c r="E20" s="94" t="str">
        <f>IFERROR(__xludf.DUMMYFUNCTION("""COMPUTED_VALUE""")," 32044150446391_006")</f>
        <v> 32044150446391_006</v>
      </c>
      <c r="F20" s="94" t="str">
        <f>IFERROR(__xludf.DUMMYFUNCTION("""COMPUTED_VALUE""")," 32044150446391_007")</f>
        <v> 32044150446391_007</v>
      </c>
      <c r="G20" s="94" t="str">
        <f>IFERROR(__xludf.DUMMYFUNCTION("""COMPUTED_VALUE""")," 32044150446391_008")</f>
        <v> 32044150446391_008</v>
      </c>
      <c r="H20" s="94" t="str">
        <f>IFERROR(__xludf.DUMMYFUNCTION("""COMPUTED_VALUE""")," 32044150446391_009")</f>
        <v> 32044150446391_009</v>
      </c>
      <c r="I20" s="94" t="str">
        <f>IFERROR(__xludf.DUMMYFUNCTION("""COMPUTED_VALUE""")," 32044150446391_010")</f>
        <v> 32044150446391_010</v>
      </c>
      <c r="J20" s="94" t="str">
        <f>IFERROR(__xludf.DUMMYFUNCTION("""COMPUTED_VALUE""")," 32044150446391_011")</f>
        <v> 32044150446391_011</v>
      </c>
      <c r="K20" s="94" t="str">
        <f>IFERROR(__xludf.DUMMYFUNCTION("""COMPUTED_VALUE""")," 32044150446391_012")</f>
        <v> 32044150446391_012</v>
      </c>
      <c r="L20" s="94" t="str">
        <f>IFERROR(__xludf.DUMMYFUNCTION("""COMPUTED_VALUE""")," 32044150446391_013")</f>
        <v> 32044150446391_013</v>
      </c>
      <c r="M20" s="94" t="str">
        <f>IFERROR(__xludf.DUMMYFUNCTION("""COMPUTED_VALUE""")," 32044150446391_014")</f>
        <v> 32044150446391_014</v>
      </c>
      <c r="N20" s="94" t="str">
        <f>IFERROR(__xludf.DUMMYFUNCTION("""COMPUTED_VALUE""")," 32044150446391_015")</f>
        <v> 32044150446391_015</v>
      </c>
      <c r="O20" s="94" t="str">
        <f>IFERROR(__xludf.DUMMYFUNCTION("""COMPUTED_VALUE""")," 32044150446391_016")</f>
        <v> 32044150446391_016</v>
      </c>
      <c r="P20" s="94" t="str">
        <f>IFERROR(__xludf.DUMMYFUNCTION("""COMPUTED_VALUE""")," 32044150446391_017")</f>
        <v> 32044150446391_017</v>
      </c>
      <c r="Q20" s="94" t="str">
        <f>IFERROR(__xludf.DUMMYFUNCTION("""COMPUTED_VALUE""")," 32044150446391_018")</f>
        <v> 32044150446391_018</v>
      </c>
      <c r="R20" s="94" t="str">
        <f>IFERROR(__xludf.DUMMYFUNCTION("""COMPUTED_VALUE""")," 32044150446391_019")</f>
        <v> 32044150446391_019</v>
      </c>
      <c r="S20" s="94" t="str">
        <f>IFERROR(__xludf.DUMMYFUNCTION("""COMPUTED_VALUE""")," 32044150446391_020")</f>
        <v> 32044150446391_020</v>
      </c>
      <c r="T20" s="94"/>
      <c r="U20" s="94"/>
      <c r="V20" s="94"/>
      <c r="W20" s="94"/>
      <c r="X20" s="94"/>
      <c r="Y20" s="94"/>
      <c r="Z20" s="94"/>
      <c r="AA20" s="94"/>
      <c r="AB20" s="94"/>
      <c r="AC20" s="94"/>
      <c r="AD20" s="94"/>
      <c r="AE20" s="94"/>
      <c r="AF20" s="94"/>
      <c r="AG20" s="94"/>
    </row>
    <row r="21">
      <c r="A21" s="96" t="s">
        <v>222</v>
      </c>
      <c r="B21" s="95" t="str">
        <f>IFERROR(__xludf.DUMMYFUNCTION("""COMPUTED_VALUE"""),"32044150446391_021")</f>
        <v>32044150446391_021</v>
      </c>
      <c r="C21" s="94"/>
      <c r="D21" s="94"/>
      <c r="E21" s="94"/>
      <c r="F21" s="94"/>
      <c r="G21" s="94"/>
      <c r="H21" s="94"/>
      <c r="I21" s="94"/>
      <c r="J21" s="94"/>
      <c r="K21" s="94"/>
      <c r="L21" s="94"/>
      <c r="M21" s="94"/>
      <c r="N21" s="94"/>
      <c r="O21" s="94"/>
      <c r="P21" s="94"/>
      <c r="Q21" s="94"/>
      <c r="R21" s="94"/>
      <c r="S21" s="94"/>
      <c r="T21" s="94"/>
      <c r="U21" s="94"/>
      <c r="V21" s="94"/>
      <c r="W21" s="94"/>
      <c r="X21" s="94"/>
      <c r="Y21" s="94"/>
      <c r="Z21" s="94"/>
      <c r="AA21" s="94"/>
      <c r="AB21" s="94"/>
      <c r="AC21" s="94"/>
      <c r="AD21" s="94"/>
      <c r="AE21" s="94"/>
      <c r="AF21" s="94"/>
      <c r="AG21" s="94"/>
    </row>
    <row r="22">
      <c r="A22" s="96" t="s">
        <v>232</v>
      </c>
      <c r="B22" s="95" t="str">
        <f>IFERROR(__xludf.DUMMYFUNCTION("""COMPUTED_VALUE"""),"32044150446391_022")</f>
        <v>32044150446391_022</v>
      </c>
      <c r="C22" s="94" t="str">
        <f>IFERROR(__xludf.DUMMYFUNCTION("""COMPUTED_VALUE""")," 32044150446391_023")</f>
        <v> 32044150446391_023</v>
      </c>
      <c r="D22" s="94" t="str">
        <f>IFERROR(__xludf.DUMMYFUNCTION("""COMPUTED_VALUE""")," 32044150446391_024")</f>
        <v> 32044150446391_024</v>
      </c>
      <c r="E22" s="94" t="str">
        <f>IFERROR(__xludf.DUMMYFUNCTION("""COMPUTED_VALUE""")," 32044150446391_025")</f>
        <v> 32044150446391_025</v>
      </c>
      <c r="F22" s="94" t="str">
        <f>IFERROR(__xludf.DUMMYFUNCTION("""COMPUTED_VALUE""")," 32044150446391_026")</f>
        <v> 32044150446391_026</v>
      </c>
      <c r="G22" s="94"/>
      <c r="H22" s="94"/>
      <c r="I22" s="94"/>
      <c r="J22" s="94"/>
      <c r="K22" s="94"/>
      <c r="L22" s="94"/>
      <c r="M22" s="94"/>
      <c r="N22" s="94"/>
      <c r="O22" s="94"/>
      <c r="P22" s="94"/>
      <c r="Q22" s="94"/>
      <c r="R22" s="94"/>
      <c r="S22" s="94"/>
      <c r="T22" s="94"/>
      <c r="U22" s="94"/>
      <c r="V22" s="94"/>
      <c r="W22" s="94"/>
      <c r="X22" s="94"/>
      <c r="Y22" s="94"/>
      <c r="Z22" s="94"/>
      <c r="AA22" s="94"/>
      <c r="AB22" s="94"/>
      <c r="AC22" s="94"/>
      <c r="AD22" s="94"/>
      <c r="AE22" s="94"/>
      <c r="AF22" s="94"/>
      <c r="AG22" s="94"/>
    </row>
    <row r="23">
      <c r="A23" s="96" t="s">
        <v>241</v>
      </c>
      <c r="B23" s="95" t="str">
        <f>IFERROR(__xludf.DUMMYFUNCTION("""COMPUTED_VALUE"""),"32044150446391_027")</f>
        <v>32044150446391_027</v>
      </c>
      <c r="C23" s="94" t="str">
        <f>IFERROR(__xludf.DUMMYFUNCTION("""COMPUTED_VALUE""")," 32044150446391_028")</f>
        <v> 32044150446391_028</v>
      </c>
      <c r="D23" s="94"/>
      <c r="E23" s="94"/>
      <c r="F23" s="94"/>
      <c r="G23" s="94"/>
      <c r="H23" s="94"/>
      <c r="I23" s="94"/>
      <c r="J23" s="94"/>
      <c r="K23" s="94"/>
      <c r="L23" s="94"/>
      <c r="M23" s="94"/>
      <c r="N23" s="94"/>
      <c r="O23" s="94"/>
      <c r="P23" s="94"/>
      <c r="Q23" s="94"/>
      <c r="R23" s="94"/>
      <c r="S23" s="94"/>
      <c r="T23" s="94"/>
      <c r="U23" s="94"/>
      <c r="V23" s="94"/>
      <c r="W23" s="94"/>
      <c r="X23" s="94"/>
      <c r="Y23" s="94"/>
      <c r="Z23" s="94"/>
      <c r="AA23" s="94"/>
      <c r="AB23" s="94"/>
      <c r="AC23" s="94"/>
      <c r="AD23" s="94"/>
      <c r="AE23" s="94"/>
      <c r="AF23" s="94"/>
      <c r="AG23" s="94"/>
    </row>
    <row r="24">
      <c r="A24" s="96" t="s">
        <v>250</v>
      </c>
      <c r="B24" s="95" t="str">
        <f>IFERROR(__xludf.DUMMYFUNCTION("""COMPUTED_VALUE"""),"32044150446391_029")</f>
        <v>32044150446391_029</v>
      </c>
      <c r="C24" s="94" t="str">
        <f>IFERROR(__xludf.DUMMYFUNCTION("""COMPUTED_VALUE""")," 32044150446391_030")</f>
        <v> 32044150446391_030</v>
      </c>
      <c r="D24" s="94" t="str">
        <f>IFERROR(__xludf.DUMMYFUNCTION("""COMPUTED_VALUE""")," 32044150446391_031")</f>
        <v> 32044150446391_031</v>
      </c>
      <c r="E24" s="94" t="str">
        <f>IFERROR(__xludf.DUMMYFUNCTION("""COMPUTED_VALUE""")," 32044150446391_032")</f>
        <v> 32044150446391_032</v>
      </c>
      <c r="F24" s="94"/>
      <c r="G24" s="94"/>
      <c r="H24" s="94"/>
      <c r="I24" s="94"/>
      <c r="J24" s="94"/>
      <c r="K24" s="94"/>
      <c r="L24" s="94"/>
      <c r="M24" s="94"/>
      <c r="N24" s="94"/>
      <c r="O24" s="94"/>
      <c r="P24" s="94"/>
      <c r="Q24" s="94"/>
      <c r="R24" s="94"/>
      <c r="S24" s="94"/>
      <c r="T24" s="94"/>
      <c r="U24" s="94"/>
      <c r="V24" s="94"/>
      <c r="W24" s="94"/>
      <c r="X24" s="94"/>
      <c r="Y24" s="94"/>
      <c r="Z24" s="94"/>
      <c r="AA24" s="94"/>
      <c r="AB24" s="94"/>
      <c r="AC24" s="94"/>
      <c r="AD24" s="94"/>
      <c r="AE24" s="94"/>
      <c r="AF24" s="94"/>
      <c r="AG24" s="94"/>
    </row>
    <row r="25">
      <c r="A25" s="96" t="s">
        <v>259</v>
      </c>
      <c r="B25" s="95" t="str">
        <f>IFERROR(__xludf.DUMMYFUNCTION("""COMPUTED_VALUE"""),"32044150446391_033")</f>
        <v>32044150446391_033</v>
      </c>
      <c r="C25" s="94" t="str">
        <f>IFERROR(__xludf.DUMMYFUNCTION("""COMPUTED_VALUE""")," 32044150446391_034")</f>
        <v> 32044150446391_034</v>
      </c>
      <c r="D25" s="94" t="str">
        <f>IFERROR(__xludf.DUMMYFUNCTION("""COMPUTED_VALUE""")," 32044150446391_035")</f>
        <v> 32044150446391_035</v>
      </c>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row>
    <row r="26">
      <c r="A26" s="96" t="s">
        <v>267</v>
      </c>
      <c r="B26" s="95" t="str">
        <f>IFERROR(__xludf.DUMMYFUNCTION("""COMPUTED_VALUE"""),"32044150446391_036")</f>
        <v>32044150446391_036</v>
      </c>
      <c r="C26" s="94" t="str">
        <f>IFERROR(__xludf.DUMMYFUNCTION("""COMPUTED_VALUE""")," 32044150446391_037")</f>
        <v> 32044150446391_037</v>
      </c>
      <c r="D26" s="94" t="str">
        <f>IFERROR(__xludf.DUMMYFUNCTION("""COMPUTED_VALUE""")," 32044150446391_038")</f>
        <v> 32044150446391_038</v>
      </c>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row>
    <row r="27">
      <c r="A27" s="96" t="s">
        <v>275</v>
      </c>
      <c r="B27" s="95" t="str">
        <f>IFERROR(__xludf.DUMMYFUNCTION("""COMPUTED_VALUE"""),"32044150446391_039")</f>
        <v>32044150446391_039</v>
      </c>
      <c r="C27" s="94" t="str">
        <f>IFERROR(__xludf.DUMMYFUNCTION("""COMPUTED_VALUE""")," 32044150446391_040")</f>
        <v> 32044150446391_040</v>
      </c>
      <c r="D27" s="94" t="str">
        <f>IFERROR(__xludf.DUMMYFUNCTION("""COMPUTED_VALUE""")," 32044150446391_041")</f>
        <v> 32044150446391_041</v>
      </c>
      <c r="E27" s="94" t="str">
        <f>IFERROR(__xludf.DUMMYFUNCTION("""COMPUTED_VALUE""")," 32044150446391_042")</f>
        <v> 32044150446391_042</v>
      </c>
      <c r="F27" s="94" t="str">
        <f>IFERROR(__xludf.DUMMYFUNCTION("""COMPUTED_VALUE""")," 32044150446391_043")</f>
        <v> 32044150446391_043</v>
      </c>
      <c r="G27" s="94" t="str">
        <f>IFERROR(__xludf.DUMMYFUNCTION("""COMPUTED_VALUE""")," 32044150446391_044")</f>
        <v> 32044150446391_044</v>
      </c>
      <c r="H27" s="94" t="str">
        <f>IFERROR(__xludf.DUMMYFUNCTION("""COMPUTED_VALUE""")," 32044150446391_045")</f>
        <v> 32044150446391_045</v>
      </c>
      <c r="I27" s="94" t="str">
        <f>IFERROR(__xludf.DUMMYFUNCTION("""COMPUTED_VALUE""")," 32044150446391_046")</f>
        <v> 32044150446391_046</v>
      </c>
      <c r="J27" s="94" t="str">
        <f>IFERROR(__xludf.DUMMYFUNCTION("""COMPUTED_VALUE""")," 32044150446391_047")</f>
        <v> 32044150446391_047</v>
      </c>
      <c r="K27" s="94"/>
      <c r="L27" s="94"/>
      <c r="M27" s="94"/>
      <c r="N27" s="94"/>
      <c r="O27" s="94"/>
      <c r="P27" s="94"/>
      <c r="Q27" s="94"/>
      <c r="R27" s="94"/>
      <c r="S27" s="94"/>
      <c r="T27" s="94"/>
      <c r="U27" s="94"/>
      <c r="V27" s="94"/>
      <c r="W27" s="94"/>
      <c r="X27" s="94"/>
      <c r="Y27" s="94"/>
      <c r="Z27" s="94"/>
      <c r="AA27" s="94"/>
      <c r="AB27" s="94"/>
      <c r="AC27" s="94"/>
      <c r="AD27" s="94"/>
      <c r="AE27" s="94"/>
      <c r="AF27" s="94"/>
      <c r="AG27" s="94"/>
    </row>
    <row r="28">
      <c r="A28" s="96" t="s">
        <v>283</v>
      </c>
      <c r="B28" s="95" t="str">
        <f>IFERROR(__xludf.DUMMYFUNCTION("""COMPUTED_VALUE"""),"32044150446391_048")</f>
        <v>32044150446391_048</v>
      </c>
      <c r="C28" s="94" t="str">
        <f>IFERROR(__xludf.DUMMYFUNCTION("""COMPUTED_VALUE""")," 32044150446391_049")</f>
        <v> 32044150446391_049</v>
      </c>
      <c r="D28" s="94"/>
      <c r="E28" s="94"/>
      <c r="F28" s="94"/>
      <c r="G28" s="94"/>
      <c r="H28" s="94"/>
      <c r="I28" s="94"/>
      <c r="J28" s="94"/>
      <c r="K28" s="94"/>
      <c r="L28" s="94"/>
      <c r="M28" s="94"/>
      <c r="N28" s="94"/>
      <c r="O28" s="94"/>
      <c r="P28" s="94"/>
      <c r="Q28" s="94"/>
      <c r="R28" s="94"/>
      <c r="S28" s="94"/>
      <c r="T28" s="94"/>
      <c r="U28" s="94"/>
      <c r="V28" s="94"/>
      <c r="W28" s="94"/>
      <c r="X28" s="94"/>
      <c r="Y28" s="94"/>
      <c r="Z28" s="94"/>
      <c r="AA28" s="94"/>
      <c r="AB28" s="94"/>
      <c r="AC28" s="94"/>
      <c r="AD28" s="94"/>
      <c r="AE28" s="94"/>
      <c r="AF28" s="94"/>
      <c r="AG28" s="94"/>
    </row>
    <row r="29">
      <c r="A29" s="96" t="s">
        <v>292</v>
      </c>
      <c r="B29" s="95" t="str">
        <f>IFERROR(__xludf.DUMMYFUNCTION("""COMPUTED_VALUE"""),"32044150446391_050")</f>
        <v>32044150446391_050</v>
      </c>
      <c r="C29" s="94" t="str">
        <f>IFERROR(__xludf.DUMMYFUNCTION("""COMPUTED_VALUE""")," 32044150446391_051")</f>
        <v> 32044150446391_051</v>
      </c>
      <c r="D29" s="94" t="str">
        <f>IFERROR(__xludf.DUMMYFUNCTION("""COMPUTED_VALUE""")," 32044150446391_052")</f>
        <v> 32044150446391_052</v>
      </c>
      <c r="E29" s="94" t="str">
        <f>IFERROR(__xludf.DUMMYFUNCTION("""COMPUTED_VALUE""")," 32044150446391_053")</f>
        <v> 32044150446391_053</v>
      </c>
      <c r="F29" s="94" t="str">
        <f>IFERROR(__xludf.DUMMYFUNCTION("""COMPUTED_VALUE""")," 32044150446391_054")</f>
        <v> 32044150446391_054</v>
      </c>
      <c r="G29" s="94" t="str">
        <f>IFERROR(__xludf.DUMMYFUNCTION("""COMPUTED_VALUE""")," 32044150446391_055")</f>
        <v> 32044150446391_055</v>
      </c>
      <c r="H29" s="94" t="str">
        <f>IFERROR(__xludf.DUMMYFUNCTION("""COMPUTED_VALUE""")," 32044150446391_056")</f>
        <v> 32044150446391_056</v>
      </c>
      <c r="I29" s="94" t="str">
        <f>IFERROR(__xludf.DUMMYFUNCTION("""COMPUTED_VALUE""")," 32044150446391_057")</f>
        <v> 32044150446391_057</v>
      </c>
      <c r="J29" s="94"/>
      <c r="K29" s="94"/>
      <c r="L29" s="94"/>
      <c r="M29" s="94"/>
      <c r="N29" s="94"/>
      <c r="O29" s="94"/>
      <c r="P29" s="94"/>
      <c r="Q29" s="94"/>
      <c r="R29" s="94"/>
      <c r="S29" s="94"/>
      <c r="T29" s="94"/>
      <c r="U29" s="94"/>
      <c r="V29" s="94"/>
      <c r="W29" s="94"/>
      <c r="X29" s="94"/>
      <c r="Y29" s="94"/>
      <c r="Z29" s="94"/>
      <c r="AA29" s="94"/>
      <c r="AB29" s="94"/>
      <c r="AC29" s="94"/>
      <c r="AD29" s="94"/>
      <c r="AE29" s="94"/>
      <c r="AF29" s="94"/>
      <c r="AG29" s="94"/>
    </row>
    <row r="30">
      <c r="A30" s="96" t="s">
        <v>302</v>
      </c>
      <c r="B30" s="95" t="str">
        <f>IFERROR(__xludf.DUMMYFUNCTION("""COMPUTED_VALUE"""),"32044150446391_058")</f>
        <v>32044150446391_058</v>
      </c>
      <c r="C30" s="94" t="str">
        <f>IFERROR(__xludf.DUMMYFUNCTION("""COMPUTED_VALUE""")," 32044150446391_059")</f>
        <v> 32044150446391_059</v>
      </c>
      <c r="D30" s="94" t="str">
        <f>IFERROR(__xludf.DUMMYFUNCTION("""COMPUTED_VALUE""")," 32044150446391_060")</f>
        <v> 32044150446391_060</v>
      </c>
      <c r="E30" s="94" t="str">
        <f>IFERROR(__xludf.DUMMYFUNCTION("""COMPUTED_VALUE""")," 32044150446391_061")</f>
        <v> 32044150446391_061</v>
      </c>
      <c r="F30" s="94" t="str">
        <f>IFERROR(__xludf.DUMMYFUNCTION("""COMPUTED_VALUE""")," 32044150446391_062")</f>
        <v> 32044150446391_062</v>
      </c>
      <c r="G30" s="94" t="str">
        <f>IFERROR(__xludf.DUMMYFUNCTION("""COMPUTED_VALUE""")," 32044150446391_063")</f>
        <v> 32044150446391_063</v>
      </c>
      <c r="H30" s="94" t="str">
        <f>IFERROR(__xludf.DUMMYFUNCTION("""COMPUTED_VALUE""")," 32044150446391_064")</f>
        <v> 32044150446391_064</v>
      </c>
      <c r="I30" s="94" t="str">
        <f>IFERROR(__xludf.DUMMYFUNCTION("""COMPUTED_VALUE""")," 32044150446391_065")</f>
        <v> 32044150446391_065</v>
      </c>
      <c r="J30" s="94" t="str">
        <f>IFERROR(__xludf.DUMMYFUNCTION("""COMPUTED_VALUE""")," 32044150446391_066")</f>
        <v> 32044150446391_066</v>
      </c>
      <c r="K30" s="94" t="str">
        <f>IFERROR(__xludf.DUMMYFUNCTION("""COMPUTED_VALUE""")," 32044150446391_067")</f>
        <v> 32044150446391_067</v>
      </c>
      <c r="L30" s="94"/>
      <c r="M30" s="94"/>
      <c r="N30" s="94"/>
      <c r="O30" s="94"/>
      <c r="P30" s="94"/>
      <c r="Q30" s="94"/>
      <c r="R30" s="94"/>
      <c r="S30" s="94"/>
      <c r="T30" s="94"/>
      <c r="U30" s="94"/>
      <c r="V30" s="94"/>
      <c r="W30" s="94"/>
      <c r="X30" s="94"/>
      <c r="Y30" s="94"/>
      <c r="Z30" s="94"/>
      <c r="AA30" s="94"/>
      <c r="AB30" s="94"/>
      <c r="AC30" s="94"/>
      <c r="AD30" s="94"/>
      <c r="AE30" s="94"/>
      <c r="AF30" s="94"/>
      <c r="AG30" s="94"/>
    </row>
    <row r="31">
      <c r="A31" s="96" t="s">
        <v>316</v>
      </c>
      <c r="B31" s="95" t="str">
        <f>IFERROR(__xludf.DUMMYFUNCTION("""COMPUTED_VALUE"""),"32044150448389_001")</f>
        <v>32044150448389_001</v>
      </c>
      <c r="C31" s="94" t="str">
        <f>IFERROR(__xludf.DUMMYFUNCTION("""COMPUTED_VALUE""")," 32044150448389_002")</f>
        <v> 32044150448389_002</v>
      </c>
      <c r="D31" s="94" t="str">
        <f>IFERROR(__xludf.DUMMYFUNCTION("""COMPUTED_VALUE""")," 32044150448389_003")</f>
        <v> 32044150448389_003</v>
      </c>
      <c r="E31" s="94" t="str">
        <f>IFERROR(__xludf.DUMMYFUNCTION("""COMPUTED_VALUE""")," 32044150448389_004")</f>
        <v> 32044150448389_004</v>
      </c>
      <c r="F31" s="94" t="str">
        <f>IFERROR(__xludf.DUMMYFUNCTION("""COMPUTED_VALUE""")," 32044150448389_005")</f>
        <v> 32044150448389_005</v>
      </c>
      <c r="G31" s="94" t="str">
        <f>IFERROR(__xludf.DUMMYFUNCTION("""COMPUTED_VALUE""")," 32044150448389_006")</f>
        <v> 32044150448389_006</v>
      </c>
      <c r="H31" s="94" t="str">
        <f>IFERROR(__xludf.DUMMYFUNCTION("""COMPUTED_VALUE""")," 32044150448389_038")</f>
        <v> 32044150448389_038</v>
      </c>
      <c r="I31" s="94" t="str">
        <f>IFERROR(__xludf.DUMMYFUNCTION("""COMPUTED_VALUE""")," 32044150448389_039")</f>
        <v> 32044150448389_039</v>
      </c>
      <c r="J31" s="94" t="str">
        <f>IFERROR(__xludf.DUMMYFUNCTION("""COMPUTED_VALUE""")," 32044150448389_040")</f>
        <v> 32044150448389_040</v>
      </c>
      <c r="K31" s="94"/>
      <c r="L31" s="94"/>
      <c r="M31" s="94"/>
      <c r="N31" s="94"/>
      <c r="O31" s="94"/>
      <c r="P31" s="94"/>
      <c r="Q31" s="94"/>
      <c r="R31" s="94"/>
      <c r="S31" s="94"/>
      <c r="T31" s="94"/>
      <c r="U31" s="94"/>
      <c r="V31" s="94"/>
      <c r="W31" s="94"/>
      <c r="X31" s="94"/>
      <c r="Y31" s="94"/>
      <c r="Z31" s="94"/>
      <c r="AA31" s="94"/>
      <c r="AB31" s="94"/>
      <c r="AC31" s="94"/>
      <c r="AD31" s="94"/>
      <c r="AE31" s="94"/>
      <c r="AF31" s="94"/>
      <c r="AG31" s="94"/>
    </row>
    <row r="32">
      <c r="A32" s="96" t="s">
        <v>326</v>
      </c>
      <c r="B32" s="95" t="str">
        <f>IFERROR(__xludf.DUMMYFUNCTION("""COMPUTED_VALUE"""),"32044150448389_043")</f>
        <v>32044150448389_043</v>
      </c>
      <c r="C32" s="94" t="str">
        <f>IFERROR(__xludf.DUMMYFUNCTION("""COMPUTED_VALUE""")," 32044150448389_044")</f>
        <v> 32044150448389_044</v>
      </c>
      <c r="D32" s="94"/>
      <c r="E32" s="94"/>
      <c r="F32" s="94"/>
      <c r="G32" s="94"/>
      <c r="H32" s="94"/>
      <c r="I32" s="94"/>
      <c r="J32" s="94"/>
      <c r="K32" s="94"/>
      <c r="L32" s="94"/>
      <c r="M32" s="94"/>
      <c r="N32" s="94"/>
      <c r="O32" s="94"/>
      <c r="P32" s="94"/>
      <c r="Q32" s="94"/>
      <c r="R32" s="94"/>
      <c r="S32" s="94"/>
      <c r="T32" s="94"/>
      <c r="U32" s="94"/>
      <c r="V32" s="94"/>
      <c r="W32" s="94"/>
      <c r="X32" s="94"/>
      <c r="Y32" s="94"/>
      <c r="Z32" s="94"/>
      <c r="AA32" s="94"/>
      <c r="AB32" s="94"/>
      <c r="AC32" s="94"/>
      <c r="AD32" s="94"/>
      <c r="AE32" s="94"/>
      <c r="AF32" s="94"/>
      <c r="AG32" s="94"/>
    </row>
    <row r="33">
      <c r="A33" s="96" t="s">
        <v>335</v>
      </c>
      <c r="B33" s="95" t="str">
        <f>IFERROR(__xludf.DUMMYFUNCTION("""COMPUTED_VALUE"""),"32044150448389_045")</f>
        <v>32044150448389_045</v>
      </c>
      <c r="C33" s="94" t="str">
        <f>IFERROR(__xludf.DUMMYFUNCTION("""COMPUTED_VALUE""")," 32044150448389_046")</f>
        <v> 32044150448389_046</v>
      </c>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row>
    <row r="34">
      <c r="A34" s="96" t="s">
        <v>345</v>
      </c>
      <c r="B34" s="95" t="str">
        <f>IFERROR(__xludf.DUMMYFUNCTION("""COMPUTED_VALUE"""),"32044150448389_007")</f>
        <v>32044150448389_007</v>
      </c>
      <c r="C34" s="94" t="str">
        <f>IFERROR(__xludf.DUMMYFUNCTION("""COMPUTED_VALUE""")," 32044150448389_008")</f>
        <v> 32044150448389_008</v>
      </c>
      <c r="D34" s="94" t="str">
        <f>IFERROR(__xludf.DUMMYFUNCTION("""COMPUTED_VALUE""")," 32044150448389_009")</f>
        <v> 32044150448389_009</v>
      </c>
      <c r="E34" s="94" t="str">
        <f>IFERROR(__xludf.DUMMYFUNCTION("""COMPUTED_VALUE""")," 32044150448389_010")</f>
        <v> 32044150448389_010</v>
      </c>
      <c r="F34" s="94" t="str">
        <f>IFERROR(__xludf.DUMMYFUNCTION("""COMPUTED_VALUE""")," 32044150448389_011")</f>
        <v> 32044150448389_011</v>
      </c>
      <c r="G34" s="94" t="str">
        <f>IFERROR(__xludf.DUMMYFUNCTION("""COMPUTED_VALUE""")," 32044150448389_012")</f>
        <v> 32044150448389_012</v>
      </c>
      <c r="H34" s="94" t="str">
        <f>IFERROR(__xludf.DUMMYFUNCTION("""COMPUTED_VALUE""")," 32044150448389_013")</f>
        <v> 32044150448389_013</v>
      </c>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row>
    <row r="35">
      <c r="A35" s="96" t="s">
        <v>354</v>
      </c>
      <c r="B35" s="95" t="str">
        <f>IFERROR(__xludf.DUMMYFUNCTION("""COMPUTED_VALUE"""),"32044150448389_014")</f>
        <v>32044150448389_014</v>
      </c>
      <c r="C35" s="94" t="str">
        <f>IFERROR(__xludf.DUMMYFUNCTION("""COMPUTED_VALUE""")," 32044150448389_015")</f>
        <v> 32044150448389_015</v>
      </c>
      <c r="D35" s="94" t="str">
        <f>IFERROR(__xludf.DUMMYFUNCTION("""COMPUTED_VALUE""")," 32044150448389_016")</f>
        <v> 32044150448389_016</v>
      </c>
      <c r="E35" s="94" t="str">
        <f>IFERROR(__xludf.DUMMYFUNCTION("""COMPUTED_VALUE""")," 32044150448389_017")</f>
        <v> 32044150448389_017</v>
      </c>
      <c r="F35" s="94" t="str">
        <f>IFERROR(__xludf.DUMMYFUNCTION("""COMPUTED_VALUE""")," 32044150448389_018")</f>
        <v> 32044150448389_018</v>
      </c>
      <c r="G35" s="94" t="str">
        <f>IFERROR(__xludf.DUMMYFUNCTION("""COMPUTED_VALUE""")," 32044150448389_019")</f>
        <v> 32044150448389_019</v>
      </c>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row>
    <row r="36">
      <c r="A36" s="96" t="s">
        <v>362</v>
      </c>
      <c r="B36" s="95" t="str">
        <f>IFERROR(__xludf.DUMMYFUNCTION("""COMPUTED_VALUE"""),"32044150448389_031")</f>
        <v>32044150448389_031</v>
      </c>
      <c r="C36" s="94" t="str">
        <f>IFERROR(__xludf.DUMMYFUNCTION("""COMPUTED_VALUE""")," 32044150448389_032")</f>
        <v> 32044150448389_032</v>
      </c>
      <c r="D36" s="94" t="str">
        <f>IFERROR(__xludf.DUMMYFUNCTION("""COMPUTED_VALUE""")," 32044150448389_033")</f>
        <v> 32044150448389_033</v>
      </c>
      <c r="E36" s="94" t="str">
        <f>IFERROR(__xludf.DUMMYFUNCTION("""COMPUTED_VALUE""")," 32044150448389_034")</f>
        <v> 32044150448389_034</v>
      </c>
      <c r="F36" s="94" t="str">
        <f>IFERROR(__xludf.DUMMYFUNCTION("""COMPUTED_VALUE""")," 32044150448389_035")</f>
        <v> 32044150448389_035</v>
      </c>
      <c r="G36" s="94" t="str">
        <f>IFERROR(__xludf.DUMMYFUNCTION("""COMPUTED_VALUE""")," 32044150448389_036")</f>
        <v> 32044150448389_036</v>
      </c>
      <c r="H36" s="94" t="str">
        <f>IFERROR(__xludf.DUMMYFUNCTION("""COMPUTED_VALUE""")," 32044150448389_037")</f>
        <v> 32044150448389_037</v>
      </c>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row>
    <row r="37">
      <c r="A37" s="96" t="s">
        <v>375</v>
      </c>
      <c r="B37" s="95" t="str">
        <f>IFERROR(__xludf.DUMMYFUNCTION("""COMPUTED_VALUE"""),"32044150448389_020")</f>
        <v>32044150448389_020</v>
      </c>
      <c r="C37" s="94" t="str">
        <f>IFERROR(__xludf.DUMMYFUNCTION("""COMPUTED_VALUE""")," 32044150448389_021")</f>
        <v> 32044150448389_021</v>
      </c>
      <c r="D37" s="94" t="str">
        <f>IFERROR(__xludf.DUMMYFUNCTION("""COMPUTED_VALUE""")," 32044150448389_022")</f>
        <v> 32044150448389_022</v>
      </c>
      <c r="E37" s="94" t="str">
        <f>IFERROR(__xludf.DUMMYFUNCTION("""COMPUTED_VALUE""")," 32044150448389_023")</f>
        <v> 32044150448389_023</v>
      </c>
      <c r="F37" s="94" t="str">
        <f>IFERROR(__xludf.DUMMYFUNCTION("""COMPUTED_VALUE""")," 32044150448389_024")</f>
        <v> 32044150448389_024</v>
      </c>
      <c r="G37" s="94" t="str">
        <f>IFERROR(__xludf.DUMMYFUNCTION("""COMPUTED_VALUE""")," 32044150448389_025")</f>
        <v> 32044150448389_025</v>
      </c>
      <c r="H37" s="94" t="str">
        <f>IFERROR(__xludf.DUMMYFUNCTION("""COMPUTED_VALUE""")," 32044150448389_026")</f>
        <v> 32044150448389_026</v>
      </c>
      <c r="I37" s="94" t="str">
        <f>IFERROR(__xludf.DUMMYFUNCTION("""COMPUTED_VALUE""")," 32044150448389_027")</f>
        <v> 32044150448389_027</v>
      </c>
      <c r="J37" s="94" t="str">
        <f>IFERROR(__xludf.DUMMYFUNCTION("""COMPUTED_VALUE""")," 32044150448389_028")</f>
        <v> 32044150448389_028</v>
      </c>
      <c r="K37" s="94" t="str">
        <f>IFERROR(__xludf.DUMMYFUNCTION("""COMPUTED_VALUE""")," 32044150448389_029")</f>
        <v> 32044150448389_029</v>
      </c>
      <c r="L37" s="94" t="str">
        <f>IFERROR(__xludf.DUMMYFUNCTION("""COMPUTED_VALUE""")," 32044150448389_030")</f>
        <v> 32044150448389_030</v>
      </c>
      <c r="M37" s="94"/>
      <c r="N37" s="94"/>
      <c r="O37" s="94"/>
      <c r="P37" s="94"/>
      <c r="Q37" s="94"/>
      <c r="R37" s="94"/>
      <c r="S37" s="94"/>
      <c r="T37" s="94"/>
      <c r="U37" s="94"/>
      <c r="V37" s="94"/>
      <c r="W37" s="94"/>
      <c r="X37" s="94"/>
      <c r="Y37" s="94"/>
      <c r="Z37" s="94"/>
      <c r="AA37" s="94"/>
      <c r="AB37" s="94"/>
      <c r="AC37" s="94"/>
      <c r="AD37" s="94"/>
      <c r="AE37" s="94"/>
      <c r="AF37" s="94"/>
      <c r="AG37" s="94"/>
    </row>
    <row r="38">
      <c r="A38" s="96" t="s">
        <v>382</v>
      </c>
      <c r="B38" s="95" t="str">
        <f>IFERROR(__xludf.DUMMYFUNCTION("""COMPUTED_VALUE"""),"32044150448389_041")</f>
        <v>32044150448389_041</v>
      </c>
      <c r="C38" s="94" t="str">
        <f>IFERROR(__xludf.DUMMYFUNCTION("""COMPUTED_VALUE""")," 32044150448389_042")</f>
        <v> 32044150448389_042</v>
      </c>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c r="AE38" s="94"/>
      <c r="AF38" s="94"/>
      <c r="AG38" s="94"/>
    </row>
    <row r="39">
      <c r="A39" s="96" t="s">
        <v>388</v>
      </c>
      <c r="B39" s="95" t="str">
        <f>IFERROR(__xludf.DUMMYFUNCTION("""COMPUTED_VALUE"""),"32044150448389_052")</f>
        <v>32044150448389_052</v>
      </c>
      <c r="C39" s="94" t="str">
        <f>IFERROR(__xludf.DUMMYFUNCTION("""COMPUTED_VALUE""")," 32044150448389_053")</f>
        <v> 32044150448389_053</v>
      </c>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row>
    <row r="40">
      <c r="A40" s="96" t="s">
        <v>399</v>
      </c>
      <c r="B40" s="95" t="str">
        <f>IFERROR(__xludf.DUMMYFUNCTION("""COMPUTED_VALUE"""),"32044150448389_047")</f>
        <v>32044150448389_047</v>
      </c>
      <c r="C40" s="94" t="str">
        <f>IFERROR(__xludf.DUMMYFUNCTION("""COMPUTED_VALUE""")," 32044150448389_048")</f>
        <v> 32044150448389_048</v>
      </c>
      <c r="D40" s="94" t="str">
        <f>IFERROR(__xludf.DUMMYFUNCTION("""COMPUTED_VALUE""")," 32044150448389_049")</f>
        <v> 32044150448389_049</v>
      </c>
      <c r="E40" s="94" t="str">
        <f>IFERROR(__xludf.DUMMYFUNCTION("""COMPUTED_VALUE""")," 32044150448389_050")</f>
        <v> 32044150448389_050</v>
      </c>
      <c r="F40" s="94" t="str">
        <f>IFERROR(__xludf.DUMMYFUNCTION("""COMPUTED_VALUE""")," 32044150448389_051")</f>
        <v> 32044150448389_051</v>
      </c>
      <c r="G40" s="94"/>
      <c r="H40" s="94"/>
      <c r="I40" s="94"/>
      <c r="J40" s="94"/>
      <c r="K40" s="94"/>
      <c r="L40" s="94"/>
      <c r="M40" s="94"/>
      <c r="N40" s="94"/>
      <c r="O40" s="94"/>
      <c r="P40" s="94"/>
      <c r="Q40" s="94"/>
      <c r="R40" s="94"/>
      <c r="S40" s="94"/>
      <c r="T40" s="94"/>
      <c r="U40" s="94"/>
      <c r="V40" s="94"/>
      <c r="W40" s="94"/>
      <c r="X40" s="94"/>
      <c r="Y40" s="94"/>
      <c r="Z40" s="94"/>
      <c r="AA40" s="94"/>
      <c r="AB40" s="94"/>
      <c r="AC40" s="94"/>
      <c r="AD40" s="94"/>
      <c r="AE40" s="94"/>
      <c r="AF40" s="94"/>
      <c r="AG40" s="94"/>
    </row>
    <row r="41">
      <c r="A41" s="96" t="s">
        <v>410</v>
      </c>
      <c r="B41" s="95" t="str">
        <f>IFERROR(__xludf.DUMMYFUNCTION("""COMPUTED_VALUE"""),"32044150448397_001")</f>
        <v>32044150448397_001</v>
      </c>
      <c r="C41" s="94" t="str">
        <f>IFERROR(__xludf.DUMMYFUNCTION("""COMPUTED_VALUE""")," 32044150448397_002")</f>
        <v> 32044150448397_002</v>
      </c>
      <c r="D41" s="94" t="str">
        <f>IFERROR(__xludf.DUMMYFUNCTION("""COMPUTED_VALUE""")," 32044150448397_003")</f>
        <v> 32044150448397_003</v>
      </c>
      <c r="E41" s="94"/>
      <c r="F41" s="94"/>
      <c r="G41" s="94"/>
      <c r="H41" s="94"/>
      <c r="I41" s="94"/>
      <c r="J41" s="94"/>
      <c r="K41" s="94"/>
      <c r="L41" s="94"/>
      <c r="M41" s="94"/>
      <c r="N41" s="94"/>
      <c r="O41" s="94"/>
      <c r="P41" s="94"/>
      <c r="Q41" s="94"/>
      <c r="R41" s="94"/>
      <c r="S41" s="94"/>
      <c r="T41" s="94"/>
      <c r="U41" s="94"/>
      <c r="V41" s="94"/>
      <c r="W41" s="94"/>
      <c r="X41" s="94"/>
      <c r="Y41" s="94"/>
      <c r="Z41" s="94"/>
      <c r="AA41" s="94"/>
      <c r="AB41" s="94"/>
      <c r="AC41" s="94"/>
      <c r="AD41" s="94"/>
      <c r="AE41" s="94"/>
      <c r="AF41" s="94"/>
      <c r="AG41" s="94"/>
    </row>
    <row r="42">
      <c r="A42" s="96" t="s">
        <v>418</v>
      </c>
      <c r="B42" s="95" t="str">
        <f>IFERROR(__xludf.DUMMYFUNCTION("""COMPUTED_VALUE"""),"32044150448397_004")</f>
        <v>32044150448397_004</v>
      </c>
      <c r="C42" s="94" t="str">
        <f>IFERROR(__xludf.DUMMYFUNCTION("""COMPUTED_VALUE""")," 32044150448397_005")</f>
        <v> 32044150448397_005</v>
      </c>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c r="AG42" s="94"/>
    </row>
    <row r="43">
      <c r="A43" s="96" t="s">
        <v>426</v>
      </c>
      <c r="B43" s="95" t="str">
        <f>IFERROR(__xludf.DUMMYFUNCTION("""COMPUTED_VALUE"""),"32044150448397_006")</f>
        <v>32044150448397_006</v>
      </c>
      <c r="C43" s="94" t="str">
        <f>IFERROR(__xludf.DUMMYFUNCTION("""COMPUTED_VALUE""")," 32044150448397_007")</f>
        <v> 32044150448397_007</v>
      </c>
      <c r="D43" s="94" t="str">
        <f>IFERROR(__xludf.DUMMYFUNCTION("""COMPUTED_VALUE""")," 32044150448397_008")</f>
        <v> 32044150448397_008</v>
      </c>
      <c r="E43" s="94"/>
      <c r="F43" s="94"/>
      <c r="G43" s="94"/>
      <c r="H43" s="94"/>
      <c r="I43" s="94"/>
      <c r="J43" s="94"/>
      <c r="K43" s="94"/>
      <c r="L43" s="94"/>
      <c r="M43" s="94"/>
      <c r="N43" s="94"/>
      <c r="O43" s="94"/>
      <c r="P43" s="94"/>
      <c r="Q43" s="94"/>
      <c r="R43" s="94"/>
      <c r="S43" s="94"/>
      <c r="T43" s="94"/>
      <c r="U43" s="94"/>
      <c r="V43" s="94"/>
      <c r="W43" s="94"/>
      <c r="X43" s="94"/>
      <c r="Y43" s="94"/>
      <c r="Z43" s="94"/>
      <c r="AA43" s="94"/>
      <c r="AB43" s="94"/>
      <c r="AC43" s="94"/>
      <c r="AD43" s="94"/>
      <c r="AE43" s="94"/>
      <c r="AF43" s="94"/>
      <c r="AG43" s="94"/>
    </row>
    <row r="44">
      <c r="A44" s="96" t="s">
        <v>435</v>
      </c>
      <c r="B44" s="95" t="str">
        <f>IFERROR(__xludf.DUMMYFUNCTION("""COMPUTED_VALUE"""),"32044150448397_009")</f>
        <v>32044150448397_009</v>
      </c>
      <c r="C44" s="94" t="str">
        <f>IFERROR(__xludf.DUMMYFUNCTION("""COMPUTED_VALUE""")," 32044150448397_010")</f>
        <v> 32044150448397_010</v>
      </c>
      <c r="D44" s="94" t="str">
        <f>IFERROR(__xludf.DUMMYFUNCTION("""COMPUTED_VALUE""")," 32044150448397_011")</f>
        <v> 32044150448397_011</v>
      </c>
      <c r="E44" s="94" t="str">
        <f>IFERROR(__xludf.DUMMYFUNCTION("""COMPUTED_VALUE""")," 32044150448397_012")</f>
        <v> 32044150448397_012</v>
      </c>
      <c r="F44" s="94" t="str">
        <f>IFERROR(__xludf.DUMMYFUNCTION("""COMPUTED_VALUE""")," 32044150448397_013")</f>
        <v> 32044150448397_013</v>
      </c>
      <c r="G44" s="94" t="str">
        <f>IFERROR(__xludf.DUMMYFUNCTION("""COMPUTED_VALUE""")," 32044150448397_014")</f>
        <v> 32044150448397_014</v>
      </c>
      <c r="H44" s="94" t="str">
        <f>IFERROR(__xludf.DUMMYFUNCTION("""COMPUTED_VALUE""")," 32044150448397_015")</f>
        <v> 32044150448397_015</v>
      </c>
      <c r="I44" s="94"/>
      <c r="J44" s="94"/>
      <c r="K44" s="94"/>
      <c r="L44" s="94"/>
      <c r="M44" s="94"/>
      <c r="N44" s="94"/>
      <c r="O44" s="94"/>
      <c r="P44" s="94"/>
      <c r="Q44" s="94"/>
      <c r="R44" s="94"/>
      <c r="S44" s="94"/>
      <c r="T44" s="94"/>
      <c r="U44" s="94"/>
      <c r="V44" s="94"/>
      <c r="W44" s="94"/>
      <c r="X44" s="94"/>
      <c r="Y44" s="94"/>
      <c r="Z44" s="94"/>
      <c r="AA44" s="94"/>
      <c r="AB44" s="94"/>
      <c r="AC44" s="94"/>
      <c r="AD44" s="94"/>
      <c r="AE44" s="94"/>
      <c r="AF44" s="94"/>
      <c r="AG44" s="94"/>
    </row>
    <row r="45">
      <c r="A45" s="96" t="s">
        <v>444</v>
      </c>
      <c r="B45" s="95" t="str">
        <f>IFERROR(__xludf.DUMMYFUNCTION("""COMPUTED_VALUE"""),"32044150448397_016")</f>
        <v>32044150448397_016</v>
      </c>
      <c r="C45" s="94" t="str">
        <f>IFERROR(__xludf.DUMMYFUNCTION("""COMPUTED_VALUE""")," 32044150448397_017")</f>
        <v> 32044150448397_017</v>
      </c>
      <c r="D45" s="94" t="str">
        <f>IFERROR(__xludf.DUMMYFUNCTION("""COMPUTED_VALUE""")," 32044150448397_018")</f>
        <v> 32044150448397_018</v>
      </c>
      <c r="E45" s="94" t="str">
        <f>IFERROR(__xludf.DUMMYFUNCTION("""COMPUTED_VALUE""")," 32044150448397_019")</f>
        <v> 32044150448397_019</v>
      </c>
      <c r="F45" s="94" t="str">
        <f>IFERROR(__xludf.DUMMYFUNCTION("""COMPUTED_VALUE""")," 32044150448397_020")</f>
        <v> 32044150448397_020</v>
      </c>
      <c r="G45" s="94" t="str">
        <f>IFERROR(__xludf.DUMMYFUNCTION("""COMPUTED_VALUE""")," 32044150448397_021")</f>
        <v> 32044150448397_021</v>
      </c>
      <c r="H45" s="94"/>
      <c r="I45" s="94"/>
      <c r="J45" s="94"/>
      <c r="K45" s="94"/>
      <c r="L45" s="94"/>
      <c r="M45" s="94"/>
      <c r="N45" s="94"/>
      <c r="O45" s="94"/>
      <c r="P45" s="94"/>
      <c r="Q45" s="94"/>
      <c r="R45" s="94"/>
      <c r="S45" s="94"/>
      <c r="T45" s="94"/>
      <c r="U45" s="94"/>
      <c r="V45" s="94"/>
      <c r="W45" s="94"/>
      <c r="X45" s="94"/>
      <c r="Y45" s="94"/>
      <c r="Z45" s="94"/>
      <c r="AA45" s="94"/>
      <c r="AB45" s="94"/>
      <c r="AC45" s="94"/>
      <c r="AD45" s="94"/>
      <c r="AE45" s="94"/>
      <c r="AF45" s="94"/>
      <c r="AG45" s="94"/>
    </row>
    <row r="46">
      <c r="A46" s="96" t="s">
        <v>453</v>
      </c>
      <c r="B46" s="95" t="str">
        <f>IFERROR(__xludf.DUMMYFUNCTION("""COMPUTED_VALUE"""),"32044150448397_022")</f>
        <v>32044150448397_022</v>
      </c>
      <c r="C46" s="94" t="str">
        <f>IFERROR(__xludf.DUMMYFUNCTION("""COMPUTED_VALUE""")," 32044150448397_023")</f>
        <v> 32044150448397_023</v>
      </c>
      <c r="D46" s="94" t="str">
        <f>IFERROR(__xludf.DUMMYFUNCTION("""COMPUTED_VALUE""")," 32044150448397_024")</f>
        <v> 32044150448397_024</v>
      </c>
      <c r="E46" s="94" t="str">
        <f>IFERROR(__xludf.DUMMYFUNCTION("""COMPUTED_VALUE""")," 32044150448397_025")</f>
        <v> 32044150448397_025</v>
      </c>
      <c r="F46" s="94" t="str">
        <f>IFERROR(__xludf.DUMMYFUNCTION("""COMPUTED_VALUE""")," 32044150448397_026")</f>
        <v> 32044150448397_026</v>
      </c>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row>
    <row r="47">
      <c r="A47" s="96" t="s">
        <v>463</v>
      </c>
      <c r="B47" s="95" t="str">
        <f>IFERROR(__xludf.DUMMYFUNCTION("""COMPUTED_VALUE"""),"32044150448397_027")</f>
        <v>32044150448397_027</v>
      </c>
      <c r="C47" s="94" t="str">
        <f>IFERROR(__xludf.DUMMYFUNCTION("""COMPUTED_VALUE""")," 32044150448397_028")</f>
        <v> 32044150448397_028</v>
      </c>
      <c r="D47" s="94" t="str">
        <f>IFERROR(__xludf.DUMMYFUNCTION("""COMPUTED_VALUE""")," 32044150448397_029")</f>
        <v> 32044150448397_029</v>
      </c>
      <c r="E47" s="94" t="str">
        <f>IFERROR(__xludf.DUMMYFUNCTION("""COMPUTED_VALUE""")," 32044150448397_030")</f>
        <v> 32044150448397_030</v>
      </c>
      <c r="F47" s="94" t="str">
        <f>IFERROR(__xludf.DUMMYFUNCTION("""COMPUTED_VALUE""")," 32044150448397_031")</f>
        <v> 32044150448397_031</v>
      </c>
      <c r="G47" s="94" t="str">
        <f>IFERROR(__xludf.DUMMYFUNCTION("""COMPUTED_VALUE""")," 32044150448397_032")</f>
        <v> 32044150448397_032</v>
      </c>
      <c r="H47" s="94" t="str">
        <f>IFERROR(__xludf.DUMMYFUNCTION("""COMPUTED_VALUE""")," 32044150448397_033")</f>
        <v> 32044150448397_033</v>
      </c>
      <c r="I47" s="94"/>
      <c r="J47" s="94"/>
      <c r="K47" s="94"/>
      <c r="L47" s="94"/>
      <c r="M47" s="94"/>
      <c r="N47" s="94"/>
      <c r="O47" s="94"/>
      <c r="P47" s="94"/>
      <c r="Q47" s="94"/>
      <c r="R47" s="94"/>
      <c r="S47" s="94"/>
      <c r="T47" s="94"/>
      <c r="U47" s="94"/>
      <c r="V47" s="94"/>
      <c r="W47" s="94"/>
      <c r="X47" s="94"/>
      <c r="Y47" s="94"/>
      <c r="Z47" s="94"/>
      <c r="AA47" s="94"/>
      <c r="AB47" s="94"/>
      <c r="AC47" s="94"/>
      <c r="AD47" s="94"/>
      <c r="AE47" s="94"/>
      <c r="AF47" s="94"/>
      <c r="AG47" s="94"/>
    </row>
    <row r="48">
      <c r="A48" s="96" t="s">
        <v>469</v>
      </c>
      <c r="B48" s="95" t="str">
        <f>IFERROR(__xludf.DUMMYFUNCTION("""COMPUTED_VALUE"""),"32044150448397_034")</f>
        <v>32044150448397_034</v>
      </c>
      <c r="C48" s="94" t="str">
        <f>IFERROR(__xludf.DUMMYFUNCTION("""COMPUTED_VALUE""")," 32044150448397_035")</f>
        <v> 32044150448397_035</v>
      </c>
      <c r="D48" s="94" t="str">
        <f>IFERROR(__xludf.DUMMYFUNCTION("""COMPUTED_VALUE""")," 32044150448397_036")</f>
        <v> 32044150448397_036</v>
      </c>
      <c r="E48" s="94" t="str">
        <f>IFERROR(__xludf.DUMMYFUNCTION("""COMPUTED_VALUE""")," 32044150448397_037")</f>
        <v> 32044150448397_037</v>
      </c>
      <c r="F48" s="94"/>
      <c r="G48" s="94"/>
      <c r="H48" s="94"/>
      <c r="I48" s="94"/>
      <c r="J48" s="94"/>
      <c r="K48" s="94"/>
      <c r="L48" s="94"/>
      <c r="M48" s="94"/>
      <c r="N48" s="94"/>
      <c r="O48" s="94"/>
      <c r="P48" s="94"/>
      <c r="Q48" s="94"/>
      <c r="R48" s="94"/>
      <c r="S48" s="94"/>
      <c r="T48" s="94"/>
      <c r="U48" s="94"/>
      <c r="V48" s="94"/>
      <c r="W48" s="94"/>
      <c r="X48" s="94"/>
      <c r="Y48" s="94"/>
      <c r="Z48" s="94"/>
      <c r="AA48" s="94"/>
      <c r="AB48" s="94"/>
      <c r="AC48" s="94"/>
      <c r="AD48" s="94"/>
      <c r="AE48" s="94"/>
      <c r="AF48" s="94"/>
      <c r="AG48" s="94"/>
    </row>
    <row r="49">
      <c r="A49" s="96" t="s">
        <v>480</v>
      </c>
      <c r="B49" s="95" t="str">
        <f>IFERROR(__xludf.DUMMYFUNCTION("""COMPUTED_VALUE"""),"32044150448397_038")</f>
        <v>32044150448397_038</v>
      </c>
      <c r="C49" s="94" t="str">
        <f>IFERROR(__xludf.DUMMYFUNCTION("""COMPUTED_VALUE""")," 32044150448397_039")</f>
        <v> 32044150448397_039</v>
      </c>
      <c r="D49" s="94" t="str">
        <f>IFERROR(__xludf.DUMMYFUNCTION("""COMPUTED_VALUE""")," 32044150448397_040")</f>
        <v> 32044150448397_040</v>
      </c>
      <c r="E49" s="94" t="str">
        <f>IFERROR(__xludf.DUMMYFUNCTION("""COMPUTED_VALUE""")," 32044150448397_041")</f>
        <v> 32044150448397_041</v>
      </c>
      <c r="F49" s="94" t="str">
        <f>IFERROR(__xludf.DUMMYFUNCTION("""COMPUTED_VALUE""")," 32044150448397_042")</f>
        <v> 32044150448397_042</v>
      </c>
      <c r="G49" s="94" t="str">
        <f>IFERROR(__xludf.DUMMYFUNCTION("""COMPUTED_VALUE""")," 32044150448397_043")</f>
        <v> 32044150448397_043</v>
      </c>
      <c r="H49" s="94" t="str">
        <f>IFERROR(__xludf.DUMMYFUNCTION("""COMPUTED_VALUE""")," 32044150448397_044")</f>
        <v> 32044150448397_044</v>
      </c>
      <c r="I49" s="94" t="str">
        <f>IFERROR(__xludf.DUMMYFUNCTION("""COMPUTED_VALUE""")," 32044150448397_045")</f>
        <v> 32044150448397_045</v>
      </c>
      <c r="J49" s="94" t="str">
        <f>IFERROR(__xludf.DUMMYFUNCTION("""COMPUTED_VALUE""")," 32044150448397_046")</f>
        <v> 32044150448397_046</v>
      </c>
      <c r="K49" s="94" t="str">
        <f>IFERROR(__xludf.DUMMYFUNCTION("""COMPUTED_VALUE""")," 32044150448397_047")</f>
        <v> 32044150448397_047</v>
      </c>
      <c r="L49" s="94" t="str">
        <f>IFERROR(__xludf.DUMMYFUNCTION("""COMPUTED_VALUE""")," 32044150448397_048")</f>
        <v> 32044150448397_048</v>
      </c>
      <c r="M49" s="94" t="str">
        <f>IFERROR(__xludf.DUMMYFUNCTION("""COMPUTED_VALUE""")," 32044150448397_049")</f>
        <v> 32044150448397_049</v>
      </c>
      <c r="N49" s="94" t="str">
        <f>IFERROR(__xludf.DUMMYFUNCTION("""COMPUTED_VALUE""")," 32044150448397_050")</f>
        <v> 32044150448397_050</v>
      </c>
      <c r="O49" s="94" t="str">
        <f>IFERROR(__xludf.DUMMYFUNCTION("""COMPUTED_VALUE""")," 32044150448397_051")</f>
        <v> 32044150448397_051</v>
      </c>
      <c r="P49" s="94" t="str">
        <f>IFERROR(__xludf.DUMMYFUNCTION("""COMPUTED_VALUE""")," 32044150448397_052")</f>
        <v> 32044150448397_052</v>
      </c>
      <c r="Q49" s="94" t="str">
        <f>IFERROR(__xludf.DUMMYFUNCTION("""COMPUTED_VALUE""")," 32044150448397_053")</f>
        <v> 32044150448397_053</v>
      </c>
      <c r="R49" s="94" t="str">
        <f>IFERROR(__xludf.DUMMYFUNCTION("""COMPUTED_VALUE""")," 32044150448397_054")</f>
        <v> 32044150448397_054</v>
      </c>
      <c r="S49" s="94" t="str">
        <f>IFERROR(__xludf.DUMMYFUNCTION("""COMPUTED_VALUE""")," 32044150448397_055")</f>
        <v> 32044150448397_055</v>
      </c>
      <c r="T49" s="94" t="str">
        <f>IFERROR(__xludf.DUMMYFUNCTION("""COMPUTED_VALUE""")," 32044150448397_056")</f>
        <v> 32044150448397_056</v>
      </c>
      <c r="U49" s="94"/>
      <c r="V49" s="94"/>
      <c r="W49" s="94"/>
      <c r="X49" s="94"/>
      <c r="Y49" s="94"/>
      <c r="Z49" s="94"/>
      <c r="AA49" s="94"/>
      <c r="AB49" s="94"/>
      <c r="AC49" s="94"/>
      <c r="AD49" s="94"/>
      <c r="AE49" s="94"/>
      <c r="AF49" s="94"/>
      <c r="AG49" s="94"/>
    </row>
    <row r="50">
      <c r="A50" s="96" t="s">
        <v>489</v>
      </c>
      <c r="B50" s="95" t="str">
        <f>IFERROR(__xludf.DUMMYFUNCTION("""COMPUTED_VALUE"""),"32044150448397_057")</f>
        <v>32044150448397_057</v>
      </c>
      <c r="C50" s="94" t="str">
        <f>IFERROR(__xludf.DUMMYFUNCTION("""COMPUTED_VALUE""")," 32044150448397_058")</f>
        <v> 32044150448397_058</v>
      </c>
      <c r="D50" s="94" t="str">
        <f>IFERROR(__xludf.DUMMYFUNCTION("""COMPUTED_VALUE""")," 32044150448397_059")</f>
        <v> 32044150448397_059</v>
      </c>
      <c r="E50" s="94" t="str">
        <f>IFERROR(__xludf.DUMMYFUNCTION("""COMPUTED_VALUE""")," 32044150448397_060")</f>
        <v> 32044150448397_060</v>
      </c>
      <c r="F50" s="94" t="str">
        <f>IFERROR(__xludf.DUMMYFUNCTION("""COMPUTED_VALUE""")," 32044150448397_061")</f>
        <v> 32044150448397_061</v>
      </c>
      <c r="G50" s="94" t="str">
        <f>IFERROR(__xludf.DUMMYFUNCTION("""COMPUTED_VALUE""")," 32044150448397_062")</f>
        <v> 32044150448397_062</v>
      </c>
      <c r="H50" s="94" t="str">
        <f>IFERROR(__xludf.DUMMYFUNCTION("""COMPUTED_VALUE""")," 32044150448397_073")</f>
        <v> 32044150448397_073</v>
      </c>
      <c r="I50" s="94" t="str">
        <f>IFERROR(__xludf.DUMMYFUNCTION("""COMPUTED_VALUE""")," 32044150448397_064")</f>
        <v> 32044150448397_064</v>
      </c>
      <c r="J50" s="94"/>
      <c r="K50" s="94"/>
      <c r="L50" s="94"/>
      <c r="M50" s="94"/>
      <c r="N50" s="94"/>
      <c r="O50" s="94"/>
      <c r="P50" s="94"/>
      <c r="Q50" s="94"/>
      <c r="R50" s="94"/>
      <c r="S50" s="94"/>
      <c r="T50" s="94"/>
      <c r="U50" s="94"/>
      <c r="V50" s="94"/>
      <c r="W50" s="94"/>
      <c r="X50" s="94"/>
      <c r="Y50" s="94"/>
      <c r="Z50" s="94"/>
      <c r="AA50" s="94"/>
      <c r="AB50" s="94"/>
      <c r="AC50" s="94"/>
      <c r="AD50" s="94"/>
      <c r="AE50" s="94"/>
      <c r="AF50" s="94"/>
      <c r="AG50" s="94"/>
    </row>
    <row r="51">
      <c r="A51" s="96" t="s">
        <v>501</v>
      </c>
      <c r="B51" s="95" t="str">
        <f>IFERROR(__xludf.DUMMYFUNCTION("""COMPUTED_VALUE"""),"32044150448405_001")</f>
        <v>32044150448405_001</v>
      </c>
      <c r="C51" s="94" t="str">
        <f>IFERROR(__xludf.DUMMYFUNCTION("""COMPUTED_VALUE""")," 32044150448405_002")</f>
        <v> 32044150448405_002</v>
      </c>
      <c r="D51" s="94" t="str">
        <f>IFERROR(__xludf.DUMMYFUNCTION("""COMPUTED_VALUE""")," 32044150448405_003")</f>
        <v> 32044150448405_003</v>
      </c>
      <c r="E51" s="94"/>
      <c r="F51" s="94"/>
      <c r="G51" s="94"/>
      <c r="H51" s="94"/>
      <c r="I51" s="94"/>
      <c r="J51" s="94"/>
      <c r="K51" s="94"/>
      <c r="L51" s="94"/>
      <c r="M51" s="94"/>
      <c r="N51" s="94"/>
      <c r="O51" s="94"/>
      <c r="P51" s="94"/>
      <c r="Q51" s="94"/>
      <c r="R51" s="94"/>
      <c r="S51" s="94"/>
      <c r="T51" s="94"/>
      <c r="U51" s="94"/>
      <c r="V51" s="94"/>
      <c r="W51" s="94"/>
      <c r="X51" s="94"/>
      <c r="Y51" s="94"/>
      <c r="Z51" s="94"/>
      <c r="AA51" s="94"/>
      <c r="AB51" s="94"/>
      <c r="AC51" s="94"/>
      <c r="AD51" s="94"/>
      <c r="AE51" s="94"/>
      <c r="AF51" s="94"/>
      <c r="AG51" s="94"/>
    </row>
    <row r="52">
      <c r="A52" s="96" t="s">
        <v>509</v>
      </c>
      <c r="B52" s="95" t="str">
        <f>IFERROR(__xludf.DUMMYFUNCTION("""COMPUTED_VALUE"""),"32044150448405_004")</f>
        <v>32044150448405_004</v>
      </c>
      <c r="C52" s="94" t="str">
        <f>IFERROR(__xludf.DUMMYFUNCTION("""COMPUTED_VALUE""")," 32044150448405_005")</f>
        <v> 32044150448405_005</v>
      </c>
      <c r="D52" s="94" t="str">
        <f>IFERROR(__xludf.DUMMYFUNCTION("""COMPUTED_VALUE""")," 32044150448405_006")</f>
        <v> 32044150448405_006</v>
      </c>
      <c r="E52" s="94" t="str">
        <f>IFERROR(__xludf.DUMMYFUNCTION("""COMPUTED_VALUE""")," 32044150448405_007")</f>
        <v> 32044150448405_007</v>
      </c>
      <c r="F52" s="94" t="str">
        <f>IFERROR(__xludf.DUMMYFUNCTION("""COMPUTED_VALUE""")," 32044150448405_008")</f>
        <v> 32044150448405_008</v>
      </c>
      <c r="G52" s="94" t="str">
        <f>IFERROR(__xludf.DUMMYFUNCTION("""COMPUTED_VALUE""")," 32044150448405_009")</f>
        <v> 32044150448405_009</v>
      </c>
      <c r="H52" s="94" t="str">
        <f>IFERROR(__xludf.DUMMYFUNCTION("""COMPUTED_VALUE""")," 32044150448405_010")</f>
        <v> 32044150448405_010</v>
      </c>
      <c r="I52" s="94"/>
      <c r="J52" s="94"/>
      <c r="K52" s="94"/>
      <c r="L52" s="94"/>
      <c r="M52" s="94"/>
      <c r="N52" s="94"/>
      <c r="O52" s="94"/>
      <c r="P52" s="94"/>
      <c r="Q52" s="94"/>
      <c r="R52" s="94"/>
      <c r="S52" s="94"/>
      <c r="T52" s="94"/>
      <c r="U52" s="94"/>
      <c r="V52" s="94"/>
      <c r="W52" s="94"/>
      <c r="X52" s="94"/>
      <c r="Y52" s="94"/>
      <c r="Z52" s="94"/>
      <c r="AA52" s="94"/>
      <c r="AB52" s="94"/>
      <c r="AC52" s="94"/>
      <c r="AD52" s="94"/>
      <c r="AE52" s="94"/>
      <c r="AF52" s="94"/>
      <c r="AG52" s="94"/>
    </row>
    <row r="53">
      <c r="A53" s="96" t="s">
        <v>518</v>
      </c>
      <c r="B53" s="95" t="str">
        <f>IFERROR(__xludf.DUMMYFUNCTION("""COMPUTED_VALUE"""),"32044150448405_011")</f>
        <v>32044150448405_011</v>
      </c>
      <c r="C53" s="94" t="str">
        <f>IFERROR(__xludf.DUMMYFUNCTION("""COMPUTED_VALUE""")," 32044150448405_012")</f>
        <v> 32044150448405_012</v>
      </c>
      <c r="D53" s="94" t="str">
        <f>IFERROR(__xludf.DUMMYFUNCTION("""COMPUTED_VALUE""")," 32044150448405_013")</f>
        <v> 32044150448405_013</v>
      </c>
      <c r="E53" s="94" t="str">
        <f>IFERROR(__xludf.DUMMYFUNCTION("""COMPUTED_VALUE""")," 32044150448405_014")</f>
        <v> 32044150448405_014</v>
      </c>
      <c r="F53" s="94" t="str">
        <f>IFERROR(__xludf.DUMMYFUNCTION("""COMPUTED_VALUE""")," 32044150448405_015")</f>
        <v> 32044150448405_015</v>
      </c>
      <c r="G53" s="94" t="str">
        <f>IFERROR(__xludf.DUMMYFUNCTION("""COMPUTED_VALUE""")," 32044150448405_016")</f>
        <v> 32044150448405_016</v>
      </c>
      <c r="H53" s="94" t="str">
        <f>IFERROR(__xludf.DUMMYFUNCTION("""COMPUTED_VALUE""")," 32044150448405_017")</f>
        <v> 32044150448405_017</v>
      </c>
      <c r="I53" s="94" t="str">
        <f>IFERROR(__xludf.DUMMYFUNCTION("""COMPUTED_VALUE""")," 32044150448405_018")</f>
        <v> 32044150448405_018</v>
      </c>
      <c r="J53" s="94" t="str">
        <f>IFERROR(__xludf.DUMMYFUNCTION("""COMPUTED_VALUE""")," 32044150448405_019")</f>
        <v> 32044150448405_019</v>
      </c>
      <c r="K53" s="94"/>
      <c r="L53" s="94"/>
      <c r="M53" s="94"/>
      <c r="N53" s="94"/>
      <c r="O53" s="94"/>
      <c r="P53" s="94"/>
      <c r="Q53" s="94"/>
      <c r="R53" s="94"/>
      <c r="S53" s="94"/>
      <c r="T53" s="94"/>
      <c r="U53" s="94"/>
      <c r="V53" s="94"/>
      <c r="W53" s="94"/>
      <c r="X53" s="94"/>
      <c r="Y53" s="94"/>
      <c r="Z53" s="94"/>
      <c r="AA53" s="94"/>
      <c r="AB53" s="94"/>
      <c r="AC53" s="94"/>
      <c r="AD53" s="94"/>
      <c r="AE53" s="94"/>
      <c r="AF53" s="94"/>
      <c r="AG53" s="94"/>
    </row>
    <row r="54">
      <c r="A54" s="96" t="s">
        <v>525</v>
      </c>
      <c r="B54" s="95" t="str">
        <f>IFERROR(__xludf.DUMMYFUNCTION("""COMPUTED_VALUE"""),"32044150448405_020")</f>
        <v>32044150448405_020</v>
      </c>
      <c r="C54" s="94" t="str">
        <f>IFERROR(__xludf.DUMMYFUNCTION("""COMPUTED_VALUE""")," 32044150448405_021")</f>
        <v> 32044150448405_021</v>
      </c>
      <c r="D54" s="94" t="str">
        <f>IFERROR(__xludf.DUMMYFUNCTION("""COMPUTED_VALUE""")," 32044150448405_022")</f>
        <v> 32044150448405_022</v>
      </c>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c r="AE54" s="94"/>
      <c r="AF54" s="94"/>
      <c r="AG54" s="94"/>
    </row>
    <row r="55">
      <c r="A55" s="96" t="s">
        <v>531</v>
      </c>
      <c r="B55" s="95" t="str">
        <f>IFERROR(__xludf.DUMMYFUNCTION("""COMPUTED_VALUE"""),"32044150448405_023")</f>
        <v>32044150448405_023</v>
      </c>
      <c r="C55" s="94" t="str">
        <f>IFERROR(__xludf.DUMMYFUNCTION("""COMPUTED_VALUE""")," 32044150448405_024")</f>
        <v> 32044150448405_024</v>
      </c>
      <c r="D55" s="94" t="str">
        <f>IFERROR(__xludf.DUMMYFUNCTION("""COMPUTED_VALUE""")," 32044150448405_025")</f>
        <v> 32044150448405_025</v>
      </c>
      <c r="E55" s="94" t="str">
        <f>IFERROR(__xludf.DUMMYFUNCTION("""COMPUTED_VALUE""")," 32044150448405_026")</f>
        <v> 32044150448405_026</v>
      </c>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row>
    <row r="56">
      <c r="A56" s="96" t="s">
        <v>542</v>
      </c>
      <c r="B56" s="95" t="str">
        <f>IFERROR(__xludf.DUMMYFUNCTION("""COMPUTED_VALUE"""),"32044150448405_027")</f>
        <v>32044150448405_027</v>
      </c>
      <c r="C56" s="94" t="str">
        <f>IFERROR(__xludf.DUMMYFUNCTION("""COMPUTED_VALUE""")," 32044150448405_028")</f>
        <v> 32044150448405_028</v>
      </c>
      <c r="D56" s="94" t="str">
        <f>IFERROR(__xludf.DUMMYFUNCTION("""COMPUTED_VALUE""")," 32044150448405_029")</f>
        <v> 32044150448405_029</v>
      </c>
      <c r="E56" s="94" t="str">
        <f>IFERROR(__xludf.DUMMYFUNCTION("""COMPUTED_VALUE""")," 32044150448405_030")</f>
        <v> 32044150448405_030</v>
      </c>
      <c r="F56" s="94" t="str">
        <f>IFERROR(__xludf.DUMMYFUNCTION("""COMPUTED_VALUE""")," 32044150448405_031")</f>
        <v> 32044150448405_031</v>
      </c>
      <c r="G56" s="94" t="str">
        <f>IFERROR(__xludf.DUMMYFUNCTION("""COMPUTED_VALUE""")," 32044150448405_032")</f>
        <v> 32044150448405_032</v>
      </c>
      <c r="H56" s="94"/>
      <c r="I56" s="94"/>
      <c r="J56" s="94"/>
      <c r="K56" s="94"/>
      <c r="L56" s="94"/>
      <c r="M56" s="94"/>
      <c r="N56" s="94"/>
      <c r="O56" s="94"/>
      <c r="P56" s="94"/>
      <c r="Q56" s="94"/>
      <c r="R56" s="94"/>
      <c r="S56" s="94"/>
      <c r="T56" s="94"/>
      <c r="U56" s="94"/>
      <c r="V56" s="94"/>
      <c r="W56" s="94"/>
      <c r="X56" s="94"/>
      <c r="Y56" s="94"/>
      <c r="Z56" s="94"/>
      <c r="AA56" s="94"/>
      <c r="AB56" s="94"/>
      <c r="AC56" s="94"/>
      <c r="AD56" s="94"/>
      <c r="AE56" s="94"/>
      <c r="AF56" s="94"/>
      <c r="AG56" s="94"/>
    </row>
    <row r="57">
      <c r="A57" s="96" t="s">
        <v>555</v>
      </c>
      <c r="B57" s="95" t="str">
        <f>IFERROR(__xludf.DUMMYFUNCTION("""COMPUTED_VALUE"""),"32044150448405_033")</f>
        <v>32044150448405_033</v>
      </c>
      <c r="C57" s="94" t="str">
        <f>IFERROR(__xludf.DUMMYFUNCTION("""COMPUTED_VALUE""")," 32044150448405_034")</f>
        <v> 32044150448405_034</v>
      </c>
      <c r="D57" s="94" t="str">
        <f>IFERROR(__xludf.DUMMYFUNCTION("""COMPUTED_VALUE""")," 32044150448405_035")</f>
        <v> 32044150448405_035</v>
      </c>
      <c r="E57" s="94" t="str">
        <f>IFERROR(__xludf.DUMMYFUNCTION("""COMPUTED_VALUE""")," 32044150448405_036")</f>
        <v> 32044150448405_036</v>
      </c>
      <c r="F57" s="94" t="str">
        <f>IFERROR(__xludf.DUMMYFUNCTION("""COMPUTED_VALUE""")," 32044150448405_037")</f>
        <v> 32044150448405_037</v>
      </c>
      <c r="G57" s="94" t="str">
        <f>IFERROR(__xludf.DUMMYFUNCTION("""COMPUTED_VALUE""")," 32044150448405_038")</f>
        <v> 32044150448405_038</v>
      </c>
      <c r="H57" s="94" t="str">
        <f>IFERROR(__xludf.DUMMYFUNCTION("""COMPUTED_VALUE""")," 32044150448405_039")</f>
        <v> 32044150448405_039</v>
      </c>
      <c r="I57" s="94" t="str">
        <f>IFERROR(__xludf.DUMMYFUNCTION("""COMPUTED_VALUE""")," 32044150448405_040")</f>
        <v> 32044150448405_040</v>
      </c>
      <c r="J57" s="94" t="str">
        <f>IFERROR(__xludf.DUMMYFUNCTION("""COMPUTED_VALUE""")," 32044150448405_041")</f>
        <v> 32044150448405_041</v>
      </c>
      <c r="K57" s="94" t="str">
        <f>IFERROR(__xludf.DUMMYFUNCTION("""COMPUTED_VALUE""")," 32044150448405_042")</f>
        <v> 32044150448405_042</v>
      </c>
      <c r="L57" s="94"/>
      <c r="M57" s="94"/>
      <c r="N57" s="94"/>
      <c r="O57" s="94"/>
      <c r="P57" s="94"/>
      <c r="Q57" s="94"/>
      <c r="R57" s="94"/>
      <c r="S57" s="94"/>
      <c r="T57" s="94"/>
      <c r="U57" s="94"/>
      <c r="V57" s="94"/>
      <c r="W57" s="94"/>
      <c r="X57" s="94"/>
      <c r="Y57" s="94"/>
      <c r="Z57" s="94"/>
      <c r="AA57" s="94"/>
      <c r="AB57" s="94"/>
      <c r="AC57" s="94"/>
      <c r="AD57" s="94"/>
      <c r="AE57" s="94"/>
      <c r="AF57" s="94"/>
      <c r="AG57" s="94"/>
    </row>
    <row r="58">
      <c r="A58" s="96" t="s">
        <v>565</v>
      </c>
      <c r="B58" s="95" t="str">
        <f>IFERROR(__xludf.DUMMYFUNCTION("""COMPUTED_VALUE"""),"32044150448405_043")</f>
        <v>32044150448405_043</v>
      </c>
      <c r="C58" s="94" t="str">
        <f>IFERROR(__xludf.DUMMYFUNCTION("""COMPUTED_VALUE""")," 32044150448405_044")</f>
        <v> 32044150448405_044</v>
      </c>
      <c r="D58" s="94" t="str">
        <f>IFERROR(__xludf.DUMMYFUNCTION("""COMPUTED_VALUE""")," 32044150448405_045")</f>
        <v> 32044150448405_045</v>
      </c>
      <c r="E58" s="94" t="str">
        <f>IFERROR(__xludf.DUMMYFUNCTION("""COMPUTED_VALUE""")," 32044150448405_046")</f>
        <v> 32044150448405_046</v>
      </c>
      <c r="F58" s="94" t="str">
        <f>IFERROR(__xludf.DUMMYFUNCTION("""COMPUTED_VALUE""")," 32044150448405_047")</f>
        <v> 32044150448405_047</v>
      </c>
      <c r="G58" s="94"/>
      <c r="H58" s="94"/>
      <c r="I58" s="94"/>
      <c r="J58" s="94"/>
      <c r="K58" s="94"/>
      <c r="L58" s="94"/>
      <c r="M58" s="94"/>
      <c r="N58" s="94"/>
      <c r="O58" s="94"/>
      <c r="P58" s="94"/>
      <c r="Q58" s="94"/>
      <c r="R58" s="94"/>
      <c r="S58" s="94"/>
      <c r="T58" s="94"/>
      <c r="U58" s="94"/>
      <c r="V58" s="94"/>
      <c r="W58" s="94"/>
      <c r="X58" s="94"/>
      <c r="Y58" s="94"/>
      <c r="Z58" s="94"/>
      <c r="AA58" s="94"/>
      <c r="AB58" s="94"/>
      <c r="AC58" s="94"/>
      <c r="AD58" s="94"/>
      <c r="AE58" s="94"/>
      <c r="AF58" s="94"/>
      <c r="AG58" s="94"/>
    </row>
    <row r="59">
      <c r="A59" s="96" t="s">
        <v>573</v>
      </c>
      <c r="B59" s="95" t="str">
        <f>IFERROR(__xludf.DUMMYFUNCTION("""COMPUTED_VALUE"""),"32044150448405_048")</f>
        <v>32044150448405_048</v>
      </c>
      <c r="C59" s="94" t="str">
        <f>IFERROR(__xludf.DUMMYFUNCTION("""COMPUTED_VALUE""")," 32044150448405_049")</f>
        <v> 32044150448405_049</v>
      </c>
      <c r="D59" s="94" t="str">
        <f>IFERROR(__xludf.DUMMYFUNCTION("""COMPUTED_VALUE""")," 32044150448405_050")</f>
        <v> 32044150448405_050</v>
      </c>
      <c r="E59" s="94" t="str">
        <f>IFERROR(__xludf.DUMMYFUNCTION("""COMPUTED_VALUE""")," 32044150448405_051")</f>
        <v> 32044150448405_051</v>
      </c>
      <c r="F59" s="94"/>
      <c r="G59" s="94"/>
      <c r="H59" s="94"/>
      <c r="I59" s="94"/>
      <c r="J59" s="94"/>
      <c r="K59" s="94"/>
      <c r="L59" s="94"/>
      <c r="M59" s="94"/>
      <c r="N59" s="94"/>
      <c r="O59" s="94"/>
      <c r="P59" s="94"/>
      <c r="Q59" s="94"/>
      <c r="R59" s="94"/>
      <c r="S59" s="94"/>
      <c r="T59" s="94"/>
      <c r="U59" s="94"/>
      <c r="V59" s="94"/>
      <c r="W59" s="94"/>
      <c r="X59" s="94"/>
      <c r="Y59" s="94"/>
      <c r="Z59" s="94"/>
      <c r="AA59" s="94"/>
      <c r="AB59" s="94"/>
      <c r="AC59" s="94"/>
      <c r="AD59" s="94"/>
      <c r="AE59" s="94"/>
      <c r="AF59" s="94"/>
      <c r="AG59" s="94"/>
    </row>
    <row r="60">
      <c r="A60" s="96" t="s">
        <v>583</v>
      </c>
      <c r="B60" s="95" t="str">
        <f>IFERROR(__xludf.DUMMYFUNCTION("""COMPUTED_VALUE"""),"32044150448405_056")</f>
        <v>32044150448405_056</v>
      </c>
      <c r="C60" s="94" t="str">
        <f>IFERROR(__xludf.DUMMYFUNCTION("""COMPUTED_VALUE""")," 32044150448405_057")</f>
        <v> 32044150448405_057</v>
      </c>
      <c r="D60" s="94" t="str">
        <f>IFERROR(__xludf.DUMMYFUNCTION("""COMPUTED_VALUE""")," 32044150448405_058")</f>
        <v> 32044150448405_058</v>
      </c>
      <c r="E60" s="94" t="str">
        <f>IFERROR(__xludf.DUMMYFUNCTION("""COMPUTED_VALUE""")," 32044150448405_059")</f>
        <v> 32044150448405_059</v>
      </c>
      <c r="F60" s="94" t="str">
        <f>IFERROR(__xludf.DUMMYFUNCTION("""COMPUTED_VALUE""")," 32044150448405_060")</f>
        <v> 32044150448405_060</v>
      </c>
      <c r="G60" s="94" t="str">
        <f>IFERROR(__xludf.DUMMYFUNCTION("""COMPUTED_VALUE""")," 32044150448405_061")</f>
        <v> 32044150448405_061</v>
      </c>
      <c r="H60" s="94"/>
      <c r="I60" s="94"/>
      <c r="J60" s="94"/>
      <c r="K60" s="94"/>
      <c r="L60" s="94"/>
      <c r="M60" s="94"/>
      <c r="N60" s="94"/>
      <c r="O60" s="94"/>
      <c r="P60" s="94"/>
      <c r="Q60" s="94"/>
      <c r="R60" s="94"/>
      <c r="S60" s="94"/>
      <c r="T60" s="94"/>
      <c r="U60" s="94"/>
      <c r="V60" s="94"/>
      <c r="W60" s="94"/>
      <c r="X60" s="94"/>
      <c r="Y60" s="94"/>
      <c r="Z60" s="94"/>
      <c r="AA60" s="94"/>
      <c r="AB60" s="94"/>
      <c r="AC60" s="94"/>
      <c r="AD60" s="94"/>
      <c r="AE60" s="94"/>
      <c r="AF60" s="94"/>
      <c r="AG60" s="94"/>
    </row>
    <row r="61">
      <c r="A61" s="96" t="s">
        <v>593</v>
      </c>
      <c r="B61" s="95" t="str">
        <f>IFERROR(__xludf.DUMMYFUNCTION("""COMPUTED_VALUE"""),"32044150448405_063")</f>
        <v>32044150448405_063</v>
      </c>
      <c r="C61" s="94" t="str">
        <f>IFERROR(__xludf.DUMMYFUNCTION("""COMPUTED_VALUE""")," 32044150448405_064")</f>
        <v> 32044150448405_064</v>
      </c>
      <c r="D61" s="94" t="str">
        <f>IFERROR(__xludf.DUMMYFUNCTION("""COMPUTED_VALUE""")," 32044150448405_065")</f>
        <v> 32044150448405_065</v>
      </c>
      <c r="E61" s="94" t="str">
        <f>IFERROR(__xludf.DUMMYFUNCTION("""COMPUTED_VALUE""")," 32044150448405_066")</f>
        <v> 32044150448405_066</v>
      </c>
      <c r="F61" s="94"/>
      <c r="G61" s="94"/>
      <c r="H61" s="94"/>
      <c r="I61" s="94"/>
      <c r="J61" s="94"/>
      <c r="K61" s="94"/>
      <c r="L61" s="94"/>
      <c r="M61" s="94"/>
      <c r="N61" s="94"/>
      <c r="O61" s="94"/>
      <c r="P61" s="94"/>
      <c r="Q61" s="94"/>
      <c r="R61" s="94"/>
      <c r="S61" s="94"/>
      <c r="T61" s="94"/>
      <c r="U61" s="94"/>
      <c r="V61" s="94"/>
      <c r="W61" s="94"/>
      <c r="X61" s="94"/>
      <c r="Y61" s="94"/>
      <c r="Z61" s="94"/>
      <c r="AA61" s="94"/>
      <c r="AB61" s="94"/>
      <c r="AC61" s="94"/>
      <c r="AD61" s="94"/>
      <c r="AE61" s="94"/>
      <c r="AF61" s="94"/>
      <c r="AG61" s="94"/>
    </row>
    <row r="62">
      <c r="A62" s="96" t="s">
        <v>600</v>
      </c>
      <c r="B62" s="95" t="str">
        <f>IFERROR(__xludf.DUMMYFUNCTION("""COMPUTED_VALUE"""),"32044150448405_052")</f>
        <v>32044150448405_052</v>
      </c>
      <c r="C62" s="94" t="str">
        <f>IFERROR(__xludf.DUMMYFUNCTION("""COMPUTED_VALUE""")," 32044150448405_053")</f>
        <v> 32044150448405_053</v>
      </c>
      <c r="D62" s="94" t="str">
        <f>IFERROR(__xludf.DUMMYFUNCTION("""COMPUTED_VALUE""")," 32044150448405_054")</f>
        <v> 32044150448405_054</v>
      </c>
      <c r="E62" s="94" t="str">
        <f>IFERROR(__xludf.DUMMYFUNCTION("""COMPUTED_VALUE""")," 32044150448405_055")</f>
        <v> 32044150448405_055</v>
      </c>
      <c r="F62" s="94"/>
      <c r="G62" s="94"/>
      <c r="H62" s="94"/>
      <c r="I62" s="94"/>
      <c r="J62" s="94"/>
      <c r="K62" s="94"/>
      <c r="L62" s="94"/>
      <c r="M62" s="94"/>
      <c r="N62" s="94"/>
      <c r="O62" s="94"/>
      <c r="P62" s="94"/>
      <c r="Q62" s="94"/>
      <c r="R62" s="94"/>
      <c r="S62" s="94"/>
      <c r="T62" s="94"/>
      <c r="U62" s="94"/>
      <c r="V62" s="94"/>
      <c r="W62" s="94"/>
      <c r="X62" s="94"/>
      <c r="Y62" s="94"/>
      <c r="Z62" s="94"/>
      <c r="AA62" s="94"/>
      <c r="AB62" s="94"/>
      <c r="AC62" s="94"/>
      <c r="AD62" s="94"/>
      <c r="AE62" s="94"/>
      <c r="AF62" s="94"/>
      <c r="AG62" s="94"/>
    </row>
    <row r="63">
      <c r="A63" s="96" t="s">
        <v>607</v>
      </c>
      <c r="B63" s="95" t="str">
        <f>IFERROR(__xludf.DUMMYFUNCTION("""COMPUTED_VALUE"""),"32044150448405_062")</f>
        <v>32044150448405_062</v>
      </c>
      <c r="C63" s="94"/>
      <c r="D63" s="94"/>
      <c r="E63" s="94"/>
      <c r="F63" s="94"/>
      <c r="G63" s="94"/>
      <c r="H63" s="94"/>
      <c r="I63" s="94"/>
      <c r="J63" s="94"/>
      <c r="K63" s="94"/>
      <c r="L63" s="94"/>
      <c r="M63" s="94"/>
      <c r="N63" s="94"/>
      <c r="O63" s="94"/>
      <c r="P63" s="94"/>
      <c r="Q63" s="94"/>
      <c r="R63" s="94"/>
      <c r="S63" s="94"/>
      <c r="T63" s="94"/>
      <c r="U63" s="94"/>
      <c r="V63" s="94"/>
      <c r="W63" s="94"/>
      <c r="X63" s="94"/>
      <c r="Y63" s="94"/>
      <c r="Z63" s="94"/>
      <c r="AA63" s="94"/>
      <c r="AB63" s="94"/>
      <c r="AC63" s="94"/>
      <c r="AD63" s="94"/>
      <c r="AE63" s="94"/>
      <c r="AF63" s="94"/>
      <c r="AG63" s="94"/>
    </row>
    <row r="64">
      <c r="A64" s="96" t="s">
        <v>614</v>
      </c>
      <c r="B64" s="95" t="str">
        <f>IFERROR(__xludf.DUMMYFUNCTION("""COMPUTED_VALUE"""),"32044150448405_067")</f>
        <v>32044150448405_067</v>
      </c>
      <c r="C64" s="94" t="str">
        <f>IFERROR(__xludf.DUMMYFUNCTION("""COMPUTED_VALUE""")," 32044150448405_068")</f>
        <v> 32044150448405_068</v>
      </c>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E64" s="94"/>
      <c r="AF64" s="94"/>
      <c r="AG64" s="94"/>
    </row>
    <row r="65">
      <c r="A65" s="96" t="s">
        <v>624</v>
      </c>
      <c r="B65" s="95" t="str">
        <f>IFERROR(__xludf.DUMMYFUNCTION("""COMPUTED_VALUE"""),"32044150448413_001")</f>
        <v>32044150448413_001</v>
      </c>
      <c r="C65" s="94" t="str">
        <f>IFERROR(__xludf.DUMMYFUNCTION("""COMPUTED_VALUE""")," 32044150448413_002")</f>
        <v> 32044150448413_002</v>
      </c>
      <c r="D65" s="94" t="str">
        <f>IFERROR(__xludf.DUMMYFUNCTION("""COMPUTED_VALUE""")," 32044150448413_003")</f>
        <v> 32044150448413_003</v>
      </c>
      <c r="E65" s="94" t="str">
        <f>IFERROR(__xludf.DUMMYFUNCTION("""COMPUTED_VALUE""")," 32044150448413_004")</f>
        <v> 32044150448413_004</v>
      </c>
      <c r="F65" s="94" t="str">
        <f>IFERROR(__xludf.DUMMYFUNCTION("""COMPUTED_VALUE""")," 32044150448413_005")</f>
        <v> 32044150448413_005</v>
      </c>
      <c r="G65" s="94" t="str">
        <f>IFERROR(__xludf.DUMMYFUNCTION("""COMPUTED_VALUE""")," 32044150448413_006")</f>
        <v> 32044150448413_006</v>
      </c>
      <c r="H65" s="94" t="str">
        <f>IFERROR(__xludf.DUMMYFUNCTION("""COMPUTED_VALUE""")," 32044150448413_007")</f>
        <v> 32044150448413_007</v>
      </c>
      <c r="I65" s="94"/>
      <c r="J65" s="94"/>
      <c r="K65" s="94"/>
      <c r="L65" s="94"/>
      <c r="M65" s="94"/>
      <c r="N65" s="94"/>
      <c r="O65" s="94"/>
      <c r="P65" s="94"/>
      <c r="Q65" s="94"/>
      <c r="R65" s="94"/>
      <c r="S65" s="94"/>
      <c r="T65" s="94"/>
      <c r="U65" s="94"/>
      <c r="V65" s="94"/>
      <c r="W65" s="94"/>
      <c r="X65" s="94"/>
      <c r="Y65" s="94"/>
      <c r="Z65" s="94"/>
      <c r="AA65" s="94"/>
      <c r="AB65" s="94"/>
      <c r="AC65" s="94"/>
      <c r="AD65" s="94"/>
      <c r="AE65" s="94"/>
      <c r="AF65" s="94"/>
      <c r="AG65" s="94"/>
    </row>
    <row r="66">
      <c r="A66" s="96" t="s">
        <v>633</v>
      </c>
      <c r="B66" s="95" t="str">
        <f>IFERROR(__xludf.DUMMYFUNCTION("""COMPUTED_VALUE"""),"32044150448413_008")</f>
        <v>32044150448413_008</v>
      </c>
      <c r="C66" s="94" t="str">
        <f>IFERROR(__xludf.DUMMYFUNCTION("""COMPUTED_VALUE""")," 32044150448413_009")</f>
        <v> 32044150448413_009</v>
      </c>
      <c r="D66" s="94" t="str">
        <f>IFERROR(__xludf.DUMMYFUNCTION("""COMPUTED_VALUE""")," 32044150448413_010")</f>
        <v> 32044150448413_010</v>
      </c>
      <c r="E66" s="94"/>
      <c r="F66" s="94"/>
      <c r="G66" s="94"/>
      <c r="H66" s="94"/>
      <c r="I66" s="94"/>
      <c r="J66" s="94"/>
      <c r="K66" s="94"/>
      <c r="L66" s="94"/>
      <c r="M66" s="94"/>
      <c r="N66" s="94"/>
      <c r="O66" s="94"/>
      <c r="P66" s="94"/>
      <c r="Q66" s="94"/>
      <c r="R66" s="94"/>
      <c r="S66" s="94"/>
      <c r="T66" s="94"/>
      <c r="U66" s="94"/>
      <c r="V66" s="94"/>
      <c r="W66" s="94"/>
      <c r="X66" s="94"/>
      <c r="Y66" s="94"/>
      <c r="Z66" s="94"/>
      <c r="AA66" s="94"/>
      <c r="AB66" s="94"/>
      <c r="AC66" s="94"/>
      <c r="AD66" s="94"/>
      <c r="AE66" s="94"/>
      <c r="AF66" s="94"/>
      <c r="AG66" s="94"/>
    </row>
    <row r="67">
      <c r="A67" s="96" t="s">
        <v>641</v>
      </c>
      <c r="B67" s="95" t="str">
        <f>IFERROR(__xludf.DUMMYFUNCTION("""COMPUTED_VALUE"""),"32044150448413_011")</f>
        <v>32044150448413_011</v>
      </c>
      <c r="C67" s="94" t="str">
        <f>IFERROR(__xludf.DUMMYFUNCTION("""COMPUTED_VALUE""")," 32044150448413_012")</f>
        <v> 32044150448413_012</v>
      </c>
      <c r="D67" s="94" t="str">
        <f>IFERROR(__xludf.DUMMYFUNCTION("""COMPUTED_VALUE""")," 32044150448413_013")</f>
        <v> 32044150448413_013</v>
      </c>
      <c r="E67" s="94" t="str">
        <f>IFERROR(__xludf.DUMMYFUNCTION("""COMPUTED_VALUE""")," 32044150448413_014")</f>
        <v> 32044150448413_014</v>
      </c>
      <c r="F67" s="94" t="str">
        <f>IFERROR(__xludf.DUMMYFUNCTION("""COMPUTED_VALUE""")," 32044150448413_015")</f>
        <v> 32044150448413_015</v>
      </c>
      <c r="G67" s="94" t="str">
        <f>IFERROR(__xludf.DUMMYFUNCTION("""COMPUTED_VALUE""")," 32044150448413_016")</f>
        <v> 32044150448413_016</v>
      </c>
      <c r="H67" s="94"/>
      <c r="I67" s="94"/>
      <c r="J67" s="94"/>
      <c r="K67" s="94"/>
      <c r="L67" s="94"/>
      <c r="M67" s="94"/>
      <c r="N67" s="94"/>
      <c r="O67" s="94"/>
      <c r="P67" s="94"/>
      <c r="Q67" s="94"/>
      <c r="R67" s="94"/>
      <c r="S67" s="94"/>
      <c r="T67" s="94"/>
      <c r="U67" s="94"/>
      <c r="V67" s="94"/>
      <c r="W67" s="94"/>
      <c r="X67" s="94"/>
      <c r="Y67" s="94"/>
      <c r="Z67" s="94"/>
      <c r="AA67" s="94"/>
      <c r="AB67" s="94"/>
      <c r="AC67" s="94"/>
      <c r="AD67" s="94"/>
      <c r="AE67" s="94"/>
      <c r="AF67" s="94"/>
      <c r="AG67" s="94"/>
    </row>
    <row r="68">
      <c r="A68" s="96" t="s">
        <v>649</v>
      </c>
      <c r="B68" s="95" t="str">
        <f>IFERROR(__xludf.DUMMYFUNCTION("""COMPUTED_VALUE"""),"32044150448413_017")</f>
        <v>32044150448413_017</v>
      </c>
      <c r="C68" s="94" t="str">
        <f>IFERROR(__xludf.DUMMYFUNCTION("""COMPUTED_VALUE""")," 32044150448413_018")</f>
        <v> 32044150448413_018</v>
      </c>
      <c r="D68" s="94" t="str">
        <f>IFERROR(__xludf.DUMMYFUNCTION("""COMPUTED_VALUE""")," 32044150448413_019")</f>
        <v> 32044150448413_019</v>
      </c>
      <c r="E68" s="94" t="str">
        <f>IFERROR(__xludf.DUMMYFUNCTION("""COMPUTED_VALUE""")," 32044150448413_020")</f>
        <v> 32044150448413_020</v>
      </c>
      <c r="F68" s="94" t="str">
        <f>IFERROR(__xludf.DUMMYFUNCTION("""COMPUTED_VALUE""")," 32044150448413_021")</f>
        <v> 32044150448413_021</v>
      </c>
      <c r="G68" s="94" t="str">
        <f>IFERROR(__xludf.DUMMYFUNCTION("""COMPUTED_VALUE""")," 32044150448413_022")</f>
        <v> 32044150448413_022</v>
      </c>
      <c r="H68" s="94" t="str">
        <f>IFERROR(__xludf.DUMMYFUNCTION("""COMPUTED_VALUE""")," 32044150448413_023")</f>
        <v> 32044150448413_023</v>
      </c>
      <c r="I68" s="94" t="str">
        <f>IFERROR(__xludf.DUMMYFUNCTION("""COMPUTED_VALUE""")," 32044150448413_024")</f>
        <v> 32044150448413_024</v>
      </c>
      <c r="J68" s="94" t="str">
        <f>IFERROR(__xludf.DUMMYFUNCTION("""COMPUTED_VALUE""")," 32044150448413_025")</f>
        <v> 32044150448413_025</v>
      </c>
      <c r="K68" s="94" t="str">
        <f>IFERROR(__xludf.DUMMYFUNCTION("""COMPUTED_VALUE""")," 32044150448413_026")</f>
        <v> 32044150448413_026</v>
      </c>
      <c r="L68" s="94"/>
      <c r="M68" s="94"/>
      <c r="N68" s="94"/>
      <c r="O68" s="94"/>
      <c r="P68" s="94"/>
      <c r="Q68" s="94"/>
      <c r="R68" s="94"/>
      <c r="S68" s="94"/>
      <c r="T68" s="94"/>
      <c r="U68" s="94"/>
      <c r="V68" s="94"/>
      <c r="W68" s="94"/>
      <c r="X68" s="94"/>
      <c r="Y68" s="94"/>
      <c r="Z68" s="94"/>
      <c r="AA68" s="94"/>
      <c r="AB68" s="94"/>
      <c r="AC68" s="94"/>
      <c r="AD68" s="94"/>
      <c r="AE68" s="94"/>
      <c r="AF68" s="94"/>
      <c r="AG68" s="94"/>
    </row>
    <row r="69">
      <c r="A69" s="96" t="s">
        <v>657</v>
      </c>
      <c r="B69" s="95" t="str">
        <f>IFERROR(__xludf.DUMMYFUNCTION("""COMPUTED_VALUE"""),"32044150448413_027")</f>
        <v>32044150448413_027</v>
      </c>
      <c r="C69" s="94"/>
      <c r="D69" s="94"/>
      <c r="E69" s="94"/>
      <c r="F69" s="94"/>
      <c r="G69" s="94"/>
      <c r="H69" s="94"/>
      <c r="I69" s="94"/>
      <c r="J69" s="94"/>
      <c r="K69" s="94"/>
      <c r="L69" s="94"/>
      <c r="M69" s="94"/>
      <c r="N69" s="94"/>
      <c r="O69" s="94"/>
      <c r="P69" s="94"/>
      <c r="Q69" s="94"/>
      <c r="R69" s="94"/>
      <c r="S69" s="94"/>
      <c r="T69" s="94"/>
      <c r="U69" s="94"/>
      <c r="V69" s="94"/>
      <c r="W69" s="94"/>
      <c r="X69" s="94"/>
      <c r="Y69" s="94"/>
      <c r="Z69" s="94"/>
      <c r="AA69" s="94"/>
      <c r="AB69" s="94"/>
      <c r="AC69" s="94"/>
      <c r="AD69" s="94"/>
      <c r="AE69" s="94"/>
      <c r="AF69" s="94"/>
      <c r="AG69" s="94"/>
    </row>
    <row r="70">
      <c r="A70" s="96" t="s">
        <v>664</v>
      </c>
      <c r="B70" s="95" t="str">
        <f>IFERROR(__xludf.DUMMYFUNCTION("""COMPUTED_VALUE"""),"32044150448413_028")</f>
        <v>32044150448413_028</v>
      </c>
      <c r="C70" s="94" t="str">
        <f>IFERROR(__xludf.DUMMYFUNCTION("""COMPUTED_VALUE""")," 32044150448413_029")</f>
        <v> 32044150448413_029</v>
      </c>
      <c r="D70" s="94" t="str">
        <f>IFERROR(__xludf.DUMMYFUNCTION("""COMPUTED_VALUE""")," 32044150448413_030")</f>
        <v> 32044150448413_030</v>
      </c>
      <c r="E70" s="94" t="str">
        <f>IFERROR(__xludf.DUMMYFUNCTION("""COMPUTED_VALUE""")," 32044150448413_031")</f>
        <v> 32044150448413_031</v>
      </c>
      <c r="F70" s="94" t="str">
        <f>IFERROR(__xludf.DUMMYFUNCTION("""COMPUTED_VALUE""")," 32044150448413_032")</f>
        <v> 32044150448413_032</v>
      </c>
      <c r="G70" s="94" t="str">
        <f>IFERROR(__xludf.DUMMYFUNCTION("""COMPUTED_VALUE""")," 32044150448413_033")</f>
        <v> 32044150448413_033</v>
      </c>
      <c r="H70" s="94"/>
      <c r="I70" s="94"/>
      <c r="J70" s="94"/>
      <c r="K70" s="94"/>
      <c r="L70" s="94"/>
      <c r="M70" s="94"/>
      <c r="N70" s="94"/>
      <c r="O70" s="94"/>
      <c r="P70" s="94"/>
      <c r="Q70" s="94"/>
      <c r="R70" s="94"/>
      <c r="S70" s="94"/>
      <c r="T70" s="94"/>
      <c r="U70" s="94"/>
      <c r="V70" s="94"/>
      <c r="W70" s="94"/>
      <c r="X70" s="94"/>
      <c r="Y70" s="94"/>
      <c r="Z70" s="94"/>
      <c r="AA70" s="94"/>
      <c r="AB70" s="94"/>
      <c r="AC70" s="94"/>
      <c r="AD70" s="94"/>
      <c r="AE70" s="94"/>
      <c r="AF70" s="94"/>
      <c r="AG70" s="94"/>
    </row>
    <row r="71">
      <c r="A71" s="96" t="s">
        <v>673</v>
      </c>
      <c r="B71" s="95" t="str">
        <f>IFERROR(__xludf.DUMMYFUNCTION("""COMPUTED_VALUE"""),"32044150448413_034")</f>
        <v>32044150448413_034</v>
      </c>
      <c r="C71" s="94" t="str">
        <f>IFERROR(__xludf.DUMMYFUNCTION("""COMPUTED_VALUE""")," 32044150448413_035")</f>
        <v> 32044150448413_035</v>
      </c>
      <c r="D71" s="94" t="str">
        <f>IFERROR(__xludf.DUMMYFUNCTION("""COMPUTED_VALUE""")," 32044150448413_036")</f>
        <v> 32044150448413_036</v>
      </c>
      <c r="E71" s="94" t="str">
        <f>IFERROR(__xludf.DUMMYFUNCTION("""COMPUTED_VALUE""")," 32044150448413_037")</f>
        <v> 32044150448413_037</v>
      </c>
      <c r="F71" s="94" t="str">
        <f>IFERROR(__xludf.DUMMYFUNCTION("""COMPUTED_VALUE""")," 32044150448413_038")</f>
        <v> 32044150448413_038</v>
      </c>
      <c r="G71" s="94" t="str">
        <f>IFERROR(__xludf.DUMMYFUNCTION("""COMPUTED_VALUE""")," 32044150448413_039")</f>
        <v> 32044150448413_039</v>
      </c>
      <c r="H71" s="94" t="str">
        <f>IFERROR(__xludf.DUMMYFUNCTION("""COMPUTED_VALUE""")," 32044150448413_040")</f>
        <v> 32044150448413_040</v>
      </c>
      <c r="I71" s="94" t="str">
        <f>IFERROR(__xludf.DUMMYFUNCTION("""COMPUTED_VALUE""")," 32044150448413_041")</f>
        <v> 32044150448413_041</v>
      </c>
      <c r="J71" s="94" t="str">
        <f>IFERROR(__xludf.DUMMYFUNCTION("""COMPUTED_VALUE""")," 32044150448413_042")</f>
        <v> 32044150448413_042</v>
      </c>
      <c r="K71" s="94"/>
      <c r="L71" s="94"/>
      <c r="M71" s="94"/>
      <c r="N71" s="94"/>
      <c r="O71" s="94"/>
      <c r="P71" s="94"/>
      <c r="Q71" s="94"/>
      <c r="R71" s="94"/>
      <c r="S71" s="94"/>
      <c r="T71" s="94"/>
      <c r="U71" s="94"/>
      <c r="V71" s="94"/>
      <c r="W71" s="94"/>
      <c r="X71" s="94"/>
      <c r="Y71" s="94"/>
      <c r="Z71" s="94"/>
      <c r="AA71" s="94"/>
      <c r="AB71" s="94"/>
      <c r="AC71" s="94"/>
      <c r="AD71" s="94"/>
      <c r="AE71" s="94"/>
      <c r="AF71" s="94"/>
      <c r="AG71" s="94"/>
    </row>
    <row r="72">
      <c r="A72" s="96" t="s">
        <v>679</v>
      </c>
      <c r="B72" s="95" t="str">
        <f>IFERROR(__xludf.DUMMYFUNCTION("""COMPUTED_VALUE"""),"32044150448413_043")</f>
        <v>32044150448413_043</v>
      </c>
      <c r="C72" s="94" t="str">
        <f>IFERROR(__xludf.DUMMYFUNCTION("""COMPUTED_VALUE""")," 32044150448413_044")</f>
        <v> 32044150448413_044</v>
      </c>
      <c r="D72" s="94" t="str">
        <f>IFERROR(__xludf.DUMMYFUNCTION("""COMPUTED_VALUE""")," 32044150448413_045")</f>
        <v> 32044150448413_045</v>
      </c>
      <c r="E72" s="94" t="str">
        <f>IFERROR(__xludf.DUMMYFUNCTION("""COMPUTED_VALUE""")," 32044150448413_046")</f>
        <v> 32044150448413_046</v>
      </c>
      <c r="F72" s="94" t="str">
        <f>IFERROR(__xludf.DUMMYFUNCTION("""COMPUTED_VALUE""")," 32044150448413_047")</f>
        <v> 32044150448413_047</v>
      </c>
      <c r="G72" s="94"/>
      <c r="H72" s="94"/>
      <c r="I72" s="94"/>
      <c r="J72" s="94"/>
      <c r="K72" s="94"/>
      <c r="L72" s="94"/>
      <c r="M72" s="94"/>
      <c r="N72" s="94"/>
      <c r="O72" s="94"/>
      <c r="P72" s="94"/>
      <c r="Q72" s="94"/>
      <c r="R72" s="94"/>
      <c r="S72" s="94"/>
      <c r="T72" s="94"/>
      <c r="U72" s="94"/>
      <c r="V72" s="94"/>
      <c r="W72" s="94"/>
      <c r="X72" s="94"/>
      <c r="Y72" s="94"/>
      <c r="Z72" s="94"/>
      <c r="AA72" s="94"/>
      <c r="AB72" s="94"/>
      <c r="AC72" s="94"/>
      <c r="AD72" s="94"/>
      <c r="AE72" s="94"/>
      <c r="AF72" s="94"/>
      <c r="AG72" s="94"/>
    </row>
    <row r="73">
      <c r="A73" s="96" t="s">
        <v>687</v>
      </c>
      <c r="B73" s="95" t="str">
        <f>IFERROR(__xludf.DUMMYFUNCTION("""COMPUTED_VALUE"""),"32044150448421_001")</f>
        <v>32044150448421_001</v>
      </c>
      <c r="C73" s="94" t="str">
        <f>IFERROR(__xludf.DUMMYFUNCTION("""COMPUTED_VALUE""")," 32044150448421_002")</f>
        <v> 32044150448421_002</v>
      </c>
      <c r="D73" s="94"/>
      <c r="E73" s="94"/>
      <c r="F73" s="94"/>
      <c r="G73" s="94"/>
      <c r="H73" s="94"/>
      <c r="I73" s="94"/>
      <c r="J73" s="94"/>
      <c r="K73" s="94"/>
      <c r="L73" s="94"/>
      <c r="M73" s="94"/>
      <c r="N73" s="94"/>
      <c r="O73" s="94"/>
      <c r="P73" s="94"/>
      <c r="Q73" s="94"/>
      <c r="R73" s="94"/>
      <c r="S73" s="94"/>
      <c r="T73" s="94"/>
      <c r="U73" s="94"/>
      <c r="V73" s="94"/>
      <c r="W73" s="94"/>
      <c r="X73" s="94"/>
      <c r="Y73" s="94"/>
      <c r="Z73" s="94"/>
      <c r="AA73" s="94"/>
      <c r="AB73" s="94"/>
      <c r="AC73" s="94"/>
      <c r="AD73" s="94"/>
      <c r="AE73" s="94"/>
      <c r="AF73" s="94"/>
      <c r="AG73" s="94"/>
    </row>
    <row r="74">
      <c r="A74" s="96" t="s">
        <v>694</v>
      </c>
      <c r="B74" s="95" t="str">
        <f>IFERROR(__xludf.DUMMYFUNCTION("""COMPUTED_VALUE"""),"32044150448421_003")</f>
        <v>32044150448421_003</v>
      </c>
      <c r="C74" s="94" t="str">
        <f>IFERROR(__xludf.DUMMYFUNCTION("""COMPUTED_VALUE""")," 32044150448421_004")</f>
        <v> 32044150448421_004</v>
      </c>
      <c r="D74" s="94"/>
      <c r="E74" s="94"/>
      <c r="F74" s="94"/>
      <c r="G74" s="94"/>
      <c r="H74" s="94"/>
      <c r="I74" s="94"/>
      <c r="J74" s="94"/>
      <c r="K74" s="94"/>
      <c r="L74" s="94"/>
      <c r="M74" s="94"/>
      <c r="N74" s="94"/>
      <c r="O74" s="94"/>
      <c r="P74" s="94"/>
      <c r="Q74" s="94"/>
      <c r="R74" s="94"/>
      <c r="S74" s="94"/>
      <c r="T74" s="94"/>
      <c r="U74" s="94"/>
      <c r="V74" s="94"/>
      <c r="W74" s="94"/>
      <c r="X74" s="94"/>
      <c r="Y74" s="94"/>
      <c r="Z74" s="94"/>
      <c r="AA74" s="94"/>
      <c r="AB74" s="94"/>
      <c r="AC74" s="94"/>
      <c r="AD74" s="94"/>
      <c r="AE74" s="94"/>
      <c r="AF74" s="94"/>
      <c r="AG74" s="94"/>
    </row>
    <row r="75">
      <c r="A75" s="96" t="s">
        <v>701</v>
      </c>
      <c r="B75" s="95" t="str">
        <f>IFERROR(__xludf.DUMMYFUNCTION("""COMPUTED_VALUE"""),"32044150448421_005")</f>
        <v>32044150448421_005</v>
      </c>
      <c r="C75" s="94" t="str">
        <f>IFERROR(__xludf.DUMMYFUNCTION("""COMPUTED_VALUE""")," 32044150448421_006")</f>
        <v> 32044150448421_006</v>
      </c>
      <c r="D75" s="94" t="str">
        <f>IFERROR(__xludf.DUMMYFUNCTION("""COMPUTED_VALUE""")," 32044150448421_007")</f>
        <v> 32044150448421_007</v>
      </c>
      <c r="E75" s="94" t="str">
        <f>IFERROR(__xludf.DUMMYFUNCTION("""COMPUTED_VALUE""")," 32044150448421_008")</f>
        <v> 32044150448421_008</v>
      </c>
      <c r="F75" s="94" t="str">
        <f>IFERROR(__xludf.DUMMYFUNCTION("""COMPUTED_VALUE""")," 32044150448421_009")</f>
        <v> 32044150448421_009</v>
      </c>
      <c r="G75" s="94"/>
      <c r="H75" s="94"/>
      <c r="I75" s="94"/>
      <c r="J75" s="94"/>
      <c r="K75" s="94"/>
      <c r="L75" s="94"/>
      <c r="M75" s="94"/>
      <c r="N75" s="94"/>
      <c r="O75" s="94"/>
      <c r="P75" s="94"/>
      <c r="Q75" s="94"/>
      <c r="R75" s="94"/>
      <c r="S75" s="94"/>
      <c r="T75" s="94"/>
      <c r="U75" s="94"/>
      <c r="V75" s="94"/>
      <c r="W75" s="94"/>
      <c r="X75" s="94"/>
      <c r="Y75" s="94"/>
      <c r="Z75" s="94"/>
      <c r="AA75" s="94"/>
      <c r="AB75" s="94"/>
      <c r="AC75" s="94"/>
      <c r="AD75" s="94"/>
      <c r="AE75" s="94"/>
      <c r="AF75" s="94"/>
      <c r="AG75" s="94"/>
    </row>
    <row r="76">
      <c r="A76" s="96" t="s">
        <v>707</v>
      </c>
      <c r="B76" s="95" t="str">
        <f>IFERROR(__xludf.DUMMYFUNCTION("""COMPUTED_VALUE"""),"32044150448421_010")</f>
        <v>32044150448421_010</v>
      </c>
      <c r="C76" s="94" t="str">
        <f>IFERROR(__xludf.DUMMYFUNCTION("""COMPUTED_VALUE""")," 32044150448421_011")</f>
        <v> 32044150448421_011</v>
      </c>
      <c r="D76" s="94" t="str">
        <f>IFERROR(__xludf.DUMMYFUNCTION("""COMPUTED_VALUE""")," 32044150448421_012")</f>
        <v> 32044150448421_012</v>
      </c>
      <c r="E76" s="94" t="str">
        <f>IFERROR(__xludf.DUMMYFUNCTION("""COMPUTED_VALUE""")," 32044150448421_013")</f>
        <v> 32044150448421_013</v>
      </c>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4"/>
      <c r="AG76" s="94"/>
    </row>
    <row r="77">
      <c r="A77" s="96" t="s">
        <v>716</v>
      </c>
      <c r="B77" s="95" t="str">
        <f>IFERROR(__xludf.DUMMYFUNCTION("""COMPUTED_VALUE"""),"32044150448421_014")</f>
        <v>32044150448421_014</v>
      </c>
      <c r="C77" s="94" t="str">
        <f>IFERROR(__xludf.DUMMYFUNCTION("""COMPUTED_VALUE""")," 32044150448421_015")</f>
        <v> 32044150448421_015</v>
      </c>
      <c r="D77" s="94" t="str">
        <f>IFERROR(__xludf.DUMMYFUNCTION("""COMPUTED_VALUE""")," 32044150448421_016")</f>
        <v> 32044150448421_016</v>
      </c>
      <c r="E77" s="94" t="str">
        <f>IFERROR(__xludf.DUMMYFUNCTION("""COMPUTED_VALUE""")," 32044150448421_017")</f>
        <v> 32044150448421_017</v>
      </c>
      <c r="F77" s="94" t="str">
        <f>IFERROR(__xludf.DUMMYFUNCTION("""COMPUTED_VALUE""")," 32044150448421_018")</f>
        <v> 32044150448421_018</v>
      </c>
      <c r="G77" s="94" t="str">
        <f>IFERROR(__xludf.DUMMYFUNCTION("""COMPUTED_VALUE""")," 32044150448421_019")</f>
        <v> 32044150448421_019</v>
      </c>
      <c r="H77" s="94" t="str">
        <f>IFERROR(__xludf.DUMMYFUNCTION("""COMPUTED_VALUE""")," 32044150448421_020")</f>
        <v> 32044150448421_020</v>
      </c>
      <c r="I77" s="94" t="str">
        <f>IFERROR(__xludf.DUMMYFUNCTION("""COMPUTED_VALUE""")," 32044150448421_021")</f>
        <v> 32044150448421_021</v>
      </c>
      <c r="J77" s="94" t="str">
        <f>IFERROR(__xludf.DUMMYFUNCTION("""COMPUTED_VALUE""")," 32044150448421_022")</f>
        <v> 32044150448421_022</v>
      </c>
      <c r="K77" s="94" t="str">
        <f>IFERROR(__xludf.DUMMYFUNCTION("""COMPUTED_VALUE""")," 32044150448421_023")</f>
        <v> 32044150448421_023</v>
      </c>
      <c r="L77" s="94" t="str">
        <f>IFERROR(__xludf.DUMMYFUNCTION("""COMPUTED_VALUE""")," 32044150448421_024")</f>
        <v> 32044150448421_024</v>
      </c>
      <c r="M77" s="94"/>
      <c r="N77" s="94"/>
      <c r="O77" s="94"/>
      <c r="P77" s="94"/>
      <c r="Q77" s="94"/>
      <c r="R77" s="94"/>
      <c r="S77" s="94"/>
      <c r="T77" s="94"/>
      <c r="U77" s="94"/>
      <c r="V77" s="94"/>
      <c r="W77" s="94"/>
      <c r="X77" s="94"/>
      <c r="Y77" s="94"/>
      <c r="Z77" s="94"/>
      <c r="AA77" s="94"/>
      <c r="AB77" s="94"/>
      <c r="AC77" s="94"/>
      <c r="AD77" s="94"/>
      <c r="AE77" s="94"/>
      <c r="AF77" s="94"/>
      <c r="AG77" s="94"/>
    </row>
    <row r="78">
      <c r="A78" s="96" t="s">
        <v>722</v>
      </c>
      <c r="B78" s="95" t="str">
        <f>IFERROR(__xludf.DUMMYFUNCTION("""COMPUTED_VALUE"""),"32044150448421_025")</f>
        <v>32044150448421_025</v>
      </c>
      <c r="C78" s="94"/>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row>
    <row r="79">
      <c r="A79" s="96" t="s">
        <v>732</v>
      </c>
      <c r="B79" s="95" t="str">
        <f>IFERROR(__xludf.DUMMYFUNCTION("""COMPUTED_VALUE"""),"32044150448421_039")</f>
        <v>32044150448421_039</v>
      </c>
      <c r="C79" s="94" t="str">
        <f>IFERROR(__xludf.DUMMYFUNCTION("""COMPUTED_VALUE""")," 32044150448421_040")</f>
        <v> 32044150448421_040</v>
      </c>
      <c r="D79" s="94" t="str">
        <f>IFERROR(__xludf.DUMMYFUNCTION("""COMPUTED_VALUE""")," 32044150448421_041")</f>
        <v> 32044150448421_041</v>
      </c>
      <c r="E79" s="94" t="str">
        <f>IFERROR(__xludf.DUMMYFUNCTION("""COMPUTED_VALUE""")," 32044150448421_042")</f>
        <v> 32044150448421_042</v>
      </c>
      <c r="F79" s="94"/>
      <c r="G79" s="94"/>
      <c r="H79" s="94"/>
      <c r="I79" s="94"/>
      <c r="J79" s="94"/>
      <c r="K79" s="94"/>
      <c r="L79" s="94"/>
      <c r="M79" s="94"/>
      <c r="N79" s="94"/>
      <c r="O79" s="94"/>
      <c r="P79" s="94"/>
      <c r="Q79" s="94"/>
      <c r="R79" s="94"/>
      <c r="S79" s="94"/>
      <c r="T79" s="94"/>
      <c r="U79" s="94"/>
      <c r="V79" s="94"/>
      <c r="W79" s="94"/>
      <c r="X79" s="94"/>
      <c r="Y79" s="94"/>
      <c r="Z79" s="94"/>
      <c r="AA79" s="94"/>
      <c r="AB79" s="94"/>
      <c r="AC79" s="94"/>
      <c r="AD79" s="94"/>
      <c r="AE79" s="94"/>
      <c r="AF79" s="94"/>
      <c r="AG79" s="94"/>
    </row>
    <row r="80">
      <c r="A80" s="96" t="s">
        <v>746</v>
      </c>
      <c r="B80" s="95" t="str">
        <f>IFERROR(__xludf.DUMMYFUNCTION("""COMPUTED_VALUE"""),"32044150448421_026")</f>
        <v>32044150448421_026</v>
      </c>
      <c r="C80" s="94" t="str">
        <f>IFERROR(__xludf.DUMMYFUNCTION("""COMPUTED_VALUE""")," 32044150448421_027")</f>
        <v> 32044150448421_027</v>
      </c>
      <c r="D80" s="94" t="str">
        <f>IFERROR(__xludf.DUMMYFUNCTION("""COMPUTED_VALUE""")," 32044150448421_028")</f>
        <v> 32044150448421_028</v>
      </c>
      <c r="E80" s="94" t="str">
        <f>IFERROR(__xludf.DUMMYFUNCTION("""COMPUTED_VALUE""")," 32044150448421_029")</f>
        <v> 32044150448421_029</v>
      </c>
      <c r="F80" s="94" t="str">
        <f>IFERROR(__xludf.DUMMYFUNCTION("""COMPUTED_VALUE""")," 32044150448421_030")</f>
        <v> 32044150448421_030</v>
      </c>
      <c r="G80" s="94" t="str">
        <f>IFERROR(__xludf.DUMMYFUNCTION("""COMPUTED_VALUE""")," 32044150448421_031")</f>
        <v> 32044150448421_031</v>
      </c>
      <c r="H80" s="94" t="str">
        <f>IFERROR(__xludf.DUMMYFUNCTION("""COMPUTED_VALUE""")," 32044150448421_032")</f>
        <v> 32044150448421_032</v>
      </c>
      <c r="I80" s="94" t="str">
        <f>IFERROR(__xludf.DUMMYFUNCTION("""COMPUTED_VALUE""")," 32044150448421_033")</f>
        <v> 32044150448421_033</v>
      </c>
      <c r="J80" s="94" t="str">
        <f>IFERROR(__xludf.DUMMYFUNCTION("""COMPUTED_VALUE""")," 32044150448421_034")</f>
        <v> 32044150448421_034</v>
      </c>
      <c r="K80" s="94" t="str">
        <f>IFERROR(__xludf.DUMMYFUNCTION("""COMPUTED_VALUE""")," 32044150448421_035")</f>
        <v> 32044150448421_035</v>
      </c>
      <c r="L80" s="94" t="str">
        <f>IFERROR(__xludf.DUMMYFUNCTION("""COMPUTED_VALUE""")," 32044150448421_036")</f>
        <v> 32044150448421_036</v>
      </c>
      <c r="M80" s="94" t="str">
        <f>IFERROR(__xludf.DUMMYFUNCTION("""COMPUTED_VALUE""")," 32044150448421_037")</f>
        <v> 32044150448421_037</v>
      </c>
      <c r="N80" s="94"/>
      <c r="O80" s="94"/>
      <c r="P80" s="94"/>
      <c r="Q80" s="94"/>
      <c r="R80" s="94"/>
      <c r="S80" s="94"/>
      <c r="T80" s="94"/>
      <c r="U80" s="94"/>
      <c r="V80" s="94"/>
      <c r="W80" s="94"/>
      <c r="X80" s="94"/>
      <c r="Y80" s="94"/>
      <c r="Z80" s="94"/>
      <c r="AA80" s="94"/>
      <c r="AB80" s="94"/>
      <c r="AC80" s="94"/>
      <c r="AD80" s="94"/>
      <c r="AE80" s="94"/>
      <c r="AF80" s="94"/>
      <c r="AG80" s="94"/>
    </row>
    <row r="81">
      <c r="A81" s="96" t="s">
        <v>756</v>
      </c>
      <c r="B81" s="95" t="str">
        <f>IFERROR(__xludf.DUMMYFUNCTION("""COMPUTED_VALUE"""),"32044150448421_045")</f>
        <v>32044150448421_045</v>
      </c>
      <c r="C81" s="94" t="str">
        <f>IFERROR(__xludf.DUMMYFUNCTION("""COMPUTED_VALUE""")," 32044150448421_046")</f>
        <v> 32044150448421_046</v>
      </c>
      <c r="D81" s="94" t="str">
        <f>IFERROR(__xludf.DUMMYFUNCTION("""COMPUTED_VALUE""")," 32044150448421_047")</f>
        <v> 32044150448421_047</v>
      </c>
      <c r="E81" s="94" t="str">
        <f>IFERROR(__xludf.DUMMYFUNCTION("""COMPUTED_VALUE""")," 32044150448421_049")</f>
        <v> 32044150448421_049</v>
      </c>
      <c r="F81" s="94" t="str">
        <f>IFERROR(__xludf.DUMMYFUNCTION("""COMPUTED_VALUE""")," 32044150448421_050")</f>
        <v> 32044150448421_050</v>
      </c>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4"/>
      <c r="AG81" s="94"/>
    </row>
    <row r="82">
      <c r="A82" s="96" t="s">
        <v>764</v>
      </c>
      <c r="B82" s="95" t="str">
        <f>IFERROR(__xludf.DUMMYFUNCTION("""COMPUTED_VALUE"""),"32044150448421_038")</f>
        <v>32044150448421_038</v>
      </c>
      <c r="C82" s="94" t="str">
        <f>IFERROR(__xludf.DUMMYFUNCTION("""COMPUTED_VALUE""")," 32044150448421_043")</f>
        <v> 32044150448421_043</v>
      </c>
      <c r="D82" s="94" t="str">
        <f>IFERROR(__xludf.DUMMYFUNCTION("""COMPUTED_VALUE""")," 32044150448421_044")</f>
        <v> 32044150448421_044</v>
      </c>
      <c r="E82" s="94"/>
      <c r="F82" s="94"/>
      <c r="G82" s="94"/>
      <c r="H82" s="94"/>
      <c r="I82" s="94"/>
      <c r="J82" s="94"/>
      <c r="K82" s="94"/>
      <c r="L82" s="94"/>
      <c r="M82" s="94"/>
      <c r="N82" s="94"/>
      <c r="O82" s="94"/>
      <c r="P82" s="94"/>
      <c r="Q82" s="94"/>
      <c r="R82" s="94"/>
      <c r="S82" s="94"/>
      <c r="T82" s="94"/>
      <c r="U82" s="94"/>
      <c r="V82" s="94"/>
      <c r="W82" s="94"/>
      <c r="X82" s="94"/>
      <c r="Y82" s="94"/>
      <c r="Z82" s="94"/>
      <c r="AA82" s="94"/>
      <c r="AB82" s="94"/>
      <c r="AC82" s="94"/>
      <c r="AD82" s="94"/>
      <c r="AE82" s="94"/>
      <c r="AF82" s="94"/>
      <c r="AG82" s="94"/>
    </row>
    <row r="83">
      <c r="A83" s="96" t="s">
        <v>777</v>
      </c>
      <c r="B83" s="95" t="str">
        <f>IFERROR(__xludf.DUMMYFUNCTION("""COMPUTED_VALUE"""),"32044150448439_001")</f>
        <v>32044150448439_001</v>
      </c>
      <c r="C83" s="94" t="str">
        <f>IFERROR(__xludf.DUMMYFUNCTION("""COMPUTED_VALUE""")," 32044150448439_002")</f>
        <v> 32044150448439_002</v>
      </c>
      <c r="D83" s="94" t="str">
        <f>IFERROR(__xludf.DUMMYFUNCTION("""COMPUTED_VALUE""")," 32044150448439_003")</f>
        <v> 32044150448439_003</v>
      </c>
      <c r="E83" s="94" t="str">
        <f>IFERROR(__xludf.DUMMYFUNCTION("""COMPUTED_VALUE""")," 32044150448439_004")</f>
        <v> 32044150448439_004</v>
      </c>
      <c r="F83" s="94" t="str">
        <f>IFERROR(__xludf.DUMMYFUNCTION("""COMPUTED_VALUE""")," 32044150448439_005")</f>
        <v> 32044150448439_005</v>
      </c>
      <c r="G83" s="94" t="str">
        <f>IFERROR(__xludf.DUMMYFUNCTION("""COMPUTED_VALUE""")," 32044150448439_006")</f>
        <v> 32044150448439_006</v>
      </c>
      <c r="H83" s="94" t="str">
        <f>IFERROR(__xludf.DUMMYFUNCTION("""COMPUTED_VALUE""")," 32044150448439_007")</f>
        <v> 32044150448439_007</v>
      </c>
      <c r="I83" s="94" t="str">
        <f>IFERROR(__xludf.DUMMYFUNCTION("""COMPUTED_VALUE""")," 32044150448439_008")</f>
        <v> 32044150448439_008</v>
      </c>
      <c r="J83" s="94" t="str">
        <f>IFERROR(__xludf.DUMMYFUNCTION("""COMPUTED_VALUE""")," 32044150448439_009")</f>
        <v> 32044150448439_009</v>
      </c>
      <c r="K83" s="94"/>
      <c r="L83" s="94"/>
      <c r="M83" s="94"/>
      <c r="N83" s="94"/>
      <c r="O83" s="94"/>
      <c r="P83" s="94"/>
      <c r="Q83" s="94"/>
      <c r="R83" s="94"/>
      <c r="S83" s="94"/>
      <c r="T83" s="94"/>
      <c r="U83" s="94"/>
      <c r="V83" s="94"/>
      <c r="W83" s="94"/>
      <c r="X83" s="94"/>
      <c r="Y83" s="94"/>
      <c r="Z83" s="94"/>
      <c r="AA83" s="94"/>
      <c r="AB83" s="94"/>
      <c r="AC83" s="94"/>
      <c r="AD83" s="94"/>
      <c r="AE83" s="94"/>
      <c r="AF83" s="94"/>
      <c r="AG83" s="94"/>
    </row>
    <row r="84">
      <c r="A84" s="96" t="s">
        <v>786</v>
      </c>
      <c r="B84" s="95" t="str">
        <f>IFERROR(__xludf.DUMMYFUNCTION("""COMPUTED_VALUE"""),"32044150448439_010")</f>
        <v>32044150448439_010</v>
      </c>
      <c r="C84" s="94" t="str">
        <f>IFERROR(__xludf.DUMMYFUNCTION("""COMPUTED_VALUE""")," 32044150448439_011")</f>
        <v> 32044150448439_011</v>
      </c>
      <c r="D84" s="94" t="str">
        <f>IFERROR(__xludf.DUMMYFUNCTION("""COMPUTED_VALUE""")," 32044150448439_012")</f>
        <v> 32044150448439_012</v>
      </c>
      <c r="E84" s="94" t="str">
        <f>IFERROR(__xludf.DUMMYFUNCTION("""COMPUTED_VALUE""")," 32044150448439_013")</f>
        <v> 32044150448439_013</v>
      </c>
      <c r="F84" s="94"/>
      <c r="G84" s="94"/>
      <c r="H84" s="94"/>
      <c r="I84" s="94"/>
      <c r="J84" s="94"/>
      <c r="K84" s="94"/>
      <c r="L84" s="94"/>
      <c r="M84" s="94"/>
      <c r="N84" s="94"/>
      <c r="O84" s="94"/>
      <c r="P84" s="94"/>
      <c r="Q84" s="94"/>
      <c r="R84" s="94"/>
      <c r="S84" s="94"/>
      <c r="T84" s="94"/>
      <c r="U84" s="94"/>
      <c r="V84" s="94"/>
      <c r="W84" s="94"/>
      <c r="X84" s="94"/>
      <c r="Y84" s="94"/>
      <c r="Z84" s="94"/>
      <c r="AA84" s="94"/>
      <c r="AB84" s="94"/>
      <c r="AC84" s="94"/>
      <c r="AD84" s="94"/>
      <c r="AE84" s="94"/>
      <c r="AF84" s="94"/>
      <c r="AG84" s="94"/>
    </row>
    <row r="85">
      <c r="A85" s="96" t="s">
        <v>794</v>
      </c>
      <c r="B85" s="95" t="str">
        <f>IFERROR(__xludf.DUMMYFUNCTION("""COMPUTED_VALUE"""),"32044150448439_014")</f>
        <v>32044150448439_014</v>
      </c>
      <c r="C85" s="94" t="str">
        <f>IFERROR(__xludf.DUMMYFUNCTION("""COMPUTED_VALUE""")," 32044150448439_015")</f>
        <v> 32044150448439_015</v>
      </c>
      <c r="D85" s="94" t="str">
        <f>IFERROR(__xludf.DUMMYFUNCTION("""COMPUTED_VALUE""")," 32044150448439_016")</f>
        <v> 32044150448439_016</v>
      </c>
      <c r="E85" s="94" t="str">
        <f>IFERROR(__xludf.DUMMYFUNCTION("""COMPUTED_VALUE""")," 32044150448439_017")</f>
        <v> 32044150448439_017</v>
      </c>
      <c r="F85" s="94" t="str">
        <f>IFERROR(__xludf.DUMMYFUNCTION("""COMPUTED_VALUE""")," 32044150448439_018")</f>
        <v> 32044150448439_018</v>
      </c>
      <c r="G85" s="94" t="str">
        <f>IFERROR(__xludf.DUMMYFUNCTION("""COMPUTED_VALUE""")," 32044150448439_019")</f>
        <v> 32044150448439_019</v>
      </c>
      <c r="H85" s="94"/>
      <c r="I85" s="94"/>
      <c r="J85" s="94"/>
      <c r="K85" s="94"/>
      <c r="L85" s="94"/>
      <c r="M85" s="94"/>
      <c r="N85" s="94"/>
      <c r="O85" s="94"/>
      <c r="P85" s="94"/>
      <c r="Q85" s="94"/>
      <c r="R85" s="94"/>
      <c r="S85" s="94"/>
      <c r="T85" s="94"/>
      <c r="U85" s="94"/>
      <c r="V85" s="94"/>
      <c r="W85" s="94"/>
      <c r="X85" s="94"/>
      <c r="Y85" s="94"/>
      <c r="Z85" s="94"/>
      <c r="AA85" s="94"/>
      <c r="AB85" s="94"/>
      <c r="AC85" s="94"/>
      <c r="AD85" s="94"/>
      <c r="AE85" s="94"/>
      <c r="AF85" s="94"/>
      <c r="AG85" s="94"/>
    </row>
    <row r="86">
      <c r="A86" s="96" t="s">
        <v>804</v>
      </c>
      <c r="B86" s="95" t="str">
        <f>IFERROR(__xludf.DUMMYFUNCTION("""COMPUTED_VALUE"""),"32044150448439_020")</f>
        <v>32044150448439_020</v>
      </c>
      <c r="C86" s="94" t="str">
        <f>IFERROR(__xludf.DUMMYFUNCTION("""COMPUTED_VALUE""")," 32044150448439_021")</f>
        <v> 32044150448439_021</v>
      </c>
      <c r="D86" s="94" t="str">
        <f>IFERROR(__xludf.DUMMYFUNCTION("""COMPUTED_VALUE""")," 32044150448439_022")</f>
        <v> 32044150448439_022</v>
      </c>
      <c r="E86" s="94" t="str">
        <f>IFERROR(__xludf.DUMMYFUNCTION("""COMPUTED_VALUE""")," 32044150448439_023")</f>
        <v> 32044150448439_023</v>
      </c>
      <c r="F86" s="94" t="str">
        <f>IFERROR(__xludf.DUMMYFUNCTION("""COMPUTED_VALUE""")," 32044150448439_024")</f>
        <v> 32044150448439_024</v>
      </c>
      <c r="G86" s="94" t="str">
        <f>IFERROR(__xludf.DUMMYFUNCTION("""COMPUTED_VALUE""")," 32044150448439_025")</f>
        <v> 32044150448439_025</v>
      </c>
      <c r="H86" s="94" t="str">
        <f>IFERROR(__xludf.DUMMYFUNCTION("""COMPUTED_VALUE""")," 32044150448439_026")</f>
        <v> 32044150448439_026</v>
      </c>
      <c r="I86" s="94" t="str">
        <f>IFERROR(__xludf.DUMMYFUNCTION("""COMPUTED_VALUE""")," 32044150448439_027")</f>
        <v> 32044150448439_027</v>
      </c>
      <c r="J86" s="94"/>
      <c r="K86" s="94"/>
      <c r="L86" s="94"/>
      <c r="M86" s="94"/>
      <c r="N86" s="94"/>
      <c r="O86" s="94"/>
      <c r="P86" s="94"/>
      <c r="Q86" s="94"/>
      <c r="R86" s="94"/>
      <c r="S86" s="94"/>
      <c r="T86" s="94"/>
      <c r="U86" s="94"/>
      <c r="V86" s="94"/>
      <c r="W86" s="94"/>
      <c r="X86" s="94"/>
      <c r="Y86" s="94"/>
      <c r="Z86" s="94"/>
      <c r="AA86" s="94"/>
      <c r="AB86" s="94"/>
      <c r="AC86" s="94"/>
      <c r="AD86" s="94"/>
      <c r="AE86" s="94"/>
      <c r="AF86" s="94"/>
      <c r="AG86" s="94"/>
    </row>
    <row r="87">
      <c r="A87" s="96" t="s">
        <v>812</v>
      </c>
      <c r="B87" s="95" t="str">
        <f>IFERROR(__xludf.DUMMYFUNCTION("""COMPUTED_VALUE"""),"32044150448439_028")</f>
        <v>32044150448439_028</v>
      </c>
      <c r="C87" s="94" t="str">
        <f>IFERROR(__xludf.DUMMYFUNCTION("""COMPUTED_VALUE""")," 32044150448439_029")</f>
        <v> 32044150448439_029</v>
      </c>
      <c r="D87" s="94" t="str">
        <f>IFERROR(__xludf.DUMMYFUNCTION("""COMPUTED_VALUE""")," 32044150448439_030")</f>
        <v> 32044150448439_030</v>
      </c>
      <c r="E87" s="94" t="str">
        <f>IFERROR(__xludf.DUMMYFUNCTION("""COMPUTED_VALUE""")," 32044150448439_031")</f>
        <v> 32044150448439_031</v>
      </c>
      <c r="F87" s="94" t="str">
        <f>IFERROR(__xludf.DUMMYFUNCTION("""COMPUTED_VALUE""")," 32044150448439_032")</f>
        <v> 32044150448439_032</v>
      </c>
      <c r="G87" s="94"/>
      <c r="H87" s="94"/>
      <c r="I87" s="94"/>
      <c r="J87" s="94"/>
      <c r="K87" s="94"/>
      <c r="L87" s="94"/>
      <c r="M87" s="94"/>
      <c r="N87" s="94"/>
      <c r="O87" s="94"/>
      <c r="P87" s="94"/>
      <c r="Q87" s="94"/>
      <c r="R87" s="94"/>
      <c r="S87" s="94"/>
      <c r="T87" s="94"/>
      <c r="U87" s="94"/>
      <c r="V87" s="94"/>
      <c r="W87" s="94"/>
      <c r="X87" s="94"/>
      <c r="Y87" s="94"/>
      <c r="Z87" s="94"/>
      <c r="AA87" s="94"/>
      <c r="AB87" s="94"/>
      <c r="AC87" s="94"/>
      <c r="AD87" s="94"/>
      <c r="AE87" s="94"/>
      <c r="AF87" s="94"/>
      <c r="AG87" s="94"/>
    </row>
    <row r="88">
      <c r="A88" s="96" t="s">
        <v>819</v>
      </c>
      <c r="B88" s="95" t="str">
        <f>IFERROR(__xludf.DUMMYFUNCTION("""COMPUTED_VALUE"""),"32044150448439_033")</f>
        <v>32044150448439_033</v>
      </c>
      <c r="C88" s="94" t="str">
        <f>IFERROR(__xludf.DUMMYFUNCTION("""COMPUTED_VALUE""")," 32044150448439_034")</f>
        <v> 32044150448439_034</v>
      </c>
      <c r="D88" s="94" t="str">
        <f>IFERROR(__xludf.DUMMYFUNCTION("""COMPUTED_VALUE""")," 32044150448439_035")</f>
        <v> 32044150448439_035</v>
      </c>
      <c r="E88" s="94" t="str">
        <f>IFERROR(__xludf.DUMMYFUNCTION("""COMPUTED_VALUE""")," 32044150448439_036")</f>
        <v> 32044150448439_036</v>
      </c>
      <c r="F88" s="94"/>
      <c r="G88" s="94"/>
      <c r="H88" s="94"/>
      <c r="I88" s="94"/>
      <c r="J88" s="94"/>
      <c r="K88" s="94"/>
      <c r="L88" s="94"/>
      <c r="M88" s="94"/>
      <c r="N88" s="94"/>
      <c r="O88" s="94"/>
      <c r="P88" s="94"/>
      <c r="Q88" s="94"/>
      <c r="R88" s="94"/>
      <c r="S88" s="94"/>
      <c r="T88" s="94"/>
      <c r="U88" s="94"/>
      <c r="V88" s="94"/>
      <c r="W88" s="94"/>
      <c r="X88" s="94"/>
      <c r="Y88" s="94"/>
      <c r="Z88" s="94"/>
      <c r="AA88" s="94"/>
      <c r="AB88" s="94"/>
      <c r="AC88" s="94"/>
      <c r="AD88" s="94"/>
      <c r="AE88" s="94"/>
      <c r="AF88" s="94"/>
      <c r="AG88" s="94"/>
    </row>
    <row r="89">
      <c r="A89" s="96" t="s">
        <v>826</v>
      </c>
      <c r="B89" s="95" t="str">
        <f>IFERROR(__xludf.DUMMYFUNCTION("""COMPUTED_VALUE"""),"32044150448439_037")</f>
        <v>32044150448439_037</v>
      </c>
      <c r="C89" s="94" t="str">
        <f>IFERROR(__xludf.DUMMYFUNCTION("""COMPUTED_VALUE""")," 32044150448439_038")</f>
        <v> 32044150448439_038</v>
      </c>
      <c r="D89" s="94" t="str">
        <f>IFERROR(__xludf.DUMMYFUNCTION("""COMPUTED_VALUE""")," 32044150448439_039")</f>
        <v> 32044150448439_039</v>
      </c>
      <c r="E89" s="94" t="str">
        <f>IFERROR(__xludf.DUMMYFUNCTION("""COMPUTED_VALUE""")," 32044150448439_040")</f>
        <v> 32044150448439_040</v>
      </c>
      <c r="F89" s="94"/>
      <c r="G89" s="94"/>
      <c r="H89" s="94"/>
      <c r="I89" s="94"/>
      <c r="J89" s="94"/>
      <c r="K89" s="94"/>
      <c r="L89" s="94"/>
      <c r="M89" s="94"/>
      <c r="N89" s="94"/>
      <c r="O89" s="94"/>
      <c r="P89" s="94"/>
      <c r="Q89" s="94"/>
      <c r="R89" s="94"/>
      <c r="S89" s="94"/>
      <c r="T89" s="94"/>
      <c r="U89" s="94"/>
      <c r="V89" s="94"/>
      <c r="W89" s="94"/>
      <c r="X89" s="94"/>
      <c r="Y89" s="94"/>
      <c r="Z89" s="94"/>
      <c r="AA89" s="94"/>
      <c r="AB89" s="94"/>
      <c r="AC89" s="94"/>
      <c r="AD89" s="94"/>
      <c r="AE89" s="94"/>
      <c r="AF89" s="94"/>
      <c r="AG89" s="94"/>
    </row>
    <row r="90">
      <c r="A90" s="96" t="s">
        <v>835</v>
      </c>
      <c r="B90" s="95" t="str">
        <f>IFERROR(__xludf.DUMMYFUNCTION("""COMPUTED_VALUE"""),"32044150448447_001")</f>
        <v>32044150448447_001</v>
      </c>
      <c r="C90" s="94" t="str">
        <f>IFERROR(__xludf.DUMMYFUNCTION("""COMPUTED_VALUE""")," 32044150448447_002")</f>
        <v> 32044150448447_002</v>
      </c>
      <c r="D90" s="94" t="str">
        <f>IFERROR(__xludf.DUMMYFUNCTION("""COMPUTED_VALUE""")," 32044150448447_003")</f>
        <v> 32044150448447_003</v>
      </c>
      <c r="E90" s="94" t="str">
        <f>IFERROR(__xludf.DUMMYFUNCTION("""COMPUTED_VALUE""")," 32044150448447_004")</f>
        <v> 32044150448447_004</v>
      </c>
      <c r="F90" s="94" t="str">
        <f>IFERROR(__xludf.DUMMYFUNCTION("""COMPUTED_VALUE""")," 32044150448447_005")</f>
        <v> 32044150448447_005</v>
      </c>
      <c r="G90" s="94" t="str">
        <f>IFERROR(__xludf.DUMMYFUNCTION("""COMPUTED_VALUE""")," 32044150448447_006")</f>
        <v> 32044150448447_006</v>
      </c>
      <c r="H90" s="94" t="str">
        <f>IFERROR(__xludf.DUMMYFUNCTION("""COMPUTED_VALUE""")," 32044150448447_007")</f>
        <v> 32044150448447_007</v>
      </c>
      <c r="I90" s="94" t="str">
        <f>IFERROR(__xludf.DUMMYFUNCTION("""COMPUTED_VALUE""")," 32044150448447_008")</f>
        <v> 32044150448447_008</v>
      </c>
      <c r="J90" s="94"/>
      <c r="K90" s="94"/>
      <c r="L90" s="94"/>
      <c r="M90" s="94"/>
      <c r="N90" s="94"/>
      <c r="O90" s="94"/>
      <c r="P90" s="94"/>
      <c r="Q90" s="94"/>
      <c r="R90" s="94"/>
      <c r="S90" s="94"/>
      <c r="T90" s="94"/>
      <c r="U90" s="94"/>
      <c r="V90" s="94"/>
      <c r="W90" s="94"/>
      <c r="X90" s="94"/>
      <c r="Y90" s="94"/>
      <c r="Z90" s="94"/>
      <c r="AA90" s="94"/>
      <c r="AB90" s="94"/>
      <c r="AC90" s="94"/>
      <c r="AD90" s="94"/>
      <c r="AE90" s="94"/>
      <c r="AF90" s="94"/>
      <c r="AG90" s="94"/>
    </row>
    <row r="91">
      <c r="A91" s="96" t="s">
        <v>846</v>
      </c>
      <c r="B91" s="95" t="str">
        <f>IFERROR(__xludf.DUMMYFUNCTION("""COMPUTED_VALUE"""),"32044150448447_017")</f>
        <v>32044150448447_017</v>
      </c>
      <c r="C91" s="94" t="str">
        <f>IFERROR(__xludf.DUMMYFUNCTION("""COMPUTED_VALUE""")," 32044150448447_018")</f>
        <v> 32044150448447_018</v>
      </c>
      <c r="D91" s="94" t="str">
        <f>IFERROR(__xludf.DUMMYFUNCTION("""COMPUTED_VALUE""")," 32044150448447_019")</f>
        <v> 32044150448447_019</v>
      </c>
      <c r="E91" s="94" t="str">
        <f>IFERROR(__xludf.DUMMYFUNCTION("""COMPUTED_VALUE""")," 32044150448447_020")</f>
        <v> 32044150448447_020</v>
      </c>
      <c r="F91" s="94" t="str">
        <f>IFERROR(__xludf.DUMMYFUNCTION("""COMPUTED_VALUE""")," 32044150448447_021")</f>
        <v> 32044150448447_021</v>
      </c>
      <c r="G91" s="94" t="str">
        <f>IFERROR(__xludf.DUMMYFUNCTION("""COMPUTED_VALUE""")," 32044150448447_022")</f>
        <v> 32044150448447_022</v>
      </c>
      <c r="H91" s="94" t="str">
        <f>IFERROR(__xludf.DUMMYFUNCTION("""COMPUTED_VALUE""")," 32044150448447_023")</f>
        <v> 32044150448447_023</v>
      </c>
      <c r="I91" s="94" t="str">
        <f>IFERROR(__xludf.DUMMYFUNCTION("""COMPUTED_VALUE""")," 32044150448447_024")</f>
        <v> 32044150448447_024</v>
      </c>
      <c r="J91" s="94"/>
      <c r="K91" s="94"/>
      <c r="L91" s="94"/>
      <c r="M91" s="94"/>
      <c r="N91" s="94"/>
      <c r="O91" s="94"/>
      <c r="P91" s="94"/>
      <c r="Q91" s="94"/>
      <c r="R91" s="94"/>
      <c r="S91" s="94"/>
      <c r="T91" s="94"/>
      <c r="U91" s="94"/>
      <c r="V91" s="94"/>
      <c r="W91" s="94"/>
      <c r="X91" s="94"/>
      <c r="Y91" s="94"/>
      <c r="Z91" s="94"/>
      <c r="AA91" s="94"/>
      <c r="AB91" s="94"/>
      <c r="AC91" s="94"/>
      <c r="AD91" s="94"/>
      <c r="AE91" s="94"/>
      <c r="AF91" s="94"/>
      <c r="AG91" s="94"/>
    </row>
    <row r="92">
      <c r="A92" s="96" t="s">
        <v>854</v>
      </c>
      <c r="B92" s="95" t="str">
        <f>IFERROR(__xludf.DUMMYFUNCTION("""COMPUTED_VALUE"""),"32044150448447_009")</f>
        <v>32044150448447_009</v>
      </c>
      <c r="C92" s="94" t="str">
        <f>IFERROR(__xludf.DUMMYFUNCTION("""COMPUTED_VALUE""")," 32044150448447_010")</f>
        <v> 32044150448447_010</v>
      </c>
      <c r="D92" s="94" t="str">
        <f>IFERROR(__xludf.DUMMYFUNCTION("""COMPUTED_VALUE""")," 32044150448447_011")</f>
        <v> 32044150448447_011</v>
      </c>
      <c r="E92" s="94" t="str">
        <f>IFERROR(__xludf.DUMMYFUNCTION("""COMPUTED_VALUE""")," 32044150448447_012")</f>
        <v> 32044150448447_012</v>
      </c>
      <c r="F92" s="94" t="str">
        <f>IFERROR(__xludf.DUMMYFUNCTION("""COMPUTED_VALUE""")," 32044150448447_013")</f>
        <v> 32044150448447_013</v>
      </c>
      <c r="G92" s="94" t="str">
        <f>IFERROR(__xludf.DUMMYFUNCTION("""COMPUTED_VALUE""")," 32044150448447_014")</f>
        <v> 32044150448447_014</v>
      </c>
      <c r="H92" s="94" t="str">
        <f>IFERROR(__xludf.DUMMYFUNCTION("""COMPUTED_VALUE""")," 32044150448447_015")</f>
        <v> 32044150448447_015</v>
      </c>
      <c r="I92" s="94" t="str">
        <f>IFERROR(__xludf.DUMMYFUNCTION("""COMPUTED_VALUE""")," 32044150448447_016")</f>
        <v> 32044150448447_016</v>
      </c>
      <c r="J92" s="94"/>
      <c r="K92" s="94"/>
      <c r="L92" s="94"/>
      <c r="M92" s="94"/>
      <c r="N92" s="94"/>
      <c r="O92" s="94"/>
      <c r="P92" s="94"/>
      <c r="Q92" s="94"/>
      <c r="R92" s="94"/>
      <c r="S92" s="94"/>
      <c r="T92" s="94"/>
      <c r="U92" s="94"/>
      <c r="V92" s="94"/>
      <c r="W92" s="94"/>
      <c r="X92" s="94"/>
      <c r="Y92" s="94"/>
      <c r="Z92" s="94"/>
      <c r="AA92" s="94"/>
      <c r="AB92" s="94"/>
      <c r="AC92" s="94"/>
      <c r="AD92" s="94"/>
      <c r="AE92" s="94"/>
      <c r="AF92" s="94"/>
      <c r="AG92" s="94"/>
    </row>
    <row r="93">
      <c r="A93" s="96" t="s">
        <v>863</v>
      </c>
      <c r="B93" s="95" t="str">
        <f>IFERROR(__xludf.DUMMYFUNCTION("""COMPUTED_VALUE"""),"32044150448447_037")</f>
        <v>32044150448447_037</v>
      </c>
      <c r="C93" s="94" t="str">
        <f>IFERROR(__xludf.DUMMYFUNCTION("""COMPUTED_VALUE""")," 32044150448447_038")</f>
        <v> 32044150448447_038</v>
      </c>
      <c r="D93" s="94" t="str">
        <f>IFERROR(__xludf.DUMMYFUNCTION("""COMPUTED_VALUE""")," 32044150448447_039")</f>
        <v> 32044150448447_039</v>
      </c>
      <c r="E93" s="94" t="str">
        <f>IFERROR(__xludf.DUMMYFUNCTION("""COMPUTED_VALUE""")," 32044150448447_040")</f>
        <v> 32044150448447_040</v>
      </c>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row>
    <row r="94">
      <c r="A94" s="96" t="s">
        <v>871</v>
      </c>
      <c r="B94" s="95" t="str">
        <f>IFERROR(__xludf.DUMMYFUNCTION("""COMPUTED_VALUE"""),"32044150448447_025")</f>
        <v>32044150448447_025</v>
      </c>
      <c r="C94" s="94" t="str">
        <f>IFERROR(__xludf.DUMMYFUNCTION("""COMPUTED_VALUE""")," 32044150448447_026")</f>
        <v> 32044150448447_026</v>
      </c>
      <c r="D94" s="94" t="str">
        <f>IFERROR(__xludf.DUMMYFUNCTION("""COMPUTED_VALUE""")," 32044150448447_027")</f>
        <v> 32044150448447_027</v>
      </c>
      <c r="E94" s="94" t="str">
        <f>IFERROR(__xludf.DUMMYFUNCTION("""COMPUTED_VALUE""")," 32044150448447_028")</f>
        <v> 32044150448447_028</v>
      </c>
      <c r="F94" s="94" t="str">
        <f>IFERROR(__xludf.DUMMYFUNCTION("""COMPUTED_VALUE""")," 32044150448447_029")</f>
        <v> 32044150448447_029</v>
      </c>
      <c r="G94" s="94" t="str">
        <f>IFERROR(__xludf.DUMMYFUNCTION("""COMPUTED_VALUE""")," 32044150448447_030")</f>
        <v> 32044150448447_030</v>
      </c>
      <c r="H94" s="94" t="str">
        <f>IFERROR(__xludf.DUMMYFUNCTION("""COMPUTED_VALUE""")," 32044150448447_031")</f>
        <v> 32044150448447_031</v>
      </c>
      <c r="I94" s="94" t="str">
        <f>IFERROR(__xludf.DUMMYFUNCTION("""COMPUTED_VALUE""")," 32044150448447_032")</f>
        <v> 32044150448447_032</v>
      </c>
      <c r="J94" s="94" t="str">
        <f>IFERROR(__xludf.DUMMYFUNCTION("""COMPUTED_VALUE""")," 32044150448447_033")</f>
        <v> 32044150448447_033</v>
      </c>
      <c r="K94" s="94" t="str">
        <f>IFERROR(__xludf.DUMMYFUNCTION("""COMPUTED_VALUE""")," 32044150448447_034")</f>
        <v> 32044150448447_034</v>
      </c>
      <c r="L94" s="94" t="str">
        <f>IFERROR(__xludf.DUMMYFUNCTION("""COMPUTED_VALUE""")," 32044150448447_035")</f>
        <v> 32044150448447_035</v>
      </c>
      <c r="M94" s="94" t="str">
        <f>IFERROR(__xludf.DUMMYFUNCTION("""COMPUTED_VALUE""")," 32044150448447_036")</f>
        <v> 32044150448447_036</v>
      </c>
      <c r="N94" s="94"/>
      <c r="O94" s="94"/>
      <c r="P94" s="94"/>
      <c r="Q94" s="94"/>
      <c r="R94" s="94"/>
      <c r="S94" s="94"/>
      <c r="T94" s="94"/>
      <c r="U94" s="94"/>
      <c r="V94" s="94"/>
      <c r="W94" s="94"/>
      <c r="X94" s="94"/>
      <c r="Y94" s="94"/>
      <c r="Z94" s="94"/>
      <c r="AA94" s="94"/>
      <c r="AB94" s="94"/>
      <c r="AC94" s="94"/>
      <c r="AD94" s="94"/>
      <c r="AE94" s="94"/>
      <c r="AF94" s="94"/>
      <c r="AG94" s="94"/>
    </row>
    <row r="95">
      <c r="A95" s="96" t="s">
        <v>876</v>
      </c>
      <c r="B95" s="95" t="str">
        <f>IFERROR(__xludf.DUMMYFUNCTION("""COMPUTED_VALUE"""),"32044150448447_062")</f>
        <v>32044150448447_062</v>
      </c>
      <c r="C95" s="94" t="str">
        <f>IFERROR(__xludf.DUMMYFUNCTION("""COMPUTED_VALUE""")," 32044150448447_063")</f>
        <v> 32044150448447_063</v>
      </c>
      <c r="D95" s="94" t="str">
        <f>IFERROR(__xludf.DUMMYFUNCTION("""COMPUTED_VALUE""")," 32044150448447_064")</f>
        <v> 32044150448447_064</v>
      </c>
      <c r="E95" s="94"/>
      <c r="F95" s="94"/>
      <c r="G95" s="94"/>
      <c r="H95" s="94"/>
      <c r="I95" s="94"/>
      <c r="J95" s="94"/>
      <c r="K95" s="94"/>
      <c r="L95" s="94"/>
      <c r="M95" s="94"/>
      <c r="N95" s="94"/>
      <c r="O95" s="94"/>
      <c r="P95" s="94"/>
      <c r="Q95" s="94"/>
      <c r="R95" s="94"/>
      <c r="S95" s="94"/>
      <c r="T95" s="94"/>
      <c r="U95" s="94"/>
      <c r="V95" s="94"/>
      <c r="W95" s="94"/>
      <c r="X95" s="94"/>
      <c r="Y95" s="94"/>
      <c r="Z95" s="94"/>
      <c r="AA95" s="94"/>
      <c r="AB95" s="94"/>
      <c r="AC95" s="94"/>
      <c r="AD95" s="94"/>
      <c r="AE95" s="94"/>
      <c r="AF95" s="94"/>
      <c r="AG95" s="94"/>
    </row>
    <row r="96">
      <c r="A96" s="96" t="s">
        <v>885</v>
      </c>
      <c r="B96" s="95" t="str">
        <f>IFERROR(__xludf.DUMMYFUNCTION("""COMPUTED_VALUE"""),"32044150448447_041")</f>
        <v>32044150448447_041</v>
      </c>
      <c r="C96" s="94" t="str">
        <f>IFERROR(__xludf.DUMMYFUNCTION("""COMPUTED_VALUE""")," 32044150448447_042")</f>
        <v> 32044150448447_042</v>
      </c>
      <c r="D96" s="94" t="str">
        <f>IFERROR(__xludf.DUMMYFUNCTION("""COMPUTED_VALUE""")," 32044150448447_043")</f>
        <v> 32044150448447_043</v>
      </c>
      <c r="E96" s="94"/>
      <c r="F96" s="94"/>
      <c r="G96" s="94"/>
      <c r="H96" s="94"/>
      <c r="I96" s="94"/>
      <c r="J96" s="94"/>
      <c r="K96" s="94"/>
      <c r="L96" s="94"/>
      <c r="M96" s="94"/>
      <c r="N96" s="94"/>
      <c r="O96" s="94"/>
      <c r="P96" s="94"/>
      <c r="Q96" s="94"/>
      <c r="R96" s="94"/>
      <c r="S96" s="94"/>
      <c r="T96" s="94"/>
      <c r="U96" s="94"/>
      <c r="V96" s="94"/>
      <c r="W96" s="94"/>
      <c r="X96" s="94"/>
      <c r="Y96" s="94"/>
      <c r="Z96" s="94"/>
      <c r="AA96" s="94"/>
      <c r="AB96" s="94"/>
      <c r="AC96" s="94"/>
      <c r="AD96" s="94"/>
      <c r="AE96" s="94"/>
      <c r="AF96" s="94"/>
      <c r="AG96" s="94"/>
    </row>
    <row r="97">
      <c r="A97" s="96" t="s">
        <v>892</v>
      </c>
      <c r="B97" s="95" t="str">
        <f>IFERROR(__xludf.DUMMYFUNCTION("""COMPUTED_VALUE"""),"32044150448447_044")</f>
        <v>32044150448447_044</v>
      </c>
      <c r="C97" s="94" t="str">
        <f>IFERROR(__xludf.DUMMYFUNCTION("""COMPUTED_VALUE""")," 32044150448447_045")</f>
        <v> 32044150448447_045</v>
      </c>
      <c r="D97" s="94" t="str">
        <f>IFERROR(__xludf.DUMMYFUNCTION("""COMPUTED_VALUE""")," 32044150448447_046")</f>
        <v> 32044150448447_046</v>
      </c>
      <c r="E97" s="94" t="str">
        <f>IFERROR(__xludf.DUMMYFUNCTION("""COMPUTED_VALUE""")," 32044150448447_047")</f>
        <v> 32044150448447_047</v>
      </c>
      <c r="F97" s="94"/>
      <c r="G97" s="94"/>
      <c r="H97" s="94"/>
      <c r="I97" s="94"/>
      <c r="J97" s="94"/>
      <c r="K97" s="94"/>
      <c r="L97" s="94"/>
      <c r="M97" s="94"/>
      <c r="N97" s="94"/>
      <c r="O97" s="94"/>
      <c r="P97" s="94"/>
      <c r="Q97" s="94"/>
      <c r="R97" s="94"/>
      <c r="S97" s="94"/>
      <c r="T97" s="94"/>
      <c r="U97" s="94"/>
      <c r="V97" s="94"/>
      <c r="W97" s="94"/>
      <c r="X97" s="94"/>
      <c r="Y97" s="94"/>
      <c r="Z97" s="94"/>
      <c r="AA97" s="94"/>
      <c r="AB97" s="94"/>
      <c r="AC97" s="94"/>
      <c r="AD97" s="94"/>
      <c r="AE97" s="94"/>
      <c r="AF97" s="94"/>
      <c r="AG97" s="94"/>
    </row>
    <row r="98">
      <c r="A98" s="96" t="s">
        <v>902</v>
      </c>
      <c r="B98" s="95" t="str">
        <f>IFERROR(__xludf.DUMMYFUNCTION("""COMPUTED_VALUE"""),"32044150448447_048")</f>
        <v>32044150448447_048</v>
      </c>
      <c r="C98" s="94" t="str">
        <f>IFERROR(__xludf.DUMMYFUNCTION("""COMPUTED_VALUE""")," 32044150448447_049")</f>
        <v> 32044150448447_049</v>
      </c>
      <c r="D98" s="94" t="str">
        <f>IFERROR(__xludf.DUMMYFUNCTION("""COMPUTED_VALUE""")," 32044150448447_050")</f>
        <v> 32044150448447_050</v>
      </c>
      <c r="E98" s="94" t="str">
        <f>IFERROR(__xludf.DUMMYFUNCTION("""COMPUTED_VALUE""")," 32044150448447_051")</f>
        <v> 32044150448447_051</v>
      </c>
      <c r="F98" s="94" t="str">
        <f>IFERROR(__xludf.DUMMYFUNCTION("""COMPUTED_VALUE""")," 32044150448447_052")</f>
        <v> 32044150448447_052</v>
      </c>
      <c r="G98" s="94" t="str">
        <f>IFERROR(__xludf.DUMMYFUNCTION("""COMPUTED_VALUE""")," 32044150448447_053")</f>
        <v> 32044150448447_053</v>
      </c>
      <c r="H98" s="94" t="str">
        <f>IFERROR(__xludf.DUMMYFUNCTION("""COMPUTED_VALUE""")," 32044150448447_054")</f>
        <v> 32044150448447_054</v>
      </c>
      <c r="I98" s="94" t="str">
        <f>IFERROR(__xludf.DUMMYFUNCTION("""COMPUTED_VALUE""")," 32044150448447_055")</f>
        <v> 32044150448447_055</v>
      </c>
      <c r="J98" s="94" t="str">
        <f>IFERROR(__xludf.DUMMYFUNCTION("""COMPUTED_VALUE""")," 32044150448447_056")</f>
        <v> 32044150448447_056</v>
      </c>
      <c r="K98" s="94" t="str">
        <f>IFERROR(__xludf.DUMMYFUNCTION("""COMPUTED_VALUE""")," 32044150448447_057")</f>
        <v> 32044150448447_057</v>
      </c>
      <c r="L98" s="94" t="str">
        <f>IFERROR(__xludf.DUMMYFUNCTION("""COMPUTED_VALUE""")," 32044150448447_058")</f>
        <v> 32044150448447_058</v>
      </c>
      <c r="M98" s="94" t="str">
        <f>IFERROR(__xludf.DUMMYFUNCTION("""COMPUTED_VALUE""")," 32044150448447_059")</f>
        <v> 32044150448447_059</v>
      </c>
      <c r="N98" s="94" t="str">
        <f>IFERROR(__xludf.DUMMYFUNCTION("""COMPUTED_VALUE""")," 32044150448447_060")</f>
        <v> 32044150448447_060</v>
      </c>
      <c r="O98" s="94" t="str">
        <f>IFERROR(__xludf.DUMMYFUNCTION("""COMPUTED_VALUE""")," 32044150448447_061")</f>
        <v> 32044150448447_061</v>
      </c>
      <c r="P98" s="94"/>
      <c r="Q98" s="94"/>
      <c r="R98" s="94"/>
      <c r="S98" s="94"/>
      <c r="T98" s="94"/>
      <c r="U98" s="94"/>
      <c r="V98" s="94"/>
      <c r="W98" s="94"/>
      <c r="X98" s="94"/>
      <c r="Y98" s="94"/>
      <c r="Z98" s="94"/>
      <c r="AA98" s="94"/>
      <c r="AB98" s="94"/>
      <c r="AC98" s="94"/>
      <c r="AD98" s="94"/>
      <c r="AE98" s="94"/>
      <c r="AF98" s="94"/>
      <c r="AG98" s="94"/>
    </row>
    <row r="99">
      <c r="A99" s="96" t="s">
        <v>913</v>
      </c>
      <c r="B99" s="95" t="str">
        <f>IFERROR(__xludf.DUMMYFUNCTION("""COMPUTED_VALUE"""),"32044150448454_001")</f>
        <v>32044150448454_001</v>
      </c>
      <c r="C99" s="94" t="str">
        <f>IFERROR(__xludf.DUMMYFUNCTION("""COMPUTED_VALUE""")," 32044150448454_002")</f>
        <v> 32044150448454_002</v>
      </c>
      <c r="D99" s="94" t="str">
        <f>IFERROR(__xludf.DUMMYFUNCTION("""COMPUTED_VALUE""")," 32044150448454_003")</f>
        <v> 32044150448454_003</v>
      </c>
      <c r="E99" s="94"/>
      <c r="F99" s="94"/>
      <c r="G99" s="94"/>
      <c r="H99" s="94"/>
      <c r="I99" s="94"/>
      <c r="J99" s="94"/>
      <c r="K99" s="94"/>
      <c r="L99" s="94"/>
      <c r="M99" s="94"/>
      <c r="N99" s="94"/>
      <c r="O99" s="94"/>
      <c r="P99" s="94"/>
      <c r="Q99" s="94"/>
      <c r="R99" s="94"/>
      <c r="S99" s="94"/>
      <c r="T99" s="94"/>
      <c r="U99" s="94"/>
      <c r="V99" s="94"/>
      <c r="W99" s="94"/>
      <c r="X99" s="94"/>
      <c r="Y99" s="94"/>
      <c r="Z99" s="94"/>
      <c r="AA99" s="94"/>
      <c r="AB99" s="94"/>
      <c r="AC99" s="94"/>
      <c r="AD99" s="94"/>
      <c r="AE99" s="94"/>
      <c r="AF99" s="94"/>
      <c r="AG99" s="94"/>
    </row>
    <row r="100">
      <c r="A100" s="96" t="s">
        <v>920</v>
      </c>
      <c r="B100" s="95" t="str">
        <f>IFERROR(__xludf.DUMMYFUNCTION("""COMPUTED_VALUE"""),"32044150448454_004")</f>
        <v>32044150448454_004</v>
      </c>
      <c r="C100" s="94" t="str">
        <f>IFERROR(__xludf.DUMMYFUNCTION("""COMPUTED_VALUE""")," 32044150448454_005")</f>
        <v> 32044150448454_005</v>
      </c>
      <c r="D100" s="94" t="str">
        <f>IFERROR(__xludf.DUMMYFUNCTION("""COMPUTED_VALUE""")," 32044150448454_006")</f>
        <v> 32044150448454_006</v>
      </c>
      <c r="E100" s="94" t="str">
        <f>IFERROR(__xludf.DUMMYFUNCTION("""COMPUTED_VALUE""")," 32044150448454_007")</f>
        <v> 32044150448454_007</v>
      </c>
      <c r="F100" s="94" t="str">
        <f>IFERROR(__xludf.DUMMYFUNCTION("""COMPUTED_VALUE""")," 32044150448454_008")</f>
        <v> 32044150448454_008</v>
      </c>
      <c r="G100" s="94" t="str">
        <f>IFERROR(__xludf.DUMMYFUNCTION("""COMPUTED_VALUE""")," 32044150448454_009")</f>
        <v> 32044150448454_009</v>
      </c>
      <c r="H100" s="94" t="str">
        <f>IFERROR(__xludf.DUMMYFUNCTION("""COMPUTED_VALUE""")," 32044150448454_010")</f>
        <v> 32044150448454_010</v>
      </c>
      <c r="I100" s="94" t="str">
        <f>IFERROR(__xludf.DUMMYFUNCTION("""COMPUTED_VALUE""")," 32044150448454_011")</f>
        <v> 32044150448454_011</v>
      </c>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row>
    <row r="101">
      <c r="A101" s="96" t="s">
        <v>929</v>
      </c>
      <c r="B101" s="95" t="str">
        <f>IFERROR(__xludf.DUMMYFUNCTION("""COMPUTED_VALUE"""),"32044150448454_012")</f>
        <v>32044150448454_012</v>
      </c>
      <c r="C101" s="94" t="str">
        <f>IFERROR(__xludf.DUMMYFUNCTION("""COMPUTED_VALUE""")," 32044150448454_013")</f>
        <v> 32044150448454_013</v>
      </c>
      <c r="D101" s="94" t="str">
        <f>IFERROR(__xludf.DUMMYFUNCTION("""COMPUTED_VALUE""")," 32044150448454_014")</f>
        <v> 32044150448454_014</v>
      </c>
      <c r="E101" s="94" t="str">
        <f>IFERROR(__xludf.DUMMYFUNCTION("""COMPUTED_VALUE""")," 32044150448454_015")</f>
        <v> 32044150448454_015</v>
      </c>
      <c r="F101" s="94" t="str">
        <f>IFERROR(__xludf.DUMMYFUNCTION("""COMPUTED_VALUE""")," 32044150448454_016")</f>
        <v> 32044150448454_016</v>
      </c>
      <c r="G101" s="94" t="str">
        <f>IFERROR(__xludf.DUMMYFUNCTION("""COMPUTED_VALUE""")," 32044150448454_017")</f>
        <v> 32044150448454_017</v>
      </c>
      <c r="H101" s="94" t="str">
        <f>IFERROR(__xludf.DUMMYFUNCTION("""COMPUTED_VALUE""")," 32044150448454_018")</f>
        <v> 32044150448454_018</v>
      </c>
      <c r="I101" s="94"/>
      <c r="J101" s="94"/>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row>
    <row r="102">
      <c r="A102" s="96" t="s">
        <v>938</v>
      </c>
      <c r="B102" s="95" t="str">
        <f>IFERROR(__xludf.DUMMYFUNCTION("""COMPUTED_VALUE"""),"32044150448454_019")</f>
        <v>32044150448454_019</v>
      </c>
      <c r="C102" s="94" t="str">
        <f>IFERROR(__xludf.DUMMYFUNCTION("""COMPUTED_VALUE""")," 32044150448454_020")</f>
        <v> 32044150448454_020</v>
      </c>
      <c r="D102" s="94" t="str">
        <f>IFERROR(__xludf.DUMMYFUNCTION("""COMPUTED_VALUE""")," 32044150448454_021")</f>
        <v> 32044150448454_021</v>
      </c>
      <c r="E102" s="94" t="str">
        <f>IFERROR(__xludf.DUMMYFUNCTION("""COMPUTED_VALUE""")," 32044150448454_022")</f>
        <v> 32044150448454_022</v>
      </c>
      <c r="F102" s="94" t="str">
        <f>IFERROR(__xludf.DUMMYFUNCTION("""COMPUTED_VALUE""")," 32044150448454_023")</f>
        <v> 32044150448454_023</v>
      </c>
      <c r="G102" s="94" t="str">
        <f>IFERROR(__xludf.DUMMYFUNCTION("""COMPUTED_VALUE""")," 32044150448454_024")</f>
        <v> 32044150448454_024</v>
      </c>
      <c r="H102" s="94" t="str">
        <f>IFERROR(__xludf.DUMMYFUNCTION("""COMPUTED_VALUE""")," 32044150448454_025")</f>
        <v> 32044150448454_025</v>
      </c>
      <c r="I102" s="94" t="str">
        <f>IFERROR(__xludf.DUMMYFUNCTION("""COMPUTED_VALUE""")," 32044150448454_026")</f>
        <v> 32044150448454_026</v>
      </c>
      <c r="J102" s="94" t="str">
        <f>IFERROR(__xludf.DUMMYFUNCTION("""COMPUTED_VALUE""")," 32044150448454_027")</f>
        <v> 32044150448454_027</v>
      </c>
      <c r="K102" s="94" t="str">
        <f>IFERROR(__xludf.DUMMYFUNCTION("""COMPUTED_VALUE""")," 32044150448454_028")</f>
        <v> 32044150448454_028</v>
      </c>
      <c r="L102" s="94" t="str">
        <f>IFERROR(__xludf.DUMMYFUNCTION("""COMPUTED_VALUE""")," 32044150448454_029")</f>
        <v> 32044150448454_029</v>
      </c>
      <c r="M102" s="94" t="str">
        <f>IFERROR(__xludf.DUMMYFUNCTION("""COMPUTED_VALUE""")," 32044150448454_030")</f>
        <v> 32044150448454_030</v>
      </c>
      <c r="N102" s="94" t="str">
        <f>IFERROR(__xludf.DUMMYFUNCTION("""COMPUTED_VALUE""")," 32044150448454_031")</f>
        <v> 32044150448454_031</v>
      </c>
      <c r="O102" s="94" t="str">
        <f>IFERROR(__xludf.DUMMYFUNCTION("""COMPUTED_VALUE""")," 32044150448454_032")</f>
        <v> 32044150448454_032</v>
      </c>
      <c r="P102" s="94"/>
      <c r="Q102" s="94"/>
      <c r="R102" s="94"/>
      <c r="S102" s="94"/>
      <c r="T102" s="94"/>
      <c r="U102" s="94"/>
      <c r="V102" s="94"/>
      <c r="W102" s="94"/>
      <c r="X102" s="94"/>
      <c r="Y102" s="94"/>
      <c r="Z102" s="94"/>
      <c r="AA102" s="94"/>
      <c r="AB102" s="94"/>
      <c r="AC102" s="94"/>
      <c r="AD102" s="94"/>
      <c r="AE102" s="94"/>
      <c r="AF102" s="94"/>
      <c r="AG102" s="94"/>
    </row>
    <row r="103">
      <c r="A103" s="96" t="s">
        <v>946</v>
      </c>
      <c r="B103" s="95" t="str">
        <f>IFERROR(__xludf.DUMMYFUNCTION("""COMPUTED_VALUE"""),"32044150448454_033")</f>
        <v>32044150448454_033</v>
      </c>
      <c r="C103" s="94" t="str">
        <f>IFERROR(__xludf.DUMMYFUNCTION("""COMPUTED_VALUE""")," 32044150448454_034")</f>
        <v> 32044150448454_034</v>
      </c>
      <c r="D103" s="94" t="str">
        <f>IFERROR(__xludf.DUMMYFUNCTION("""COMPUTED_VALUE""")," 32044150448454_035")</f>
        <v> 32044150448454_035</v>
      </c>
      <c r="E103" s="94" t="str">
        <f>IFERROR(__xludf.DUMMYFUNCTION("""COMPUTED_VALUE""")," 32044150448454_036")</f>
        <v> 32044150448454_036</v>
      </c>
      <c r="F103" s="94" t="str">
        <f>IFERROR(__xludf.DUMMYFUNCTION("""COMPUTED_VALUE""")," 32044150448454_037")</f>
        <v> 32044150448454_037</v>
      </c>
      <c r="G103" s="94" t="str">
        <f>IFERROR(__xludf.DUMMYFUNCTION("""COMPUTED_VALUE""")," 32044150448454_038")</f>
        <v> 32044150448454_038</v>
      </c>
      <c r="H103" s="94" t="str">
        <f>IFERROR(__xludf.DUMMYFUNCTION("""COMPUTED_VALUE""")," 32044150448454_039")</f>
        <v> 32044150448454_039</v>
      </c>
      <c r="I103" s="94" t="str">
        <f>IFERROR(__xludf.DUMMYFUNCTION("""COMPUTED_VALUE""")," 32044150448454_040")</f>
        <v> 32044150448454_040</v>
      </c>
      <c r="J103" s="94" t="str">
        <f>IFERROR(__xludf.DUMMYFUNCTION("""COMPUTED_VALUE""")," 32044150448454_041")</f>
        <v> 32044150448454_041</v>
      </c>
      <c r="K103" s="94" t="str">
        <f>IFERROR(__xludf.DUMMYFUNCTION("""COMPUTED_VALUE""")," 32044150448454_042")</f>
        <v> 32044150448454_042</v>
      </c>
      <c r="L103" s="94" t="str">
        <f>IFERROR(__xludf.DUMMYFUNCTION("""COMPUTED_VALUE""")," 32044150448454_043")</f>
        <v> 32044150448454_043</v>
      </c>
      <c r="M103" s="94"/>
      <c r="N103" s="94"/>
      <c r="O103" s="94"/>
      <c r="P103" s="94"/>
      <c r="Q103" s="94"/>
      <c r="R103" s="94"/>
      <c r="S103" s="94"/>
      <c r="T103" s="94"/>
      <c r="U103" s="94"/>
      <c r="V103" s="94"/>
      <c r="W103" s="94"/>
      <c r="X103" s="94"/>
      <c r="Y103" s="94"/>
      <c r="Z103" s="94"/>
      <c r="AA103" s="94"/>
      <c r="AB103" s="94"/>
      <c r="AC103" s="94"/>
      <c r="AD103" s="94"/>
      <c r="AE103" s="94"/>
      <c r="AF103" s="94"/>
      <c r="AG103" s="94"/>
    </row>
    <row r="104">
      <c r="A104" s="96" t="s">
        <v>957</v>
      </c>
      <c r="B104" s="95" t="str">
        <f>IFERROR(__xludf.DUMMYFUNCTION("""COMPUTED_VALUE"""),"32044150448454_044")</f>
        <v>32044150448454_044</v>
      </c>
      <c r="C104" s="94" t="str">
        <f>IFERROR(__xludf.DUMMYFUNCTION("""COMPUTED_VALUE""")," 32044150448454_045")</f>
        <v> 32044150448454_045</v>
      </c>
      <c r="D104" s="94" t="str">
        <f>IFERROR(__xludf.DUMMYFUNCTION("""COMPUTED_VALUE""")," 32044150448454_046")</f>
        <v> 32044150448454_046</v>
      </c>
      <c r="E104" s="94" t="str">
        <f>IFERROR(__xludf.DUMMYFUNCTION("""COMPUTED_VALUE""")," 32044150448454_047")</f>
        <v> 32044150448454_047</v>
      </c>
      <c r="F104" s="94" t="str">
        <f>IFERROR(__xludf.DUMMYFUNCTION("""COMPUTED_VALUE""")," 32044150448454_048")</f>
        <v> 32044150448454_048</v>
      </c>
      <c r="G104" s="94" t="str">
        <f>IFERROR(__xludf.DUMMYFUNCTION("""COMPUTED_VALUE""")," 32044150448454_049")</f>
        <v> 32044150448454_049</v>
      </c>
      <c r="H104" s="94" t="str">
        <f>IFERROR(__xludf.DUMMYFUNCTION("""COMPUTED_VALUE""")," 32044150448454_050")</f>
        <v> 32044150448454_050</v>
      </c>
      <c r="I104" s="94" t="str">
        <f>IFERROR(__xludf.DUMMYFUNCTION("""COMPUTED_VALUE""")," 32044150448454_051")</f>
        <v> 32044150448454_051</v>
      </c>
      <c r="J104" s="94" t="str">
        <f>IFERROR(__xludf.DUMMYFUNCTION("""COMPUTED_VALUE""")," 32044150448454_052")</f>
        <v> 32044150448454_052</v>
      </c>
      <c r="K104" s="94" t="str">
        <f>IFERROR(__xludf.DUMMYFUNCTION("""COMPUTED_VALUE""")," 32044150448454_053")</f>
        <v> 32044150448454_053</v>
      </c>
      <c r="L104" s="94" t="str">
        <f>IFERROR(__xludf.DUMMYFUNCTION("""COMPUTED_VALUE""")," 32044150448454_054")</f>
        <v> 32044150448454_054</v>
      </c>
      <c r="M104" s="94" t="str">
        <f>IFERROR(__xludf.DUMMYFUNCTION("""COMPUTED_VALUE""")," 32044150448454_055")</f>
        <v> 32044150448454_055</v>
      </c>
      <c r="N104" s="94" t="str">
        <f>IFERROR(__xludf.DUMMYFUNCTION("""COMPUTED_VALUE""")," 32044150448454_056")</f>
        <v> 32044150448454_056</v>
      </c>
      <c r="O104" s="94" t="str">
        <f>IFERROR(__xludf.DUMMYFUNCTION("""COMPUTED_VALUE""")," 32044150448454_057")</f>
        <v> 32044150448454_057</v>
      </c>
      <c r="P104" s="94" t="str">
        <f>IFERROR(__xludf.DUMMYFUNCTION("""COMPUTED_VALUE""")," 32044150448454_058")</f>
        <v> 32044150448454_058</v>
      </c>
      <c r="Q104" s="94"/>
      <c r="R104" s="94"/>
      <c r="S104" s="94"/>
      <c r="T104" s="94"/>
      <c r="U104" s="94"/>
      <c r="V104" s="94"/>
      <c r="W104" s="94"/>
      <c r="X104" s="94"/>
      <c r="Y104" s="94"/>
      <c r="Z104" s="94"/>
      <c r="AA104" s="94"/>
      <c r="AB104" s="94"/>
      <c r="AC104" s="94"/>
      <c r="AD104" s="94"/>
      <c r="AE104" s="94"/>
      <c r="AF104" s="94"/>
      <c r="AG104" s="94"/>
    </row>
    <row r="105">
      <c r="A105" s="96" t="s">
        <v>965</v>
      </c>
      <c r="B105" s="95" t="str">
        <f>IFERROR(__xludf.DUMMYFUNCTION("""COMPUTED_VALUE"""),"32044150448462_001")</f>
        <v>32044150448462_001</v>
      </c>
      <c r="C105" s="94" t="str">
        <f>IFERROR(__xludf.DUMMYFUNCTION("""COMPUTED_VALUE""")," 32044150448462_002")</f>
        <v> 32044150448462_002</v>
      </c>
      <c r="D105" s="94" t="str">
        <f>IFERROR(__xludf.DUMMYFUNCTION("""COMPUTED_VALUE""")," 32044150448462_003")</f>
        <v> 32044150448462_003</v>
      </c>
      <c r="E105" s="94" t="str">
        <f>IFERROR(__xludf.DUMMYFUNCTION("""COMPUTED_VALUE""")," 32044150448462_004")</f>
        <v> 32044150448462_004</v>
      </c>
      <c r="F105" s="94" t="str">
        <f>IFERROR(__xludf.DUMMYFUNCTION("""COMPUTED_VALUE""")," 32044150448462_005")</f>
        <v> 32044150448462_005</v>
      </c>
      <c r="G105" s="94" t="str">
        <f>IFERROR(__xludf.DUMMYFUNCTION("""COMPUTED_VALUE""")," 32044150448462_006")</f>
        <v> 32044150448462_006</v>
      </c>
      <c r="H105" s="94" t="str">
        <f>IFERROR(__xludf.DUMMYFUNCTION("""COMPUTED_VALUE""")," 32044150448462_007")</f>
        <v> 32044150448462_007</v>
      </c>
      <c r="I105" s="94"/>
      <c r="J105" s="94"/>
      <c r="K105" s="94"/>
      <c r="L105" s="94"/>
      <c r="M105" s="94"/>
      <c r="N105" s="94"/>
      <c r="O105" s="94"/>
      <c r="P105" s="94"/>
      <c r="Q105" s="94"/>
      <c r="R105" s="94"/>
      <c r="S105" s="94"/>
      <c r="T105" s="94"/>
      <c r="U105" s="94"/>
      <c r="V105" s="94"/>
      <c r="W105" s="94"/>
      <c r="X105" s="94"/>
      <c r="Y105" s="94"/>
      <c r="Z105" s="94"/>
      <c r="AA105" s="94"/>
      <c r="AB105" s="94"/>
      <c r="AC105" s="94"/>
      <c r="AD105" s="94"/>
      <c r="AE105" s="94"/>
      <c r="AF105" s="94"/>
      <c r="AG105" s="94"/>
    </row>
    <row r="106">
      <c r="A106" s="96" t="s">
        <v>972</v>
      </c>
      <c r="B106" s="95" t="str">
        <f>IFERROR(__xludf.DUMMYFUNCTION("""COMPUTED_VALUE"""),"32044150448462_008")</f>
        <v>32044150448462_008</v>
      </c>
      <c r="C106" s="94" t="str">
        <f>IFERROR(__xludf.DUMMYFUNCTION("""COMPUTED_VALUE""")," 32044150448462_009")</f>
        <v> 32044150448462_009</v>
      </c>
      <c r="D106" s="94" t="str">
        <f>IFERROR(__xludf.DUMMYFUNCTION("""COMPUTED_VALUE""")," 32044150448462_010")</f>
        <v> 32044150448462_010</v>
      </c>
      <c r="E106" s="94" t="str">
        <f>IFERROR(__xludf.DUMMYFUNCTION("""COMPUTED_VALUE""")," 32044150448462_011")</f>
        <v> 32044150448462_011</v>
      </c>
      <c r="F106" s="94" t="str">
        <f>IFERROR(__xludf.DUMMYFUNCTION("""COMPUTED_VALUE""")," 32044150448462_012")</f>
        <v> 32044150448462_012</v>
      </c>
      <c r="G106" s="94" t="str">
        <f>IFERROR(__xludf.DUMMYFUNCTION("""COMPUTED_VALUE""")," 32044150448462_013")</f>
        <v> 32044150448462_013</v>
      </c>
      <c r="H106" s="94" t="str">
        <f>IFERROR(__xludf.DUMMYFUNCTION("""COMPUTED_VALUE""")," 32044150448462_014")</f>
        <v> 32044150448462_014</v>
      </c>
      <c r="I106" s="94" t="str">
        <f>IFERROR(__xludf.DUMMYFUNCTION("""COMPUTED_VALUE""")," 32044150448462_015")</f>
        <v> 32044150448462_015</v>
      </c>
      <c r="J106" s="94" t="str">
        <f>IFERROR(__xludf.DUMMYFUNCTION("""COMPUTED_VALUE""")," 32044150448462_016")</f>
        <v> 32044150448462_016</v>
      </c>
      <c r="K106" s="94" t="str">
        <f>IFERROR(__xludf.DUMMYFUNCTION("""COMPUTED_VALUE""")," 32044150448462_017")</f>
        <v> 32044150448462_017</v>
      </c>
      <c r="L106" s="94" t="str">
        <f>IFERROR(__xludf.DUMMYFUNCTION("""COMPUTED_VALUE""")," 32044150448462_018")</f>
        <v> 32044150448462_018</v>
      </c>
      <c r="M106" s="94"/>
      <c r="N106" s="94"/>
      <c r="O106" s="94"/>
      <c r="P106" s="94"/>
      <c r="Q106" s="94"/>
      <c r="R106" s="94"/>
      <c r="S106" s="94"/>
      <c r="T106" s="94"/>
      <c r="U106" s="94"/>
      <c r="V106" s="94"/>
      <c r="W106" s="94"/>
      <c r="X106" s="94"/>
      <c r="Y106" s="94"/>
      <c r="Z106" s="94"/>
      <c r="AA106" s="94"/>
      <c r="AB106" s="94"/>
      <c r="AC106" s="94"/>
      <c r="AD106" s="94"/>
      <c r="AE106" s="94"/>
      <c r="AF106" s="94"/>
      <c r="AG106" s="94"/>
    </row>
    <row r="107">
      <c r="A107" s="96" t="s">
        <v>979</v>
      </c>
      <c r="B107" s="95" t="str">
        <f>IFERROR(__xludf.DUMMYFUNCTION("""COMPUTED_VALUE"""),"32044150448462_019")</f>
        <v>32044150448462_019</v>
      </c>
      <c r="C107" s="94" t="str">
        <f>IFERROR(__xludf.DUMMYFUNCTION("""COMPUTED_VALUE""")," 32044150448462_020")</f>
        <v> 32044150448462_020</v>
      </c>
      <c r="D107" s="94" t="str">
        <f>IFERROR(__xludf.DUMMYFUNCTION("""COMPUTED_VALUE""")," 32044150448462_021")</f>
        <v> 32044150448462_021</v>
      </c>
      <c r="E107" s="94" t="str">
        <f>IFERROR(__xludf.DUMMYFUNCTION("""COMPUTED_VALUE""")," 32044150448462_022")</f>
        <v> 32044150448462_022</v>
      </c>
      <c r="F107" s="94" t="str">
        <f>IFERROR(__xludf.DUMMYFUNCTION("""COMPUTED_VALUE""")," 32044150448462_023")</f>
        <v> 32044150448462_023</v>
      </c>
      <c r="G107" s="94" t="str">
        <f>IFERROR(__xludf.DUMMYFUNCTION("""COMPUTED_VALUE""")," 32044150448462_024")</f>
        <v> 32044150448462_024</v>
      </c>
      <c r="H107" s="94" t="str">
        <f>IFERROR(__xludf.DUMMYFUNCTION("""COMPUTED_VALUE""")," 32044150448462_025")</f>
        <v> 32044150448462_025</v>
      </c>
      <c r="I107" s="94" t="str">
        <f>IFERROR(__xludf.DUMMYFUNCTION("""COMPUTED_VALUE""")," 32044150448462_026")</f>
        <v> 32044150448462_026</v>
      </c>
      <c r="J107" s="94" t="str">
        <f>IFERROR(__xludf.DUMMYFUNCTION("""COMPUTED_VALUE""")," 32044150448462_027")</f>
        <v> 32044150448462_027</v>
      </c>
      <c r="K107" s="94" t="str">
        <f>IFERROR(__xludf.DUMMYFUNCTION("""COMPUTED_VALUE""")," 32044150448462_028")</f>
        <v> 32044150448462_028</v>
      </c>
      <c r="L107" s="94"/>
      <c r="M107" s="94"/>
      <c r="N107" s="94"/>
      <c r="O107" s="94"/>
      <c r="P107" s="94"/>
      <c r="Q107" s="94"/>
      <c r="R107" s="94"/>
      <c r="S107" s="94"/>
      <c r="T107" s="94"/>
      <c r="U107" s="94"/>
      <c r="V107" s="94"/>
      <c r="W107" s="94"/>
      <c r="X107" s="94"/>
      <c r="Y107" s="94"/>
      <c r="Z107" s="94"/>
      <c r="AA107" s="94"/>
      <c r="AB107" s="94"/>
      <c r="AC107" s="94"/>
      <c r="AD107" s="94"/>
      <c r="AE107" s="94"/>
      <c r="AF107" s="94"/>
      <c r="AG107" s="94"/>
    </row>
    <row r="108">
      <c r="A108" s="96" t="s">
        <v>987</v>
      </c>
      <c r="B108" s="95" t="str">
        <f>IFERROR(__xludf.DUMMYFUNCTION("""COMPUTED_VALUE"""),"32044150448462_029")</f>
        <v>32044150448462_029</v>
      </c>
      <c r="C108" s="94" t="str">
        <f>IFERROR(__xludf.DUMMYFUNCTION("""COMPUTED_VALUE""")," 32044150448462_030")</f>
        <v> 32044150448462_030</v>
      </c>
      <c r="D108" s="94" t="str">
        <f>IFERROR(__xludf.DUMMYFUNCTION("""COMPUTED_VALUE""")," 32044150448462_031")</f>
        <v> 32044150448462_031</v>
      </c>
      <c r="E108" s="94"/>
      <c r="F108" s="94"/>
      <c r="G108" s="94"/>
      <c r="H108" s="94"/>
      <c r="I108" s="94"/>
      <c r="J108" s="94"/>
      <c r="K108" s="94"/>
      <c r="L108" s="94"/>
      <c r="M108" s="94"/>
      <c r="N108" s="94"/>
      <c r="O108" s="94"/>
      <c r="P108" s="94"/>
      <c r="Q108" s="94"/>
      <c r="R108" s="94"/>
      <c r="S108" s="94"/>
      <c r="T108" s="94"/>
      <c r="U108" s="94"/>
      <c r="V108" s="94"/>
      <c r="W108" s="94"/>
      <c r="X108" s="94"/>
      <c r="Y108" s="94"/>
      <c r="Z108" s="94"/>
      <c r="AA108" s="94"/>
      <c r="AB108" s="94"/>
      <c r="AC108" s="94"/>
      <c r="AD108" s="94"/>
      <c r="AE108" s="94"/>
      <c r="AF108" s="94"/>
      <c r="AG108" s="94"/>
    </row>
    <row r="109">
      <c r="A109" s="96" t="s">
        <v>994</v>
      </c>
      <c r="B109" s="95" t="str">
        <f>IFERROR(__xludf.DUMMYFUNCTION("""COMPUTED_VALUE"""),"32044150448462_032")</f>
        <v>32044150448462_032</v>
      </c>
      <c r="C109" s="94" t="str">
        <f>IFERROR(__xludf.DUMMYFUNCTION("""COMPUTED_VALUE""")," 32044150448462_033")</f>
        <v> 32044150448462_033</v>
      </c>
      <c r="D109" s="94" t="str">
        <f>IFERROR(__xludf.DUMMYFUNCTION("""COMPUTED_VALUE""")," 32044150448462_034")</f>
        <v> 32044150448462_034</v>
      </c>
      <c r="E109" s="94" t="str">
        <f>IFERROR(__xludf.DUMMYFUNCTION("""COMPUTED_VALUE""")," 32044150448462_035")</f>
        <v> 32044150448462_035</v>
      </c>
      <c r="F109" s="94"/>
      <c r="G109" s="94"/>
      <c r="H109" s="94"/>
      <c r="I109" s="94"/>
      <c r="J109" s="94"/>
      <c r="K109" s="94"/>
      <c r="L109" s="94"/>
      <c r="M109" s="94"/>
      <c r="N109" s="94"/>
      <c r="O109" s="94"/>
      <c r="P109" s="94"/>
      <c r="Q109" s="94"/>
      <c r="R109" s="94"/>
      <c r="S109" s="94"/>
      <c r="T109" s="94"/>
      <c r="U109" s="94"/>
      <c r="V109" s="94"/>
      <c r="W109" s="94"/>
      <c r="X109" s="94"/>
      <c r="Y109" s="94"/>
      <c r="Z109" s="94"/>
      <c r="AA109" s="94"/>
      <c r="AB109" s="94"/>
      <c r="AC109" s="94"/>
      <c r="AD109" s="94"/>
      <c r="AE109" s="94"/>
      <c r="AF109" s="94"/>
      <c r="AG109" s="94"/>
    </row>
    <row r="110">
      <c r="A110" s="96" t="s">
        <v>1001</v>
      </c>
      <c r="B110" s="95" t="str">
        <f>IFERROR(__xludf.DUMMYFUNCTION("""COMPUTED_VALUE"""),"32044150448462_036")</f>
        <v>32044150448462_036</v>
      </c>
      <c r="C110" s="94" t="str">
        <f>IFERROR(__xludf.DUMMYFUNCTION("""COMPUTED_VALUE""")," 32044150448462_037")</f>
        <v> 32044150448462_037</v>
      </c>
      <c r="D110" s="94" t="str">
        <f>IFERROR(__xludf.DUMMYFUNCTION("""COMPUTED_VALUE""")," 32044150448462_038")</f>
        <v> 32044150448462_038</v>
      </c>
      <c r="E110" s="94" t="str">
        <f>IFERROR(__xludf.DUMMYFUNCTION("""COMPUTED_VALUE""")," 32044150448462_039")</f>
        <v> 32044150448462_039</v>
      </c>
      <c r="F110" s="94" t="str">
        <f>IFERROR(__xludf.DUMMYFUNCTION("""COMPUTED_VALUE""")," 32044150448462_040")</f>
        <v> 32044150448462_040</v>
      </c>
      <c r="G110" s="94" t="str">
        <f>IFERROR(__xludf.DUMMYFUNCTION("""COMPUTED_VALUE""")," 32044150448462_041")</f>
        <v> 32044150448462_041</v>
      </c>
      <c r="H110" s="94" t="str">
        <f>IFERROR(__xludf.DUMMYFUNCTION("""COMPUTED_VALUE""")," 32044150448462_042")</f>
        <v> 32044150448462_042</v>
      </c>
      <c r="I110" s="94" t="str">
        <f>IFERROR(__xludf.DUMMYFUNCTION("""COMPUTED_VALUE""")," 32044150448462_043")</f>
        <v> 32044150448462_043</v>
      </c>
      <c r="J110" s="94" t="str">
        <f>IFERROR(__xludf.DUMMYFUNCTION("""COMPUTED_VALUE""")," 32044150448462_044")</f>
        <v> 32044150448462_044</v>
      </c>
      <c r="K110" s="94" t="str">
        <f>IFERROR(__xludf.DUMMYFUNCTION("""COMPUTED_VALUE""")," 32044150448462_045")</f>
        <v> 32044150448462_045</v>
      </c>
      <c r="L110" s="94" t="str">
        <f>IFERROR(__xludf.DUMMYFUNCTION("""COMPUTED_VALUE""")," 32044150448462_046")</f>
        <v> 32044150448462_046</v>
      </c>
      <c r="M110" s="94"/>
      <c r="N110" s="94"/>
      <c r="O110" s="94"/>
      <c r="P110" s="94"/>
      <c r="Q110" s="94"/>
      <c r="R110" s="94"/>
      <c r="S110" s="94"/>
      <c r="T110" s="94"/>
      <c r="U110" s="94"/>
      <c r="V110" s="94"/>
      <c r="W110" s="94"/>
      <c r="X110" s="94"/>
      <c r="Y110" s="94"/>
      <c r="Z110" s="94"/>
      <c r="AA110" s="94"/>
      <c r="AB110" s="94"/>
      <c r="AC110" s="94"/>
      <c r="AD110" s="94"/>
      <c r="AE110" s="94"/>
      <c r="AF110" s="94"/>
      <c r="AG110" s="94"/>
    </row>
    <row r="111">
      <c r="A111" s="96" t="s">
        <v>1008</v>
      </c>
      <c r="B111" s="95" t="str">
        <f>IFERROR(__xludf.DUMMYFUNCTION("""COMPUTED_VALUE"""),"32044150448462_047")</f>
        <v>32044150448462_047</v>
      </c>
      <c r="C111" s="94" t="str">
        <f>IFERROR(__xludf.DUMMYFUNCTION("""COMPUTED_VALUE""")," 32044150448462_048")</f>
        <v> 32044150448462_048</v>
      </c>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c r="AB111" s="94"/>
      <c r="AC111" s="94"/>
      <c r="AD111" s="94"/>
      <c r="AE111" s="94"/>
      <c r="AF111" s="94"/>
      <c r="AG111" s="94"/>
    </row>
    <row r="112">
      <c r="A112" s="96" t="s">
        <v>1016</v>
      </c>
      <c r="B112" s="95" t="str">
        <f>IFERROR(__xludf.DUMMYFUNCTION("""COMPUTED_VALUE"""),"32044150448462_049")</f>
        <v>32044150448462_049</v>
      </c>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c r="AD112" s="94"/>
      <c r="AE112" s="94"/>
      <c r="AF112" s="94"/>
      <c r="AG112" s="94"/>
    </row>
    <row r="113">
      <c r="A113" s="96" t="s">
        <v>1023</v>
      </c>
      <c r="B113" s="95" t="str">
        <f>IFERROR(__xludf.DUMMYFUNCTION("""COMPUTED_VALUE"""),"32044150448462_050")</f>
        <v>32044150448462_050</v>
      </c>
      <c r="C113" s="94" t="str">
        <f>IFERROR(__xludf.DUMMYFUNCTION("""COMPUTED_VALUE""")," 32044150448462_051")</f>
        <v> 32044150448462_051</v>
      </c>
      <c r="D113" s="94" t="str">
        <f>IFERROR(__xludf.DUMMYFUNCTION("""COMPUTED_VALUE""")," 32044150448462_052")</f>
        <v> 32044150448462_052</v>
      </c>
      <c r="E113" s="94" t="str">
        <f>IFERROR(__xludf.DUMMYFUNCTION("""COMPUTED_VALUE""")," 32044150448462_053")</f>
        <v> 32044150448462_053</v>
      </c>
      <c r="F113" s="94" t="str">
        <f>IFERROR(__xludf.DUMMYFUNCTION("""COMPUTED_VALUE""")," 32044150448462_054")</f>
        <v> 32044150448462_054</v>
      </c>
      <c r="G113" s="94" t="str">
        <f>IFERROR(__xludf.DUMMYFUNCTION("""COMPUTED_VALUE""")," 32044150448462_055")</f>
        <v> 32044150448462_055</v>
      </c>
      <c r="H113" s="94" t="str">
        <f>IFERROR(__xludf.DUMMYFUNCTION("""COMPUTED_VALUE""")," 32044150448462_056")</f>
        <v> 32044150448462_056</v>
      </c>
      <c r="I113" s="94" t="str">
        <f>IFERROR(__xludf.DUMMYFUNCTION("""COMPUTED_VALUE""")," 32044150448462_057")</f>
        <v> 32044150448462_057</v>
      </c>
      <c r="J113" s="94" t="str">
        <f>IFERROR(__xludf.DUMMYFUNCTION("""COMPUTED_VALUE""")," 32044150448462_058")</f>
        <v> 32044150448462_058</v>
      </c>
      <c r="K113" s="94" t="str">
        <f>IFERROR(__xludf.DUMMYFUNCTION("""COMPUTED_VALUE""")," 32044150448462_059")</f>
        <v> 32044150448462_059</v>
      </c>
      <c r="L113" s="94"/>
      <c r="M113" s="94"/>
      <c r="N113" s="94"/>
      <c r="O113" s="94"/>
      <c r="P113" s="94"/>
      <c r="Q113" s="94"/>
      <c r="R113" s="94"/>
      <c r="S113" s="94"/>
      <c r="T113" s="94"/>
      <c r="U113" s="94"/>
      <c r="V113" s="94"/>
      <c r="W113" s="94"/>
      <c r="X113" s="94"/>
      <c r="Y113" s="94"/>
      <c r="Z113" s="94"/>
      <c r="AA113" s="94"/>
      <c r="AB113" s="94"/>
      <c r="AC113" s="94"/>
      <c r="AD113" s="94"/>
      <c r="AE113" s="94"/>
      <c r="AF113" s="94"/>
      <c r="AG113" s="94"/>
    </row>
    <row r="114">
      <c r="A114" s="96" t="s">
        <v>1030</v>
      </c>
      <c r="B114" s="95" t="str">
        <f>IFERROR(__xludf.DUMMYFUNCTION("""COMPUTED_VALUE"""),"32044150448462_060")</f>
        <v>32044150448462_060</v>
      </c>
      <c r="C114" s="94" t="str">
        <f>IFERROR(__xludf.DUMMYFUNCTION("""COMPUTED_VALUE""")," 32044150448462_061")</f>
        <v> 32044150448462_061</v>
      </c>
      <c r="D114" s="94"/>
      <c r="E114" s="94"/>
      <c r="F114" s="94"/>
      <c r="G114" s="94"/>
      <c r="H114" s="94"/>
      <c r="I114" s="94"/>
      <c r="J114" s="94"/>
      <c r="K114" s="94"/>
      <c r="L114" s="94"/>
      <c r="M114" s="94"/>
      <c r="N114" s="94"/>
      <c r="O114" s="94"/>
      <c r="P114" s="94"/>
      <c r="Q114" s="94"/>
      <c r="R114" s="94"/>
      <c r="S114" s="94"/>
      <c r="T114" s="94"/>
      <c r="U114" s="94"/>
      <c r="V114" s="94"/>
      <c r="W114" s="94"/>
      <c r="X114" s="94"/>
      <c r="Y114" s="94"/>
      <c r="Z114" s="94"/>
      <c r="AA114" s="94"/>
      <c r="AB114" s="94"/>
      <c r="AC114" s="94"/>
      <c r="AD114" s="94"/>
      <c r="AE114" s="94"/>
      <c r="AF114" s="94"/>
      <c r="AG114" s="94"/>
    </row>
    <row r="115">
      <c r="A115" s="96" t="s">
        <v>1036</v>
      </c>
      <c r="B115" s="95" t="str">
        <f>IFERROR(__xludf.DUMMYFUNCTION("""COMPUTED_VALUE"""),"32044150448470_001")</f>
        <v>32044150448470_001</v>
      </c>
      <c r="C115" s="94" t="str">
        <f>IFERROR(__xludf.DUMMYFUNCTION("""COMPUTED_VALUE""")," 32044150448470_002")</f>
        <v> 32044150448470_002</v>
      </c>
      <c r="D115" s="94" t="str">
        <f>IFERROR(__xludf.DUMMYFUNCTION("""COMPUTED_VALUE""")," 32044150448470_003")</f>
        <v> 32044150448470_003</v>
      </c>
      <c r="E115" s="94" t="str">
        <f>IFERROR(__xludf.DUMMYFUNCTION("""COMPUTED_VALUE""")," 32044150448470_004")</f>
        <v> 32044150448470_004</v>
      </c>
      <c r="F115" s="94" t="str">
        <f>IFERROR(__xludf.DUMMYFUNCTION("""COMPUTED_VALUE""")," 32044150448470_005")</f>
        <v> 32044150448470_005</v>
      </c>
      <c r="G115" s="94" t="str">
        <f>IFERROR(__xludf.DUMMYFUNCTION("""COMPUTED_VALUE""")," 32044150448470_006")</f>
        <v> 32044150448470_006</v>
      </c>
      <c r="H115" s="94" t="str">
        <f>IFERROR(__xludf.DUMMYFUNCTION("""COMPUTED_VALUE""")," 32044150448470_007")</f>
        <v> 32044150448470_007</v>
      </c>
      <c r="I115" s="94" t="str">
        <f>IFERROR(__xludf.DUMMYFUNCTION("""COMPUTED_VALUE""")," 32044150448470_008")</f>
        <v> 32044150448470_008</v>
      </c>
      <c r="J115" s="94"/>
      <c r="K115" s="94"/>
      <c r="L115" s="94"/>
      <c r="M115" s="94"/>
      <c r="N115" s="94"/>
      <c r="O115" s="94"/>
      <c r="P115" s="94"/>
      <c r="Q115" s="94"/>
      <c r="R115" s="94"/>
      <c r="S115" s="94"/>
      <c r="T115" s="94"/>
      <c r="U115" s="94"/>
      <c r="V115" s="94"/>
      <c r="W115" s="94"/>
      <c r="X115" s="94"/>
      <c r="Y115" s="94"/>
      <c r="Z115" s="94"/>
      <c r="AA115" s="94"/>
      <c r="AB115" s="94"/>
      <c r="AC115" s="94"/>
      <c r="AD115" s="94"/>
      <c r="AE115" s="94"/>
      <c r="AF115" s="94"/>
      <c r="AG115" s="94"/>
    </row>
    <row r="116">
      <c r="A116" s="96" t="s">
        <v>1045</v>
      </c>
      <c r="B116" s="95" t="str">
        <f>IFERROR(__xludf.DUMMYFUNCTION("""COMPUTED_VALUE"""),"32044150448488_001")</f>
        <v>32044150448488_001</v>
      </c>
      <c r="C116" s="94" t="str">
        <f>IFERROR(__xludf.DUMMYFUNCTION("""COMPUTED_VALUE""")," 32044150448488_002")</f>
        <v> 32044150448488_002</v>
      </c>
      <c r="D116" s="94" t="str">
        <f>IFERROR(__xludf.DUMMYFUNCTION("""COMPUTED_VALUE""")," 32044150448488_003")</f>
        <v> 32044150448488_003</v>
      </c>
      <c r="E116" s="94" t="str">
        <f>IFERROR(__xludf.DUMMYFUNCTION("""COMPUTED_VALUE""")," 32044150448488_004")</f>
        <v> 32044150448488_004</v>
      </c>
      <c r="F116" s="94" t="str">
        <f>IFERROR(__xludf.DUMMYFUNCTION("""COMPUTED_VALUE""")," 32044150448488_005")</f>
        <v> 32044150448488_005</v>
      </c>
      <c r="G116" s="94" t="str">
        <f>IFERROR(__xludf.DUMMYFUNCTION("""COMPUTED_VALUE""")," 32044150448488_006")</f>
        <v> 32044150448488_006</v>
      </c>
      <c r="H116" s="94" t="str">
        <f>IFERROR(__xludf.DUMMYFUNCTION("""COMPUTED_VALUE""")," 32044150448488_007")</f>
        <v> 32044150448488_007</v>
      </c>
      <c r="I116" s="94" t="str">
        <f>IFERROR(__xludf.DUMMYFUNCTION("""COMPUTED_VALUE""")," 32044150448488_008")</f>
        <v> 32044150448488_008</v>
      </c>
      <c r="J116" s="94" t="str">
        <f>IFERROR(__xludf.DUMMYFUNCTION("""COMPUTED_VALUE""")," 32044150448488_009")</f>
        <v> 32044150448488_009</v>
      </c>
      <c r="K116" s="94" t="str">
        <f>IFERROR(__xludf.DUMMYFUNCTION("""COMPUTED_VALUE""")," 32044150448488_010")</f>
        <v> 32044150448488_010</v>
      </c>
      <c r="L116" s="94" t="str">
        <f>IFERROR(__xludf.DUMMYFUNCTION("""COMPUTED_VALUE""")," 32044150448488_011")</f>
        <v> 32044150448488_011</v>
      </c>
      <c r="M116" s="94" t="str">
        <f>IFERROR(__xludf.DUMMYFUNCTION("""COMPUTED_VALUE""")," 32044150448488_012")</f>
        <v> 32044150448488_012</v>
      </c>
      <c r="N116" s="94"/>
      <c r="O116" s="94"/>
      <c r="P116" s="94"/>
      <c r="Q116" s="94"/>
      <c r="R116" s="94"/>
      <c r="S116" s="94"/>
      <c r="T116" s="94"/>
      <c r="U116" s="94"/>
      <c r="V116" s="94"/>
      <c r="W116" s="94"/>
      <c r="X116" s="94"/>
      <c r="Y116" s="94"/>
      <c r="Z116" s="94"/>
      <c r="AA116" s="94"/>
      <c r="AB116" s="94"/>
      <c r="AC116" s="94"/>
      <c r="AD116" s="94"/>
      <c r="AE116" s="94"/>
      <c r="AF116" s="94"/>
      <c r="AG116" s="94"/>
    </row>
    <row r="117">
      <c r="A117" s="96" t="s">
        <v>1052</v>
      </c>
      <c r="B117" s="95" t="str">
        <f>IFERROR(__xludf.DUMMYFUNCTION("""COMPUTED_VALUE"""),"32044150448488_023")</f>
        <v>32044150448488_023</v>
      </c>
      <c r="C117" s="94" t="str">
        <f>IFERROR(__xludf.DUMMYFUNCTION("""COMPUTED_VALUE""")," 32044150448488_024")</f>
        <v> 32044150448488_024</v>
      </c>
      <c r="D117" s="94" t="str">
        <f>IFERROR(__xludf.DUMMYFUNCTION("""COMPUTED_VALUE""")," 32044150448488_025")</f>
        <v> 32044150448488_025</v>
      </c>
      <c r="E117" s="94" t="str">
        <f>IFERROR(__xludf.DUMMYFUNCTION("""COMPUTED_VALUE""")," 32044150448488_026")</f>
        <v> 32044150448488_026</v>
      </c>
      <c r="F117" s="94" t="str">
        <f>IFERROR(__xludf.DUMMYFUNCTION("""COMPUTED_VALUE""")," 32044150448488_027")</f>
        <v> 32044150448488_027</v>
      </c>
      <c r="G117" s="94" t="str">
        <f>IFERROR(__xludf.DUMMYFUNCTION("""COMPUTED_VALUE""")," 32044150448488_028")</f>
        <v> 32044150448488_028</v>
      </c>
      <c r="H117" s="94" t="str">
        <f>IFERROR(__xludf.DUMMYFUNCTION("""COMPUTED_VALUE""")," 32044150448488_029")</f>
        <v> 32044150448488_029</v>
      </c>
      <c r="I117" s="94" t="str">
        <f>IFERROR(__xludf.DUMMYFUNCTION("""COMPUTED_VALUE""")," 32044150448488_030")</f>
        <v> 32044150448488_030</v>
      </c>
      <c r="J117" s="94"/>
      <c r="K117" s="94"/>
      <c r="L117" s="94"/>
      <c r="M117" s="94"/>
      <c r="N117" s="94"/>
      <c r="O117" s="94"/>
      <c r="P117" s="94"/>
      <c r="Q117" s="94"/>
      <c r="R117" s="94"/>
      <c r="S117" s="94"/>
      <c r="T117" s="94"/>
      <c r="U117" s="94"/>
      <c r="V117" s="94"/>
      <c r="W117" s="94"/>
      <c r="X117" s="94"/>
      <c r="Y117" s="94"/>
      <c r="Z117" s="94"/>
      <c r="AA117" s="94"/>
      <c r="AB117" s="94"/>
      <c r="AC117" s="94"/>
      <c r="AD117" s="94"/>
      <c r="AE117" s="94"/>
      <c r="AF117" s="94"/>
      <c r="AG117" s="94"/>
    </row>
    <row r="118">
      <c r="A118" s="96" t="s">
        <v>1060</v>
      </c>
      <c r="B118" s="95" t="str">
        <f>IFERROR(__xludf.DUMMYFUNCTION("""COMPUTED_VALUE"""),"32044150448488_013")</f>
        <v>32044150448488_013</v>
      </c>
      <c r="C118" s="94" t="str">
        <f>IFERROR(__xludf.DUMMYFUNCTION("""COMPUTED_VALUE""")," 32044150448488_014")</f>
        <v> 32044150448488_014</v>
      </c>
      <c r="D118" s="94"/>
      <c r="E118" s="94"/>
      <c r="F118" s="94"/>
      <c r="G118" s="94"/>
      <c r="H118" s="94"/>
      <c r="I118" s="94"/>
      <c r="J118" s="94"/>
      <c r="K118" s="94"/>
      <c r="L118" s="94"/>
      <c r="M118" s="94"/>
      <c r="N118" s="94"/>
      <c r="O118" s="94"/>
      <c r="P118" s="94"/>
      <c r="Q118" s="94"/>
      <c r="R118" s="94"/>
      <c r="S118" s="94"/>
      <c r="T118" s="94"/>
      <c r="U118" s="94"/>
      <c r="V118" s="94"/>
      <c r="W118" s="94"/>
      <c r="X118" s="94"/>
      <c r="Y118" s="94"/>
      <c r="Z118" s="94"/>
      <c r="AA118" s="94"/>
      <c r="AB118" s="94"/>
      <c r="AC118" s="94"/>
      <c r="AD118" s="94"/>
      <c r="AE118" s="94"/>
      <c r="AF118" s="94"/>
      <c r="AG118" s="94"/>
    </row>
    <row r="119">
      <c r="A119" s="96" t="s">
        <v>1067</v>
      </c>
      <c r="B119" s="95" t="str">
        <f>IFERROR(__xludf.DUMMYFUNCTION("""COMPUTED_VALUE"""),"32044150448488_020")</f>
        <v>32044150448488_020</v>
      </c>
      <c r="C119" s="94" t="str">
        <f>IFERROR(__xludf.DUMMYFUNCTION("""COMPUTED_VALUE""")," 32044150448488_021")</f>
        <v> 32044150448488_021</v>
      </c>
      <c r="D119" s="94" t="str">
        <f>IFERROR(__xludf.DUMMYFUNCTION("""COMPUTED_VALUE""")," 32044150448488_022")</f>
        <v> 32044150448488_022</v>
      </c>
      <c r="E119" s="94"/>
      <c r="F119" s="94"/>
      <c r="G119" s="94"/>
      <c r="H119" s="94"/>
      <c r="I119" s="94"/>
      <c r="J119" s="94"/>
      <c r="K119" s="94"/>
      <c r="L119" s="94"/>
      <c r="M119" s="94"/>
      <c r="N119" s="94"/>
      <c r="O119" s="94"/>
      <c r="P119" s="94"/>
      <c r="Q119" s="94"/>
      <c r="R119" s="94"/>
      <c r="S119" s="94"/>
      <c r="T119" s="94"/>
      <c r="U119" s="94"/>
      <c r="V119" s="94"/>
      <c r="W119" s="94"/>
      <c r="X119" s="94"/>
      <c r="Y119" s="94"/>
      <c r="Z119" s="94"/>
      <c r="AA119" s="94"/>
      <c r="AB119" s="94"/>
      <c r="AC119" s="94"/>
      <c r="AD119" s="94"/>
      <c r="AE119" s="94"/>
      <c r="AF119" s="94"/>
      <c r="AG119" s="94"/>
    </row>
    <row r="120">
      <c r="A120" s="96" t="s">
        <v>1075</v>
      </c>
      <c r="B120" s="95" t="str">
        <f>IFERROR(__xludf.DUMMYFUNCTION("""COMPUTED_VALUE"""),"32044150448488_015")</f>
        <v>32044150448488_015</v>
      </c>
      <c r="C120" s="94" t="str">
        <f>IFERROR(__xludf.DUMMYFUNCTION("""COMPUTED_VALUE""")," 32044150448488_016")</f>
        <v> 32044150448488_016</v>
      </c>
      <c r="D120" s="94" t="str">
        <f>IFERROR(__xludf.DUMMYFUNCTION("""COMPUTED_VALUE""")," 32044150448488_017")</f>
        <v> 32044150448488_017</v>
      </c>
      <c r="E120" s="94" t="str">
        <f>IFERROR(__xludf.DUMMYFUNCTION("""COMPUTED_VALUE""")," 32044150448488_018")</f>
        <v> 32044150448488_018</v>
      </c>
      <c r="F120" s="94" t="str">
        <f>IFERROR(__xludf.DUMMYFUNCTION("""COMPUTED_VALUE""")," 32044150448488_019")</f>
        <v> 32044150448488_019</v>
      </c>
      <c r="G120" s="94"/>
      <c r="H120" s="94"/>
      <c r="I120" s="94"/>
      <c r="J120" s="94"/>
      <c r="K120" s="94"/>
      <c r="L120" s="94"/>
      <c r="M120" s="94"/>
      <c r="N120" s="94"/>
      <c r="O120" s="94"/>
      <c r="P120" s="94"/>
      <c r="Q120" s="94"/>
      <c r="R120" s="94"/>
      <c r="S120" s="94"/>
      <c r="T120" s="94"/>
      <c r="U120" s="94"/>
      <c r="V120" s="94"/>
      <c r="W120" s="94"/>
      <c r="X120" s="94"/>
      <c r="Y120" s="94"/>
      <c r="Z120" s="94"/>
      <c r="AA120" s="94"/>
      <c r="AB120" s="94"/>
      <c r="AC120" s="94"/>
      <c r="AD120" s="94"/>
      <c r="AE120" s="94"/>
      <c r="AF120" s="94"/>
      <c r="AG120" s="94"/>
    </row>
    <row r="121">
      <c r="A121" s="96" t="s">
        <v>1082</v>
      </c>
      <c r="B121" s="95" t="str">
        <f>IFERROR(__xludf.DUMMYFUNCTION("""COMPUTED_VALUE"""),"32044150448488_031")</f>
        <v>32044150448488_031</v>
      </c>
      <c r="C121" s="94" t="str">
        <f>IFERROR(__xludf.DUMMYFUNCTION("""COMPUTED_VALUE""")," 32044150448488_032")</f>
        <v> 32044150448488_032</v>
      </c>
      <c r="D121" s="94" t="str">
        <f>IFERROR(__xludf.DUMMYFUNCTION("""COMPUTED_VALUE""")," 32044150448488_033")</f>
        <v> 32044150448488_033</v>
      </c>
      <c r="E121" s="94" t="str">
        <f>IFERROR(__xludf.DUMMYFUNCTION("""COMPUTED_VALUE""")," 32044150448488_034")</f>
        <v> 32044150448488_034</v>
      </c>
      <c r="F121" s="94" t="str">
        <f>IFERROR(__xludf.DUMMYFUNCTION("""COMPUTED_VALUE""")," 32044150448488_035")</f>
        <v> 32044150448488_035</v>
      </c>
      <c r="G121" s="94" t="str">
        <f>IFERROR(__xludf.DUMMYFUNCTION("""COMPUTED_VALUE""")," 32044150448488_036")</f>
        <v> 32044150448488_036</v>
      </c>
      <c r="H121" s="94" t="str">
        <f>IFERROR(__xludf.DUMMYFUNCTION("""COMPUTED_VALUE""")," 32044150448488_037")</f>
        <v> 32044150448488_037</v>
      </c>
      <c r="I121" s="94" t="str">
        <f>IFERROR(__xludf.DUMMYFUNCTION("""COMPUTED_VALUE""")," 32044150448488_038")</f>
        <v> 32044150448488_038</v>
      </c>
      <c r="J121" s="94" t="str">
        <f>IFERROR(__xludf.DUMMYFUNCTION("""COMPUTED_VALUE""")," 32044150448488_039")</f>
        <v> 32044150448488_039</v>
      </c>
      <c r="K121" s="94" t="str">
        <f>IFERROR(__xludf.DUMMYFUNCTION("""COMPUTED_VALUE""")," 32044150448488_040")</f>
        <v> 32044150448488_040</v>
      </c>
      <c r="L121" s="94" t="str">
        <f>IFERROR(__xludf.DUMMYFUNCTION("""COMPUTED_VALUE""")," 32044150448488_041")</f>
        <v> 32044150448488_041</v>
      </c>
      <c r="M121" s="94" t="str">
        <f>IFERROR(__xludf.DUMMYFUNCTION("""COMPUTED_VALUE""")," 32044150448488_042")</f>
        <v> 32044150448488_042</v>
      </c>
      <c r="N121" s="94" t="str">
        <f>IFERROR(__xludf.DUMMYFUNCTION("""COMPUTED_VALUE""")," 32044150448488_043")</f>
        <v> 32044150448488_043</v>
      </c>
      <c r="O121" s="94"/>
      <c r="P121" s="94"/>
      <c r="Q121" s="94"/>
      <c r="R121" s="94"/>
      <c r="S121" s="94"/>
      <c r="T121" s="94"/>
      <c r="U121" s="94"/>
      <c r="V121" s="94"/>
      <c r="W121" s="94"/>
      <c r="X121" s="94"/>
      <c r="Y121" s="94"/>
      <c r="Z121" s="94"/>
      <c r="AA121" s="94"/>
      <c r="AB121" s="94"/>
      <c r="AC121" s="94"/>
      <c r="AD121" s="94"/>
      <c r="AE121" s="94"/>
      <c r="AF121" s="94"/>
      <c r="AG121" s="94"/>
    </row>
    <row r="122">
      <c r="A122" s="96" t="s">
        <v>1089</v>
      </c>
      <c r="B122" s="95" t="str">
        <f>IFERROR(__xludf.DUMMYFUNCTION("""COMPUTED_VALUE"""),"32044150448488_044")</f>
        <v>32044150448488_044</v>
      </c>
      <c r="C122" s="94" t="str">
        <f>IFERROR(__xludf.DUMMYFUNCTION("""COMPUTED_VALUE""")," 32044150448488_045")</f>
        <v> 32044150448488_045</v>
      </c>
      <c r="D122" s="94" t="str">
        <f>IFERROR(__xludf.DUMMYFUNCTION("""COMPUTED_VALUE""")," 32044150448488_046")</f>
        <v> 32044150448488_046</v>
      </c>
      <c r="E122" s="94" t="str">
        <f>IFERROR(__xludf.DUMMYFUNCTION("""COMPUTED_VALUE""")," 32044150448488_047")</f>
        <v> 32044150448488_047</v>
      </c>
      <c r="F122" s="94" t="str">
        <f>IFERROR(__xludf.DUMMYFUNCTION("""COMPUTED_VALUE""")," 32044150448488_048")</f>
        <v> 32044150448488_048</v>
      </c>
      <c r="G122" s="94" t="str">
        <f>IFERROR(__xludf.DUMMYFUNCTION("""COMPUTED_VALUE""")," 32044150448488_049")</f>
        <v> 32044150448488_049</v>
      </c>
      <c r="H122" s="94" t="str">
        <f>IFERROR(__xludf.DUMMYFUNCTION("""COMPUTED_VALUE""")," 32044150448488_050")</f>
        <v> 32044150448488_050</v>
      </c>
      <c r="I122" s="94" t="str">
        <f>IFERROR(__xludf.DUMMYFUNCTION("""COMPUTED_VALUE""")," 32044150448488_051")</f>
        <v> 32044150448488_051</v>
      </c>
      <c r="J122" s="94"/>
      <c r="K122" s="94"/>
      <c r="L122" s="94"/>
      <c r="M122" s="94"/>
      <c r="N122" s="94"/>
      <c r="O122" s="94"/>
      <c r="P122" s="94"/>
      <c r="Q122" s="94"/>
      <c r="R122" s="94"/>
      <c r="S122" s="94"/>
      <c r="T122" s="94"/>
      <c r="U122" s="94"/>
      <c r="V122" s="94"/>
      <c r="W122" s="94"/>
      <c r="X122" s="94"/>
      <c r="Y122" s="94"/>
      <c r="Z122" s="94"/>
      <c r="AA122" s="94"/>
      <c r="AB122" s="94"/>
      <c r="AC122" s="94"/>
      <c r="AD122" s="94"/>
      <c r="AE122" s="94"/>
      <c r="AF122" s="94"/>
      <c r="AG122" s="94"/>
    </row>
    <row r="123">
      <c r="A123" s="96" t="s">
        <v>1097</v>
      </c>
      <c r="B123" s="95" t="str">
        <f>IFERROR(__xludf.DUMMYFUNCTION("""COMPUTED_VALUE"""),"32044150448488_052")</f>
        <v>32044150448488_052</v>
      </c>
      <c r="C123" s="94" t="str">
        <f>IFERROR(__xludf.DUMMYFUNCTION("""COMPUTED_VALUE""")," 32044150448488_053")</f>
        <v> 32044150448488_053</v>
      </c>
      <c r="D123" s="94" t="str">
        <f>IFERROR(__xludf.DUMMYFUNCTION("""COMPUTED_VALUE""")," 32044150448488_054")</f>
        <v> 32044150448488_054</v>
      </c>
      <c r="E123" s="94" t="str">
        <f>IFERROR(__xludf.DUMMYFUNCTION("""COMPUTED_VALUE""")," 32044150448488_055")</f>
        <v> 32044150448488_055</v>
      </c>
      <c r="F123" s="94" t="str">
        <f>IFERROR(__xludf.DUMMYFUNCTION("""COMPUTED_VALUE""")," 32044150448488_056")</f>
        <v> 32044150448488_056</v>
      </c>
      <c r="G123" s="94" t="str">
        <f>IFERROR(__xludf.DUMMYFUNCTION("""COMPUTED_VALUE""")," 32044150448488_057")</f>
        <v> 32044150448488_057</v>
      </c>
      <c r="H123" s="94" t="str">
        <f>IFERROR(__xludf.DUMMYFUNCTION("""COMPUTED_VALUE""")," 32044150448488_058")</f>
        <v> 32044150448488_058</v>
      </c>
      <c r="I123" s="94" t="str">
        <f>IFERROR(__xludf.DUMMYFUNCTION("""COMPUTED_VALUE""")," 32044150448488_059")</f>
        <v> 32044150448488_059</v>
      </c>
      <c r="J123" s="94" t="str">
        <f>IFERROR(__xludf.DUMMYFUNCTION("""COMPUTED_VALUE""")," 32044150448488_060")</f>
        <v> 32044150448488_060</v>
      </c>
      <c r="K123" s="94" t="str">
        <f>IFERROR(__xludf.DUMMYFUNCTION("""COMPUTED_VALUE""")," 32044150448488_061")</f>
        <v> 32044150448488_061</v>
      </c>
      <c r="L123" s="94" t="str">
        <f>IFERROR(__xludf.DUMMYFUNCTION("""COMPUTED_VALUE""")," 32044150448488_062")</f>
        <v> 32044150448488_062</v>
      </c>
      <c r="M123" s="94" t="str">
        <f>IFERROR(__xludf.DUMMYFUNCTION("""COMPUTED_VALUE""")," 32044150448488_063")</f>
        <v> 32044150448488_063</v>
      </c>
      <c r="N123" s="94" t="str">
        <f>IFERROR(__xludf.DUMMYFUNCTION("""COMPUTED_VALUE""")," 32044150448488_064")</f>
        <v> 32044150448488_064</v>
      </c>
      <c r="O123" s="94"/>
      <c r="P123" s="94"/>
      <c r="Q123" s="94"/>
      <c r="R123" s="94"/>
      <c r="S123" s="94"/>
      <c r="T123" s="94"/>
      <c r="U123" s="94"/>
      <c r="V123" s="94"/>
      <c r="W123" s="94"/>
      <c r="X123" s="94"/>
      <c r="Y123" s="94"/>
      <c r="Z123" s="94"/>
      <c r="AA123" s="94"/>
      <c r="AB123" s="94"/>
      <c r="AC123" s="94"/>
      <c r="AD123" s="94"/>
      <c r="AE123" s="94"/>
      <c r="AF123" s="94"/>
      <c r="AG123" s="94"/>
    </row>
    <row r="124">
      <c r="A124" s="96" t="s">
        <v>1102</v>
      </c>
      <c r="B124" s="95" t="str">
        <f>IFERROR(__xludf.DUMMYFUNCTION("""COMPUTED_VALUE"""),"32044150448488_077")</f>
        <v>32044150448488_077</v>
      </c>
      <c r="C124" s="94"/>
      <c r="D124" s="94"/>
      <c r="E124" s="94"/>
      <c r="F124" s="94"/>
      <c r="G124" s="94"/>
      <c r="H124" s="94"/>
      <c r="I124" s="94"/>
      <c r="J124" s="94"/>
      <c r="K124" s="94"/>
      <c r="L124" s="94"/>
      <c r="M124" s="94"/>
      <c r="N124" s="94"/>
      <c r="O124" s="94"/>
      <c r="P124" s="94"/>
      <c r="Q124" s="94"/>
      <c r="R124" s="94"/>
      <c r="S124" s="94"/>
      <c r="T124" s="94"/>
      <c r="U124" s="94"/>
      <c r="V124" s="94"/>
      <c r="W124" s="94"/>
      <c r="X124" s="94"/>
      <c r="Y124" s="94"/>
      <c r="Z124" s="94"/>
      <c r="AA124" s="94"/>
      <c r="AB124" s="94"/>
      <c r="AC124" s="94"/>
      <c r="AD124" s="94"/>
      <c r="AE124" s="94"/>
      <c r="AF124" s="94"/>
      <c r="AG124" s="94"/>
    </row>
    <row r="125">
      <c r="A125" s="96" t="s">
        <v>1114</v>
      </c>
      <c r="B125" s="95" t="str">
        <f>IFERROR(__xludf.DUMMYFUNCTION("""COMPUTED_VALUE"""),"32044150448488_065")</f>
        <v>32044150448488_065</v>
      </c>
      <c r="C125" s="94" t="str">
        <f>IFERROR(__xludf.DUMMYFUNCTION("""COMPUTED_VALUE""")," 32044150448488_066")</f>
        <v> 32044150448488_066</v>
      </c>
      <c r="D125" s="94" t="str">
        <f>IFERROR(__xludf.DUMMYFUNCTION("""COMPUTED_VALUE""")," 32044150448488_067")</f>
        <v> 32044150448488_067</v>
      </c>
      <c r="E125" s="94" t="str">
        <f>IFERROR(__xludf.DUMMYFUNCTION("""COMPUTED_VALUE""")," 32044150448488_068")</f>
        <v> 32044150448488_068</v>
      </c>
      <c r="F125" s="94" t="str">
        <f>IFERROR(__xludf.DUMMYFUNCTION("""COMPUTED_VALUE""")," 32044150448488_069")</f>
        <v> 32044150448488_069</v>
      </c>
      <c r="G125" s="94" t="str">
        <f>IFERROR(__xludf.DUMMYFUNCTION("""COMPUTED_VALUE""")," 32044150448488_070")</f>
        <v> 32044150448488_070</v>
      </c>
      <c r="H125" s="94" t="str">
        <f>IFERROR(__xludf.DUMMYFUNCTION("""COMPUTED_VALUE""")," 32044150448488_071")</f>
        <v> 32044150448488_071</v>
      </c>
      <c r="I125" s="94" t="str">
        <f>IFERROR(__xludf.DUMMYFUNCTION("""COMPUTED_VALUE""")," 32044150448488_072")</f>
        <v> 32044150448488_072</v>
      </c>
      <c r="J125" s="94" t="str">
        <f>IFERROR(__xludf.DUMMYFUNCTION("""COMPUTED_VALUE""")," 32044150448488_073")</f>
        <v> 32044150448488_073</v>
      </c>
      <c r="K125" s="94" t="str">
        <f>IFERROR(__xludf.DUMMYFUNCTION("""COMPUTED_VALUE""")," 32044150448488_074")</f>
        <v> 32044150448488_074</v>
      </c>
      <c r="L125" s="94" t="str">
        <f>IFERROR(__xludf.DUMMYFUNCTION("""COMPUTED_VALUE""")," 32044150448488_075")</f>
        <v> 32044150448488_075</v>
      </c>
      <c r="M125" s="94" t="str">
        <f>IFERROR(__xludf.DUMMYFUNCTION("""COMPUTED_VALUE""")," 32044150448488_076")</f>
        <v> 32044150448488_076</v>
      </c>
      <c r="N125" s="94" t="str">
        <f>IFERROR(__xludf.DUMMYFUNCTION("""COMPUTED_VALUE""")," 32044150448488_077")</f>
        <v> 32044150448488_077</v>
      </c>
      <c r="O125" s="94" t="str">
        <f>IFERROR(__xludf.DUMMYFUNCTION("""COMPUTED_VALUE""")," 32044150448488_078")</f>
        <v> 32044150448488_078</v>
      </c>
      <c r="P125" s="94" t="str">
        <f>IFERROR(__xludf.DUMMYFUNCTION("""COMPUTED_VALUE""")," 32044150448488_079")</f>
        <v> 32044150448488_079</v>
      </c>
      <c r="Q125" s="94" t="str">
        <f>IFERROR(__xludf.DUMMYFUNCTION("""COMPUTED_VALUE""")," 32044150448488_080")</f>
        <v> 32044150448488_080</v>
      </c>
      <c r="R125" s="94" t="str">
        <f>IFERROR(__xludf.DUMMYFUNCTION("""COMPUTED_VALUE""")," 32044150448488_081")</f>
        <v> 32044150448488_081</v>
      </c>
      <c r="S125" s="94" t="str">
        <f>IFERROR(__xludf.DUMMYFUNCTION("""COMPUTED_VALUE""")," 32044150448488_082")</f>
        <v> 32044150448488_082</v>
      </c>
      <c r="T125" s="94" t="str">
        <f>IFERROR(__xludf.DUMMYFUNCTION("""COMPUTED_VALUE""")," 32044150448488_083")</f>
        <v> 32044150448488_083</v>
      </c>
      <c r="U125" s="94" t="str">
        <f>IFERROR(__xludf.DUMMYFUNCTION("""COMPUTED_VALUE""")," 32044150448488_084")</f>
        <v> 32044150448488_084</v>
      </c>
      <c r="V125" s="94" t="str">
        <f>IFERROR(__xludf.DUMMYFUNCTION("""COMPUTED_VALUE""")," 32044150448488_085")</f>
        <v> 32044150448488_085</v>
      </c>
      <c r="W125" s="94" t="str">
        <f>IFERROR(__xludf.DUMMYFUNCTION("""COMPUTED_VALUE""")," 32044150448488_086")</f>
        <v> 32044150448488_086</v>
      </c>
      <c r="X125" s="94" t="str">
        <f>IFERROR(__xludf.DUMMYFUNCTION("""COMPUTED_VALUE""")," 32044150448488_087")</f>
        <v> 32044150448488_087</v>
      </c>
      <c r="Y125" s="94" t="str">
        <f>IFERROR(__xludf.DUMMYFUNCTION("""COMPUTED_VALUE""")," 32044150448488_088")</f>
        <v> 32044150448488_088</v>
      </c>
      <c r="Z125" s="94" t="str">
        <f>IFERROR(__xludf.DUMMYFUNCTION("""COMPUTED_VALUE""")," 32044150448488_089")</f>
        <v> 32044150448488_089</v>
      </c>
      <c r="AA125" s="94" t="str">
        <f>IFERROR(__xludf.DUMMYFUNCTION("""COMPUTED_VALUE""")," 32044150448488_089")</f>
        <v> 32044150448488_089</v>
      </c>
      <c r="AB125" s="94"/>
      <c r="AC125" s="94"/>
      <c r="AD125" s="94"/>
      <c r="AE125" s="94"/>
      <c r="AF125" s="94"/>
      <c r="AG125" s="94"/>
    </row>
    <row r="126">
      <c r="A126" s="96" t="s">
        <v>1121</v>
      </c>
      <c r="B126" s="95" t="str">
        <f>IFERROR(__xludf.DUMMYFUNCTION("""COMPUTED_VALUE"""),"32044150448488_090")</f>
        <v>32044150448488_090</v>
      </c>
      <c r="C126" s="94" t="str">
        <f>IFERROR(__xludf.DUMMYFUNCTION("""COMPUTED_VALUE""")," 32044150448488_091")</f>
        <v> 32044150448488_091</v>
      </c>
      <c r="D126" s="94"/>
      <c r="E126" s="94"/>
      <c r="F126" s="94"/>
      <c r="G126" s="94"/>
      <c r="H126" s="94"/>
      <c r="I126" s="94"/>
      <c r="J126" s="94"/>
      <c r="K126" s="94"/>
      <c r="L126" s="94"/>
      <c r="M126" s="94"/>
      <c r="N126" s="94"/>
      <c r="O126" s="94"/>
      <c r="P126" s="94"/>
      <c r="Q126" s="94"/>
      <c r="R126" s="94"/>
      <c r="S126" s="94"/>
      <c r="T126" s="94"/>
      <c r="U126" s="94"/>
      <c r="V126" s="94"/>
      <c r="W126" s="94"/>
      <c r="X126" s="94"/>
      <c r="Y126" s="94"/>
      <c r="Z126" s="94"/>
      <c r="AA126" s="94"/>
      <c r="AB126" s="94"/>
      <c r="AC126" s="94"/>
      <c r="AD126" s="94"/>
      <c r="AE126" s="94"/>
      <c r="AF126" s="94"/>
      <c r="AG126" s="94"/>
    </row>
    <row r="127">
      <c r="A127" s="96" t="s">
        <v>1129</v>
      </c>
      <c r="B127" s="95" t="str">
        <f>IFERROR(__xludf.DUMMYFUNCTION("""COMPUTED_VALUE"""),"32044150448496_001")</f>
        <v>32044150448496_001</v>
      </c>
      <c r="C127" s="94" t="str">
        <f>IFERROR(__xludf.DUMMYFUNCTION("""COMPUTED_VALUE""")," 32044150448496_002")</f>
        <v> 32044150448496_002</v>
      </c>
      <c r="D127" s="94" t="str">
        <f>IFERROR(__xludf.DUMMYFUNCTION("""COMPUTED_VALUE""")," 32044150448496_003")</f>
        <v> 32044150448496_003</v>
      </c>
      <c r="E127" s="94" t="str">
        <f>IFERROR(__xludf.DUMMYFUNCTION("""COMPUTED_VALUE""")," 32044150448496_004")</f>
        <v> 32044150448496_004</v>
      </c>
      <c r="F127" s="94" t="str">
        <f>IFERROR(__xludf.DUMMYFUNCTION("""COMPUTED_VALUE""")," 32044150448496_005")</f>
        <v> 32044150448496_005</v>
      </c>
      <c r="G127" s="94" t="str">
        <f>IFERROR(__xludf.DUMMYFUNCTION("""COMPUTED_VALUE""")," 32044150448496_006")</f>
        <v> 32044150448496_006</v>
      </c>
      <c r="H127" s="94" t="str">
        <f>IFERROR(__xludf.DUMMYFUNCTION("""COMPUTED_VALUE""")," 32044150448496_007")</f>
        <v> 32044150448496_007</v>
      </c>
      <c r="I127" s="94" t="str">
        <f>IFERROR(__xludf.DUMMYFUNCTION("""COMPUTED_VALUE""")," 32044150448496_008")</f>
        <v> 32044150448496_008</v>
      </c>
      <c r="J127" s="94" t="str">
        <f>IFERROR(__xludf.DUMMYFUNCTION("""COMPUTED_VALUE""")," 32044150448496_009")</f>
        <v> 32044150448496_009</v>
      </c>
      <c r="K127" s="94"/>
      <c r="L127" s="94"/>
      <c r="M127" s="94"/>
      <c r="N127" s="94"/>
      <c r="O127" s="94"/>
      <c r="P127" s="94"/>
      <c r="Q127" s="94"/>
      <c r="R127" s="94"/>
      <c r="S127" s="94"/>
      <c r="T127" s="94"/>
      <c r="U127" s="94"/>
      <c r="V127" s="94"/>
      <c r="W127" s="94"/>
      <c r="X127" s="94"/>
      <c r="Y127" s="94"/>
      <c r="Z127" s="94"/>
      <c r="AA127" s="94"/>
      <c r="AB127" s="94"/>
      <c r="AC127" s="94"/>
      <c r="AD127" s="94"/>
      <c r="AE127" s="94"/>
      <c r="AF127" s="94"/>
      <c r="AG127" s="94"/>
    </row>
    <row r="128">
      <c r="A128" s="96" t="s">
        <v>1135</v>
      </c>
      <c r="B128" s="95" t="str">
        <f>IFERROR(__xludf.DUMMYFUNCTION("""COMPUTED_VALUE"""),"32044150448496_011")</f>
        <v>32044150448496_011</v>
      </c>
      <c r="C128" s="94" t="str">
        <f>IFERROR(__xludf.DUMMYFUNCTION("""COMPUTED_VALUE""")," 32044150448496_012")</f>
        <v> 32044150448496_012</v>
      </c>
      <c r="D128" s="94" t="str">
        <f>IFERROR(__xludf.DUMMYFUNCTION("""COMPUTED_VALUE""")," 32044150448496_013")</f>
        <v> 32044150448496_013</v>
      </c>
      <c r="E128" s="94" t="str">
        <f>IFERROR(__xludf.DUMMYFUNCTION("""COMPUTED_VALUE""")," 32044150448496_014")</f>
        <v> 32044150448496_014</v>
      </c>
      <c r="F128" s="94"/>
      <c r="G128" s="94"/>
      <c r="H128" s="94"/>
      <c r="I128" s="94"/>
      <c r="J128" s="94"/>
      <c r="K128" s="94"/>
      <c r="L128" s="94"/>
      <c r="M128" s="94"/>
      <c r="N128" s="94"/>
      <c r="O128" s="94"/>
      <c r="P128" s="94"/>
      <c r="Q128" s="94"/>
      <c r="R128" s="94"/>
      <c r="S128" s="94"/>
      <c r="T128" s="94"/>
      <c r="U128" s="94"/>
      <c r="V128" s="94"/>
      <c r="W128" s="94"/>
      <c r="X128" s="94"/>
      <c r="Y128" s="94"/>
      <c r="Z128" s="94"/>
      <c r="AA128" s="94"/>
      <c r="AB128" s="94"/>
      <c r="AC128" s="94"/>
      <c r="AD128" s="94"/>
      <c r="AE128" s="94"/>
      <c r="AF128" s="94"/>
      <c r="AG128" s="94"/>
    </row>
    <row r="129">
      <c r="A129" s="96" t="s">
        <v>1142</v>
      </c>
      <c r="B129" s="95" t="str">
        <f>IFERROR(__xludf.DUMMYFUNCTION("""COMPUTED_VALUE"""),"32044150448496_015")</f>
        <v>32044150448496_015</v>
      </c>
      <c r="C129" s="94" t="str">
        <f>IFERROR(__xludf.DUMMYFUNCTION("""COMPUTED_VALUE""")," 32044150448496_016")</f>
        <v> 32044150448496_016</v>
      </c>
      <c r="D129" s="94" t="str">
        <f>IFERROR(__xludf.DUMMYFUNCTION("""COMPUTED_VALUE""")," 32044150448496_017")</f>
        <v> 32044150448496_017</v>
      </c>
      <c r="E129" s="94" t="str">
        <f>IFERROR(__xludf.DUMMYFUNCTION("""COMPUTED_VALUE""")," 32044150448496_018")</f>
        <v> 32044150448496_018</v>
      </c>
      <c r="F129" s="94" t="str">
        <f>IFERROR(__xludf.DUMMYFUNCTION("""COMPUTED_VALUE""")," 32044150448496_019")</f>
        <v> 32044150448496_019</v>
      </c>
      <c r="G129" s="94" t="str">
        <f>IFERROR(__xludf.DUMMYFUNCTION("""COMPUTED_VALUE""")," 32044150448496_020")</f>
        <v> 32044150448496_020</v>
      </c>
      <c r="H129" s="94" t="str">
        <f>IFERROR(__xludf.DUMMYFUNCTION("""COMPUTED_VALUE""")," 32044150448496_021")</f>
        <v> 32044150448496_021</v>
      </c>
      <c r="I129" s="94" t="str">
        <f>IFERROR(__xludf.DUMMYFUNCTION("""COMPUTED_VALUE""")," 32044150448496_022")</f>
        <v> 32044150448496_022</v>
      </c>
      <c r="J129" s="94"/>
      <c r="K129" s="94"/>
      <c r="L129" s="94"/>
      <c r="M129" s="94"/>
      <c r="N129" s="94"/>
      <c r="O129" s="94"/>
      <c r="P129" s="94"/>
      <c r="Q129" s="94"/>
      <c r="R129" s="94"/>
      <c r="S129" s="94"/>
      <c r="T129" s="94"/>
      <c r="U129" s="94"/>
      <c r="V129" s="94"/>
      <c r="W129" s="94"/>
      <c r="X129" s="94"/>
      <c r="Y129" s="94"/>
      <c r="Z129" s="94"/>
      <c r="AA129" s="94"/>
      <c r="AB129" s="94"/>
      <c r="AC129" s="94"/>
      <c r="AD129" s="94"/>
      <c r="AE129" s="94"/>
      <c r="AF129" s="94"/>
      <c r="AG129" s="94"/>
    </row>
    <row r="130">
      <c r="A130" s="96" t="s">
        <v>1149</v>
      </c>
      <c r="B130" s="95" t="str">
        <f>IFERROR(__xludf.DUMMYFUNCTION("""COMPUTED_VALUE"""),"32044150448496_023")</f>
        <v>32044150448496_023</v>
      </c>
      <c r="C130" s="94" t="str">
        <f>IFERROR(__xludf.DUMMYFUNCTION("""COMPUTED_VALUE""")," 32044150448496_024")</f>
        <v> 32044150448496_024</v>
      </c>
      <c r="D130" s="94" t="str">
        <f>IFERROR(__xludf.DUMMYFUNCTION("""COMPUTED_VALUE""")," 32044150448496_025")</f>
        <v> 32044150448496_025</v>
      </c>
      <c r="E130" s="94" t="str">
        <f>IFERROR(__xludf.DUMMYFUNCTION("""COMPUTED_VALUE""")," 32044150448496_026")</f>
        <v> 32044150448496_026</v>
      </c>
      <c r="F130" s="94"/>
      <c r="G130" s="94"/>
      <c r="H130" s="94"/>
      <c r="I130" s="94"/>
      <c r="J130" s="94"/>
      <c r="K130" s="94"/>
      <c r="L130" s="94"/>
      <c r="M130" s="94"/>
      <c r="N130" s="94"/>
      <c r="O130" s="94"/>
      <c r="P130" s="94"/>
      <c r="Q130" s="94"/>
      <c r="R130" s="94"/>
      <c r="S130" s="94"/>
      <c r="T130" s="94"/>
      <c r="U130" s="94"/>
      <c r="V130" s="94"/>
      <c r="W130" s="94"/>
      <c r="X130" s="94"/>
      <c r="Y130" s="94"/>
      <c r="Z130" s="94"/>
      <c r="AA130" s="94"/>
      <c r="AB130" s="94"/>
      <c r="AC130" s="94"/>
      <c r="AD130" s="94"/>
      <c r="AE130" s="94"/>
      <c r="AF130" s="94"/>
      <c r="AG130" s="94"/>
    </row>
    <row r="131">
      <c r="A131" s="96" t="s">
        <v>1157</v>
      </c>
      <c r="B131" s="95" t="str">
        <f>IFERROR(__xludf.DUMMYFUNCTION("""COMPUTED_VALUE"""),"32044150448496_027")</f>
        <v>32044150448496_027</v>
      </c>
      <c r="C131" s="94" t="str">
        <f>IFERROR(__xludf.DUMMYFUNCTION("""COMPUTED_VALUE""")," 32044150448496_028")</f>
        <v> 32044150448496_028</v>
      </c>
      <c r="D131" s="94" t="str">
        <f>IFERROR(__xludf.DUMMYFUNCTION("""COMPUTED_VALUE""")," 32044150448496_029")</f>
        <v> 32044150448496_029</v>
      </c>
      <c r="E131" s="94" t="str">
        <f>IFERROR(__xludf.DUMMYFUNCTION("""COMPUTED_VALUE""")," 32044150448496_030")</f>
        <v> 32044150448496_030</v>
      </c>
      <c r="F131" s="94"/>
      <c r="G131" s="94"/>
      <c r="H131" s="94"/>
      <c r="I131" s="94"/>
      <c r="J131" s="94"/>
      <c r="K131" s="94"/>
      <c r="L131" s="94"/>
      <c r="M131" s="94"/>
      <c r="N131" s="94"/>
      <c r="O131" s="94"/>
      <c r="P131" s="94"/>
      <c r="Q131" s="94"/>
      <c r="R131" s="94"/>
      <c r="S131" s="94"/>
      <c r="T131" s="94"/>
      <c r="U131" s="94"/>
      <c r="V131" s="94"/>
      <c r="W131" s="94"/>
      <c r="X131" s="94"/>
      <c r="Y131" s="94"/>
      <c r="Z131" s="94"/>
      <c r="AA131" s="94"/>
      <c r="AB131" s="94"/>
      <c r="AC131" s="94"/>
      <c r="AD131" s="94"/>
      <c r="AE131" s="94"/>
      <c r="AF131" s="94"/>
      <c r="AG131" s="94"/>
    </row>
    <row r="132">
      <c r="A132" s="96" t="s">
        <v>1164</v>
      </c>
      <c r="B132" s="95" t="str">
        <f>IFERROR(__xludf.DUMMYFUNCTION("""COMPUTED_VALUE"""),"32044150448496_031")</f>
        <v>32044150448496_031</v>
      </c>
      <c r="C132" s="94" t="str">
        <f>IFERROR(__xludf.DUMMYFUNCTION("""COMPUTED_VALUE""")," 32044150448496_032")</f>
        <v> 32044150448496_032</v>
      </c>
      <c r="D132" s="94" t="str">
        <f>IFERROR(__xludf.DUMMYFUNCTION("""COMPUTED_VALUE""")," 32044150448496_033")</f>
        <v> 32044150448496_033</v>
      </c>
      <c r="E132" s="94" t="str">
        <f>IFERROR(__xludf.DUMMYFUNCTION("""COMPUTED_VALUE""")," 32044150448496_034")</f>
        <v> 32044150448496_034</v>
      </c>
      <c r="F132" s="94" t="str">
        <f>IFERROR(__xludf.DUMMYFUNCTION("""COMPUTED_VALUE""")," 32044150448496_035")</f>
        <v> 32044150448496_035</v>
      </c>
      <c r="G132" s="94" t="str">
        <f>IFERROR(__xludf.DUMMYFUNCTION("""COMPUTED_VALUE""")," 32044150448496_036")</f>
        <v> 32044150448496_036</v>
      </c>
      <c r="H132" s="94" t="str">
        <f>IFERROR(__xludf.DUMMYFUNCTION("""COMPUTED_VALUE""")," 32044150448496_037")</f>
        <v> 32044150448496_037</v>
      </c>
      <c r="I132" s="94" t="str">
        <f>IFERROR(__xludf.DUMMYFUNCTION("""COMPUTED_VALUE""")," 32044150448496_038")</f>
        <v> 32044150448496_038</v>
      </c>
      <c r="J132" s="94"/>
      <c r="K132" s="94"/>
      <c r="L132" s="94"/>
      <c r="M132" s="94"/>
      <c r="N132" s="94"/>
      <c r="O132" s="94"/>
      <c r="P132" s="94"/>
      <c r="Q132" s="94"/>
      <c r="R132" s="94"/>
      <c r="S132" s="94"/>
      <c r="T132" s="94"/>
      <c r="U132" s="94"/>
      <c r="V132" s="94"/>
      <c r="W132" s="94"/>
      <c r="X132" s="94"/>
      <c r="Y132" s="94"/>
      <c r="Z132" s="94"/>
      <c r="AA132" s="94"/>
      <c r="AB132" s="94"/>
      <c r="AC132" s="94"/>
      <c r="AD132" s="94"/>
      <c r="AE132" s="94"/>
      <c r="AF132" s="94"/>
      <c r="AG132" s="94"/>
    </row>
    <row r="133">
      <c r="A133" s="96" t="s">
        <v>1172</v>
      </c>
      <c r="B133" s="95" t="str">
        <f>IFERROR(__xludf.DUMMYFUNCTION("""COMPUTED_VALUE"""),"32044150448496_039")</f>
        <v>32044150448496_039</v>
      </c>
      <c r="C133" s="94" t="str">
        <f>IFERROR(__xludf.DUMMYFUNCTION("""COMPUTED_VALUE""")," 32044150448496_040")</f>
        <v> 32044150448496_040</v>
      </c>
      <c r="D133" s="94" t="str">
        <f>IFERROR(__xludf.DUMMYFUNCTION("""COMPUTED_VALUE""")," 32044150448496_041")</f>
        <v> 32044150448496_041</v>
      </c>
      <c r="E133" s="94" t="str">
        <f>IFERROR(__xludf.DUMMYFUNCTION("""COMPUTED_VALUE""")," 32044150448496_042")</f>
        <v> 32044150448496_042</v>
      </c>
      <c r="F133" s="94" t="str">
        <f>IFERROR(__xludf.DUMMYFUNCTION("""COMPUTED_VALUE""")," 32044150448496_043")</f>
        <v> 32044150448496_043</v>
      </c>
      <c r="G133" s="94" t="str">
        <f>IFERROR(__xludf.DUMMYFUNCTION("""COMPUTED_VALUE""")," 32044150448496_044")</f>
        <v> 32044150448496_044</v>
      </c>
      <c r="H133" s="94" t="str">
        <f>IFERROR(__xludf.DUMMYFUNCTION("""COMPUTED_VALUE""")," 32044150448496_045")</f>
        <v> 32044150448496_045</v>
      </c>
      <c r="I133" s="94" t="str">
        <f>IFERROR(__xludf.DUMMYFUNCTION("""COMPUTED_VALUE""")," 32044150448496_046")</f>
        <v> 32044150448496_046</v>
      </c>
      <c r="J133" s="94" t="str">
        <f>IFERROR(__xludf.DUMMYFUNCTION("""COMPUTED_VALUE""")," 32044150448496_047")</f>
        <v> 32044150448496_047</v>
      </c>
      <c r="K133" s="94" t="str">
        <f>IFERROR(__xludf.DUMMYFUNCTION("""COMPUTED_VALUE""")," 32044150448496_048")</f>
        <v> 32044150448496_048</v>
      </c>
      <c r="L133" s="94" t="str">
        <f>IFERROR(__xludf.DUMMYFUNCTION("""COMPUTED_VALUE""")," 32044150448496_049")</f>
        <v> 32044150448496_049</v>
      </c>
      <c r="M133" s="94"/>
      <c r="N133" s="94"/>
      <c r="O133" s="94"/>
      <c r="P133" s="94"/>
      <c r="Q133" s="94"/>
      <c r="R133" s="94"/>
      <c r="S133" s="94"/>
      <c r="T133" s="94"/>
      <c r="U133" s="94"/>
      <c r="V133" s="94"/>
      <c r="W133" s="94"/>
      <c r="X133" s="94"/>
      <c r="Y133" s="94"/>
      <c r="Z133" s="94"/>
      <c r="AA133" s="94"/>
      <c r="AB133" s="94"/>
      <c r="AC133" s="94"/>
      <c r="AD133" s="94"/>
      <c r="AE133" s="94"/>
      <c r="AF133" s="94"/>
      <c r="AG133" s="94"/>
    </row>
    <row r="134">
      <c r="A134" s="96" t="s">
        <v>1179</v>
      </c>
      <c r="B134" s="95" t="str">
        <f>IFERROR(__xludf.DUMMYFUNCTION("""COMPUTED_VALUE"""),"32044150448496_050")</f>
        <v>32044150448496_050</v>
      </c>
      <c r="C134" s="94" t="str">
        <f>IFERROR(__xludf.DUMMYFUNCTION("""COMPUTED_VALUE""")," 32044150448496_051")</f>
        <v> 32044150448496_051</v>
      </c>
      <c r="D134" s="94" t="str">
        <f>IFERROR(__xludf.DUMMYFUNCTION("""COMPUTED_VALUE""")," 32044150448496_052")</f>
        <v> 32044150448496_052</v>
      </c>
      <c r="E134" s="94" t="str">
        <f>IFERROR(__xludf.DUMMYFUNCTION("""COMPUTED_VALUE""")," 32044150448496_053")</f>
        <v> 32044150448496_053</v>
      </c>
      <c r="F134" s="94" t="str">
        <f>IFERROR(__xludf.DUMMYFUNCTION("""COMPUTED_VALUE""")," 32044150448496_054")</f>
        <v> 32044150448496_054</v>
      </c>
      <c r="G134" s="94" t="str">
        <f>IFERROR(__xludf.DUMMYFUNCTION("""COMPUTED_VALUE""")," 32044150448496_055")</f>
        <v> 32044150448496_055</v>
      </c>
      <c r="H134" s="94" t="str">
        <f>IFERROR(__xludf.DUMMYFUNCTION("""COMPUTED_VALUE""")," 32044150448496_056")</f>
        <v> 32044150448496_056</v>
      </c>
      <c r="I134" s="94" t="str">
        <f>IFERROR(__xludf.DUMMYFUNCTION("""COMPUTED_VALUE""")," 32044150448496_057")</f>
        <v> 32044150448496_057</v>
      </c>
      <c r="J134" s="94"/>
      <c r="K134" s="94"/>
      <c r="L134" s="94"/>
      <c r="M134" s="94"/>
      <c r="N134" s="94"/>
      <c r="O134" s="94"/>
      <c r="P134" s="94"/>
      <c r="Q134" s="94"/>
      <c r="R134" s="94"/>
      <c r="S134" s="94"/>
      <c r="T134" s="94"/>
      <c r="U134" s="94"/>
      <c r="V134" s="94"/>
      <c r="W134" s="94"/>
      <c r="X134" s="94"/>
      <c r="Y134" s="94"/>
      <c r="Z134" s="94"/>
      <c r="AA134" s="94"/>
      <c r="AB134" s="94"/>
      <c r="AC134" s="94"/>
      <c r="AD134" s="94"/>
      <c r="AE134" s="94"/>
      <c r="AF134" s="94"/>
      <c r="AG134" s="94"/>
    </row>
    <row r="135">
      <c r="A135" s="96" t="s">
        <v>1186</v>
      </c>
      <c r="B135" s="95" t="str">
        <f>IFERROR(__xludf.DUMMYFUNCTION("""COMPUTED_VALUE"""),"32044150448496_010")</f>
        <v>32044150448496_010</v>
      </c>
      <c r="C135" s="94" t="str">
        <f>IFERROR(__xludf.DUMMYFUNCTION("""COMPUTED_VALUE""")," 32044150448496_058")</f>
        <v> 32044150448496_058</v>
      </c>
      <c r="D135" s="94" t="str">
        <f>IFERROR(__xludf.DUMMYFUNCTION("""COMPUTED_VALUE""")," 32044150448496_059")</f>
        <v> 32044150448496_059</v>
      </c>
      <c r="E135" s="94" t="str">
        <f>IFERROR(__xludf.DUMMYFUNCTION("""COMPUTED_VALUE""")," 32044150448496_060")</f>
        <v> 32044150448496_060</v>
      </c>
      <c r="F135" s="94" t="str">
        <f>IFERROR(__xludf.DUMMYFUNCTION("""COMPUTED_VALUE""")," 32044150448496_061")</f>
        <v> 32044150448496_061</v>
      </c>
      <c r="G135" s="94" t="str">
        <f>IFERROR(__xludf.DUMMYFUNCTION("""COMPUTED_VALUE""")," 32044150448496_062")</f>
        <v> 32044150448496_062</v>
      </c>
      <c r="H135" s="94" t="str">
        <f>IFERROR(__xludf.DUMMYFUNCTION("""COMPUTED_VALUE""")," 32044150448496_063")</f>
        <v> 32044150448496_063</v>
      </c>
      <c r="I135" s="94" t="str">
        <f>IFERROR(__xludf.DUMMYFUNCTION("""COMPUTED_VALUE""")," 32044150448496_064")</f>
        <v> 32044150448496_064</v>
      </c>
      <c r="J135" s="94" t="str">
        <f>IFERROR(__xludf.DUMMYFUNCTION("""COMPUTED_VALUE""")," 32044150448496_065")</f>
        <v> 32044150448496_065</v>
      </c>
      <c r="K135" s="94" t="str">
        <f>IFERROR(__xludf.DUMMYFUNCTION("""COMPUTED_VALUE""")," 32044150448496_066")</f>
        <v> 32044150448496_066</v>
      </c>
      <c r="L135" s="94" t="str">
        <f>IFERROR(__xludf.DUMMYFUNCTION("""COMPUTED_VALUE""")," 32044150448496_067")</f>
        <v> 32044150448496_067</v>
      </c>
      <c r="M135" s="94" t="str">
        <f>IFERROR(__xludf.DUMMYFUNCTION("""COMPUTED_VALUE""")," 32044150448496_068")</f>
        <v> 32044150448496_068</v>
      </c>
      <c r="N135" s="94" t="str">
        <f>IFERROR(__xludf.DUMMYFUNCTION("""COMPUTED_VALUE""")," 32044150448496_069")</f>
        <v> 32044150448496_069</v>
      </c>
      <c r="O135" s="94"/>
      <c r="P135" s="94"/>
      <c r="Q135" s="94"/>
      <c r="R135" s="94"/>
      <c r="S135" s="94"/>
      <c r="T135" s="94"/>
      <c r="U135" s="94"/>
      <c r="V135" s="94"/>
      <c r="W135" s="94"/>
      <c r="X135" s="94"/>
      <c r="Y135" s="94"/>
      <c r="Z135" s="94"/>
      <c r="AA135" s="94"/>
      <c r="AB135" s="94"/>
      <c r="AC135" s="94"/>
      <c r="AD135" s="94"/>
      <c r="AE135" s="94"/>
      <c r="AF135" s="94"/>
      <c r="AG135" s="94"/>
    </row>
    <row r="136">
      <c r="A136" s="96" t="s">
        <v>1195</v>
      </c>
      <c r="B136" s="95" t="str">
        <f>IFERROR(__xludf.DUMMYFUNCTION("""COMPUTED_VALUE"""),"32044150448504_038")</f>
        <v>32044150448504_038</v>
      </c>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c r="AA136" s="94"/>
      <c r="AB136" s="94"/>
      <c r="AC136" s="94"/>
      <c r="AD136" s="94"/>
      <c r="AE136" s="94"/>
      <c r="AF136" s="94"/>
      <c r="AG136" s="94"/>
    </row>
    <row r="137">
      <c r="A137" s="96" t="s">
        <v>1203</v>
      </c>
      <c r="B137" s="95" t="str">
        <f>IFERROR(__xludf.DUMMYFUNCTION("""COMPUTED_VALUE"""),"32044150448504_001")</f>
        <v>32044150448504_001</v>
      </c>
      <c r="C137" s="94" t="str">
        <f>IFERROR(__xludf.DUMMYFUNCTION("""COMPUTED_VALUE""")," 32044150448504_002")</f>
        <v> 32044150448504_002</v>
      </c>
      <c r="D137" s="94" t="str">
        <f>IFERROR(__xludf.DUMMYFUNCTION("""COMPUTED_VALUE""")," 32044150448504_003")</f>
        <v> 32044150448504_003</v>
      </c>
      <c r="E137" s="94" t="str">
        <f>IFERROR(__xludf.DUMMYFUNCTION("""COMPUTED_VALUE""")," 32044150448504_004")</f>
        <v> 32044150448504_004</v>
      </c>
      <c r="F137" s="94" t="str">
        <f>IFERROR(__xludf.DUMMYFUNCTION("""COMPUTED_VALUE""")," 32044150448504_005")</f>
        <v> 32044150448504_005</v>
      </c>
      <c r="G137" s="94" t="str">
        <f>IFERROR(__xludf.DUMMYFUNCTION("""COMPUTED_VALUE""")," 32044150448504_006")</f>
        <v> 32044150448504_006</v>
      </c>
      <c r="H137" s="94" t="str">
        <f>IFERROR(__xludf.DUMMYFUNCTION("""COMPUTED_VALUE""")," 32044150448504_007")</f>
        <v> 32044150448504_007</v>
      </c>
      <c r="I137" s="94" t="str">
        <f>IFERROR(__xludf.DUMMYFUNCTION("""COMPUTED_VALUE""")," 32044150448504_008")</f>
        <v> 32044150448504_008</v>
      </c>
      <c r="J137" s="94"/>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row>
    <row r="138">
      <c r="A138" s="96" t="s">
        <v>1209</v>
      </c>
      <c r="B138" s="95" t="str">
        <f>IFERROR(__xludf.DUMMYFUNCTION("""COMPUTED_VALUE"""),"32044150448504_009")</f>
        <v>32044150448504_009</v>
      </c>
      <c r="C138" s="94" t="str">
        <f>IFERROR(__xludf.DUMMYFUNCTION("""COMPUTED_VALUE""")," 32044150448504_010")</f>
        <v> 32044150448504_010</v>
      </c>
      <c r="D138" s="94" t="str">
        <f>IFERROR(__xludf.DUMMYFUNCTION("""COMPUTED_VALUE""")," 32044150448504_011")</f>
        <v> 32044150448504_011</v>
      </c>
      <c r="E138" s="94" t="str">
        <f>IFERROR(__xludf.DUMMYFUNCTION("""COMPUTED_VALUE""")," 32044150448504_012")</f>
        <v> 32044150448504_012</v>
      </c>
      <c r="F138" s="94" t="str">
        <f>IFERROR(__xludf.DUMMYFUNCTION("""COMPUTED_VALUE""")," 32044150448504_013")</f>
        <v> 32044150448504_013</v>
      </c>
      <c r="G138" s="94" t="str">
        <f>IFERROR(__xludf.DUMMYFUNCTION("""COMPUTED_VALUE""")," 32044150448504_014")</f>
        <v> 32044150448504_014</v>
      </c>
      <c r="H138" s="94"/>
      <c r="I138" s="94"/>
      <c r="J138" s="94"/>
      <c r="K138" s="94"/>
      <c r="L138" s="94"/>
      <c r="M138" s="94"/>
      <c r="N138" s="94"/>
      <c r="O138" s="94"/>
      <c r="P138" s="94"/>
      <c r="Q138" s="94"/>
      <c r="R138" s="94"/>
      <c r="S138" s="94"/>
      <c r="T138" s="94"/>
      <c r="U138" s="94"/>
      <c r="V138" s="94"/>
      <c r="W138" s="94"/>
      <c r="X138" s="94"/>
      <c r="Y138" s="94"/>
      <c r="Z138" s="94"/>
      <c r="AA138" s="94"/>
      <c r="AB138" s="94"/>
      <c r="AC138" s="94"/>
      <c r="AD138" s="94"/>
      <c r="AE138" s="94"/>
      <c r="AF138" s="94"/>
      <c r="AG138" s="94"/>
    </row>
    <row r="139">
      <c r="A139" s="96" t="s">
        <v>1215</v>
      </c>
      <c r="B139" s="95" t="str">
        <f>IFERROR(__xludf.DUMMYFUNCTION("""COMPUTED_VALUE"""),"32044150448504_015")</f>
        <v>32044150448504_015</v>
      </c>
      <c r="C139" s="94" t="str">
        <f>IFERROR(__xludf.DUMMYFUNCTION("""COMPUTED_VALUE""")," 32044150448504_016")</f>
        <v> 32044150448504_016</v>
      </c>
      <c r="D139" s="94" t="str">
        <f>IFERROR(__xludf.DUMMYFUNCTION("""COMPUTED_VALUE""")," 32044150448504_017")</f>
        <v> 32044150448504_017</v>
      </c>
      <c r="E139" s="94" t="str">
        <f>IFERROR(__xludf.DUMMYFUNCTION("""COMPUTED_VALUE""")," 32044150448504_018")</f>
        <v> 32044150448504_018</v>
      </c>
      <c r="F139" s="94" t="str">
        <f>IFERROR(__xludf.DUMMYFUNCTION("""COMPUTED_VALUE""")," 32044150448504_019")</f>
        <v> 32044150448504_019</v>
      </c>
      <c r="G139" s="94" t="str">
        <f>IFERROR(__xludf.DUMMYFUNCTION("""COMPUTED_VALUE""")," 32044150448504_020")</f>
        <v> 32044150448504_020</v>
      </c>
      <c r="H139" s="94" t="str">
        <f>IFERROR(__xludf.DUMMYFUNCTION("""COMPUTED_VALUE""")," 32044150448504_021")</f>
        <v> 32044150448504_021</v>
      </c>
      <c r="I139" s="94" t="str">
        <f>IFERROR(__xludf.DUMMYFUNCTION("""COMPUTED_VALUE""")," 32044150448504_022")</f>
        <v> 32044150448504_022</v>
      </c>
      <c r="J139" s="94" t="str">
        <f>IFERROR(__xludf.DUMMYFUNCTION("""COMPUTED_VALUE""")," 32044150448504_023")</f>
        <v> 32044150448504_023</v>
      </c>
      <c r="K139" s="94" t="str">
        <f>IFERROR(__xludf.DUMMYFUNCTION("""COMPUTED_VALUE""")," 32044150448504_024")</f>
        <v> 32044150448504_024</v>
      </c>
      <c r="L139" s="94"/>
      <c r="M139" s="94"/>
      <c r="N139" s="94"/>
      <c r="O139" s="94"/>
      <c r="P139" s="94"/>
      <c r="Q139" s="94"/>
      <c r="R139" s="94"/>
      <c r="S139" s="94"/>
      <c r="T139" s="94"/>
      <c r="U139" s="94"/>
      <c r="V139" s="94"/>
      <c r="W139" s="94"/>
      <c r="X139" s="94"/>
      <c r="Y139" s="94"/>
      <c r="Z139" s="94"/>
      <c r="AA139" s="94"/>
      <c r="AB139" s="94"/>
      <c r="AC139" s="94"/>
      <c r="AD139" s="94"/>
      <c r="AE139" s="94"/>
      <c r="AF139" s="94"/>
      <c r="AG139" s="94"/>
    </row>
    <row r="140">
      <c r="A140" s="96" t="s">
        <v>1222</v>
      </c>
      <c r="B140" s="95" t="str">
        <f>IFERROR(__xludf.DUMMYFUNCTION("""COMPUTED_VALUE"""),"32044150448504_025")</f>
        <v>32044150448504_025</v>
      </c>
      <c r="C140" s="94" t="str">
        <f>IFERROR(__xludf.DUMMYFUNCTION("""COMPUTED_VALUE""")," 32044150448504_026")</f>
        <v> 32044150448504_026</v>
      </c>
      <c r="D140" s="94" t="str">
        <f>IFERROR(__xludf.DUMMYFUNCTION("""COMPUTED_VALUE""")," 32044150448504_027")</f>
        <v> 32044150448504_027</v>
      </c>
      <c r="E140" s="94" t="str">
        <f>IFERROR(__xludf.DUMMYFUNCTION("""COMPUTED_VALUE""")," 32044150448504_028")</f>
        <v> 32044150448504_028</v>
      </c>
      <c r="F140" s="94" t="str">
        <f>IFERROR(__xludf.DUMMYFUNCTION("""COMPUTED_VALUE""")," 32044150448504_029")</f>
        <v> 32044150448504_029</v>
      </c>
      <c r="G140" s="94" t="str">
        <f>IFERROR(__xludf.DUMMYFUNCTION("""COMPUTED_VALUE""")," 32044150448504_030")</f>
        <v> 32044150448504_030</v>
      </c>
      <c r="H140" s="94" t="str">
        <f>IFERROR(__xludf.DUMMYFUNCTION("""COMPUTED_VALUE""")," 32044150448504_031")</f>
        <v> 32044150448504_031</v>
      </c>
      <c r="I140" s="94" t="str">
        <f>IFERROR(__xludf.DUMMYFUNCTION("""COMPUTED_VALUE""")," 32044150448504_032")</f>
        <v> 32044150448504_032</v>
      </c>
      <c r="J140" s="94" t="str">
        <f>IFERROR(__xludf.DUMMYFUNCTION("""COMPUTED_VALUE""")," 32044150448504_033")</f>
        <v> 32044150448504_033</v>
      </c>
      <c r="K140" s="94" t="str">
        <f>IFERROR(__xludf.DUMMYFUNCTION("""COMPUTED_VALUE""")," 32044150448504_034")</f>
        <v> 32044150448504_034</v>
      </c>
      <c r="L140" s="94"/>
      <c r="M140" s="94"/>
      <c r="N140" s="94"/>
      <c r="O140" s="94"/>
      <c r="P140" s="94"/>
      <c r="Q140" s="94"/>
      <c r="R140" s="94"/>
      <c r="S140" s="94"/>
      <c r="T140" s="94"/>
      <c r="U140" s="94"/>
      <c r="V140" s="94"/>
      <c r="W140" s="94"/>
      <c r="X140" s="94"/>
      <c r="Y140" s="94"/>
      <c r="Z140" s="94"/>
      <c r="AA140" s="94"/>
      <c r="AB140" s="94"/>
      <c r="AC140" s="94"/>
      <c r="AD140" s="94"/>
      <c r="AE140" s="94"/>
      <c r="AF140" s="94"/>
      <c r="AG140" s="94"/>
    </row>
    <row r="141">
      <c r="A141" s="96" t="s">
        <v>1229</v>
      </c>
      <c r="B141" s="95" t="str">
        <f>IFERROR(__xludf.DUMMYFUNCTION("""COMPUTED_VALUE"""),"32044150448504_035")</f>
        <v>32044150448504_035</v>
      </c>
      <c r="C141" s="94" t="str">
        <f>IFERROR(__xludf.DUMMYFUNCTION("""COMPUTED_VALUE""")," 32044150448504_036")</f>
        <v> 32044150448504_036</v>
      </c>
      <c r="D141" s="94" t="str">
        <f>IFERROR(__xludf.DUMMYFUNCTION("""COMPUTED_VALUE""")," 32044150448504_037")</f>
        <v> 32044150448504_037</v>
      </c>
      <c r="E141" s="94"/>
      <c r="F141" s="94"/>
      <c r="G141" s="94"/>
      <c r="H141" s="94"/>
      <c r="I141" s="94"/>
      <c r="J141" s="94"/>
      <c r="K141" s="94"/>
      <c r="L141" s="94"/>
      <c r="M141" s="94"/>
      <c r="N141" s="94"/>
      <c r="O141" s="94"/>
      <c r="P141" s="94"/>
      <c r="Q141" s="94"/>
      <c r="R141" s="94"/>
      <c r="S141" s="94"/>
      <c r="T141" s="94"/>
      <c r="U141" s="94"/>
      <c r="V141" s="94"/>
      <c r="W141" s="94"/>
      <c r="X141" s="94"/>
      <c r="Y141" s="94"/>
      <c r="Z141" s="94"/>
      <c r="AA141" s="94"/>
      <c r="AB141" s="94"/>
      <c r="AC141" s="94"/>
      <c r="AD141" s="94"/>
      <c r="AE141" s="94"/>
      <c r="AF141" s="94"/>
      <c r="AG141" s="94"/>
    </row>
    <row r="142">
      <c r="A142" s="96" t="s">
        <v>1237</v>
      </c>
      <c r="B142" s="95" t="str">
        <f>IFERROR(__xludf.DUMMYFUNCTION("""COMPUTED_VALUE"""),"32044150448512_001")</f>
        <v>32044150448512_001</v>
      </c>
      <c r="C142" s="94" t="str">
        <f>IFERROR(__xludf.DUMMYFUNCTION("""COMPUTED_VALUE""")," 32044150448512_002")</f>
        <v> 32044150448512_002</v>
      </c>
      <c r="D142" s="94" t="str">
        <f>IFERROR(__xludf.DUMMYFUNCTION("""COMPUTED_VALUE""")," 32044150448512_003")</f>
        <v> 32044150448512_003</v>
      </c>
      <c r="E142" s="94" t="str">
        <f>IFERROR(__xludf.DUMMYFUNCTION("""COMPUTED_VALUE""")," 32044150448512_004")</f>
        <v> 32044150448512_004</v>
      </c>
      <c r="F142" s="94" t="str">
        <f>IFERROR(__xludf.DUMMYFUNCTION("""COMPUTED_VALUE""")," 32044150448512_005")</f>
        <v> 32044150448512_005</v>
      </c>
      <c r="G142" s="94" t="str">
        <f>IFERROR(__xludf.DUMMYFUNCTION("""COMPUTED_VALUE""")," 32044150448512_006")</f>
        <v> 32044150448512_006</v>
      </c>
      <c r="H142" s="94"/>
      <c r="I142" s="94"/>
      <c r="J142" s="94"/>
      <c r="K142" s="94"/>
      <c r="L142" s="94"/>
      <c r="M142" s="94"/>
      <c r="N142" s="94"/>
      <c r="O142" s="94"/>
      <c r="P142" s="94"/>
      <c r="Q142" s="94"/>
      <c r="R142" s="94"/>
      <c r="S142" s="94"/>
      <c r="T142" s="94"/>
      <c r="U142" s="94"/>
      <c r="V142" s="94"/>
      <c r="W142" s="94"/>
      <c r="X142" s="94"/>
      <c r="Y142" s="94"/>
      <c r="Z142" s="94"/>
      <c r="AA142" s="94"/>
      <c r="AB142" s="94"/>
      <c r="AC142" s="94"/>
      <c r="AD142" s="94"/>
      <c r="AE142" s="94"/>
      <c r="AF142" s="94"/>
      <c r="AG142" s="94"/>
    </row>
    <row r="143">
      <c r="A143" s="96" t="s">
        <v>1242</v>
      </c>
      <c r="B143" s="95" t="str">
        <f>IFERROR(__xludf.DUMMYFUNCTION("""COMPUTED_VALUE"""),"32044150448512_007")</f>
        <v>32044150448512_007</v>
      </c>
      <c r="C143" s="94" t="str">
        <f>IFERROR(__xludf.DUMMYFUNCTION("""COMPUTED_VALUE""")," 32044150448512_008")</f>
        <v> 32044150448512_008</v>
      </c>
      <c r="D143" s="94"/>
      <c r="E143" s="94"/>
      <c r="F143" s="94"/>
      <c r="G143" s="94"/>
      <c r="H143" s="94"/>
      <c r="I143" s="94"/>
      <c r="J143" s="94"/>
      <c r="K143" s="94"/>
      <c r="L143" s="94"/>
      <c r="M143" s="94"/>
      <c r="N143" s="94"/>
      <c r="O143" s="94"/>
      <c r="P143" s="94"/>
      <c r="Q143" s="94"/>
      <c r="R143" s="94"/>
      <c r="S143" s="94"/>
      <c r="T143" s="94"/>
      <c r="U143" s="94"/>
      <c r="V143" s="94"/>
      <c r="W143" s="94"/>
      <c r="X143" s="94"/>
      <c r="Y143" s="94"/>
      <c r="Z143" s="94"/>
      <c r="AA143" s="94"/>
      <c r="AB143" s="94"/>
      <c r="AC143" s="94"/>
      <c r="AD143" s="94"/>
      <c r="AE143" s="94"/>
      <c r="AF143" s="94"/>
      <c r="AG143" s="94"/>
    </row>
    <row r="144">
      <c r="A144" s="96" t="s">
        <v>1250</v>
      </c>
      <c r="B144" s="95" t="str">
        <f>IFERROR(__xludf.DUMMYFUNCTION("""COMPUTED_VALUE"""),"32044150448512_015")</f>
        <v>32044150448512_015</v>
      </c>
      <c r="C144" s="94" t="str">
        <f>IFERROR(__xludf.DUMMYFUNCTION("""COMPUTED_VALUE""")," 32044150448512_016")</f>
        <v> 32044150448512_016</v>
      </c>
      <c r="D144" s="94"/>
      <c r="E144" s="94"/>
      <c r="F144" s="94"/>
      <c r="G144" s="94"/>
      <c r="H144" s="94"/>
      <c r="I144" s="94"/>
      <c r="J144" s="94"/>
      <c r="K144" s="94"/>
      <c r="L144" s="94"/>
      <c r="M144" s="94"/>
      <c r="N144" s="94"/>
      <c r="O144" s="94"/>
      <c r="P144" s="94"/>
      <c r="Q144" s="94"/>
      <c r="R144" s="94"/>
      <c r="S144" s="94"/>
      <c r="T144" s="94"/>
      <c r="U144" s="94"/>
      <c r="V144" s="94"/>
      <c r="W144" s="94"/>
      <c r="X144" s="94"/>
      <c r="Y144" s="94"/>
      <c r="Z144" s="94"/>
      <c r="AA144" s="94"/>
      <c r="AB144" s="94"/>
      <c r="AC144" s="94"/>
      <c r="AD144" s="94"/>
      <c r="AE144" s="94"/>
      <c r="AF144" s="94"/>
      <c r="AG144" s="94"/>
    </row>
    <row r="145">
      <c r="A145" s="96" t="s">
        <v>1254</v>
      </c>
      <c r="B145" s="95" t="str">
        <f>IFERROR(__xludf.DUMMYFUNCTION("""COMPUTED_VALUE"""),"32044150448512_022")</f>
        <v>32044150448512_022</v>
      </c>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row>
    <row r="146">
      <c r="A146" s="96" t="s">
        <v>1262</v>
      </c>
      <c r="B146" s="95" t="str">
        <f>IFERROR(__xludf.DUMMYFUNCTION("""COMPUTED_VALUE"""),"32044150448512_017")</f>
        <v>32044150448512_017</v>
      </c>
      <c r="C146" s="94" t="str">
        <f>IFERROR(__xludf.DUMMYFUNCTION("""COMPUTED_VALUE""")," 32044150448512_018")</f>
        <v> 32044150448512_018</v>
      </c>
      <c r="D146" s="94" t="str">
        <f>IFERROR(__xludf.DUMMYFUNCTION("""COMPUTED_VALUE""")," 32044150448512_019")</f>
        <v> 32044150448512_019</v>
      </c>
      <c r="E146" s="94" t="str">
        <f>IFERROR(__xludf.DUMMYFUNCTION("""COMPUTED_VALUE""")," 32044150448512_020")</f>
        <v> 32044150448512_020</v>
      </c>
      <c r="F146" s="94" t="str">
        <f>IFERROR(__xludf.DUMMYFUNCTION("""COMPUTED_VALUE""")," 32044150448512_021")</f>
        <v> 32044150448512_021</v>
      </c>
      <c r="G146" s="94"/>
      <c r="H146" s="94"/>
      <c r="I146" s="94"/>
      <c r="J146" s="94"/>
      <c r="K146" s="94"/>
      <c r="L146" s="94"/>
      <c r="M146" s="94"/>
      <c r="N146" s="94"/>
      <c r="O146" s="94"/>
      <c r="P146" s="94"/>
      <c r="Q146" s="94"/>
      <c r="R146" s="94"/>
      <c r="S146" s="94"/>
      <c r="T146" s="94"/>
      <c r="U146" s="94"/>
      <c r="V146" s="94"/>
      <c r="W146" s="94"/>
      <c r="X146" s="94"/>
      <c r="Y146" s="94"/>
      <c r="Z146" s="94"/>
      <c r="AA146" s="94"/>
      <c r="AB146" s="94"/>
      <c r="AC146" s="94"/>
      <c r="AD146" s="94"/>
      <c r="AE146" s="94"/>
      <c r="AF146" s="94"/>
      <c r="AG146" s="94"/>
    </row>
    <row r="147">
      <c r="A147" s="96" t="s">
        <v>1270</v>
      </c>
      <c r="B147" s="95" t="str">
        <f>IFERROR(__xludf.DUMMYFUNCTION("""COMPUTED_VALUE"""),"32044150448512_009")</f>
        <v>32044150448512_009</v>
      </c>
      <c r="C147" s="94" t="str">
        <f>IFERROR(__xludf.DUMMYFUNCTION("""COMPUTED_VALUE""")," 32044150448512_010")</f>
        <v> 32044150448512_010</v>
      </c>
      <c r="D147" s="94" t="str">
        <f>IFERROR(__xludf.DUMMYFUNCTION("""COMPUTED_VALUE""")," 32044150448512_011")</f>
        <v> 32044150448512_011</v>
      </c>
      <c r="E147" s="94" t="str">
        <f>IFERROR(__xludf.DUMMYFUNCTION("""COMPUTED_VALUE""")," 32044150448512_012")</f>
        <v> 32044150448512_012</v>
      </c>
      <c r="F147" s="94" t="str">
        <f>IFERROR(__xludf.DUMMYFUNCTION("""COMPUTED_VALUE""")," 32044150448512_013")</f>
        <v> 32044150448512_013</v>
      </c>
      <c r="G147" s="94" t="str">
        <f>IFERROR(__xludf.DUMMYFUNCTION("""COMPUTED_VALUE""")," 32044150448512_014")</f>
        <v> 32044150448512_014</v>
      </c>
      <c r="H147" s="94"/>
      <c r="I147" s="94"/>
      <c r="J147" s="94"/>
      <c r="K147" s="94"/>
      <c r="L147" s="94"/>
      <c r="M147" s="94"/>
      <c r="N147" s="94"/>
      <c r="O147" s="94"/>
      <c r="P147" s="94"/>
      <c r="Q147" s="94"/>
      <c r="R147" s="94"/>
      <c r="S147" s="94"/>
      <c r="T147" s="94"/>
      <c r="U147" s="94"/>
      <c r="V147" s="94"/>
      <c r="W147" s="94"/>
      <c r="X147" s="94"/>
      <c r="Y147" s="94"/>
      <c r="Z147" s="94"/>
      <c r="AA147" s="94"/>
      <c r="AB147" s="94"/>
      <c r="AC147" s="94"/>
      <c r="AD147" s="94"/>
      <c r="AE147" s="94"/>
      <c r="AF147" s="94"/>
      <c r="AG147" s="94"/>
    </row>
    <row r="148">
      <c r="A148" s="96" t="s">
        <v>1274</v>
      </c>
      <c r="B148" s="95" t="str">
        <f>IFERROR(__xludf.DUMMYFUNCTION("""COMPUTED_VALUE"""),"32044150448512_023")</f>
        <v>32044150448512_023</v>
      </c>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c r="AA148" s="94"/>
      <c r="AB148" s="94"/>
      <c r="AC148" s="94"/>
      <c r="AD148" s="94"/>
      <c r="AE148" s="94"/>
      <c r="AF148" s="94"/>
      <c r="AG148" s="94"/>
    </row>
    <row r="149">
      <c r="A149" s="96" t="s">
        <v>1283</v>
      </c>
      <c r="B149" s="95" t="str">
        <f>IFERROR(__xludf.DUMMYFUNCTION("""COMPUTED_VALUE"""),"32044150448520_001")</f>
        <v>32044150448520_001</v>
      </c>
      <c r="C149" s="94" t="str">
        <f>IFERROR(__xludf.DUMMYFUNCTION("""COMPUTED_VALUE""")," 32044150448520_002")</f>
        <v> 32044150448520_002</v>
      </c>
      <c r="D149" s="94" t="str">
        <f>IFERROR(__xludf.DUMMYFUNCTION("""COMPUTED_VALUE""")," 32044150448520_003")</f>
        <v> 32044150448520_003</v>
      </c>
      <c r="E149" s="94" t="str">
        <f>IFERROR(__xludf.DUMMYFUNCTION("""COMPUTED_VALUE""")," 32044150448520_004")</f>
        <v> 32044150448520_004</v>
      </c>
      <c r="F149" s="94"/>
      <c r="G149" s="94"/>
      <c r="H149" s="94"/>
      <c r="I149" s="94"/>
      <c r="J149" s="94"/>
      <c r="K149" s="94"/>
      <c r="L149" s="94"/>
      <c r="M149" s="94"/>
      <c r="N149" s="94"/>
      <c r="O149" s="94"/>
      <c r="P149" s="94"/>
      <c r="Q149" s="94"/>
      <c r="R149" s="94"/>
      <c r="S149" s="94"/>
      <c r="T149" s="94"/>
      <c r="U149" s="94"/>
      <c r="V149" s="94"/>
      <c r="W149" s="94"/>
      <c r="X149" s="94"/>
      <c r="Y149" s="94"/>
      <c r="Z149" s="94"/>
      <c r="AA149" s="94"/>
      <c r="AB149" s="94"/>
      <c r="AC149" s="94"/>
      <c r="AD149" s="94"/>
      <c r="AE149" s="94"/>
      <c r="AF149" s="94"/>
      <c r="AG149" s="94"/>
    </row>
    <row r="150">
      <c r="A150" s="96" t="s">
        <v>1292</v>
      </c>
      <c r="B150" s="95" t="str">
        <f>IFERROR(__xludf.DUMMYFUNCTION("""COMPUTED_VALUE"""),"32044150448520_005")</f>
        <v>32044150448520_005</v>
      </c>
      <c r="C150" s="94" t="str">
        <f>IFERROR(__xludf.DUMMYFUNCTION("""COMPUTED_VALUE""")," 32044150448520_006")</f>
        <v> 32044150448520_006</v>
      </c>
      <c r="D150" s="94" t="str">
        <f>IFERROR(__xludf.DUMMYFUNCTION("""COMPUTED_VALUE""")," 32044150448520_007")</f>
        <v> 32044150448520_007</v>
      </c>
      <c r="E150" s="94" t="str">
        <f>IFERROR(__xludf.DUMMYFUNCTION("""COMPUTED_VALUE""")," 32044150448520_008")</f>
        <v> 32044150448520_008</v>
      </c>
      <c r="F150" s="94" t="str">
        <f>IFERROR(__xludf.DUMMYFUNCTION("""COMPUTED_VALUE""")," 32044150448520_009")</f>
        <v> 32044150448520_009</v>
      </c>
      <c r="G150" s="94" t="str">
        <f>IFERROR(__xludf.DUMMYFUNCTION("""COMPUTED_VALUE""")," 32044150448520_010")</f>
        <v> 32044150448520_010</v>
      </c>
      <c r="H150" s="94" t="str">
        <f>IFERROR(__xludf.DUMMYFUNCTION("""COMPUTED_VALUE""")," 32044150448520_011")</f>
        <v> 32044150448520_011</v>
      </c>
      <c r="I150" s="94" t="str">
        <f>IFERROR(__xludf.DUMMYFUNCTION("""COMPUTED_VALUE""")," 32044150448520_012")</f>
        <v> 32044150448520_012</v>
      </c>
      <c r="J150" s="94" t="str">
        <f>IFERROR(__xludf.DUMMYFUNCTION("""COMPUTED_VALUE""")," 32044150448520_013")</f>
        <v> 32044150448520_013</v>
      </c>
      <c r="K150" s="94" t="str">
        <f>IFERROR(__xludf.DUMMYFUNCTION("""COMPUTED_VALUE""")," 32044150448520_014")</f>
        <v> 32044150448520_014</v>
      </c>
      <c r="L150" s="94" t="str">
        <f>IFERROR(__xludf.DUMMYFUNCTION("""COMPUTED_VALUE""")," 32044150448520_015")</f>
        <v> 32044150448520_015</v>
      </c>
      <c r="M150" s="94" t="str">
        <f>IFERROR(__xludf.DUMMYFUNCTION("""COMPUTED_VALUE""")," 32044150448520_016")</f>
        <v> 32044150448520_016</v>
      </c>
      <c r="N150" s="94" t="str">
        <f>IFERROR(__xludf.DUMMYFUNCTION("""COMPUTED_VALUE""")," 32044150448520_017")</f>
        <v> 32044150448520_017</v>
      </c>
      <c r="O150" s="94"/>
      <c r="P150" s="94"/>
      <c r="Q150" s="94"/>
      <c r="R150" s="94"/>
      <c r="S150" s="94"/>
      <c r="T150" s="94"/>
      <c r="U150" s="94"/>
      <c r="V150" s="94"/>
      <c r="W150" s="94"/>
      <c r="X150" s="94"/>
      <c r="Y150" s="94"/>
      <c r="Z150" s="94"/>
      <c r="AA150" s="94"/>
      <c r="AB150" s="94"/>
      <c r="AC150" s="94"/>
      <c r="AD150" s="94"/>
      <c r="AE150" s="94"/>
      <c r="AF150" s="94"/>
      <c r="AG150" s="94"/>
    </row>
    <row r="151">
      <c r="A151" s="96" t="s">
        <v>1299</v>
      </c>
      <c r="B151" s="95" t="str">
        <f>IFERROR(__xludf.DUMMYFUNCTION("""COMPUTED_VALUE"""),"32044150448520_018")</f>
        <v>32044150448520_018</v>
      </c>
      <c r="C151" s="94" t="str">
        <f>IFERROR(__xludf.DUMMYFUNCTION("""COMPUTED_VALUE""")," 32044150448520_019")</f>
        <v> 32044150448520_019</v>
      </c>
      <c r="D151" s="94" t="str">
        <f>IFERROR(__xludf.DUMMYFUNCTION("""COMPUTED_VALUE""")," 32044150448520_020")</f>
        <v> 32044150448520_020</v>
      </c>
      <c r="E151" s="94" t="str">
        <f>IFERROR(__xludf.DUMMYFUNCTION("""COMPUTED_VALUE""")," 32044150448520_021")</f>
        <v> 32044150448520_021</v>
      </c>
      <c r="F151" s="94" t="str">
        <f>IFERROR(__xludf.DUMMYFUNCTION("""COMPUTED_VALUE""")," 32044150448520_022")</f>
        <v> 32044150448520_022</v>
      </c>
      <c r="G151" s="94"/>
      <c r="H151" s="94"/>
      <c r="I151" s="94"/>
      <c r="J151" s="94"/>
      <c r="K151" s="94"/>
      <c r="L151" s="94"/>
      <c r="M151" s="94"/>
      <c r="N151" s="94"/>
      <c r="O151" s="94"/>
      <c r="P151" s="94"/>
      <c r="Q151" s="94"/>
      <c r="R151" s="94"/>
      <c r="S151" s="94"/>
      <c r="T151" s="94"/>
      <c r="U151" s="94"/>
      <c r="V151" s="94"/>
      <c r="W151" s="94"/>
      <c r="X151" s="94"/>
      <c r="Y151" s="94"/>
      <c r="Z151" s="94"/>
      <c r="AA151" s="94"/>
      <c r="AB151" s="94"/>
      <c r="AC151" s="94"/>
      <c r="AD151" s="94"/>
      <c r="AE151" s="94"/>
      <c r="AF151" s="94"/>
      <c r="AG151" s="94"/>
    </row>
    <row r="152">
      <c r="A152" s="96" t="s">
        <v>1306</v>
      </c>
      <c r="B152" s="95" t="str">
        <f>IFERROR(__xludf.DUMMYFUNCTION("""COMPUTED_VALUE"""),"32044150448520_023")</f>
        <v>32044150448520_023</v>
      </c>
      <c r="C152" s="94" t="str">
        <f>IFERROR(__xludf.DUMMYFUNCTION("""COMPUTED_VALUE""")," 32044150448520_024")</f>
        <v> 32044150448520_024</v>
      </c>
      <c r="D152" s="94" t="str">
        <f>IFERROR(__xludf.DUMMYFUNCTION("""COMPUTED_VALUE""")," 32044150448520_025")</f>
        <v> 32044150448520_025</v>
      </c>
      <c r="E152" s="94" t="str">
        <f>IFERROR(__xludf.DUMMYFUNCTION("""COMPUTED_VALUE""")," 32044150448520_026")</f>
        <v> 32044150448520_026</v>
      </c>
      <c r="F152" s="94" t="str">
        <f>IFERROR(__xludf.DUMMYFUNCTION("""COMPUTED_VALUE""")," 32044150448520_027")</f>
        <v> 32044150448520_027</v>
      </c>
      <c r="G152" s="94" t="str">
        <f>IFERROR(__xludf.DUMMYFUNCTION("""COMPUTED_VALUE""")," 32044150448520_028")</f>
        <v> 32044150448520_028</v>
      </c>
      <c r="H152" s="94" t="str">
        <f>IFERROR(__xludf.DUMMYFUNCTION("""COMPUTED_VALUE""")," 32044150448520_029")</f>
        <v> 32044150448520_029</v>
      </c>
      <c r="I152" s="94" t="str">
        <f>IFERROR(__xludf.DUMMYFUNCTION("""COMPUTED_VALUE""")," 32044150448520_030")</f>
        <v> 32044150448520_030</v>
      </c>
      <c r="J152" s="94" t="str">
        <f>IFERROR(__xludf.DUMMYFUNCTION("""COMPUTED_VALUE""")," 32044150448520_031")</f>
        <v> 32044150448520_031</v>
      </c>
      <c r="K152" s="94" t="str">
        <f>IFERROR(__xludf.DUMMYFUNCTION("""COMPUTED_VALUE""")," 32044150448520_032")</f>
        <v> 32044150448520_032</v>
      </c>
      <c r="L152" s="94"/>
      <c r="M152" s="94"/>
      <c r="N152" s="94"/>
      <c r="O152" s="94"/>
      <c r="P152" s="94"/>
      <c r="Q152" s="94"/>
      <c r="R152" s="94"/>
      <c r="S152" s="94"/>
      <c r="T152" s="94"/>
      <c r="U152" s="94"/>
      <c r="V152" s="94"/>
      <c r="W152" s="94"/>
      <c r="X152" s="94"/>
      <c r="Y152" s="94"/>
      <c r="Z152" s="94"/>
      <c r="AA152" s="94"/>
      <c r="AB152" s="94"/>
      <c r="AC152" s="94"/>
      <c r="AD152" s="94"/>
      <c r="AE152" s="94"/>
      <c r="AF152" s="94"/>
      <c r="AG152" s="94"/>
    </row>
    <row r="153">
      <c r="A153" s="96" t="s">
        <v>1312</v>
      </c>
      <c r="B153" s="95" t="str">
        <f>IFERROR(__xludf.DUMMYFUNCTION("""COMPUTED_VALUE"""),"32044150448520_033")</f>
        <v>32044150448520_033</v>
      </c>
      <c r="C153" s="94" t="str">
        <f>IFERROR(__xludf.DUMMYFUNCTION("""COMPUTED_VALUE""")," 32044150448520_034")</f>
        <v> 32044150448520_034</v>
      </c>
      <c r="D153" s="94" t="str">
        <f>IFERROR(__xludf.DUMMYFUNCTION("""COMPUTED_VALUE""")," 32044150448520_035")</f>
        <v> 32044150448520_035</v>
      </c>
      <c r="E153" s="94"/>
      <c r="F153" s="94"/>
      <c r="G153" s="94"/>
      <c r="H153" s="94"/>
      <c r="I153" s="94"/>
      <c r="J153" s="94"/>
      <c r="K153" s="94"/>
      <c r="L153" s="94"/>
      <c r="M153" s="94"/>
      <c r="N153" s="94"/>
      <c r="O153" s="94"/>
      <c r="P153" s="94"/>
      <c r="Q153" s="94"/>
      <c r="R153" s="94"/>
      <c r="S153" s="94"/>
      <c r="T153" s="94"/>
      <c r="U153" s="94"/>
      <c r="V153" s="94"/>
      <c r="W153" s="94"/>
      <c r="X153" s="94"/>
      <c r="Y153" s="94"/>
      <c r="Z153" s="94"/>
      <c r="AA153" s="94"/>
      <c r="AB153" s="94"/>
      <c r="AC153" s="94"/>
      <c r="AD153" s="94"/>
      <c r="AE153" s="94"/>
      <c r="AF153" s="94"/>
      <c r="AG153" s="94"/>
    </row>
    <row r="154">
      <c r="A154" s="96" t="s">
        <v>1319</v>
      </c>
      <c r="B154" s="95" t="str">
        <f>IFERROR(__xludf.DUMMYFUNCTION("""COMPUTED_VALUE"""),"32044150448520_036")</f>
        <v>32044150448520_036</v>
      </c>
      <c r="C154" s="94" t="str">
        <f>IFERROR(__xludf.DUMMYFUNCTION("""COMPUTED_VALUE""")," 32044150448520_037")</f>
        <v> 32044150448520_037</v>
      </c>
      <c r="D154" s="94" t="str">
        <f>IFERROR(__xludf.DUMMYFUNCTION("""COMPUTED_VALUE""")," 32044150448520_038")</f>
        <v> 32044150448520_038</v>
      </c>
      <c r="E154" s="94" t="str">
        <f>IFERROR(__xludf.DUMMYFUNCTION("""COMPUTED_VALUE""")," 32044150448520_039")</f>
        <v> 32044150448520_039</v>
      </c>
      <c r="F154" s="94" t="str">
        <f>IFERROR(__xludf.DUMMYFUNCTION("""COMPUTED_VALUE""")," 32044150448520_040")</f>
        <v> 32044150448520_040</v>
      </c>
      <c r="G154" s="94" t="str">
        <f>IFERROR(__xludf.DUMMYFUNCTION("""COMPUTED_VALUE""")," 32044150448520_041")</f>
        <v> 32044150448520_041</v>
      </c>
      <c r="H154" s="94" t="str">
        <f>IFERROR(__xludf.DUMMYFUNCTION("""COMPUTED_VALUE""")," 32044150448520_042")</f>
        <v> 32044150448520_042</v>
      </c>
      <c r="I154" s="94" t="str">
        <f>IFERROR(__xludf.DUMMYFUNCTION("""COMPUTED_VALUE""")," 32044150448520_043")</f>
        <v> 32044150448520_043</v>
      </c>
      <c r="J154" s="94" t="str">
        <f>IFERROR(__xludf.DUMMYFUNCTION("""COMPUTED_VALUE""")," 32044150448520_044")</f>
        <v> 32044150448520_044</v>
      </c>
      <c r="K154" s="94" t="str">
        <f>IFERROR(__xludf.DUMMYFUNCTION("""COMPUTED_VALUE""")," 32044150448520_045")</f>
        <v> 32044150448520_045</v>
      </c>
      <c r="L154" s="94" t="str">
        <f>IFERROR(__xludf.DUMMYFUNCTION("""COMPUTED_VALUE""")," 32044150448520_046")</f>
        <v> 32044150448520_046</v>
      </c>
      <c r="M154" s="94" t="str">
        <f>IFERROR(__xludf.DUMMYFUNCTION("""COMPUTED_VALUE""")," 32044150448520_047")</f>
        <v> 32044150448520_047</v>
      </c>
      <c r="N154" s="94" t="str">
        <f>IFERROR(__xludf.DUMMYFUNCTION("""COMPUTED_VALUE""")," 32044150448520_048")</f>
        <v> 32044150448520_048</v>
      </c>
      <c r="O154" s="94" t="str">
        <f>IFERROR(__xludf.DUMMYFUNCTION("""COMPUTED_VALUE""")," 32044150448520_049")</f>
        <v> 32044150448520_049</v>
      </c>
      <c r="P154" s="94"/>
      <c r="Q154" s="94"/>
      <c r="R154" s="94"/>
      <c r="S154" s="94"/>
      <c r="T154" s="94"/>
      <c r="U154" s="94"/>
      <c r="V154" s="94"/>
      <c r="W154" s="94"/>
      <c r="X154" s="94"/>
      <c r="Y154" s="94"/>
      <c r="Z154" s="94"/>
      <c r="AA154" s="94"/>
      <c r="AB154" s="94"/>
      <c r="AC154" s="94"/>
      <c r="AD154" s="94"/>
      <c r="AE154" s="94"/>
      <c r="AF154" s="94"/>
      <c r="AG154" s="94"/>
    </row>
    <row r="155">
      <c r="A155" s="96" t="s">
        <v>1327</v>
      </c>
      <c r="B155" s="95" t="str">
        <f>IFERROR(__xludf.DUMMYFUNCTION("""COMPUTED_VALUE"""),"32044150448520_050")</f>
        <v>32044150448520_050</v>
      </c>
      <c r="C155" s="94" t="str">
        <f>IFERROR(__xludf.DUMMYFUNCTION("""COMPUTED_VALUE""")," 32044150448520_051")</f>
        <v> 32044150448520_051</v>
      </c>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c r="AB155" s="94"/>
      <c r="AC155" s="94"/>
      <c r="AD155" s="94"/>
      <c r="AE155" s="94"/>
      <c r="AF155" s="94"/>
      <c r="AG155" s="94"/>
    </row>
    <row r="156">
      <c r="A156" s="96" t="s">
        <v>1336</v>
      </c>
      <c r="B156" s="95" t="str">
        <f>IFERROR(__xludf.DUMMYFUNCTION("""COMPUTED_VALUE"""),"32044150448520_052")</f>
        <v>32044150448520_052</v>
      </c>
      <c r="C156" s="94" t="str">
        <f>IFERROR(__xludf.DUMMYFUNCTION("""COMPUTED_VALUE""")," 32044150448520_053")</f>
        <v> 32044150448520_053</v>
      </c>
      <c r="D156" s="94" t="str">
        <f>IFERROR(__xludf.DUMMYFUNCTION("""COMPUTED_VALUE""")," 32044150448520_054")</f>
        <v> 32044150448520_054</v>
      </c>
      <c r="E156" s="94" t="str">
        <f>IFERROR(__xludf.DUMMYFUNCTION("""COMPUTED_VALUE""")," 32044150448520_055")</f>
        <v> 32044150448520_055</v>
      </c>
      <c r="F156" s="94" t="str">
        <f>IFERROR(__xludf.DUMMYFUNCTION("""COMPUTED_VALUE""")," 32044150448520_056")</f>
        <v> 32044150448520_056</v>
      </c>
      <c r="G156" s="94" t="str">
        <f>IFERROR(__xludf.DUMMYFUNCTION("""COMPUTED_VALUE""")," 32044150448520_057")</f>
        <v> 32044150448520_057</v>
      </c>
      <c r="H156" s="94" t="str">
        <f>IFERROR(__xludf.DUMMYFUNCTION("""COMPUTED_VALUE""")," 32044150448520_058")</f>
        <v> 32044150448520_058</v>
      </c>
      <c r="I156" s="94" t="str">
        <f>IFERROR(__xludf.DUMMYFUNCTION("""COMPUTED_VALUE""")," 32044150448520_059")</f>
        <v> 32044150448520_059</v>
      </c>
      <c r="J156" s="94" t="str">
        <f>IFERROR(__xludf.DUMMYFUNCTION("""COMPUTED_VALUE""")," 32044150448520_060")</f>
        <v> 32044150448520_060</v>
      </c>
      <c r="K156" s="94"/>
      <c r="L156" s="94"/>
      <c r="M156" s="94"/>
      <c r="N156" s="94"/>
      <c r="O156" s="94"/>
      <c r="P156" s="94"/>
      <c r="Q156" s="94"/>
      <c r="R156" s="94"/>
      <c r="S156" s="94"/>
      <c r="T156" s="94"/>
      <c r="U156" s="94"/>
      <c r="V156" s="94"/>
      <c r="W156" s="94"/>
      <c r="X156" s="94"/>
      <c r="Y156" s="94"/>
      <c r="Z156" s="94"/>
      <c r="AA156" s="94"/>
      <c r="AB156" s="94"/>
      <c r="AC156" s="94"/>
      <c r="AD156" s="94"/>
      <c r="AE156" s="94"/>
      <c r="AF156" s="94"/>
      <c r="AG156" s="94"/>
    </row>
    <row r="157">
      <c r="A157" s="96" t="s">
        <v>1342</v>
      </c>
      <c r="B157" s="95" t="str">
        <f>IFERROR(__xludf.DUMMYFUNCTION("""COMPUTED_VALUE"""),"32044150448520_061")</f>
        <v>32044150448520_061</v>
      </c>
      <c r="C157" s="94" t="str">
        <f>IFERROR(__xludf.DUMMYFUNCTION("""COMPUTED_VALUE""")," 32044150448520_062")</f>
        <v> 32044150448520_062</v>
      </c>
      <c r="D157" s="94" t="str">
        <f>IFERROR(__xludf.DUMMYFUNCTION("""COMPUTED_VALUE""")," 32044150448520_063")</f>
        <v> 32044150448520_063</v>
      </c>
      <c r="E157" s="94" t="str">
        <f>IFERROR(__xludf.DUMMYFUNCTION("""COMPUTED_VALUE""")," 32044150448520_064")</f>
        <v> 32044150448520_064</v>
      </c>
      <c r="F157" s="94"/>
      <c r="G157" s="94"/>
      <c r="H157" s="94"/>
      <c r="I157" s="94"/>
      <c r="J157" s="94"/>
      <c r="K157" s="94"/>
      <c r="L157" s="94"/>
      <c r="M157" s="94"/>
      <c r="N157" s="94"/>
      <c r="O157" s="94"/>
      <c r="P157" s="94"/>
      <c r="Q157" s="94"/>
      <c r="R157" s="94"/>
      <c r="S157" s="94"/>
      <c r="T157" s="94"/>
      <c r="U157" s="94"/>
      <c r="V157" s="94"/>
      <c r="W157" s="94"/>
      <c r="X157" s="94"/>
      <c r="Y157" s="94"/>
      <c r="Z157" s="94"/>
      <c r="AA157" s="94"/>
      <c r="AB157" s="94"/>
      <c r="AC157" s="94"/>
      <c r="AD157" s="94"/>
      <c r="AE157" s="94"/>
      <c r="AF157" s="94"/>
      <c r="AG157" s="94"/>
    </row>
    <row r="158">
      <c r="A158" s="96" t="s">
        <v>1349</v>
      </c>
      <c r="B158" s="95" t="str">
        <f>IFERROR(__xludf.DUMMYFUNCTION("""COMPUTED_VALUE"""),"32044150448520_065")</f>
        <v>32044150448520_065</v>
      </c>
      <c r="C158" s="94" t="str">
        <f>IFERROR(__xludf.DUMMYFUNCTION("""COMPUTED_VALUE""")," 32044150448520_066")</f>
        <v> 32044150448520_066</v>
      </c>
      <c r="D158" s="94" t="str">
        <f>IFERROR(__xludf.DUMMYFUNCTION("""COMPUTED_VALUE""")," 32044150448520_067")</f>
        <v> 32044150448520_067</v>
      </c>
      <c r="E158" s="94" t="str">
        <f>IFERROR(__xludf.DUMMYFUNCTION("""COMPUTED_VALUE""")," 32044150448520_068")</f>
        <v> 32044150448520_068</v>
      </c>
      <c r="F158" s="94" t="str">
        <f>IFERROR(__xludf.DUMMYFUNCTION("""COMPUTED_VALUE""")," 32044150448520_069")</f>
        <v> 32044150448520_069</v>
      </c>
      <c r="G158" s="94" t="str">
        <f>IFERROR(__xludf.DUMMYFUNCTION("""COMPUTED_VALUE""")," 32044150448520_070")</f>
        <v> 32044150448520_070</v>
      </c>
      <c r="H158" s="94" t="str">
        <f>IFERROR(__xludf.DUMMYFUNCTION("""COMPUTED_VALUE""")," 32044150448520_071")</f>
        <v> 32044150448520_071</v>
      </c>
      <c r="I158" s="94" t="str">
        <f>IFERROR(__xludf.DUMMYFUNCTION("""COMPUTED_VALUE""")," 32044150448520_072")</f>
        <v> 32044150448520_072</v>
      </c>
      <c r="J158" s="94" t="str">
        <f>IFERROR(__xludf.DUMMYFUNCTION("""COMPUTED_VALUE""")," 32044150448520_073")</f>
        <v> 32044150448520_073</v>
      </c>
      <c r="K158" s="94" t="str">
        <f>IFERROR(__xludf.DUMMYFUNCTION("""COMPUTED_VALUE""")," 32044150448520_074")</f>
        <v> 32044150448520_074</v>
      </c>
      <c r="L158" s="94"/>
      <c r="M158" s="94"/>
      <c r="N158" s="94"/>
      <c r="O158" s="94"/>
      <c r="P158" s="94"/>
      <c r="Q158" s="94"/>
      <c r="R158" s="94"/>
      <c r="S158" s="94"/>
      <c r="T158" s="94"/>
      <c r="U158" s="94"/>
      <c r="V158" s="94"/>
      <c r="W158" s="94"/>
      <c r="X158" s="94"/>
      <c r="Y158" s="94"/>
      <c r="Z158" s="94"/>
      <c r="AA158" s="94"/>
      <c r="AB158" s="94"/>
      <c r="AC158" s="94"/>
      <c r="AD158" s="94"/>
      <c r="AE158" s="94"/>
      <c r="AF158" s="94"/>
      <c r="AG158" s="94"/>
    </row>
    <row r="159">
      <c r="A159" s="96" t="s">
        <v>1357</v>
      </c>
      <c r="B159" s="95" t="str">
        <f>IFERROR(__xludf.DUMMYFUNCTION("""COMPUTED_VALUE"""),"32044150448538_001")</f>
        <v>32044150448538_001</v>
      </c>
      <c r="C159" s="94" t="str">
        <f>IFERROR(__xludf.DUMMYFUNCTION("""COMPUTED_VALUE""")," 32044150448538_002")</f>
        <v> 32044150448538_002</v>
      </c>
      <c r="D159" s="94"/>
      <c r="E159" s="94"/>
      <c r="F159" s="94"/>
      <c r="G159" s="94"/>
      <c r="H159" s="94"/>
      <c r="I159" s="94"/>
      <c r="J159" s="94"/>
      <c r="K159" s="94"/>
      <c r="L159" s="94"/>
      <c r="M159" s="94"/>
      <c r="N159" s="94"/>
      <c r="O159" s="94"/>
      <c r="P159" s="94"/>
      <c r="Q159" s="94"/>
      <c r="R159" s="94"/>
      <c r="S159" s="94"/>
      <c r="T159" s="94"/>
      <c r="U159" s="94"/>
      <c r="V159" s="94"/>
      <c r="W159" s="94"/>
      <c r="X159" s="94"/>
      <c r="Y159" s="94"/>
      <c r="Z159" s="94"/>
      <c r="AA159" s="94"/>
      <c r="AB159" s="94"/>
      <c r="AC159" s="94"/>
      <c r="AD159" s="94"/>
      <c r="AE159" s="94"/>
      <c r="AF159" s="94"/>
      <c r="AG159" s="94"/>
    </row>
    <row r="160">
      <c r="A160" s="96" t="s">
        <v>1363</v>
      </c>
      <c r="B160" s="95" t="str">
        <f>IFERROR(__xludf.DUMMYFUNCTION("""COMPUTED_VALUE"""),"32044150448538_003")</f>
        <v>32044150448538_003</v>
      </c>
      <c r="C160" s="94" t="str">
        <f>IFERROR(__xludf.DUMMYFUNCTION("""COMPUTED_VALUE""")," 32044150448538_004")</f>
        <v> 32044150448538_004</v>
      </c>
      <c r="D160" s="94" t="str">
        <f>IFERROR(__xludf.DUMMYFUNCTION("""COMPUTED_VALUE""")," 32044150448538_005")</f>
        <v> 32044150448538_005</v>
      </c>
      <c r="E160" s="94" t="str">
        <f>IFERROR(__xludf.DUMMYFUNCTION("""COMPUTED_VALUE""")," 32044150448538_006")</f>
        <v> 32044150448538_006</v>
      </c>
      <c r="F160" s="94" t="str">
        <f>IFERROR(__xludf.DUMMYFUNCTION("""COMPUTED_VALUE""")," 32044150448538_007")</f>
        <v> 32044150448538_007</v>
      </c>
      <c r="G160" s="94" t="str">
        <f>IFERROR(__xludf.DUMMYFUNCTION("""COMPUTED_VALUE""")," 32044150448538_008")</f>
        <v> 32044150448538_008</v>
      </c>
      <c r="H160" s="94"/>
      <c r="I160" s="94"/>
      <c r="J160" s="94"/>
      <c r="K160" s="94"/>
      <c r="L160" s="94"/>
      <c r="M160" s="94"/>
      <c r="N160" s="94"/>
      <c r="O160" s="94"/>
      <c r="P160" s="94"/>
      <c r="Q160" s="94"/>
      <c r="R160" s="94"/>
      <c r="S160" s="94"/>
      <c r="T160" s="94"/>
      <c r="U160" s="94"/>
      <c r="V160" s="94"/>
      <c r="W160" s="94"/>
      <c r="X160" s="94"/>
      <c r="Y160" s="94"/>
      <c r="Z160" s="94"/>
      <c r="AA160" s="94"/>
      <c r="AB160" s="94"/>
      <c r="AC160" s="94"/>
      <c r="AD160" s="94"/>
      <c r="AE160" s="94"/>
      <c r="AF160" s="94"/>
      <c r="AG160" s="94"/>
    </row>
    <row r="161">
      <c r="A161" s="96" t="s">
        <v>1367</v>
      </c>
      <c r="B161" s="95" t="str">
        <f>IFERROR(__xludf.DUMMYFUNCTION("""COMPUTED_VALUE"""),"32044150448538_009")</f>
        <v>32044150448538_009</v>
      </c>
      <c r="C161" s="94" t="str">
        <f>IFERROR(__xludf.DUMMYFUNCTION("""COMPUTED_VALUE""")," 32044150448538_010")</f>
        <v> 32044150448538_010</v>
      </c>
      <c r="D161" s="94"/>
      <c r="E161" s="94"/>
      <c r="F161" s="94"/>
      <c r="G161" s="94"/>
      <c r="H161" s="94"/>
      <c r="I161" s="94"/>
      <c r="J161" s="94"/>
      <c r="K161" s="94"/>
      <c r="L161" s="94"/>
      <c r="M161" s="94"/>
      <c r="N161" s="94"/>
      <c r="O161" s="94"/>
      <c r="P161" s="94"/>
      <c r="Q161" s="94"/>
      <c r="R161" s="94"/>
      <c r="S161" s="94"/>
      <c r="T161" s="94"/>
      <c r="U161" s="94"/>
      <c r="V161" s="94"/>
      <c r="W161" s="94"/>
      <c r="X161" s="94"/>
      <c r="Y161" s="94"/>
      <c r="Z161" s="94"/>
      <c r="AA161" s="94"/>
      <c r="AB161" s="94"/>
      <c r="AC161" s="94"/>
      <c r="AD161" s="94"/>
      <c r="AE161" s="94"/>
      <c r="AF161" s="94"/>
      <c r="AG161" s="94"/>
    </row>
    <row r="162">
      <c r="A162" s="96" t="s">
        <v>1372</v>
      </c>
      <c r="B162" s="95" t="str">
        <f>IFERROR(__xludf.DUMMYFUNCTION("""COMPUTED_VALUE"""),"32044150448538_011")</f>
        <v>32044150448538_011</v>
      </c>
      <c r="C162" s="94" t="str">
        <f>IFERROR(__xludf.DUMMYFUNCTION("""COMPUTED_VALUE""")," 32044150448538_012")</f>
        <v> 32044150448538_012</v>
      </c>
      <c r="D162" s="94" t="str">
        <f>IFERROR(__xludf.DUMMYFUNCTION("""COMPUTED_VALUE""")," 32044150448538_013")</f>
        <v> 32044150448538_013</v>
      </c>
      <c r="E162" s="94" t="str">
        <f>IFERROR(__xludf.DUMMYFUNCTION("""COMPUTED_VALUE""")," 32044150448538_014")</f>
        <v> 32044150448538_014</v>
      </c>
      <c r="F162" s="94" t="str">
        <f>IFERROR(__xludf.DUMMYFUNCTION("""COMPUTED_VALUE""")," 32044150448538_015")</f>
        <v> 32044150448538_015</v>
      </c>
      <c r="G162" s="94" t="str">
        <f>IFERROR(__xludf.DUMMYFUNCTION("""COMPUTED_VALUE""")," 32044150448538_016")</f>
        <v> 32044150448538_016</v>
      </c>
      <c r="H162" s="94" t="str">
        <f>IFERROR(__xludf.DUMMYFUNCTION("""COMPUTED_VALUE""")," 32044150448538_017")</f>
        <v> 32044150448538_017</v>
      </c>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row>
    <row r="163">
      <c r="A163" s="96" t="s">
        <v>1377</v>
      </c>
      <c r="B163" s="95" t="str">
        <f>IFERROR(__xludf.DUMMYFUNCTION("""COMPUTED_VALUE"""),"32044150448538_018")</f>
        <v>32044150448538_018</v>
      </c>
      <c r="C163" s="94" t="str">
        <f>IFERROR(__xludf.DUMMYFUNCTION("""COMPUTED_VALUE""")," 32044150448538_019")</f>
        <v> 32044150448538_019</v>
      </c>
      <c r="D163" s="94" t="str">
        <f>IFERROR(__xludf.DUMMYFUNCTION("""COMPUTED_VALUE""")," 32044150448538_020")</f>
        <v> 32044150448538_020</v>
      </c>
      <c r="E163" s="94" t="str">
        <f>IFERROR(__xludf.DUMMYFUNCTION("""COMPUTED_VALUE""")," 32044150448538_021")</f>
        <v> 32044150448538_021</v>
      </c>
      <c r="F163" s="94"/>
      <c r="G163" s="94"/>
      <c r="H163" s="94"/>
      <c r="I163" s="94"/>
      <c r="J163" s="94"/>
      <c r="K163" s="94"/>
      <c r="L163" s="94"/>
      <c r="M163" s="94"/>
      <c r="N163" s="94"/>
      <c r="O163" s="94"/>
      <c r="P163" s="94"/>
      <c r="Q163" s="94"/>
      <c r="R163" s="94"/>
      <c r="S163" s="94"/>
      <c r="T163" s="94"/>
      <c r="U163" s="94"/>
      <c r="V163" s="94"/>
      <c r="W163" s="94"/>
      <c r="X163" s="94"/>
      <c r="Y163" s="94"/>
      <c r="Z163" s="94"/>
      <c r="AA163" s="94"/>
      <c r="AB163" s="94"/>
      <c r="AC163" s="94"/>
      <c r="AD163" s="94"/>
      <c r="AE163" s="94"/>
      <c r="AF163" s="94"/>
      <c r="AG163" s="94"/>
    </row>
    <row r="164">
      <c r="A164" s="96" t="s">
        <v>1383</v>
      </c>
      <c r="B164" s="95" t="str">
        <f>IFERROR(__xludf.DUMMYFUNCTION("""COMPUTED_VALUE"""),"32044150448538_022")</f>
        <v>32044150448538_022</v>
      </c>
      <c r="C164" s="94" t="str">
        <f>IFERROR(__xludf.DUMMYFUNCTION("""COMPUTED_VALUE""")," 32044150448538_023")</f>
        <v> 32044150448538_023</v>
      </c>
      <c r="D164" s="94" t="str">
        <f>IFERROR(__xludf.DUMMYFUNCTION("""COMPUTED_VALUE""")," 32044150448538_024")</f>
        <v> 32044150448538_024</v>
      </c>
      <c r="E164" s="94"/>
      <c r="F164" s="94"/>
      <c r="G164" s="94"/>
      <c r="H164" s="94"/>
      <c r="I164" s="94"/>
      <c r="J164" s="94"/>
      <c r="K164" s="94"/>
      <c r="L164" s="94"/>
      <c r="M164" s="94"/>
      <c r="N164" s="94"/>
      <c r="O164" s="94"/>
      <c r="P164" s="94"/>
      <c r="Q164" s="94"/>
      <c r="R164" s="94"/>
      <c r="S164" s="94"/>
      <c r="T164" s="94"/>
      <c r="U164" s="94"/>
      <c r="V164" s="94"/>
      <c r="W164" s="94"/>
      <c r="X164" s="94"/>
      <c r="Y164" s="94"/>
      <c r="Z164" s="94"/>
      <c r="AA164" s="94"/>
      <c r="AB164" s="94"/>
      <c r="AC164" s="94"/>
      <c r="AD164" s="94"/>
      <c r="AE164" s="94"/>
      <c r="AF164" s="94"/>
      <c r="AG164" s="94"/>
    </row>
    <row r="165">
      <c r="A165" s="96" t="s">
        <v>1389</v>
      </c>
      <c r="B165" s="95" t="str">
        <f>IFERROR(__xludf.DUMMYFUNCTION("""COMPUTED_VALUE"""),"32044150448538_025")</f>
        <v>32044150448538_025</v>
      </c>
      <c r="C165" s="94" t="str">
        <f>IFERROR(__xludf.DUMMYFUNCTION("""COMPUTED_VALUE""")," 32044150448538_026")</f>
        <v> 32044150448538_026</v>
      </c>
      <c r="D165" s="94" t="str">
        <f>IFERROR(__xludf.DUMMYFUNCTION("""COMPUTED_VALUE""")," 32044150448538_027")</f>
        <v> 32044150448538_027</v>
      </c>
      <c r="E165" s="94" t="str">
        <f>IFERROR(__xludf.DUMMYFUNCTION("""COMPUTED_VALUE""")," 32044150448538_028")</f>
        <v> 32044150448538_028</v>
      </c>
      <c r="F165" s="94" t="str">
        <f>IFERROR(__xludf.DUMMYFUNCTION("""COMPUTED_VALUE""")," 32044150448538_029")</f>
        <v> 32044150448538_029</v>
      </c>
      <c r="G165" s="94" t="str">
        <f>IFERROR(__xludf.DUMMYFUNCTION("""COMPUTED_VALUE""")," 32044150448538_030")</f>
        <v> 32044150448538_030</v>
      </c>
      <c r="H165" s="94" t="str">
        <f>IFERROR(__xludf.DUMMYFUNCTION("""COMPUTED_VALUE""")," 32044150448538_031")</f>
        <v> 32044150448538_031</v>
      </c>
      <c r="I165" s="94" t="str">
        <f>IFERROR(__xludf.DUMMYFUNCTION("""COMPUTED_VALUE""")," 32044150448538_032")</f>
        <v> 32044150448538_032</v>
      </c>
      <c r="J165" s="94" t="str">
        <f>IFERROR(__xludf.DUMMYFUNCTION("""COMPUTED_VALUE""")," 32044150448538_033")</f>
        <v> 32044150448538_033</v>
      </c>
      <c r="K165" s="94"/>
      <c r="L165" s="94"/>
      <c r="M165" s="94"/>
      <c r="N165" s="94"/>
      <c r="O165" s="94"/>
      <c r="P165" s="94"/>
      <c r="Q165" s="94"/>
      <c r="R165" s="94"/>
      <c r="S165" s="94"/>
      <c r="T165" s="94"/>
      <c r="U165" s="94"/>
      <c r="V165" s="94"/>
      <c r="W165" s="94"/>
      <c r="X165" s="94"/>
      <c r="Y165" s="94"/>
      <c r="Z165" s="94"/>
      <c r="AA165" s="94"/>
      <c r="AB165" s="94"/>
      <c r="AC165" s="94"/>
      <c r="AD165" s="94"/>
      <c r="AE165" s="94"/>
      <c r="AF165" s="94"/>
      <c r="AG165" s="94"/>
    </row>
    <row r="166">
      <c r="A166" s="96" t="s">
        <v>1395</v>
      </c>
      <c r="B166" s="95" t="str">
        <f>IFERROR(__xludf.DUMMYFUNCTION("""COMPUTED_VALUE"""),"32044150448538_034")</f>
        <v>32044150448538_034</v>
      </c>
      <c r="C166" s="94" t="str">
        <f>IFERROR(__xludf.DUMMYFUNCTION("""COMPUTED_VALUE""")," 32044150448538_035")</f>
        <v> 32044150448538_035</v>
      </c>
      <c r="D166" s="94" t="str">
        <f>IFERROR(__xludf.DUMMYFUNCTION("""COMPUTED_VALUE""")," 32044150448538_036")</f>
        <v> 32044150448538_036</v>
      </c>
      <c r="E166" s="94" t="str">
        <f>IFERROR(__xludf.DUMMYFUNCTION("""COMPUTED_VALUE""")," 32044150448538_037")</f>
        <v> 32044150448538_037</v>
      </c>
      <c r="F166" s="94" t="str">
        <f>IFERROR(__xludf.DUMMYFUNCTION("""COMPUTED_VALUE""")," 32044150448538_038")</f>
        <v> 32044150448538_038</v>
      </c>
      <c r="G166" s="94"/>
      <c r="H166" s="94"/>
      <c r="I166" s="94"/>
      <c r="J166" s="94"/>
      <c r="K166" s="94"/>
      <c r="L166" s="94"/>
      <c r="M166" s="94"/>
      <c r="N166" s="94"/>
      <c r="O166" s="94"/>
      <c r="P166" s="94"/>
      <c r="Q166" s="94"/>
      <c r="R166" s="94"/>
      <c r="S166" s="94"/>
      <c r="T166" s="94"/>
      <c r="U166" s="94"/>
      <c r="V166" s="94"/>
      <c r="W166" s="94"/>
      <c r="X166" s="94"/>
      <c r="Y166" s="94"/>
      <c r="Z166" s="94"/>
      <c r="AA166" s="94"/>
      <c r="AB166" s="94"/>
      <c r="AC166" s="94"/>
      <c r="AD166" s="94"/>
      <c r="AE166" s="94"/>
      <c r="AF166" s="94"/>
      <c r="AG166" s="94"/>
    </row>
    <row r="167">
      <c r="A167" s="96" t="s">
        <v>1399</v>
      </c>
      <c r="B167" s="95" t="str">
        <f>IFERROR(__xludf.DUMMYFUNCTION("""COMPUTED_VALUE"""),"32044150448538_039")</f>
        <v>32044150448538_039</v>
      </c>
      <c r="C167" s="94"/>
      <c r="D167" s="94"/>
      <c r="E167" s="94"/>
      <c r="F167" s="94"/>
      <c r="G167" s="94"/>
      <c r="H167" s="94"/>
      <c r="I167" s="94"/>
      <c r="J167" s="94"/>
      <c r="K167" s="94"/>
      <c r="L167" s="94"/>
      <c r="M167" s="94"/>
      <c r="N167" s="94"/>
      <c r="O167" s="94"/>
      <c r="P167" s="94"/>
      <c r="Q167" s="94"/>
      <c r="R167" s="94"/>
      <c r="S167" s="94"/>
      <c r="T167" s="94"/>
      <c r="U167" s="94"/>
      <c r="V167" s="94"/>
      <c r="W167" s="94"/>
      <c r="X167" s="94"/>
      <c r="Y167" s="94"/>
      <c r="Z167" s="94"/>
      <c r="AA167" s="94"/>
      <c r="AB167" s="94"/>
      <c r="AC167" s="94"/>
      <c r="AD167" s="94"/>
      <c r="AE167" s="94"/>
      <c r="AF167" s="94"/>
      <c r="AG167" s="94"/>
    </row>
    <row r="168">
      <c r="A168" s="96" t="s">
        <v>1406</v>
      </c>
      <c r="B168" s="95" t="str">
        <f>IFERROR(__xludf.DUMMYFUNCTION("""COMPUTED_VALUE"""),"32044150448546_001")</f>
        <v>32044150448546_001</v>
      </c>
      <c r="C168" s="94" t="str">
        <f>IFERROR(__xludf.DUMMYFUNCTION("""COMPUTED_VALUE""")," 32044150448546_002")</f>
        <v> 32044150448546_002</v>
      </c>
      <c r="D168" s="94" t="str">
        <f>IFERROR(__xludf.DUMMYFUNCTION("""COMPUTED_VALUE""")," 32044150448546_003")</f>
        <v> 32044150448546_003</v>
      </c>
      <c r="E168" s="94" t="str">
        <f>IFERROR(__xludf.DUMMYFUNCTION("""COMPUTED_VALUE""")," 32044150448546_004")</f>
        <v> 32044150448546_004</v>
      </c>
      <c r="F168" s="94" t="str">
        <f>IFERROR(__xludf.DUMMYFUNCTION("""COMPUTED_VALUE""")," 32044150448546_005")</f>
        <v> 32044150448546_005</v>
      </c>
      <c r="G168" s="94" t="str">
        <f>IFERROR(__xludf.DUMMYFUNCTION("""COMPUTED_VALUE""")," 32044150448546_006")</f>
        <v> 32044150448546_006</v>
      </c>
      <c r="H168" s="94" t="str">
        <f>IFERROR(__xludf.DUMMYFUNCTION("""COMPUTED_VALUE""")," 32044150448546_007")</f>
        <v> 32044150448546_007</v>
      </c>
      <c r="I168" s="94" t="str">
        <f>IFERROR(__xludf.DUMMYFUNCTION("""COMPUTED_VALUE""")," 32044150448546_008")</f>
        <v> 32044150448546_008</v>
      </c>
      <c r="J168" s="94" t="str">
        <f>IFERROR(__xludf.DUMMYFUNCTION("""COMPUTED_VALUE""")," 32044150448546_009")</f>
        <v> 32044150448546_009</v>
      </c>
      <c r="K168" s="94" t="str">
        <f>IFERROR(__xludf.DUMMYFUNCTION("""COMPUTED_VALUE""")," 32044150448546_010")</f>
        <v> 32044150448546_010</v>
      </c>
      <c r="L168" s="94" t="str">
        <f>IFERROR(__xludf.DUMMYFUNCTION("""COMPUTED_VALUE""")," 32044150448546_011")</f>
        <v> 32044150448546_011</v>
      </c>
      <c r="M168" s="94" t="str">
        <f>IFERROR(__xludf.DUMMYFUNCTION("""COMPUTED_VALUE""")," 32044150448546_012")</f>
        <v> 32044150448546_012</v>
      </c>
      <c r="N168" s="94" t="str">
        <f>IFERROR(__xludf.DUMMYFUNCTION("""COMPUTED_VALUE""")," 32044150448546_013")</f>
        <v> 32044150448546_013</v>
      </c>
      <c r="O168" s="94" t="str">
        <f>IFERROR(__xludf.DUMMYFUNCTION("""COMPUTED_VALUE""")," 32044150448546_014")</f>
        <v> 32044150448546_014</v>
      </c>
      <c r="P168" s="94" t="str">
        <f>IFERROR(__xludf.DUMMYFUNCTION("""COMPUTED_VALUE""")," 32044150448546_015")</f>
        <v> 32044150448546_015</v>
      </c>
      <c r="Q168" s="94" t="str">
        <f>IFERROR(__xludf.DUMMYFUNCTION("""COMPUTED_VALUE""")," 32044150448546_016")</f>
        <v> 32044150448546_016</v>
      </c>
      <c r="R168" s="94" t="str">
        <f>IFERROR(__xludf.DUMMYFUNCTION("""COMPUTED_VALUE""")," 32044150448546_017")</f>
        <v> 32044150448546_017</v>
      </c>
      <c r="S168" s="94" t="str">
        <f>IFERROR(__xludf.DUMMYFUNCTION("""COMPUTED_VALUE""")," 32044150448546_018")</f>
        <v> 32044150448546_018</v>
      </c>
      <c r="T168" s="94" t="str">
        <f>IFERROR(__xludf.DUMMYFUNCTION("""COMPUTED_VALUE""")," 32044150448546_019")</f>
        <v> 32044150448546_019</v>
      </c>
      <c r="U168" s="94" t="str">
        <f>IFERROR(__xludf.DUMMYFUNCTION("""COMPUTED_VALUE""")," 32044150448546_020")</f>
        <v> 32044150448546_020</v>
      </c>
      <c r="V168" s="94"/>
      <c r="W168" s="94"/>
      <c r="X168" s="94"/>
      <c r="Y168" s="94"/>
      <c r="Z168" s="94"/>
      <c r="AA168" s="94"/>
      <c r="AB168" s="94"/>
      <c r="AC168" s="94"/>
      <c r="AD168" s="94"/>
      <c r="AE168" s="94"/>
      <c r="AF168" s="94"/>
      <c r="AG168" s="94"/>
    </row>
    <row r="169">
      <c r="A169" s="96" t="s">
        <v>1412</v>
      </c>
      <c r="B169" s="95" t="str">
        <f>IFERROR(__xludf.DUMMYFUNCTION("""COMPUTED_VALUE"""),"32044150448546_021")</f>
        <v>32044150448546_021</v>
      </c>
      <c r="C169" s="94" t="str">
        <f>IFERROR(__xludf.DUMMYFUNCTION("""COMPUTED_VALUE""")," 32044150448546_022")</f>
        <v> 32044150448546_022</v>
      </c>
      <c r="D169" s="94" t="str">
        <f>IFERROR(__xludf.DUMMYFUNCTION("""COMPUTED_VALUE""")," 32044150448546_023")</f>
        <v> 32044150448546_023</v>
      </c>
      <c r="E169" s="94" t="str">
        <f>IFERROR(__xludf.DUMMYFUNCTION("""COMPUTED_VALUE""")," 32044150448546_024")</f>
        <v> 32044150448546_024</v>
      </c>
      <c r="F169" s="94" t="str">
        <f>IFERROR(__xludf.DUMMYFUNCTION("""COMPUTED_VALUE""")," 32044150448546_025")</f>
        <v> 32044150448546_025</v>
      </c>
      <c r="G169" s="94" t="str">
        <f>IFERROR(__xludf.DUMMYFUNCTION("""COMPUTED_VALUE""")," 32044150448546_026")</f>
        <v> 32044150448546_026</v>
      </c>
      <c r="H169" s="94" t="str">
        <f>IFERROR(__xludf.DUMMYFUNCTION("""COMPUTED_VALUE""")," 32044150448546_027")</f>
        <v> 32044150448546_027</v>
      </c>
      <c r="I169" s="94" t="str">
        <f>IFERROR(__xludf.DUMMYFUNCTION("""COMPUTED_VALUE""")," 32044150448546_028")</f>
        <v> 32044150448546_028</v>
      </c>
      <c r="J169" s="94" t="str">
        <f>IFERROR(__xludf.DUMMYFUNCTION("""COMPUTED_VALUE""")," 32044150448546_029")</f>
        <v> 32044150448546_029</v>
      </c>
      <c r="K169" s="94"/>
      <c r="L169" s="94"/>
      <c r="M169" s="94"/>
      <c r="N169" s="94"/>
      <c r="O169" s="94"/>
      <c r="P169" s="94"/>
      <c r="Q169" s="94"/>
      <c r="R169" s="94"/>
      <c r="S169" s="94"/>
      <c r="T169" s="94"/>
      <c r="U169" s="94"/>
      <c r="V169" s="94"/>
      <c r="W169" s="94"/>
      <c r="X169" s="94"/>
      <c r="Y169" s="94"/>
      <c r="Z169" s="94"/>
      <c r="AA169" s="94"/>
      <c r="AB169" s="94"/>
      <c r="AC169" s="94"/>
      <c r="AD169" s="94"/>
      <c r="AE169" s="94"/>
      <c r="AF169" s="94"/>
      <c r="AG169" s="94"/>
    </row>
    <row r="170">
      <c r="A170" s="96" t="s">
        <v>1419</v>
      </c>
      <c r="B170" s="95" t="str">
        <f>IFERROR(__xludf.DUMMYFUNCTION("""COMPUTED_VALUE"""),"32044150448546_030")</f>
        <v>32044150448546_030</v>
      </c>
      <c r="C170" s="94" t="str">
        <f>IFERROR(__xludf.DUMMYFUNCTION("""COMPUTED_VALUE""")," 32044150448546_031")</f>
        <v> 32044150448546_031</v>
      </c>
      <c r="D170" s="94" t="str">
        <f>IFERROR(__xludf.DUMMYFUNCTION("""COMPUTED_VALUE""")," 32044150448546_032")</f>
        <v> 32044150448546_032</v>
      </c>
      <c r="E170" s="94" t="str">
        <f>IFERROR(__xludf.DUMMYFUNCTION("""COMPUTED_VALUE""")," 32044150448546_033")</f>
        <v> 32044150448546_033</v>
      </c>
      <c r="F170" s="94" t="str">
        <f>IFERROR(__xludf.DUMMYFUNCTION("""COMPUTED_VALUE""")," 32044150448546_034")</f>
        <v> 32044150448546_034</v>
      </c>
      <c r="G170" s="94" t="str">
        <f>IFERROR(__xludf.DUMMYFUNCTION("""COMPUTED_VALUE""")," 32044150448546_035")</f>
        <v> 32044150448546_035</v>
      </c>
      <c r="H170" s="94" t="str">
        <f>IFERROR(__xludf.DUMMYFUNCTION("""COMPUTED_VALUE""")," 32044150448546_036")</f>
        <v> 32044150448546_036</v>
      </c>
      <c r="I170" s="94" t="str">
        <f>IFERROR(__xludf.DUMMYFUNCTION("""COMPUTED_VALUE""")," 32044150448546_037")</f>
        <v> 32044150448546_037</v>
      </c>
      <c r="J170" s="94" t="str">
        <f>IFERROR(__xludf.DUMMYFUNCTION("""COMPUTED_VALUE""")," 32044150448546_038")</f>
        <v> 32044150448546_038</v>
      </c>
      <c r="K170" s="94" t="str">
        <f>IFERROR(__xludf.DUMMYFUNCTION("""COMPUTED_VALUE""")," 32044150448546_039")</f>
        <v> 32044150448546_039</v>
      </c>
      <c r="L170" s="94"/>
      <c r="M170" s="94"/>
      <c r="N170" s="94"/>
      <c r="O170" s="94"/>
      <c r="P170" s="94"/>
      <c r="Q170" s="94"/>
      <c r="R170" s="94"/>
      <c r="S170" s="94"/>
      <c r="T170" s="94"/>
      <c r="U170" s="94"/>
      <c r="V170" s="94"/>
      <c r="W170" s="94"/>
      <c r="X170" s="94"/>
      <c r="Y170" s="94"/>
      <c r="Z170" s="94"/>
      <c r="AA170" s="94"/>
      <c r="AB170" s="94"/>
      <c r="AC170" s="94"/>
      <c r="AD170" s="94"/>
      <c r="AE170" s="94"/>
      <c r="AF170" s="94"/>
      <c r="AG170" s="94"/>
    </row>
    <row r="171">
      <c r="A171" s="96" t="s">
        <v>1425</v>
      </c>
      <c r="B171" s="95" t="str">
        <f>IFERROR(__xludf.DUMMYFUNCTION("""COMPUTED_VALUE"""),"32044150448546_040")</f>
        <v>32044150448546_040</v>
      </c>
      <c r="C171" s="94" t="str">
        <f>IFERROR(__xludf.DUMMYFUNCTION("""COMPUTED_VALUE""")," 32044150448546_041")</f>
        <v> 32044150448546_041</v>
      </c>
      <c r="D171" s="94" t="str">
        <f>IFERROR(__xludf.DUMMYFUNCTION("""COMPUTED_VALUE""")," 32044150448546_042")</f>
        <v> 32044150448546_042</v>
      </c>
      <c r="E171" s="94" t="str">
        <f>IFERROR(__xludf.DUMMYFUNCTION("""COMPUTED_VALUE""")," 32044150448546_043")</f>
        <v> 32044150448546_043</v>
      </c>
      <c r="F171" s="94" t="str">
        <f>IFERROR(__xludf.DUMMYFUNCTION("""COMPUTED_VALUE""")," 32044150448546_044")</f>
        <v> 32044150448546_044</v>
      </c>
      <c r="G171" s="94" t="str">
        <f>IFERROR(__xludf.DUMMYFUNCTION("""COMPUTED_VALUE""")," 32044150448546_045")</f>
        <v> 32044150448546_045</v>
      </c>
      <c r="H171" s="94" t="str">
        <f>IFERROR(__xludf.DUMMYFUNCTION("""COMPUTED_VALUE""")," 32044150448546_046")</f>
        <v> 32044150448546_046</v>
      </c>
      <c r="I171" s="94" t="str">
        <f>IFERROR(__xludf.DUMMYFUNCTION("""COMPUTED_VALUE""")," 32044150448546_047")</f>
        <v> 32044150448546_047</v>
      </c>
      <c r="J171" s="94" t="str">
        <f>IFERROR(__xludf.DUMMYFUNCTION("""COMPUTED_VALUE""")," 32044150448546_048")</f>
        <v> 32044150448546_048</v>
      </c>
      <c r="K171" s="94" t="str">
        <f>IFERROR(__xludf.DUMMYFUNCTION("""COMPUTED_VALUE""")," 32044150448546_049")</f>
        <v> 32044150448546_049</v>
      </c>
      <c r="L171" s="94" t="str">
        <f>IFERROR(__xludf.DUMMYFUNCTION("""COMPUTED_VALUE""")," 32044150448546_050")</f>
        <v> 32044150448546_050</v>
      </c>
      <c r="M171" s="94"/>
      <c r="N171" s="94"/>
      <c r="O171" s="94"/>
      <c r="P171" s="94"/>
      <c r="Q171" s="94"/>
      <c r="R171" s="94"/>
      <c r="S171" s="94"/>
      <c r="T171" s="94"/>
      <c r="U171" s="94"/>
      <c r="V171" s="94"/>
      <c r="W171" s="94"/>
      <c r="X171" s="94"/>
      <c r="Y171" s="94"/>
      <c r="Z171" s="94"/>
      <c r="AA171" s="94"/>
      <c r="AB171" s="94"/>
      <c r="AC171" s="94"/>
      <c r="AD171" s="94"/>
      <c r="AE171" s="94"/>
      <c r="AF171" s="94"/>
      <c r="AG171" s="94"/>
    </row>
    <row r="172">
      <c r="A172" s="96" t="s">
        <v>1433</v>
      </c>
      <c r="B172" s="95" t="str">
        <f>IFERROR(__xludf.DUMMYFUNCTION("""COMPUTED_VALUE"""),"32044150448546_051")</f>
        <v>32044150448546_051</v>
      </c>
      <c r="C172" s="94" t="str">
        <f>IFERROR(__xludf.DUMMYFUNCTION("""COMPUTED_VALUE""")," 32044150448546_052")</f>
        <v> 32044150448546_052</v>
      </c>
      <c r="D172" s="94"/>
      <c r="E172" s="94"/>
      <c r="F172" s="94"/>
      <c r="G172" s="94"/>
      <c r="H172" s="94"/>
      <c r="I172" s="94"/>
      <c r="J172" s="94"/>
      <c r="K172" s="94"/>
      <c r="L172" s="94"/>
      <c r="M172" s="94"/>
      <c r="N172" s="94"/>
      <c r="O172" s="94"/>
      <c r="P172" s="94"/>
      <c r="Q172" s="94"/>
      <c r="R172" s="94"/>
      <c r="S172" s="94"/>
      <c r="T172" s="94"/>
      <c r="U172" s="94"/>
      <c r="V172" s="94"/>
      <c r="W172" s="94"/>
      <c r="X172" s="94"/>
      <c r="Y172" s="94"/>
      <c r="Z172" s="94"/>
      <c r="AA172" s="94"/>
      <c r="AB172" s="94"/>
      <c r="AC172" s="94"/>
      <c r="AD172" s="94"/>
      <c r="AE172" s="94"/>
      <c r="AF172" s="94"/>
      <c r="AG172" s="94"/>
    </row>
    <row r="173">
      <c r="A173" s="96" t="s">
        <v>1437</v>
      </c>
      <c r="B173" s="95" t="str">
        <f>IFERROR(__xludf.DUMMYFUNCTION("""COMPUTED_VALUE"""),"32044150448553_017")</f>
        <v>32044150448553_017</v>
      </c>
      <c r="C173" s="94"/>
      <c r="D173" s="94"/>
      <c r="E173" s="94"/>
      <c r="F173" s="94"/>
      <c r="G173" s="94"/>
      <c r="H173" s="94"/>
      <c r="I173" s="94"/>
      <c r="J173" s="94"/>
      <c r="K173" s="94"/>
      <c r="L173" s="94"/>
      <c r="M173" s="94"/>
      <c r="N173" s="94"/>
      <c r="O173" s="94"/>
      <c r="P173" s="94"/>
      <c r="Q173" s="94"/>
      <c r="R173" s="94"/>
      <c r="S173" s="94"/>
      <c r="T173" s="94"/>
      <c r="U173" s="94"/>
      <c r="V173" s="94"/>
      <c r="W173" s="94"/>
      <c r="X173" s="94"/>
      <c r="Y173" s="94"/>
      <c r="Z173" s="94"/>
      <c r="AA173" s="94"/>
      <c r="AB173" s="94"/>
      <c r="AC173" s="94"/>
      <c r="AD173" s="94"/>
      <c r="AE173" s="94"/>
      <c r="AF173" s="94"/>
      <c r="AG173" s="94"/>
    </row>
    <row r="174">
      <c r="A174" s="96" t="s">
        <v>1443</v>
      </c>
      <c r="B174" s="95" t="str">
        <f>IFERROR(__xludf.DUMMYFUNCTION("""COMPUTED_VALUE"""),"32044150448553_016")</f>
        <v>32044150448553_016</v>
      </c>
      <c r="C174" s="9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A174" s="94"/>
      <c r="AB174" s="94"/>
      <c r="AC174" s="94"/>
      <c r="AD174" s="94"/>
      <c r="AE174" s="94"/>
      <c r="AF174" s="94"/>
      <c r="AG174" s="94"/>
    </row>
    <row r="175">
      <c r="A175" s="96" t="s">
        <v>1449</v>
      </c>
      <c r="B175" s="95" t="str">
        <f>IFERROR(__xludf.DUMMYFUNCTION("""COMPUTED_VALUE"""),"32044150448553_001")</f>
        <v>32044150448553_001</v>
      </c>
      <c r="C175" s="94" t="str">
        <f>IFERROR(__xludf.DUMMYFUNCTION("""COMPUTED_VALUE""")," 32044150448553_002")</f>
        <v> 32044150448553_002</v>
      </c>
      <c r="D175" s="94"/>
      <c r="E175" s="94"/>
      <c r="F175" s="94"/>
      <c r="G175" s="94"/>
      <c r="H175" s="94"/>
      <c r="I175" s="94"/>
      <c r="J175" s="94"/>
      <c r="K175" s="94"/>
      <c r="L175" s="94"/>
      <c r="M175" s="94"/>
      <c r="N175" s="94"/>
      <c r="O175" s="94"/>
      <c r="P175" s="94"/>
      <c r="Q175" s="94"/>
      <c r="R175" s="94"/>
      <c r="S175" s="94"/>
      <c r="T175" s="94"/>
      <c r="U175" s="94"/>
      <c r="V175" s="94"/>
      <c r="W175" s="94"/>
      <c r="X175" s="94"/>
      <c r="Y175" s="94"/>
      <c r="Z175" s="94"/>
      <c r="AA175" s="94"/>
      <c r="AB175" s="94"/>
      <c r="AC175" s="94"/>
      <c r="AD175" s="94"/>
      <c r="AE175" s="94"/>
      <c r="AF175" s="94"/>
      <c r="AG175" s="94"/>
    </row>
    <row r="176">
      <c r="A176" s="96" t="s">
        <v>1455</v>
      </c>
      <c r="B176" s="95" t="str">
        <f>IFERROR(__xludf.DUMMYFUNCTION("""COMPUTED_VALUE"""),"32044150448553_005")</f>
        <v>32044150448553_005</v>
      </c>
      <c r="C176" s="94" t="str">
        <f>IFERROR(__xludf.DUMMYFUNCTION("""COMPUTED_VALUE""")," 32044150448553_006")</f>
        <v> 32044150448553_006</v>
      </c>
      <c r="D176" s="94" t="str">
        <f>IFERROR(__xludf.DUMMYFUNCTION("""COMPUTED_VALUE""")," 32044150448553_007")</f>
        <v> 32044150448553_007</v>
      </c>
      <c r="E176" s="94" t="str">
        <f>IFERROR(__xludf.DUMMYFUNCTION("""COMPUTED_VALUE""")," 32044150448553_008")</f>
        <v> 32044150448553_008</v>
      </c>
      <c r="F176" s="94" t="str">
        <f>IFERROR(__xludf.DUMMYFUNCTION("""COMPUTED_VALUE""")," 32044150448553_009")</f>
        <v> 32044150448553_009</v>
      </c>
      <c r="G176" s="94" t="str">
        <f>IFERROR(__xludf.DUMMYFUNCTION("""COMPUTED_VALUE""")," 32044150448553_010")</f>
        <v> 32044150448553_010</v>
      </c>
      <c r="H176" s="94" t="str">
        <f>IFERROR(__xludf.DUMMYFUNCTION("""COMPUTED_VALUE""")," 32044150448553_011")</f>
        <v> 32044150448553_011</v>
      </c>
      <c r="I176" s="94" t="str">
        <f>IFERROR(__xludf.DUMMYFUNCTION("""COMPUTED_VALUE""")," 32044150448553_012")</f>
        <v> 32044150448553_012</v>
      </c>
      <c r="J176" s="94" t="str">
        <f>IFERROR(__xludf.DUMMYFUNCTION("""COMPUTED_VALUE""")," 32044150448553_013")</f>
        <v> 32044150448553_013</v>
      </c>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row>
    <row r="177">
      <c r="A177" s="96" t="s">
        <v>1461</v>
      </c>
      <c r="B177" s="95" t="str">
        <f>IFERROR(__xludf.DUMMYFUNCTION("""COMPUTED_VALUE"""),"32044150448553_003")</f>
        <v>32044150448553_003</v>
      </c>
      <c r="C177" s="94" t="str">
        <f>IFERROR(__xludf.DUMMYFUNCTION("""COMPUTED_VALUE""")," 32044150448553_004")</f>
        <v> 32044150448553_004</v>
      </c>
      <c r="D177" s="94"/>
      <c r="E177" s="94"/>
      <c r="F177" s="94"/>
      <c r="G177" s="94"/>
      <c r="H177" s="94"/>
      <c r="I177" s="94"/>
      <c r="J177" s="94"/>
      <c r="K177" s="94"/>
      <c r="L177" s="94"/>
      <c r="M177" s="94"/>
      <c r="N177" s="94"/>
      <c r="O177" s="94"/>
      <c r="P177" s="94"/>
      <c r="Q177" s="94"/>
      <c r="R177" s="94"/>
      <c r="S177" s="94"/>
      <c r="T177" s="94"/>
      <c r="U177" s="94"/>
      <c r="V177" s="94"/>
      <c r="W177" s="94"/>
      <c r="X177" s="94"/>
      <c r="Y177" s="94"/>
      <c r="Z177" s="94"/>
      <c r="AA177" s="94"/>
      <c r="AB177" s="94"/>
      <c r="AC177" s="94"/>
      <c r="AD177" s="94"/>
      <c r="AE177" s="94"/>
      <c r="AF177" s="94"/>
      <c r="AG177" s="94"/>
    </row>
    <row r="178">
      <c r="A178" s="96" t="s">
        <v>1465</v>
      </c>
      <c r="B178" s="95" t="str">
        <f>IFERROR(__xludf.DUMMYFUNCTION("""COMPUTED_VALUE"""),"32044150448553_018")</f>
        <v>32044150448553_018</v>
      </c>
      <c r="C178" s="94"/>
      <c r="D178" s="94"/>
      <c r="E178" s="94"/>
      <c r="F178" s="94"/>
      <c r="G178" s="94"/>
      <c r="H178" s="94"/>
      <c r="I178" s="94"/>
      <c r="J178" s="94"/>
      <c r="K178" s="94"/>
      <c r="L178" s="94"/>
      <c r="M178" s="94"/>
      <c r="N178" s="94"/>
      <c r="O178" s="94"/>
      <c r="P178" s="94"/>
      <c r="Q178" s="94"/>
      <c r="R178" s="94"/>
      <c r="S178" s="94"/>
      <c r="T178" s="94"/>
      <c r="U178" s="94"/>
      <c r="V178" s="94"/>
      <c r="W178" s="94"/>
      <c r="X178" s="94"/>
      <c r="Y178" s="94"/>
      <c r="Z178" s="94"/>
      <c r="AA178" s="94"/>
      <c r="AB178" s="94"/>
      <c r="AC178" s="94"/>
      <c r="AD178" s="94"/>
      <c r="AE178" s="94"/>
      <c r="AF178" s="94"/>
      <c r="AG178" s="94"/>
    </row>
    <row r="179">
      <c r="A179" s="96" t="s">
        <v>1470</v>
      </c>
      <c r="B179" s="95" t="str">
        <f>IFERROR(__xludf.DUMMYFUNCTION("""COMPUTED_VALUE"""),"32044150448553_014")</f>
        <v>32044150448553_014</v>
      </c>
      <c r="C179" s="94" t="str">
        <f>IFERROR(__xludf.DUMMYFUNCTION("""COMPUTED_VALUE""")," 32044150448553_015")</f>
        <v> 32044150448553_015</v>
      </c>
      <c r="D179" s="94"/>
      <c r="E179" s="94"/>
      <c r="F179" s="94"/>
      <c r="G179" s="94"/>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row>
    <row r="180">
      <c r="A180" s="96" t="s">
        <v>1475</v>
      </c>
      <c r="B180" s="95" t="str">
        <f>IFERROR(__xludf.DUMMYFUNCTION("""COMPUTED_VALUE"""),"32044150448561_080")</f>
        <v>32044150448561_080</v>
      </c>
      <c r="C180" s="94"/>
      <c r="D180" s="94"/>
      <c r="E180" s="94"/>
      <c r="F180" s="94"/>
      <c r="G180" s="94"/>
      <c r="H180" s="94"/>
      <c r="I180" s="94"/>
      <c r="J180" s="94"/>
      <c r="K180" s="94"/>
      <c r="L180" s="94"/>
      <c r="M180" s="94"/>
      <c r="N180" s="94"/>
      <c r="O180" s="94"/>
      <c r="P180" s="94"/>
      <c r="Q180" s="94"/>
      <c r="R180" s="94"/>
      <c r="S180" s="94"/>
      <c r="T180" s="94"/>
      <c r="U180" s="94"/>
      <c r="V180" s="94"/>
      <c r="W180" s="94"/>
      <c r="X180" s="94"/>
      <c r="Y180" s="94"/>
      <c r="Z180" s="94"/>
      <c r="AA180" s="94"/>
      <c r="AB180" s="94"/>
      <c r="AC180" s="94"/>
      <c r="AD180" s="94"/>
      <c r="AE180" s="94"/>
      <c r="AF180" s="94"/>
      <c r="AG180" s="94"/>
    </row>
    <row r="181">
      <c r="A181" s="96" t="s">
        <v>1486</v>
      </c>
      <c r="B181" s="95" t="str">
        <f>IFERROR(__xludf.DUMMYFUNCTION("""COMPUTED_VALUE"""),"32044150448561_001")</f>
        <v>32044150448561_001</v>
      </c>
      <c r="C181" s="94" t="str">
        <f>IFERROR(__xludf.DUMMYFUNCTION("""COMPUTED_VALUE""")," 32044150448561_002")</f>
        <v> 32044150448561_002</v>
      </c>
      <c r="D181" s="94" t="str">
        <f>IFERROR(__xludf.DUMMYFUNCTION("""COMPUTED_VALUE""")," 32044150448561_003")</f>
        <v> 32044150448561_003</v>
      </c>
      <c r="E181" s="94" t="str">
        <f>IFERROR(__xludf.DUMMYFUNCTION("""COMPUTED_VALUE""")," 32044150448561_004")</f>
        <v> 32044150448561_004</v>
      </c>
      <c r="F181" s="94" t="str">
        <f>IFERROR(__xludf.DUMMYFUNCTION("""COMPUTED_VALUE""")," 32044150448561_005")</f>
        <v> 32044150448561_005</v>
      </c>
      <c r="G181" s="94" t="str">
        <f>IFERROR(__xludf.DUMMYFUNCTION("""COMPUTED_VALUE""")," 32044150448561_006")</f>
        <v> 32044150448561_006</v>
      </c>
      <c r="H181" s="94" t="str">
        <f>IFERROR(__xludf.DUMMYFUNCTION("""COMPUTED_VALUE""")," 32044150448561_007")</f>
        <v> 32044150448561_007</v>
      </c>
      <c r="I181" s="94" t="str">
        <f>IFERROR(__xludf.DUMMYFUNCTION("""COMPUTED_VALUE""")," 32044150448561_008")</f>
        <v> 32044150448561_008</v>
      </c>
      <c r="J181" s="94" t="str">
        <f>IFERROR(__xludf.DUMMYFUNCTION("""COMPUTED_VALUE""")," 32044150448561_009")</f>
        <v> 32044150448561_009</v>
      </c>
      <c r="K181" s="94" t="str">
        <f>IFERROR(__xludf.DUMMYFUNCTION("""COMPUTED_VALUE""")," 32044150448561_010")</f>
        <v> 32044150448561_010</v>
      </c>
      <c r="L181" s="94" t="str">
        <f>IFERROR(__xludf.DUMMYFUNCTION("""COMPUTED_VALUE""")," 32044150448561_011")</f>
        <v> 32044150448561_011</v>
      </c>
      <c r="M181" s="94" t="str">
        <f>IFERROR(__xludf.DUMMYFUNCTION("""COMPUTED_VALUE""")," 32044150448561_012")</f>
        <v> 32044150448561_012</v>
      </c>
      <c r="N181" s="94" t="str">
        <f>IFERROR(__xludf.DUMMYFUNCTION("""COMPUTED_VALUE""")," 32044150448561_013")</f>
        <v> 32044150448561_013</v>
      </c>
      <c r="O181" s="94" t="str">
        <f>IFERROR(__xludf.DUMMYFUNCTION("""COMPUTED_VALUE""")," 32044150448561_014")</f>
        <v> 32044150448561_014</v>
      </c>
      <c r="P181" s="94" t="str">
        <f>IFERROR(__xludf.DUMMYFUNCTION("""COMPUTED_VALUE""")," 32044150448561_015")</f>
        <v> 32044150448561_015</v>
      </c>
      <c r="Q181" s="94" t="str">
        <f>IFERROR(__xludf.DUMMYFUNCTION("""COMPUTED_VALUE""")," 32044150448561_016")</f>
        <v> 32044150448561_016</v>
      </c>
      <c r="R181" s="94" t="str">
        <f>IFERROR(__xludf.DUMMYFUNCTION("""COMPUTED_VALUE""")," 32044150448561_017")</f>
        <v> 32044150448561_017</v>
      </c>
      <c r="S181" s="94" t="str">
        <f>IFERROR(__xludf.DUMMYFUNCTION("""COMPUTED_VALUE""")," 32044150448561_0018")</f>
        <v> 32044150448561_0018</v>
      </c>
      <c r="T181" s="94" t="str">
        <f>IFERROR(__xludf.DUMMYFUNCTION("""COMPUTED_VALUE""")," 32044150448561_019")</f>
        <v> 32044150448561_019</v>
      </c>
      <c r="U181" s="94" t="str">
        <f>IFERROR(__xludf.DUMMYFUNCTION("""COMPUTED_VALUE""")," 32044150448561_020")</f>
        <v> 32044150448561_020</v>
      </c>
      <c r="V181" s="94" t="str">
        <f>IFERROR(__xludf.DUMMYFUNCTION("""COMPUTED_VALUE""")," 32044150448561_021")</f>
        <v> 32044150448561_021</v>
      </c>
      <c r="W181" s="94" t="str">
        <f>IFERROR(__xludf.DUMMYFUNCTION("""COMPUTED_VALUE""")," 32044150448561_022")</f>
        <v> 32044150448561_022</v>
      </c>
      <c r="X181" s="94" t="str">
        <f>IFERROR(__xludf.DUMMYFUNCTION("""COMPUTED_VALUE""")," 32044150448561_023")</f>
        <v> 32044150448561_023</v>
      </c>
      <c r="Y181" s="94"/>
      <c r="Z181" s="94"/>
      <c r="AA181" s="94"/>
      <c r="AB181" s="94"/>
      <c r="AC181" s="94"/>
      <c r="AD181" s="94"/>
      <c r="AE181" s="94"/>
      <c r="AF181" s="94"/>
      <c r="AG181" s="94"/>
    </row>
    <row r="182">
      <c r="A182" s="96" t="s">
        <v>1490</v>
      </c>
      <c r="B182" s="95" t="str">
        <f>IFERROR(__xludf.DUMMYFUNCTION("""COMPUTED_VALUE"""),"32044150448561_024")</f>
        <v>32044150448561_024</v>
      </c>
      <c r="C182" s="94" t="str">
        <f>IFERROR(__xludf.DUMMYFUNCTION("""COMPUTED_VALUE""")," 32044150448561_025")</f>
        <v> 32044150448561_025</v>
      </c>
      <c r="D182" s="94" t="str">
        <f>IFERROR(__xludf.DUMMYFUNCTION("""COMPUTED_VALUE""")," 32044150448561_026")</f>
        <v> 32044150448561_026</v>
      </c>
      <c r="E182" s="94" t="str">
        <f>IFERROR(__xludf.DUMMYFUNCTION("""COMPUTED_VALUE""")," 32044150448561_027")</f>
        <v> 32044150448561_027</v>
      </c>
      <c r="F182" s="94" t="str">
        <f>IFERROR(__xludf.DUMMYFUNCTION("""COMPUTED_VALUE""")," 32044150448561_028")</f>
        <v> 32044150448561_028</v>
      </c>
      <c r="G182" s="94" t="str">
        <f>IFERROR(__xludf.DUMMYFUNCTION("""COMPUTED_VALUE""")," 32044150448561_029")</f>
        <v> 32044150448561_029</v>
      </c>
      <c r="H182" s="94" t="str">
        <f>IFERROR(__xludf.DUMMYFUNCTION("""COMPUTED_VALUE""")," 32044150448561_030")</f>
        <v> 32044150448561_030</v>
      </c>
      <c r="I182" s="94" t="str">
        <f>IFERROR(__xludf.DUMMYFUNCTION("""COMPUTED_VALUE""")," 32044150448561_031")</f>
        <v> 32044150448561_031</v>
      </c>
      <c r="J182" s="94" t="str">
        <f>IFERROR(__xludf.DUMMYFUNCTION("""COMPUTED_VALUE""")," 32044150448561_032")</f>
        <v> 32044150448561_032</v>
      </c>
      <c r="K182" s="94" t="str">
        <f>IFERROR(__xludf.DUMMYFUNCTION("""COMPUTED_VALUE""")," 32044150448561_033")</f>
        <v> 32044150448561_033</v>
      </c>
      <c r="L182" s="94" t="str">
        <f>IFERROR(__xludf.DUMMYFUNCTION("""COMPUTED_VALUE""")," 32044150448561_034")</f>
        <v> 32044150448561_034</v>
      </c>
      <c r="M182" s="94"/>
      <c r="N182" s="94"/>
      <c r="O182" s="94"/>
      <c r="P182" s="94"/>
      <c r="Q182" s="94"/>
      <c r="R182" s="94"/>
      <c r="S182" s="94"/>
      <c r="T182" s="94"/>
      <c r="U182" s="94"/>
      <c r="V182" s="94"/>
      <c r="W182" s="94"/>
      <c r="X182" s="94"/>
      <c r="Y182" s="94"/>
      <c r="Z182" s="94"/>
      <c r="AA182" s="94"/>
      <c r="AB182" s="94"/>
      <c r="AC182" s="94"/>
      <c r="AD182" s="94"/>
      <c r="AE182" s="94"/>
      <c r="AF182" s="94"/>
      <c r="AG182" s="94"/>
    </row>
    <row r="183">
      <c r="A183" s="96" t="s">
        <v>1493</v>
      </c>
      <c r="B183" s="95" t="str">
        <f>IFERROR(__xludf.DUMMYFUNCTION("""COMPUTED_VALUE"""),"32044150448561_074")</f>
        <v>32044150448561_074</v>
      </c>
      <c r="C183" s="94" t="str">
        <f>IFERROR(__xludf.DUMMYFUNCTION("""COMPUTED_VALUE""")," 32044150448561_075")</f>
        <v> 32044150448561_075</v>
      </c>
      <c r="D183" s="94" t="str">
        <f>IFERROR(__xludf.DUMMYFUNCTION("""COMPUTED_VALUE""")," 32044150448561_076")</f>
        <v> 32044150448561_076</v>
      </c>
      <c r="E183" s="94" t="str">
        <f>IFERROR(__xludf.DUMMYFUNCTION("""COMPUTED_VALUE""")," 32044150448561_077")</f>
        <v> 32044150448561_077</v>
      </c>
      <c r="F183" s="94" t="str">
        <f>IFERROR(__xludf.DUMMYFUNCTION("""COMPUTED_VALUE""")," 32044150448561_078")</f>
        <v> 32044150448561_078</v>
      </c>
      <c r="G183" s="94" t="str">
        <f>IFERROR(__xludf.DUMMYFUNCTION("""COMPUTED_VALUE""")," 32044150448561_079")</f>
        <v> 32044150448561_079</v>
      </c>
      <c r="H183" s="94"/>
      <c r="I183" s="94"/>
      <c r="J183" s="94"/>
      <c r="K183" s="94"/>
      <c r="L183" s="94"/>
      <c r="M183" s="94"/>
      <c r="N183" s="94"/>
      <c r="O183" s="94"/>
      <c r="P183" s="94"/>
      <c r="Q183" s="94"/>
      <c r="R183" s="94"/>
      <c r="S183" s="94"/>
      <c r="T183" s="94"/>
      <c r="U183" s="94"/>
      <c r="V183" s="94"/>
      <c r="W183" s="94"/>
      <c r="X183" s="94"/>
      <c r="Y183" s="94"/>
      <c r="Z183" s="94"/>
      <c r="AA183" s="94"/>
      <c r="AB183" s="94"/>
      <c r="AC183" s="94"/>
      <c r="AD183" s="94"/>
      <c r="AE183" s="94"/>
      <c r="AF183" s="94"/>
      <c r="AG183" s="94"/>
    </row>
    <row r="184">
      <c r="A184" s="96" t="s">
        <v>1496</v>
      </c>
      <c r="B184" s="95" t="str">
        <f>IFERROR(__xludf.DUMMYFUNCTION("""COMPUTED_VALUE"""),"32044150448561_035")</f>
        <v>32044150448561_035</v>
      </c>
      <c r="C184" s="94" t="str">
        <f>IFERROR(__xludf.DUMMYFUNCTION("""COMPUTED_VALUE""")," 32044150448561_036")</f>
        <v> 32044150448561_036</v>
      </c>
      <c r="D184" s="94" t="str">
        <f>IFERROR(__xludf.DUMMYFUNCTION("""COMPUTED_VALUE""")," 32044150448561_037")</f>
        <v> 32044150448561_037</v>
      </c>
      <c r="E184" s="94" t="str">
        <f>IFERROR(__xludf.DUMMYFUNCTION("""COMPUTED_VALUE""")," 32044150448561_038")</f>
        <v> 32044150448561_038</v>
      </c>
      <c r="F184" s="94" t="str">
        <f>IFERROR(__xludf.DUMMYFUNCTION("""COMPUTED_VALUE""")," 32044150448561_039")</f>
        <v> 32044150448561_039</v>
      </c>
      <c r="G184" s="94" t="str">
        <f>IFERROR(__xludf.DUMMYFUNCTION("""COMPUTED_VALUE""")," 32044150448561_040")</f>
        <v> 32044150448561_040</v>
      </c>
      <c r="H184" s="94" t="str">
        <f>IFERROR(__xludf.DUMMYFUNCTION("""COMPUTED_VALUE""")," 32044150448561_041")</f>
        <v> 32044150448561_041</v>
      </c>
      <c r="I184" s="94" t="str">
        <f>IFERROR(__xludf.DUMMYFUNCTION("""COMPUTED_VALUE""")," 32044150448561_042")</f>
        <v> 32044150448561_042</v>
      </c>
      <c r="J184" s="94" t="str">
        <f>IFERROR(__xludf.DUMMYFUNCTION("""COMPUTED_VALUE""")," 32044150448561_043")</f>
        <v> 32044150448561_043</v>
      </c>
      <c r="K184" s="94" t="str">
        <f>IFERROR(__xludf.DUMMYFUNCTION("""COMPUTED_VALUE""")," 32044150448561_044")</f>
        <v> 32044150448561_044</v>
      </c>
      <c r="L184" s="94" t="str">
        <f>IFERROR(__xludf.DUMMYFUNCTION("""COMPUTED_VALUE""")," 32044150448561_045")</f>
        <v> 32044150448561_045</v>
      </c>
      <c r="M184" s="94" t="str">
        <f>IFERROR(__xludf.DUMMYFUNCTION("""COMPUTED_VALUE""")," 32044150448561_046")</f>
        <v> 32044150448561_046</v>
      </c>
      <c r="N184" s="94" t="str">
        <f>IFERROR(__xludf.DUMMYFUNCTION("""COMPUTED_VALUE""")," 32044150448561_047")</f>
        <v> 32044150448561_047</v>
      </c>
      <c r="O184" s="94" t="str">
        <f>IFERROR(__xludf.DUMMYFUNCTION("""COMPUTED_VALUE""")," 32044150448561_048")</f>
        <v> 32044150448561_048</v>
      </c>
      <c r="P184" s="94" t="str">
        <f>IFERROR(__xludf.DUMMYFUNCTION("""COMPUTED_VALUE""")," 32044150448561_049")</f>
        <v> 32044150448561_049</v>
      </c>
      <c r="Q184" s="94"/>
      <c r="R184" s="94"/>
      <c r="S184" s="94"/>
      <c r="T184" s="94"/>
      <c r="U184" s="94"/>
      <c r="V184" s="94"/>
      <c r="W184" s="94"/>
      <c r="X184" s="94"/>
      <c r="Y184" s="94"/>
      <c r="Z184" s="94"/>
      <c r="AA184" s="94"/>
      <c r="AB184" s="94"/>
      <c r="AC184" s="94"/>
      <c r="AD184" s="94"/>
      <c r="AE184" s="94"/>
      <c r="AF184" s="94"/>
      <c r="AG184" s="94"/>
    </row>
    <row r="185">
      <c r="A185" s="96" t="s">
        <v>1504</v>
      </c>
      <c r="B185" s="95" t="str">
        <f>IFERROR(__xludf.DUMMYFUNCTION("""COMPUTED_VALUE"""),"32044150448561_050")</f>
        <v>32044150448561_050</v>
      </c>
      <c r="C185" s="94" t="str">
        <f>IFERROR(__xludf.DUMMYFUNCTION("""COMPUTED_VALUE""")," 32044150448561_051")</f>
        <v> 32044150448561_051</v>
      </c>
      <c r="D185" s="94"/>
      <c r="E185" s="94"/>
      <c r="F185" s="94"/>
      <c r="G185" s="94"/>
      <c r="H185" s="94"/>
      <c r="I185" s="94"/>
      <c r="J185" s="94"/>
      <c r="K185" s="94"/>
      <c r="L185" s="94"/>
      <c r="M185" s="94"/>
      <c r="N185" s="94"/>
      <c r="O185" s="94"/>
      <c r="P185" s="94"/>
      <c r="Q185" s="94"/>
      <c r="R185" s="94"/>
      <c r="S185" s="94"/>
      <c r="T185" s="94"/>
      <c r="U185" s="94"/>
      <c r="V185" s="94"/>
      <c r="W185" s="94"/>
      <c r="X185" s="94"/>
      <c r="Y185" s="94"/>
      <c r="Z185" s="94"/>
      <c r="AA185" s="94"/>
      <c r="AB185" s="94"/>
      <c r="AC185" s="94"/>
      <c r="AD185" s="94"/>
      <c r="AE185" s="94"/>
      <c r="AF185" s="94"/>
      <c r="AG185" s="94"/>
    </row>
    <row r="186">
      <c r="A186" s="96" t="s">
        <v>1511</v>
      </c>
      <c r="B186" s="95" t="str">
        <f>IFERROR(__xludf.DUMMYFUNCTION("""COMPUTED_VALUE"""),"32044150448561_052")</f>
        <v>32044150448561_052</v>
      </c>
      <c r="C186" s="94" t="str">
        <f>IFERROR(__xludf.DUMMYFUNCTION("""COMPUTED_VALUE""")," 32044150448561_053")</f>
        <v> 32044150448561_053</v>
      </c>
      <c r="D186" s="94" t="str">
        <f>IFERROR(__xludf.DUMMYFUNCTION("""COMPUTED_VALUE""")," 32044150448561_054")</f>
        <v> 32044150448561_054</v>
      </c>
      <c r="E186" s="94" t="str">
        <f>IFERROR(__xludf.DUMMYFUNCTION("""COMPUTED_VALUE""")," 32044150448561_055")</f>
        <v> 32044150448561_055</v>
      </c>
      <c r="F186" s="94" t="str">
        <f>IFERROR(__xludf.DUMMYFUNCTION("""COMPUTED_VALUE""")," 32044150448561_056")</f>
        <v> 32044150448561_056</v>
      </c>
      <c r="G186" s="94" t="str">
        <f>IFERROR(__xludf.DUMMYFUNCTION("""COMPUTED_VALUE""")," 32044150448561_057")</f>
        <v> 32044150448561_057</v>
      </c>
      <c r="H186" s="94" t="str">
        <f>IFERROR(__xludf.DUMMYFUNCTION("""COMPUTED_VALUE""")," 32044150448561_058")</f>
        <v> 32044150448561_058</v>
      </c>
      <c r="I186" s="94" t="str">
        <f>IFERROR(__xludf.DUMMYFUNCTION("""COMPUTED_VALUE""")," 32044150448561_059")</f>
        <v> 32044150448561_059</v>
      </c>
      <c r="J186" s="94" t="str">
        <f>IFERROR(__xludf.DUMMYFUNCTION("""COMPUTED_VALUE""")," 32044150448561_060")</f>
        <v> 32044150448561_060</v>
      </c>
      <c r="K186" s="94" t="str">
        <f>IFERROR(__xludf.DUMMYFUNCTION("""COMPUTED_VALUE""")," 32044150448561_061")</f>
        <v> 32044150448561_061</v>
      </c>
      <c r="L186" s="94" t="str">
        <f>IFERROR(__xludf.DUMMYFUNCTION("""COMPUTED_VALUE""")," 32044150448561_062")</f>
        <v> 32044150448561_062</v>
      </c>
      <c r="M186" s="94" t="str">
        <f>IFERROR(__xludf.DUMMYFUNCTION("""COMPUTED_VALUE""")," 32044150448561_063")</f>
        <v> 32044150448561_063</v>
      </c>
      <c r="N186" s="94" t="str">
        <f>IFERROR(__xludf.DUMMYFUNCTION("""COMPUTED_VALUE""")," 32044150448561_064")</f>
        <v> 32044150448561_064</v>
      </c>
      <c r="O186" s="94" t="str">
        <f>IFERROR(__xludf.DUMMYFUNCTION("""COMPUTED_VALUE""")," 32044150448561_065")</f>
        <v> 32044150448561_065</v>
      </c>
      <c r="P186" s="94" t="str">
        <f>IFERROR(__xludf.DUMMYFUNCTION("""COMPUTED_VALUE""")," 32044150448561_066")</f>
        <v> 32044150448561_066</v>
      </c>
      <c r="Q186" s="94" t="str">
        <f>IFERROR(__xludf.DUMMYFUNCTION("""COMPUTED_VALUE""")," 32044150448561_067")</f>
        <v> 32044150448561_067</v>
      </c>
      <c r="R186" s="94" t="str">
        <f>IFERROR(__xludf.DUMMYFUNCTION("""COMPUTED_VALUE""")," 32044150448561_068")</f>
        <v> 32044150448561_068</v>
      </c>
      <c r="S186" s="94" t="str">
        <f>IFERROR(__xludf.DUMMYFUNCTION("""COMPUTED_VALUE""")," 32044150448561_069")</f>
        <v> 32044150448561_069</v>
      </c>
      <c r="T186" s="94" t="str">
        <f>IFERROR(__xludf.DUMMYFUNCTION("""COMPUTED_VALUE""")," 32044150448561_070")</f>
        <v> 32044150448561_070</v>
      </c>
      <c r="U186" s="94" t="str">
        <f>IFERROR(__xludf.DUMMYFUNCTION("""COMPUTED_VALUE""")," 32044150448561_071")</f>
        <v> 32044150448561_071</v>
      </c>
      <c r="V186" s="94" t="str">
        <f>IFERROR(__xludf.DUMMYFUNCTION("""COMPUTED_VALUE""")," 32044150448561_072")</f>
        <v> 32044150448561_072</v>
      </c>
      <c r="W186" s="94" t="str">
        <f>IFERROR(__xludf.DUMMYFUNCTION("""COMPUTED_VALUE""")," 32044150448561_073")</f>
        <v> 32044150448561_073</v>
      </c>
      <c r="X186" s="94"/>
      <c r="Y186" s="94"/>
      <c r="Z186" s="94"/>
      <c r="AA186" s="94"/>
      <c r="AB186" s="94"/>
      <c r="AC186" s="94"/>
      <c r="AD186" s="94"/>
      <c r="AE186" s="94"/>
      <c r="AF186" s="94"/>
      <c r="AG186" s="94"/>
    </row>
    <row r="187">
      <c r="A187" s="96" t="s">
        <v>1517</v>
      </c>
      <c r="B187" s="95" t="str">
        <f>IFERROR(__xludf.DUMMYFUNCTION("""COMPUTED_VALUE"""),"32044150448579_001")</f>
        <v>32044150448579_001</v>
      </c>
      <c r="C187" s="94" t="str">
        <f>IFERROR(__xludf.DUMMYFUNCTION("""COMPUTED_VALUE""")," 32044150448579_002")</f>
        <v> 32044150448579_002</v>
      </c>
      <c r="D187" s="94"/>
      <c r="E187" s="94"/>
      <c r="F187" s="94"/>
      <c r="G187" s="94"/>
      <c r="H187" s="94"/>
      <c r="I187" s="94"/>
      <c r="J187" s="94"/>
      <c r="K187" s="94"/>
      <c r="L187" s="94"/>
      <c r="M187" s="94"/>
      <c r="N187" s="94"/>
      <c r="O187" s="94"/>
      <c r="P187" s="94"/>
      <c r="Q187" s="94"/>
      <c r="R187" s="94"/>
      <c r="S187" s="94"/>
      <c r="T187" s="94"/>
      <c r="U187" s="94"/>
      <c r="V187" s="94"/>
      <c r="W187" s="94"/>
      <c r="X187" s="94"/>
      <c r="Y187" s="94"/>
      <c r="Z187" s="94"/>
      <c r="AA187" s="94"/>
      <c r="AB187" s="94"/>
      <c r="AC187" s="94"/>
      <c r="AD187" s="94"/>
      <c r="AE187" s="94"/>
      <c r="AF187" s="94"/>
      <c r="AG187" s="94"/>
    </row>
    <row r="188">
      <c r="A188" s="96" t="s">
        <v>1523</v>
      </c>
      <c r="B188" s="95" t="str">
        <f>IFERROR(__xludf.DUMMYFUNCTION("""COMPUTED_VALUE"""),"32044150448579_003")</f>
        <v>32044150448579_003</v>
      </c>
      <c r="C188" s="94" t="str">
        <f>IFERROR(__xludf.DUMMYFUNCTION("""COMPUTED_VALUE""")," 32044150448579_004")</f>
        <v> 32044150448579_004</v>
      </c>
      <c r="D188" s="94"/>
      <c r="E188" s="94"/>
      <c r="F188" s="94"/>
      <c r="G188" s="94"/>
      <c r="H188" s="94"/>
      <c r="I188" s="94"/>
      <c r="J188" s="94"/>
      <c r="K188" s="94"/>
      <c r="L188" s="94"/>
      <c r="M188" s="94"/>
      <c r="N188" s="94"/>
      <c r="O188" s="94"/>
      <c r="P188" s="94"/>
      <c r="Q188" s="94"/>
      <c r="R188" s="94"/>
      <c r="S188" s="94"/>
      <c r="T188" s="94"/>
      <c r="U188" s="94"/>
      <c r="V188" s="94"/>
      <c r="W188" s="94"/>
      <c r="X188" s="94"/>
      <c r="Y188" s="94"/>
      <c r="Z188" s="94"/>
      <c r="AA188" s="94"/>
      <c r="AB188" s="94"/>
      <c r="AC188" s="94"/>
      <c r="AD188" s="94"/>
      <c r="AE188" s="94"/>
      <c r="AF188" s="94"/>
      <c r="AG188" s="94"/>
    </row>
    <row r="189">
      <c r="A189" s="96" t="s">
        <v>1529</v>
      </c>
      <c r="B189" s="95" t="str">
        <f>IFERROR(__xludf.DUMMYFUNCTION("""COMPUTED_VALUE"""),"32044150448579_005")</f>
        <v>32044150448579_005</v>
      </c>
      <c r="C189" s="94" t="str">
        <f>IFERROR(__xludf.DUMMYFUNCTION("""COMPUTED_VALUE""")," 32044150448579_006")</f>
        <v> 32044150448579_006</v>
      </c>
      <c r="D189" s="94" t="str">
        <f>IFERROR(__xludf.DUMMYFUNCTION("""COMPUTED_VALUE""")," 32044150448579_007")</f>
        <v> 32044150448579_007</v>
      </c>
      <c r="E189" s="94" t="str">
        <f>IFERROR(__xludf.DUMMYFUNCTION("""COMPUTED_VALUE""")," 32044150448579_008")</f>
        <v> 32044150448579_008</v>
      </c>
      <c r="F189" s="94" t="str">
        <f>IFERROR(__xludf.DUMMYFUNCTION("""COMPUTED_VALUE""")," 32044150448579_009")</f>
        <v> 32044150448579_009</v>
      </c>
      <c r="G189" s="94" t="str">
        <f>IFERROR(__xludf.DUMMYFUNCTION("""COMPUTED_VALUE""")," 32044150448579_010")</f>
        <v> 32044150448579_010</v>
      </c>
      <c r="H189" s="94" t="str">
        <f>IFERROR(__xludf.DUMMYFUNCTION("""COMPUTED_VALUE""")," 32044150448579_011")</f>
        <v> 32044150448579_011</v>
      </c>
      <c r="I189" s="94" t="str">
        <f>IFERROR(__xludf.DUMMYFUNCTION("""COMPUTED_VALUE""")," 32044150448579_012")</f>
        <v> 32044150448579_012</v>
      </c>
      <c r="J189" s="94" t="str">
        <f>IFERROR(__xludf.DUMMYFUNCTION("""COMPUTED_VALUE""")," 32044150448579_013")</f>
        <v> 32044150448579_013</v>
      </c>
      <c r="K189" s="94" t="str">
        <f>IFERROR(__xludf.DUMMYFUNCTION("""COMPUTED_VALUE""")," 32044150448579_014")</f>
        <v> 32044150448579_014</v>
      </c>
      <c r="L189" s="94" t="str">
        <f>IFERROR(__xludf.DUMMYFUNCTION("""COMPUTED_VALUE""")," 32044150448579_015")</f>
        <v> 32044150448579_015</v>
      </c>
      <c r="M189" s="94" t="str">
        <f>IFERROR(__xludf.DUMMYFUNCTION("""COMPUTED_VALUE""")," 32044150448579_016")</f>
        <v> 32044150448579_016</v>
      </c>
      <c r="N189" s="94" t="str">
        <f>IFERROR(__xludf.DUMMYFUNCTION("""COMPUTED_VALUE""")," 32044150448579_017")</f>
        <v> 32044150448579_017</v>
      </c>
      <c r="O189" s="94" t="str">
        <f>IFERROR(__xludf.DUMMYFUNCTION("""COMPUTED_VALUE""")," 32044150448579_018")</f>
        <v> 32044150448579_018</v>
      </c>
      <c r="P189" s="94" t="str">
        <f>IFERROR(__xludf.DUMMYFUNCTION("""COMPUTED_VALUE""")," 32044150448579_019")</f>
        <v> 32044150448579_019</v>
      </c>
      <c r="Q189" s="94" t="str">
        <f>IFERROR(__xludf.DUMMYFUNCTION("""COMPUTED_VALUE""")," 32044150448579_020")</f>
        <v> 32044150448579_020</v>
      </c>
      <c r="R189" s="94" t="str">
        <f>IFERROR(__xludf.DUMMYFUNCTION("""COMPUTED_VALUE""")," 32044150448579_021")</f>
        <v> 32044150448579_021</v>
      </c>
      <c r="S189" s="94" t="str">
        <f>IFERROR(__xludf.DUMMYFUNCTION("""COMPUTED_VALUE""")," 32044150448579_022")</f>
        <v> 32044150448579_022</v>
      </c>
      <c r="T189" s="94" t="str">
        <f>IFERROR(__xludf.DUMMYFUNCTION("""COMPUTED_VALUE""")," 32044150448579_023")</f>
        <v> 32044150448579_023</v>
      </c>
      <c r="U189" s="94" t="str">
        <f>IFERROR(__xludf.DUMMYFUNCTION("""COMPUTED_VALUE""")," 32044150448579_024")</f>
        <v> 32044150448579_024</v>
      </c>
      <c r="V189" s="94" t="str">
        <f>IFERROR(__xludf.DUMMYFUNCTION("""COMPUTED_VALUE""")," 32044150448579_025")</f>
        <v> 32044150448579_025</v>
      </c>
      <c r="W189" s="94" t="str">
        <f>IFERROR(__xludf.DUMMYFUNCTION("""COMPUTED_VALUE""")," 32044150448579_026")</f>
        <v> 32044150448579_026</v>
      </c>
      <c r="X189" s="94" t="str">
        <f>IFERROR(__xludf.DUMMYFUNCTION("""COMPUTED_VALUE""")," 32044150448579_027")</f>
        <v> 32044150448579_027</v>
      </c>
      <c r="Y189" s="94"/>
      <c r="Z189" s="94"/>
      <c r="AA189" s="94"/>
      <c r="AB189" s="94"/>
      <c r="AC189" s="94"/>
      <c r="AD189" s="94"/>
      <c r="AE189" s="94"/>
      <c r="AF189" s="94"/>
      <c r="AG189" s="94"/>
    </row>
    <row r="190">
      <c r="A190" s="96" t="s">
        <v>1538</v>
      </c>
      <c r="B190" s="95" t="str">
        <f>IFERROR(__xludf.DUMMYFUNCTION("""COMPUTED_VALUE"""),"32044150448579_028")</f>
        <v>32044150448579_028</v>
      </c>
      <c r="C190" s="94" t="str">
        <f>IFERROR(__xludf.DUMMYFUNCTION("""COMPUTED_VALUE""")," 32044150448579_029")</f>
        <v> 32044150448579_029</v>
      </c>
      <c r="D190" s="94" t="str">
        <f>IFERROR(__xludf.DUMMYFUNCTION("""COMPUTED_VALUE""")," 32044150448579_030")</f>
        <v> 32044150448579_030</v>
      </c>
      <c r="E190" s="94" t="str">
        <f>IFERROR(__xludf.DUMMYFUNCTION("""COMPUTED_VALUE""")," 32044150448579_031")</f>
        <v> 32044150448579_031</v>
      </c>
      <c r="F190" s="94" t="str">
        <f>IFERROR(__xludf.DUMMYFUNCTION("""COMPUTED_VALUE""")," 32044150448579_032")</f>
        <v> 32044150448579_032</v>
      </c>
      <c r="G190" s="94" t="str">
        <f>IFERROR(__xludf.DUMMYFUNCTION("""COMPUTED_VALUE""")," 32044150448579_033")</f>
        <v> 32044150448579_033</v>
      </c>
      <c r="H190" s="94" t="str">
        <f>IFERROR(__xludf.DUMMYFUNCTION("""COMPUTED_VALUE""")," 32044150448579_034")</f>
        <v> 32044150448579_034</v>
      </c>
      <c r="I190" s="94" t="str">
        <f>IFERROR(__xludf.DUMMYFUNCTION("""COMPUTED_VALUE""")," 32044150448579_035")</f>
        <v> 32044150448579_035</v>
      </c>
      <c r="J190" s="94" t="str">
        <f>IFERROR(__xludf.DUMMYFUNCTION("""COMPUTED_VALUE""")," 32044150448579_036")</f>
        <v> 32044150448579_036</v>
      </c>
      <c r="K190" s="94" t="str">
        <f>IFERROR(__xludf.DUMMYFUNCTION("""COMPUTED_VALUE""")," 32044150448579_037")</f>
        <v> 32044150448579_037</v>
      </c>
      <c r="L190" s="94" t="str">
        <f>IFERROR(__xludf.DUMMYFUNCTION("""COMPUTED_VALUE""")," 32044150448579_038")</f>
        <v> 32044150448579_038</v>
      </c>
      <c r="M190" s="94" t="str">
        <f>IFERROR(__xludf.DUMMYFUNCTION("""COMPUTED_VALUE""")," 32044150448579_039")</f>
        <v> 32044150448579_039</v>
      </c>
      <c r="N190" s="94" t="str">
        <f>IFERROR(__xludf.DUMMYFUNCTION("""COMPUTED_VALUE""")," 32044150448579_040")</f>
        <v> 32044150448579_040</v>
      </c>
      <c r="O190" s="94" t="str">
        <f>IFERROR(__xludf.DUMMYFUNCTION("""COMPUTED_VALUE""")," 32044150448579_041")</f>
        <v> 32044150448579_041</v>
      </c>
      <c r="P190" s="94" t="str">
        <f>IFERROR(__xludf.DUMMYFUNCTION("""COMPUTED_VALUE""")," 32044150448579_042")</f>
        <v> 32044150448579_042</v>
      </c>
      <c r="Q190" s="94" t="str">
        <f>IFERROR(__xludf.DUMMYFUNCTION("""COMPUTED_VALUE""")," 32044150448579_043")</f>
        <v> 32044150448579_043</v>
      </c>
      <c r="R190" s="94" t="str">
        <f>IFERROR(__xludf.DUMMYFUNCTION("""COMPUTED_VALUE""")," 32044150448579_044")</f>
        <v> 32044150448579_044</v>
      </c>
      <c r="S190" s="94" t="str">
        <f>IFERROR(__xludf.DUMMYFUNCTION("""COMPUTED_VALUE""")," 32044150448579_045")</f>
        <v> 32044150448579_045</v>
      </c>
      <c r="T190" s="94" t="str">
        <f>IFERROR(__xludf.DUMMYFUNCTION("""COMPUTED_VALUE""")," 32044150448579_046")</f>
        <v> 32044150448579_046</v>
      </c>
      <c r="U190" s="94" t="str">
        <f>IFERROR(__xludf.DUMMYFUNCTION("""COMPUTED_VALUE""")," 32044150448579_047")</f>
        <v> 32044150448579_047</v>
      </c>
      <c r="V190" s="94" t="str">
        <f>IFERROR(__xludf.DUMMYFUNCTION("""COMPUTED_VALUE""")," 32044150448579_048")</f>
        <v> 32044150448579_048</v>
      </c>
      <c r="W190" s="94" t="str">
        <f>IFERROR(__xludf.DUMMYFUNCTION("""COMPUTED_VALUE""")," 32044150448579_049")</f>
        <v> 32044150448579_049</v>
      </c>
      <c r="X190" s="94"/>
      <c r="Y190" s="94"/>
      <c r="Z190" s="94"/>
      <c r="AA190" s="94"/>
      <c r="AB190" s="94"/>
      <c r="AC190" s="94"/>
      <c r="AD190" s="94"/>
      <c r="AE190" s="94"/>
      <c r="AF190" s="94"/>
      <c r="AG190" s="94"/>
    </row>
    <row r="191">
      <c r="A191" s="96" t="s">
        <v>1544</v>
      </c>
      <c r="B191" s="95" t="str">
        <f>IFERROR(__xludf.DUMMYFUNCTION("""COMPUTED_VALUE"""),"32044150448579_052")</f>
        <v>32044150448579_052</v>
      </c>
      <c r="C191" s="94" t="str">
        <f>IFERROR(__xludf.DUMMYFUNCTION("""COMPUTED_VALUE""")," 32044150448579_053")</f>
        <v> 32044150448579_053</v>
      </c>
      <c r="D191" s="94" t="str">
        <f>IFERROR(__xludf.DUMMYFUNCTION("""COMPUTED_VALUE""")," 32044150448579_054")</f>
        <v> 32044150448579_054</v>
      </c>
      <c r="E191" s="94" t="str">
        <f>IFERROR(__xludf.DUMMYFUNCTION("""COMPUTED_VALUE""")," 32044150448579_055")</f>
        <v> 32044150448579_055</v>
      </c>
      <c r="F191" s="94" t="str">
        <f>IFERROR(__xludf.DUMMYFUNCTION("""COMPUTED_VALUE""")," 32044150448579_056")</f>
        <v> 32044150448579_056</v>
      </c>
      <c r="G191" s="94" t="str">
        <f>IFERROR(__xludf.DUMMYFUNCTION("""COMPUTED_VALUE""")," 32044150448579_057")</f>
        <v> 32044150448579_057</v>
      </c>
      <c r="H191" s="94" t="str">
        <f>IFERROR(__xludf.DUMMYFUNCTION("""COMPUTED_VALUE""")," 32044150448579_058")</f>
        <v> 32044150448579_058</v>
      </c>
      <c r="I191" s="94" t="str">
        <f>IFERROR(__xludf.DUMMYFUNCTION("""COMPUTED_VALUE""")," 32044150448579_059")</f>
        <v> 32044150448579_059</v>
      </c>
      <c r="J191" s="94" t="str">
        <f>IFERROR(__xludf.DUMMYFUNCTION("""COMPUTED_VALUE""")," 32044150448579_060")</f>
        <v> 32044150448579_060</v>
      </c>
      <c r="K191" s="94" t="str">
        <f>IFERROR(__xludf.DUMMYFUNCTION("""COMPUTED_VALUE""")," 32044150448579_061")</f>
        <v> 32044150448579_061</v>
      </c>
      <c r="L191" s="94" t="str">
        <f>IFERROR(__xludf.DUMMYFUNCTION("""COMPUTED_VALUE""")," 32044150448579_062")</f>
        <v> 32044150448579_062</v>
      </c>
      <c r="M191" s="94" t="str">
        <f>IFERROR(__xludf.DUMMYFUNCTION("""COMPUTED_VALUE""")," 32044150448579_063")</f>
        <v> 32044150448579_063</v>
      </c>
      <c r="N191" s="94" t="str">
        <f>IFERROR(__xludf.DUMMYFUNCTION("""COMPUTED_VALUE""")," 32044150448579_064")</f>
        <v> 32044150448579_064</v>
      </c>
      <c r="O191" s="94" t="str">
        <f>IFERROR(__xludf.DUMMYFUNCTION("""COMPUTED_VALUE""")," 32044150448579_065")</f>
        <v> 32044150448579_065</v>
      </c>
      <c r="P191" s="94"/>
      <c r="Q191" s="94"/>
      <c r="R191" s="94"/>
      <c r="S191" s="94"/>
      <c r="T191" s="94"/>
      <c r="U191" s="94"/>
      <c r="V191" s="94"/>
      <c r="W191" s="94"/>
      <c r="X191" s="94"/>
      <c r="Y191" s="94"/>
      <c r="Z191" s="94"/>
      <c r="AA191" s="94"/>
      <c r="AB191" s="94"/>
      <c r="AC191" s="94"/>
      <c r="AD191" s="94"/>
      <c r="AE191" s="94"/>
      <c r="AF191" s="94"/>
      <c r="AG191" s="94"/>
    </row>
    <row r="192">
      <c r="A192" s="96" t="s">
        <v>1549</v>
      </c>
      <c r="B192" s="95" t="str">
        <f>IFERROR(__xludf.DUMMYFUNCTION("""COMPUTED_VALUE"""),"32044150448579_066")</f>
        <v>32044150448579_066</v>
      </c>
      <c r="C192" s="94" t="str">
        <f>IFERROR(__xludf.DUMMYFUNCTION("""COMPUTED_VALUE""")," 32044150448579_067")</f>
        <v> 32044150448579_067</v>
      </c>
      <c r="D192" s="94"/>
      <c r="E192" s="94"/>
      <c r="F192" s="94"/>
      <c r="G192" s="94"/>
      <c r="H192" s="94"/>
      <c r="I192" s="94"/>
      <c r="J192" s="94"/>
      <c r="K192" s="94"/>
      <c r="L192" s="94"/>
      <c r="M192" s="94"/>
      <c r="N192" s="94"/>
      <c r="O192" s="94"/>
      <c r="P192" s="94"/>
      <c r="Q192" s="94"/>
      <c r="R192" s="94"/>
      <c r="S192" s="94"/>
      <c r="T192" s="94"/>
      <c r="U192" s="94"/>
      <c r="V192" s="94"/>
      <c r="W192" s="94"/>
      <c r="X192" s="94"/>
      <c r="Y192" s="94"/>
      <c r="Z192" s="94"/>
      <c r="AA192" s="94"/>
      <c r="AB192" s="94"/>
      <c r="AC192" s="94"/>
      <c r="AD192" s="94"/>
      <c r="AE192" s="94"/>
      <c r="AF192" s="94"/>
      <c r="AG192" s="94"/>
    </row>
    <row r="193">
      <c r="A193" s="96" t="s">
        <v>1555</v>
      </c>
      <c r="B193" s="95" t="str">
        <f>IFERROR(__xludf.DUMMYFUNCTION("""COMPUTED_VALUE"""),"32044150448579_068")</f>
        <v>32044150448579_068</v>
      </c>
      <c r="C193" s="94" t="str">
        <f>IFERROR(__xludf.DUMMYFUNCTION("""COMPUTED_VALUE""")," 32044150448579_069")</f>
        <v> 32044150448579_069</v>
      </c>
      <c r="D193" s="94" t="str">
        <f>IFERROR(__xludf.DUMMYFUNCTION("""COMPUTED_VALUE""")," 32044150448579_070")</f>
        <v> 32044150448579_070</v>
      </c>
      <c r="E193" s="94" t="str">
        <f>IFERROR(__xludf.DUMMYFUNCTION("""COMPUTED_VALUE""")," 32044150448579_071")</f>
        <v> 32044150448579_071</v>
      </c>
      <c r="F193" s="94" t="str">
        <f>IFERROR(__xludf.DUMMYFUNCTION("""COMPUTED_VALUE""")," 32044150448579_072")</f>
        <v> 32044150448579_072</v>
      </c>
      <c r="G193" s="94" t="str">
        <f>IFERROR(__xludf.DUMMYFUNCTION("""COMPUTED_VALUE""")," 32044150448579_073")</f>
        <v> 32044150448579_073</v>
      </c>
      <c r="H193" s="94" t="str">
        <f>IFERROR(__xludf.DUMMYFUNCTION("""COMPUTED_VALUE""")," 32044150448579_074")</f>
        <v> 32044150448579_074</v>
      </c>
      <c r="I193" s="94" t="str">
        <f>IFERROR(__xludf.DUMMYFUNCTION("""COMPUTED_VALUE""")," 32044150448579_075")</f>
        <v> 32044150448579_075</v>
      </c>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row>
    <row r="194">
      <c r="A194" s="96" t="s">
        <v>1561</v>
      </c>
      <c r="B194" s="95" t="str">
        <f>IFERROR(__xludf.DUMMYFUNCTION("""COMPUTED_VALUE"""),"32044150448579_050")</f>
        <v>32044150448579_050</v>
      </c>
      <c r="C194" s="94" t="str">
        <f>IFERROR(__xludf.DUMMYFUNCTION("""COMPUTED_VALUE""")," 32044150448579_051")</f>
        <v> 32044150448579_051</v>
      </c>
      <c r="D194" s="94"/>
      <c r="E194" s="94"/>
      <c r="F194" s="94"/>
      <c r="G194" s="94"/>
      <c r="H194" s="94"/>
      <c r="I194" s="94"/>
      <c r="J194" s="94"/>
      <c r="K194" s="94"/>
      <c r="L194" s="94"/>
      <c r="M194" s="94"/>
      <c r="N194" s="94"/>
      <c r="O194" s="94"/>
      <c r="P194" s="94"/>
      <c r="Q194" s="94"/>
      <c r="R194" s="94"/>
      <c r="S194" s="94"/>
      <c r="T194" s="94"/>
      <c r="U194" s="94"/>
      <c r="V194" s="94"/>
      <c r="W194" s="94"/>
      <c r="X194" s="94"/>
      <c r="Y194" s="94"/>
      <c r="Z194" s="94"/>
      <c r="AA194" s="94"/>
      <c r="AB194" s="94"/>
      <c r="AC194" s="94"/>
      <c r="AD194" s="94"/>
      <c r="AE194" s="94"/>
      <c r="AF194" s="94"/>
      <c r="AG194" s="94"/>
    </row>
    <row r="195">
      <c r="A195" s="96" t="s">
        <v>1567</v>
      </c>
      <c r="B195" s="95" t="str">
        <f>IFERROR(__xludf.DUMMYFUNCTION("""COMPUTED_VALUE"""),"32044150448587_001")</f>
        <v>32044150448587_001</v>
      </c>
      <c r="C195" s="94" t="str">
        <f>IFERROR(__xludf.DUMMYFUNCTION("""COMPUTED_VALUE""")," 32044150448587_002")</f>
        <v> 32044150448587_002</v>
      </c>
      <c r="D195" s="94" t="str">
        <f>IFERROR(__xludf.DUMMYFUNCTION("""COMPUTED_VALUE""")," 32044150448587_003")</f>
        <v> 32044150448587_003</v>
      </c>
      <c r="E195" s="94" t="str">
        <f>IFERROR(__xludf.DUMMYFUNCTION("""COMPUTED_VALUE""")," 32044150448587_004")</f>
        <v> 32044150448587_004</v>
      </c>
      <c r="F195" s="94" t="str">
        <f>IFERROR(__xludf.DUMMYFUNCTION("""COMPUTED_VALUE""")," 32044150448587_005")</f>
        <v> 32044150448587_005</v>
      </c>
      <c r="G195" s="94"/>
      <c r="H195" s="94"/>
      <c r="I195" s="94"/>
      <c r="J195" s="94"/>
      <c r="K195" s="94"/>
      <c r="L195" s="94"/>
      <c r="M195" s="94"/>
      <c r="N195" s="94"/>
      <c r="O195" s="94"/>
      <c r="P195" s="94"/>
      <c r="Q195" s="94"/>
      <c r="R195" s="94"/>
      <c r="S195" s="94"/>
      <c r="T195" s="94"/>
      <c r="U195" s="94"/>
      <c r="V195" s="94"/>
      <c r="W195" s="94"/>
      <c r="X195" s="94"/>
      <c r="Y195" s="94"/>
      <c r="Z195" s="94"/>
      <c r="AA195" s="94"/>
      <c r="AB195" s="94"/>
      <c r="AC195" s="94"/>
      <c r="AD195" s="94"/>
      <c r="AE195" s="94"/>
      <c r="AF195" s="94"/>
      <c r="AG195" s="94"/>
    </row>
    <row r="196">
      <c r="A196" s="96" t="s">
        <v>1578</v>
      </c>
      <c r="B196" s="95" t="str">
        <f>IFERROR(__xludf.DUMMYFUNCTION("""COMPUTED_VALUE"""),"32044150448587_006")</f>
        <v>32044150448587_006</v>
      </c>
      <c r="C196" s="94" t="str">
        <f>IFERROR(__xludf.DUMMYFUNCTION("""COMPUTED_VALUE""")," 32044150448587_007")</f>
        <v> 32044150448587_007</v>
      </c>
      <c r="D196" s="94" t="str">
        <f>IFERROR(__xludf.DUMMYFUNCTION("""COMPUTED_VALUE""")," 32044150448587_008")</f>
        <v> 32044150448587_008</v>
      </c>
      <c r="E196" s="94" t="str">
        <f>IFERROR(__xludf.DUMMYFUNCTION("""COMPUTED_VALUE""")," 32044150448587_009")</f>
        <v> 32044150448587_009</v>
      </c>
      <c r="F196" s="94" t="str">
        <f>IFERROR(__xludf.DUMMYFUNCTION("""COMPUTED_VALUE""")," 32044150448587_010")</f>
        <v> 32044150448587_010</v>
      </c>
      <c r="G196" s="94" t="str">
        <f>IFERROR(__xludf.DUMMYFUNCTION("""COMPUTED_VALUE""")," 32044150448587_011")</f>
        <v> 32044150448587_011</v>
      </c>
      <c r="H196" s="94" t="str">
        <f>IFERROR(__xludf.DUMMYFUNCTION("""COMPUTED_VALUE""")," 32044150448587_012")</f>
        <v> 32044150448587_012</v>
      </c>
      <c r="I196" s="94" t="str">
        <f>IFERROR(__xludf.DUMMYFUNCTION("""COMPUTED_VALUE""")," 32044150448587_013")</f>
        <v> 32044150448587_013</v>
      </c>
      <c r="J196" s="94" t="str">
        <f>IFERROR(__xludf.DUMMYFUNCTION("""COMPUTED_VALUE""")," 32044150448587_014")</f>
        <v> 32044150448587_014</v>
      </c>
      <c r="K196" s="94"/>
      <c r="L196" s="94"/>
      <c r="M196" s="94"/>
      <c r="N196" s="94"/>
      <c r="O196" s="94"/>
      <c r="P196" s="94"/>
      <c r="Q196" s="94"/>
      <c r="R196" s="94"/>
      <c r="S196" s="94"/>
      <c r="T196" s="94"/>
      <c r="U196" s="94"/>
      <c r="V196" s="94"/>
      <c r="W196" s="94"/>
      <c r="X196" s="94"/>
      <c r="Y196" s="94"/>
      <c r="Z196" s="94"/>
      <c r="AA196" s="94"/>
      <c r="AB196" s="94"/>
      <c r="AC196" s="94"/>
      <c r="AD196" s="94"/>
      <c r="AE196" s="94"/>
      <c r="AF196" s="94"/>
      <c r="AG196" s="94"/>
    </row>
    <row r="197">
      <c r="A197" s="96" t="s">
        <v>1585</v>
      </c>
      <c r="B197" s="95" t="str">
        <f>IFERROR(__xludf.DUMMYFUNCTION("""COMPUTED_VALUE"""),"32044150448587_015")</f>
        <v>32044150448587_015</v>
      </c>
      <c r="C197" s="94" t="str">
        <f>IFERROR(__xludf.DUMMYFUNCTION("""COMPUTED_VALUE""")," 32044150448587_016")</f>
        <v> 32044150448587_016</v>
      </c>
      <c r="D197" s="94" t="str">
        <f>IFERROR(__xludf.DUMMYFUNCTION("""COMPUTED_VALUE""")," 32044150448587_017")</f>
        <v> 32044150448587_017</v>
      </c>
      <c r="E197" s="94" t="str">
        <f>IFERROR(__xludf.DUMMYFUNCTION("""COMPUTED_VALUE""")," 32044150448587_018")</f>
        <v> 32044150448587_018</v>
      </c>
      <c r="F197" s="94" t="str">
        <f>IFERROR(__xludf.DUMMYFUNCTION("""COMPUTED_VALUE""")," 32044150448587_019")</f>
        <v> 32044150448587_019</v>
      </c>
      <c r="G197" s="94" t="str">
        <f>IFERROR(__xludf.DUMMYFUNCTION("""COMPUTED_VALUE""")," 32044150448587_020")</f>
        <v> 32044150448587_020</v>
      </c>
      <c r="H197" s="94"/>
      <c r="I197" s="94"/>
      <c r="J197" s="94"/>
      <c r="K197" s="94"/>
      <c r="L197" s="94"/>
      <c r="M197" s="94"/>
      <c r="N197" s="94"/>
      <c r="O197" s="94"/>
      <c r="P197" s="94"/>
      <c r="Q197" s="94"/>
      <c r="R197" s="94"/>
      <c r="S197" s="94"/>
      <c r="T197" s="94"/>
      <c r="U197" s="94"/>
      <c r="V197" s="94"/>
      <c r="W197" s="94"/>
      <c r="X197" s="94"/>
      <c r="Y197" s="94"/>
      <c r="Z197" s="94"/>
      <c r="AA197" s="94"/>
      <c r="AB197" s="94"/>
      <c r="AC197" s="94"/>
      <c r="AD197" s="94"/>
      <c r="AE197" s="94"/>
      <c r="AF197" s="94"/>
      <c r="AG197" s="94"/>
    </row>
    <row r="198">
      <c r="A198" s="96" t="s">
        <v>1591</v>
      </c>
      <c r="B198" s="95" t="str">
        <f>IFERROR(__xludf.DUMMYFUNCTION("""COMPUTED_VALUE"""),"32044150448587_021")</f>
        <v>32044150448587_021</v>
      </c>
      <c r="C198" s="94" t="str">
        <f>IFERROR(__xludf.DUMMYFUNCTION("""COMPUTED_VALUE""")," 32044150448587_022")</f>
        <v> 32044150448587_022</v>
      </c>
      <c r="D198" s="94" t="str">
        <f>IFERROR(__xludf.DUMMYFUNCTION("""COMPUTED_VALUE""")," 32044150448587_023")</f>
        <v> 32044150448587_023</v>
      </c>
      <c r="E198" s="94" t="str">
        <f>IFERROR(__xludf.DUMMYFUNCTION("""COMPUTED_VALUE""")," 32044150448587_024")</f>
        <v> 32044150448587_024</v>
      </c>
      <c r="F198" s="94" t="str">
        <f>IFERROR(__xludf.DUMMYFUNCTION("""COMPUTED_VALUE""")," 32044150448587_025")</f>
        <v> 32044150448587_025</v>
      </c>
      <c r="G198" s="94" t="str">
        <f>IFERROR(__xludf.DUMMYFUNCTION("""COMPUTED_VALUE""")," 32044150448587_026")</f>
        <v> 32044150448587_026</v>
      </c>
      <c r="H198" s="94" t="str">
        <f>IFERROR(__xludf.DUMMYFUNCTION("""COMPUTED_VALUE""")," 32044150448587_027")</f>
        <v> 32044150448587_027</v>
      </c>
      <c r="I198" s="94"/>
      <c r="J198" s="94"/>
      <c r="K198" s="94"/>
      <c r="L198" s="94"/>
      <c r="M198" s="94"/>
      <c r="N198" s="94"/>
      <c r="O198" s="94"/>
      <c r="P198" s="94"/>
      <c r="Q198" s="94"/>
      <c r="R198" s="94"/>
      <c r="S198" s="94"/>
      <c r="T198" s="94"/>
      <c r="U198" s="94"/>
      <c r="V198" s="94"/>
      <c r="W198" s="94"/>
      <c r="X198" s="94"/>
      <c r="Y198" s="94"/>
      <c r="Z198" s="94"/>
      <c r="AA198" s="94"/>
      <c r="AB198" s="94"/>
      <c r="AC198" s="94"/>
      <c r="AD198" s="94"/>
      <c r="AE198" s="94"/>
      <c r="AF198" s="94"/>
      <c r="AG198" s="94"/>
    </row>
    <row r="199">
      <c r="A199" s="96" t="s">
        <v>1598</v>
      </c>
      <c r="B199" s="95" t="str">
        <f>IFERROR(__xludf.DUMMYFUNCTION("""COMPUTED_VALUE"""),"32044150448587_028")</f>
        <v>32044150448587_028</v>
      </c>
      <c r="C199" s="94" t="str">
        <f>IFERROR(__xludf.DUMMYFUNCTION("""COMPUTED_VALUE""")," 32044150448587_029")</f>
        <v> 32044150448587_029</v>
      </c>
      <c r="D199" s="94" t="str">
        <f>IFERROR(__xludf.DUMMYFUNCTION("""COMPUTED_VALUE""")," 32044150448587_030")</f>
        <v> 32044150448587_030</v>
      </c>
      <c r="E199" s="94" t="str">
        <f>IFERROR(__xludf.DUMMYFUNCTION("""COMPUTED_VALUE""")," 32044150448587_031")</f>
        <v> 32044150448587_031</v>
      </c>
      <c r="F199" s="94" t="str">
        <f>IFERROR(__xludf.DUMMYFUNCTION("""COMPUTED_VALUE""")," 32044150448587_032")</f>
        <v> 32044150448587_032</v>
      </c>
      <c r="G199" s="94" t="str">
        <f>IFERROR(__xludf.DUMMYFUNCTION("""COMPUTED_VALUE""")," 32044150448587_033")</f>
        <v> 32044150448587_033</v>
      </c>
      <c r="H199" s="94" t="str">
        <f>IFERROR(__xludf.DUMMYFUNCTION("""COMPUTED_VALUE""")," 32044150448587_034")</f>
        <v> 32044150448587_034</v>
      </c>
      <c r="I199" s="94" t="str">
        <f>IFERROR(__xludf.DUMMYFUNCTION("""COMPUTED_VALUE""")," 32044150448587_035")</f>
        <v> 32044150448587_035</v>
      </c>
      <c r="J199" s="94"/>
      <c r="K199" s="94"/>
      <c r="L199" s="94"/>
      <c r="M199" s="94"/>
      <c r="N199" s="94"/>
      <c r="O199" s="94"/>
      <c r="P199" s="94"/>
      <c r="Q199" s="94"/>
      <c r="R199" s="94"/>
      <c r="S199" s="94"/>
      <c r="T199" s="94"/>
      <c r="U199" s="94"/>
      <c r="V199" s="94"/>
      <c r="W199" s="94"/>
      <c r="X199" s="94"/>
      <c r="Y199" s="94"/>
      <c r="Z199" s="94"/>
      <c r="AA199" s="94"/>
      <c r="AB199" s="94"/>
      <c r="AC199" s="94"/>
      <c r="AD199" s="94"/>
      <c r="AE199" s="94"/>
      <c r="AF199" s="94"/>
      <c r="AG199" s="94"/>
    </row>
    <row r="200">
      <c r="A200" s="96" t="s">
        <v>1606</v>
      </c>
      <c r="B200" s="95" t="str">
        <f>IFERROR(__xludf.DUMMYFUNCTION("""COMPUTED_VALUE"""),"32044150448587_036")</f>
        <v>32044150448587_036</v>
      </c>
      <c r="C200" s="94" t="str">
        <f>IFERROR(__xludf.DUMMYFUNCTION("""COMPUTED_VALUE""")," 32044150448587_037")</f>
        <v> 32044150448587_037</v>
      </c>
      <c r="D200" s="94" t="str">
        <f>IFERROR(__xludf.DUMMYFUNCTION("""COMPUTED_VALUE""")," 32044150448587_038")</f>
        <v> 32044150448587_038</v>
      </c>
      <c r="E200" s="94" t="str">
        <f>IFERROR(__xludf.DUMMYFUNCTION("""COMPUTED_VALUE""")," 32044150448587_039")</f>
        <v> 32044150448587_039</v>
      </c>
      <c r="F200" s="94" t="str">
        <f>IFERROR(__xludf.DUMMYFUNCTION("""COMPUTED_VALUE""")," 32044150448587_040")</f>
        <v> 32044150448587_040</v>
      </c>
      <c r="G200" s="94" t="str">
        <f>IFERROR(__xludf.DUMMYFUNCTION("""COMPUTED_VALUE""")," 32044150448587_041")</f>
        <v> 32044150448587_041</v>
      </c>
      <c r="H200" s="94" t="str">
        <f>IFERROR(__xludf.DUMMYFUNCTION("""COMPUTED_VALUE""")," 32044150448587_042")</f>
        <v> 32044150448587_042</v>
      </c>
      <c r="I200" s="94" t="str">
        <f>IFERROR(__xludf.DUMMYFUNCTION("""COMPUTED_VALUE""")," 32044150448587_043")</f>
        <v> 32044150448587_043</v>
      </c>
      <c r="J200" s="94" t="str">
        <f>IFERROR(__xludf.DUMMYFUNCTION("""COMPUTED_VALUE""")," 32044150448587_044")</f>
        <v> 32044150448587_044</v>
      </c>
      <c r="K200" s="94" t="str">
        <f>IFERROR(__xludf.DUMMYFUNCTION("""COMPUTED_VALUE""")," 32044150448587_045")</f>
        <v> 32044150448587_045</v>
      </c>
      <c r="L200" s="94" t="str">
        <f>IFERROR(__xludf.DUMMYFUNCTION("""COMPUTED_VALUE""")," 32044150448587_046")</f>
        <v> 32044150448587_046</v>
      </c>
      <c r="M200" s="94"/>
      <c r="N200" s="94"/>
      <c r="O200" s="94"/>
      <c r="P200" s="94"/>
      <c r="Q200" s="94"/>
      <c r="R200" s="94"/>
      <c r="S200" s="94"/>
      <c r="T200" s="94"/>
      <c r="U200" s="94"/>
      <c r="V200" s="94"/>
      <c r="W200" s="94"/>
      <c r="X200" s="94"/>
      <c r="Y200" s="94"/>
      <c r="Z200" s="94"/>
      <c r="AA200" s="94"/>
      <c r="AB200" s="94"/>
      <c r="AC200" s="94"/>
      <c r="AD200" s="94"/>
      <c r="AE200" s="94"/>
      <c r="AF200" s="94"/>
      <c r="AG200" s="94"/>
    </row>
    <row r="201">
      <c r="A201" s="96" t="s">
        <v>1617</v>
      </c>
      <c r="B201" s="95" t="str">
        <f>IFERROR(__xludf.DUMMYFUNCTION("""COMPUTED_VALUE"""),"32044150448595_001")</f>
        <v>32044150448595_001</v>
      </c>
      <c r="C201" s="94" t="str">
        <f>IFERROR(__xludf.DUMMYFUNCTION("""COMPUTED_VALUE""")," 32044150448595_002")</f>
        <v> 32044150448595_002</v>
      </c>
      <c r="D201" s="94" t="str">
        <f>IFERROR(__xludf.DUMMYFUNCTION("""COMPUTED_VALUE""")," 32044150448595_003")</f>
        <v> 32044150448595_003</v>
      </c>
      <c r="E201" s="94" t="str">
        <f>IFERROR(__xludf.DUMMYFUNCTION("""COMPUTED_VALUE""")," 32044150448595_004")</f>
        <v> 32044150448595_004</v>
      </c>
      <c r="F201" s="94"/>
      <c r="G201" s="94"/>
      <c r="H201" s="94"/>
      <c r="I201" s="94"/>
      <c r="J201" s="94"/>
      <c r="K201" s="94"/>
      <c r="L201" s="94"/>
      <c r="M201" s="94"/>
      <c r="N201" s="94"/>
      <c r="O201" s="94"/>
      <c r="P201" s="94"/>
      <c r="Q201" s="94"/>
      <c r="R201" s="94"/>
      <c r="S201" s="94"/>
      <c r="T201" s="94"/>
      <c r="U201" s="94"/>
      <c r="V201" s="94"/>
      <c r="W201" s="94"/>
      <c r="X201" s="94"/>
      <c r="Y201" s="94"/>
      <c r="Z201" s="94"/>
      <c r="AA201" s="94"/>
      <c r="AB201" s="94"/>
      <c r="AC201" s="94"/>
      <c r="AD201" s="94"/>
      <c r="AE201" s="94"/>
      <c r="AF201" s="94"/>
      <c r="AG201" s="94"/>
    </row>
    <row r="202">
      <c r="A202" s="96" t="s">
        <v>1627</v>
      </c>
      <c r="B202" s="95" t="str">
        <f>IFERROR(__xludf.DUMMYFUNCTION("""COMPUTED_VALUE"""),"32044150448595_005")</f>
        <v>32044150448595_005</v>
      </c>
      <c r="C202" s="94" t="str">
        <f>IFERROR(__xludf.DUMMYFUNCTION("""COMPUTED_VALUE""")," 32044150448595_006")</f>
        <v> 32044150448595_006</v>
      </c>
      <c r="D202" s="94" t="str">
        <f>IFERROR(__xludf.DUMMYFUNCTION("""COMPUTED_VALUE""")," 32044150448595_007")</f>
        <v> 32044150448595_007</v>
      </c>
      <c r="E202" s="94" t="str">
        <f>IFERROR(__xludf.DUMMYFUNCTION("""COMPUTED_VALUE""")," 32044150448595_008")</f>
        <v> 32044150448595_008</v>
      </c>
      <c r="F202" s="94" t="str">
        <f>IFERROR(__xludf.DUMMYFUNCTION("""COMPUTED_VALUE""")," 32044150448595_009")</f>
        <v> 32044150448595_009</v>
      </c>
      <c r="G202" s="94" t="str">
        <f>IFERROR(__xludf.DUMMYFUNCTION("""COMPUTED_VALUE""")," 32044150448595_010")</f>
        <v> 32044150448595_010</v>
      </c>
      <c r="H202" s="94" t="str">
        <f>IFERROR(__xludf.DUMMYFUNCTION("""COMPUTED_VALUE""")," 32044150448595_011")</f>
        <v> 32044150448595_011</v>
      </c>
      <c r="I202" s="94" t="str">
        <f>IFERROR(__xludf.DUMMYFUNCTION("""COMPUTED_VALUE""")," 32044150448595_012")</f>
        <v> 32044150448595_012</v>
      </c>
      <c r="J202" s="94" t="str">
        <f>IFERROR(__xludf.DUMMYFUNCTION("""COMPUTED_VALUE""")," 32044150448595_013")</f>
        <v> 32044150448595_013</v>
      </c>
      <c r="K202" s="94" t="str">
        <f>IFERROR(__xludf.DUMMYFUNCTION("""COMPUTED_VALUE""")," 32044150448595_014")</f>
        <v> 32044150448595_014</v>
      </c>
      <c r="L202" s="94" t="str">
        <f>IFERROR(__xludf.DUMMYFUNCTION("""COMPUTED_VALUE""")," 32044150448595_015")</f>
        <v> 32044150448595_015</v>
      </c>
      <c r="M202" s="94" t="str">
        <f>IFERROR(__xludf.DUMMYFUNCTION("""COMPUTED_VALUE""")," 32044150448595_016")</f>
        <v> 32044150448595_016</v>
      </c>
      <c r="N202" s="94" t="str">
        <f>IFERROR(__xludf.DUMMYFUNCTION("""COMPUTED_VALUE""")," 32044150448595_017")</f>
        <v> 32044150448595_017</v>
      </c>
      <c r="O202" s="94" t="str">
        <f>IFERROR(__xludf.DUMMYFUNCTION("""COMPUTED_VALUE""")," 32044150448595_018")</f>
        <v> 32044150448595_018</v>
      </c>
      <c r="P202" s="94" t="str">
        <f>IFERROR(__xludf.DUMMYFUNCTION("""COMPUTED_VALUE""")," 32044150448595_019")</f>
        <v> 32044150448595_019</v>
      </c>
      <c r="Q202" s="94" t="str">
        <f>IFERROR(__xludf.DUMMYFUNCTION("""COMPUTED_VALUE""")," 32044150448595_020")</f>
        <v> 32044150448595_020</v>
      </c>
      <c r="R202" s="94"/>
      <c r="S202" s="94"/>
      <c r="T202" s="94"/>
      <c r="U202" s="94"/>
      <c r="V202" s="94"/>
      <c r="W202" s="94"/>
      <c r="X202" s="94"/>
      <c r="Y202" s="94"/>
      <c r="Z202" s="94"/>
      <c r="AA202" s="94"/>
      <c r="AB202" s="94"/>
      <c r="AC202" s="94"/>
      <c r="AD202" s="94"/>
      <c r="AE202" s="94"/>
      <c r="AF202" s="94"/>
      <c r="AG202" s="94"/>
    </row>
    <row r="203">
      <c r="A203" s="96" t="s">
        <v>1637</v>
      </c>
      <c r="B203" s="95" t="str">
        <f>IFERROR(__xludf.DUMMYFUNCTION("""COMPUTED_VALUE"""),"32044150448595_021")</f>
        <v>32044150448595_021</v>
      </c>
      <c r="C203" s="94" t="str">
        <f>IFERROR(__xludf.DUMMYFUNCTION("""COMPUTED_VALUE""")," 32044150448595_022")</f>
        <v> 32044150448595_022</v>
      </c>
      <c r="D203" s="94" t="str">
        <f>IFERROR(__xludf.DUMMYFUNCTION("""COMPUTED_VALUE""")," 32044150448595_023")</f>
        <v> 32044150448595_023</v>
      </c>
      <c r="E203" s="94" t="str">
        <f>IFERROR(__xludf.DUMMYFUNCTION("""COMPUTED_VALUE""")," 32044150448595_024")</f>
        <v> 32044150448595_024</v>
      </c>
      <c r="F203" s="94" t="str">
        <f>IFERROR(__xludf.DUMMYFUNCTION("""COMPUTED_VALUE""")," 32044150448595_025")</f>
        <v> 32044150448595_025</v>
      </c>
      <c r="G203" s="94" t="str">
        <f>IFERROR(__xludf.DUMMYFUNCTION("""COMPUTED_VALUE""")," 32044150448595_026")</f>
        <v> 32044150448595_026</v>
      </c>
      <c r="H203" s="94" t="str">
        <f>IFERROR(__xludf.DUMMYFUNCTION("""COMPUTED_VALUE""")," 32044150448595_026")</f>
        <v> 32044150448595_026</v>
      </c>
      <c r="I203" s="94" t="str">
        <f>IFERROR(__xludf.DUMMYFUNCTION("""COMPUTED_VALUE""")," 32044150448595_027")</f>
        <v> 32044150448595_027</v>
      </c>
      <c r="J203" s="94" t="str">
        <f>IFERROR(__xludf.DUMMYFUNCTION("""COMPUTED_VALUE""")," 32044150448595_028")</f>
        <v> 32044150448595_028</v>
      </c>
      <c r="K203" s="94" t="str">
        <f>IFERROR(__xludf.DUMMYFUNCTION("""COMPUTED_VALUE""")," 32044150448595_029")</f>
        <v> 32044150448595_029</v>
      </c>
      <c r="L203" s="94" t="str">
        <f>IFERROR(__xludf.DUMMYFUNCTION("""COMPUTED_VALUE""")," 32044150448595_030")</f>
        <v> 32044150448595_030</v>
      </c>
      <c r="M203" s="94" t="str">
        <f>IFERROR(__xludf.DUMMYFUNCTION("""COMPUTED_VALUE""")," 32044150448595_031")</f>
        <v> 32044150448595_031</v>
      </c>
      <c r="N203" s="94" t="str">
        <f>IFERROR(__xludf.DUMMYFUNCTION("""COMPUTED_VALUE""")," 32044150448595_032")</f>
        <v> 32044150448595_032</v>
      </c>
      <c r="O203" s="94" t="str">
        <f>IFERROR(__xludf.DUMMYFUNCTION("""COMPUTED_VALUE""")," 32044150448595_033")</f>
        <v> 32044150448595_033</v>
      </c>
      <c r="P203" s="94" t="str">
        <f>IFERROR(__xludf.DUMMYFUNCTION("""COMPUTED_VALUE""")," 32044150448595_034")</f>
        <v> 32044150448595_034</v>
      </c>
      <c r="Q203" s="94" t="str">
        <f>IFERROR(__xludf.DUMMYFUNCTION("""COMPUTED_VALUE""")," 32044150448595_035")</f>
        <v> 32044150448595_035</v>
      </c>
      <c r="R203" s="94" t="str">
        <f>IFERROR(__xludf.DUMMYFUNCTION("""COMPUTED_VALUE""")," 32044150448595_036")</f>
        <v> 32044150448595_036</v>
      </c>
      <c r="S203" s="94" t="str">
        <f>IFERROR(__xludf.DUMMYFUNCTION("""COMPUTED_VALUE""")," 32044150448595_037")</f>
        <v> 32044150448595_037</v>
      </c>
      <c r="T203" s="94"/>
      <c r="U203" s="94"/>
      <c r="V203" s="94"/>
      <c r="W203" s="94"/>
      <c r="X203" s="94"/>
      <c r="Y203" s="94"/>
      <c r="Z203" s="94"/>
      <c r="AA203" s="94"/>
      <c r="AB203" s="94"/>
      <c r="AC203" s="94"/>
      <c r="AD203" s="94"/>
      <c r="AE203" s="94"/>
      <c r="AF203" s="94"/>
      <c r="AG203" s="94"/>
    </row>
    <row r="204">
      <c r="A204" s="96" t="s">
        <v>1647</v>
      </c>
      <c r="B204" s="95" t="str">
        <f>IFERROR(__xludf.DUMMYFUNCTION("""COMPUTED_VALUE"""),"32044150448595_038")</f>
        <v>32044150448595_038</v>
      </c>
      <c r="C204" s="94" t="str">
        <f>IFERROR(__xludf.DUMMYFUNCTION("""COMPUTED_VALUE""")," 32044150448595_039")</f>
        <v> 32044150448595_039</v>
      </c>
      <c r="D204" s="94" t="str">
        <f>IFERROR(__xludf.DUMMYFUNCTION("""COMPUTED_VALUE""")," 32044150448595_040")</f>
        <v> 32044150448595_040</v>
      </c>
      <c r="E204" s="94" t="str">
        <f>IFERROR(__xludf.DUMMYFUNCTION("""COMPUTED_VALUE""")," 32044150448595_041")</f>
        <v> 32044150448595_041</v>
      </c>
      <c r="F204" s="94" t="str">
        <f>IFERROR(__xludf.DUMMYFUNCTION("""COMPUTED_VALUE""")," 32044150448595_042")</f>
        <v> 32044150448595_042</v>
      </c>
      <c r="G204" s="94" t="str">
        <f>IFERROR(__xludf.DUMMYFUNCTION("""COMPUTED_VALUE""")," 32044150448595_043")</f>
        <v> 32044150448595_043</v>
      </c>
      <c r="H204" s="94" t="str">
        <f>IFERROR(__xludf.DUMMYFUNCTION("""COMPUTED_VALUE""")," 32044150448595_044")</f>
        <v> 32044150448595_044</v>
      </c>
      <c r="I204" s="94" t="str">
        <f>IFERROR(__xludf.DUMMYFUNCTION("""COMPUTED_VALUE""")," 32044150448595_045")</f>
        <v> 32044150448595_045</v>
      </c>
      <c r="J204" s="94" t="str">
        <f>IFERROR(__xludf.DUMMYFUNCTION("""COMPUTED_VALUE""")," 32044150448595_046")</f>
        <v> 32044150448595_046</v>
      </c>
      <c r="K204" s="94" t="str">
        <f>IFERROR(__xludf.DUMMYFUNCTION("""COMPUTED_VALUE""")," 32044150448595_047")</f>
        <v> 32044150448595_047</v>
      </c>
      <c r="L204" s="94" t="str">
        <f>IFERROR(__xludf.DUMMYFUNCTION("""COMPUTED_VALUE""")," 32044150448595_048")</f>
        <v> 32044150448595_048</v>
      </c>
      <c r="M204" s="94" t="str">
        <f>IFERROR(__xludf.DUMMYFUNCTION("""COMPUTED_VALUE""")," 32044150448595_049")</f>
        <v> 32044150448595_049</v>
      </c>
      <c r="N204" s="94"/>
      <c r="O204" s="94"/>
      <c r="P204" s="94"/>
      <c r="Q204" s="94"/>
      <c r="R204" s="94"/>
      <c r="S204" s="94"/>
      <c r="T204" s="94"/>
      <c r="U204" s="94"/>
      <c r="V204" s="94"/>
      <c r="W204" s="94"/>
      <c r="X204" s="94"/>
      <c r="Y204" s="94"/>
      <c r="Z204" s="94"/>
      <c r="AA204" s="94"/>
      <c r="AB204" s="94"/>
      <c r="AC204" s="94"/>
      <c r="AD204" s="94"/>
      <c r="AE204" s="94"/>
      <c r="AF204" s="94"/>
      <c r="AG204" s="94"/>
    </row>
    <row r="205">
      <c r="A205" s="96" t="s">
        <v>1656</v>
      </c>
      <c r="B205" s="95" t="str">
        <f>IFERROR(__xludf.DUMMYFUNCTION("""COMPUTED_VALUE"""),"32044150448595_050")</f>
        <v>32044150448595_050</v>
      </c>
      <c r="C205" s="94" t="str">
        <f>IFERROR(__xludf.DUMMYFUNCTION("""COMPUTED_VALUE""")," 32044150448595_051")</f>
        <v> 32044150448595_051</v>
      </c>
      <c r="D205" s="94" t="str">
        <f>IFERROR(__xludf.DUMMYFUNCTION("""COMPUTED_VALUE""")," 32044150448595_052")</f>
        <v> 32044150448595_052</v>
      </c>
      <c r="E205" s="94" t="str">
        <f>IFERROR(__xludf.DUMMYFUNCTION("""COMPUTED_VALUE""")," 32044150448595_053")</f>
        <v> 32044150448595_053</v>
      </c>
      <c r="F205" s="94"/>
      <c r="G205" s="94"/>
      <c r="H205" s="94"/>
      <c r="I205" s="94"/>
      <c r="J205" s="94"/>
      <c r="K205" s="94"/>
      <c r="L205" s="94"/>
      <c r="M205" s="94"/>
      <c r="N205" s="94"/>
      <c r="O205" s="94"/>
      <c r="P205" s="94"/>
      <c r="Q205" s="94"/>
      <c r="R205" s="94"/>
      <c r="S205" s="94"/>
      <c r="T205" s="94"/>
      <c r="U205" s="94"/>
      <c r="V205" s="94"/>
      <c r="W205" s="94"/>
      <c r="X205" s="94"/>
      <c r="Y205" s="94"/>
      <c r="Z205" s="94"/>
      <c r="AA205" s="94"/>
      <c r="AB205" s="94"/>
      <c r="AC205" s="94"/>
      <c r="AD205" s="94"/>
      <c r="AE205" s="94"/>
      <c r="AF205" s="94"/>
      <c r="AG205" s="94"/>
    </row>
    <row r="206">
      <c r="A206" s="96" t="s">
        <v>1667</v>
      </c>
      <c r="B206" s="95" t="str">
        <f>IFERROR(__xludf.DUMMYFUNCTION("""COMPUTED_VALUE"""),"32044150448603_001")</f>
        <v>32044150448603_001</v>
      </c>
      <c r="C206" s="94" t="str">
        <f>IFERROR(__xludf.DUMMYFUNCTION("""COMPUTED_VALUE""")," 32044150448603_002")</f>
        <v> 32044150448603_002</v>
      </c>
      <c r="D206" s="94" t="str">
        <f>IFERROR(__xludf.DUMMYFUNCTION("""COMPUTED_VALUE""")," 32044150448603_003")</f>
        <v> 32044150448603_003</v>
      </c>
      <c r="E206" s="94" t="str">
        <f>IFERROR(__xludf.DUMMYFUNCTION("""COMPUTED_VALUE""")," 32044150448603_004")</f>
        <v> 32044150448603_004</v>
      </c>
      <c r="F206" s="94" t="str">
        <f>IFERROR(__xludf.DUMMYFUNCTION("""COMPUTED_VALUE""")," 32044150448603_005")</f>
        <v> 32044150448603_005</v>
      </c>
      <c r="G206" s="94" t="str">
        <f>IFERROR(__xludf.DUMMYFUNCTION("""COMPUTED_VALUE""")," 32044150448603_006")</f>
        <v> 32044150448603_006</v>
      </c>
      <c r="H206" s="94" t="str">
        <f>IFERROR(__xludf.DUMMYFUNCTION("""COMPUTED_VALUE""")," 32044150448603_007")</f>
        <v> 32044150448603_007</v>
      </c>
      <c r="I206" s="94" t="str">
        <f>IFERROR(__xludf.DUMMYFUNCTION("""COMPUTED_VALUE""")," 32044150448603_008")</f>
        <v> 32044150448603_008</v>
      </c>
      <c r="J206" s="94" t="str">
        <f>IFERROR(__xludf.DUMMYFUNCTION("""COMPUTED_VALUE""")," 32044150448603_009")</f>
        <v> 32044150448603_009</v>
      </c>
      <c r="K206" s="94" t="str">
        <f>IFERROR(__xludf.DUMMYFUNCTION("""COMPUTED_VALUE""")," 32044150448603_010")</f>
        <v> 32044150448603_010</v>
      </c>
      <c r="L206" s="94" t="str">
        <f>IFERROR(__xludf.DUMMYFUNCTION("""COMPUTED_VALUE""")," 32044150448603_011")</f>
        <v> 32044150448603_011</v>
      </c>
      <c r="M206" s="94" t="str">
        <f>IFERROR(__xludf.DUMMYFUNCTION("""COMPUTED_VALUE""")," 32044150448603_012")</f>
        <v> 32044150448603_012</v>
      </c>
      <c r="N206" s="94" t="str">
        <f>IFERROR(__xludf.DUMMYFUNCTION("""COMPUTED_VALUE""")," 32044150448603_013")</f>
        <v> 32044150448603_013</v>
      </c>
      <c r="O206" s="94" t="str">
        <f>IFERROR(__xludf.DUMMYFUNCTION("""COMPUTED_VALUE""")," 32044150448603_014")</f>
        <v> 32044150448603_014</v>
      </c>
      <c r="P206" s="94" t="str">
        <f>IFERROR(__xludf.DUMMYFUNCTION("""COMPUTED_VALUE""")," 32044150448603_015")</f>
        <v> 32044150448603_015</v>
      </c>
      <c r="Q206" s="94" t="str">
        <f>IFERROR(__xludf.DUMMYFUNCTION("""COMPUTED_VALUE""")," 32044150448603_016")</f>
        <v> 32044150448603_016</v>
      </c>
      <c r="R206" s="94" t="str">
        <f>IFERROR(__xludf.DUMMYFUNCTION("""COMPUTED_VALUE""")," 32044150448603_017")</f>
        <v> 32044150448603_017</v>
      </c>
      <c r="S206" s="94" t="str">
        <f>IFERROR(__xludf.DUMMYFUNCTION("""COMPUTED_VALUE""")," 32044150448603_018")</f>
        <v> 32044150448603_018</v>
      </c>
      <c r="T206" s="94" t="str">
        <f>IFERROR(__xludf.DUMMYFUNCTION("""COMPUTED_VALUE""")," 32044150448603_019")</f>
        <v> 32044150448603_019</v>
      </c>
      <c r="U206" s="94" t="str">
        <f>IFERROR(__xludf.DUMMYFUNCTION("""COMPUTED_VALUE""")," 32044150448603_020")</f>
        <v> 32044150448603_020</v>
      </c>
      <c r="V206" s="94" t="str">
        <f>IFERROR(__xludf.DUMMYFUNCTION("""COMPUTED_VALUE""")," 32044150448603_021")</f>
        <v> 32044150448603_021</v>
      </c>
      <c r="W206" s="94" t="str">
        <f>IFERROR(__xludf.DUMMYFUNCTION("""COMPUTED_VALUE""")," 32044150448603_022")</f>
        <v> 32044150448603_022</v>
      </c>
      <c r="X206" s="94" t="str">
        <f>IFERROR(__xludf.DUMMYFUNCTION("""COMPUTED_VALUE""")," 32044150448603_023")</f>
        <v> 32044150448603_023</v>
      </c>
      <c r="Y206" s="94" t="str">
        <f>IFERROR(__xludf.DUMMYFUNCTION("""COMPUTED_VALUE""")," 32044150448603_024")</f>
        <v> 32044150448603_024</v>
      </c>
      <c r="Z206" s="94" t="str">
        <f>IFERROR(__xludf.DUMMYFUNCTION("""COMPUTED_VALUE""")," 32044150448603_025")</f>
        <v> 32044150448603_025</v>
      </c>
      <c r="AA206" s="94" t="str">
        <f>IFERROR(__xludf.DUMMYFUNCTION("""COMPUTED_VALUE""")," 32044150448603_026")</f>
        <v> 32044150448603_026</v>
      </c>
      <c r="AB206" s="94" t="str">
        <f>IFERROR(__xludf.DUMMYFUNCTION("""COMPUTED_VALUE""")," 32044150448603_027")</f>
        <v> 32044150448603_027</v>
      </c>
      <c r="AC206" s="94" t="str">
        <f>IFERROR(__xludf.DUMMYFUNCTION("""COMPUTED_VALUE""")," 32044150448603_028")</f>
        <v> 32044150448603_028</v>
      </c>
      <c r="AD206" s="94" t="str">
        <f>IFERROR(__xludf.DUMMYFUNCTION("""COMPUTED_VALUE""")," 32044150448603_029")</f>
        <v> 32044150448603_029</v>
      </c>
      <c r="AE206" s="94" t="str">
        <f>IFERROR(__xludf.DUMMYFUNCTION("""COMPUTED_VALUE""")," 32044150448603_030")</f>
        <v> 32044150448603_030</v>
      </c>
      <c r="AF206" s="94" t="str">
        <f>IFERROR(__xludf.DUMMYFUNCTION("""COMPUTED_VALUE""")," 32044150448603_031")</f>
        <v> 32044150448603_031</v>
      </c>
      <c r="AG206" s="94" t="str">
        <f>IFERROR(__xludf.DUMMYFUNCTION("""COMPUTED_VALUE""")," 32044150448603_032")</f>
        <v> 32044150448603_032</v>
      </c>
    </row>
    <row r="207">
      <c r="A207" s="96" t="s">
        <v>1675</v>
      </c>
      <c r="B207" s="95" t="str">
        <f>IFERROR(__xludf.DUMMYFUNCTION("""COMPUTED_VALUE"""),"32044150448603_033")</f>
        <v>32044150448603_033</v>
      </c>
      <c r="C207" s="94" t="str">
        <f>IFERROR(__xludf.DUMMYFUNCTION("""COMPUTED_VALUE""")," 32044150448603_034")</f>
        <v> 32044150448603_034</v>
      </c>
      <c r="D207" s="94"/>
      <c r="E207" s="94"/>
      <c r="F207" s="94"/>
      <c r="G207" s="94"/>
      <c r="H207" s="94"/>
      <c r="I207" s="94"/>
      <c r="J207" s="94"/>
      <c r="K207" s="94"/>
      <c r="L207" s="94"/>
      <c r="M207" s="94"/>
      <c r="N207" s="94"/>
      <c r="O207" s="94"/>
      <c r="P207" s="94"/>
      <c r="Q207" s="94"/>
      <c r="R207" s="94"/>
      <c r="S207" s="94"/>
      <c r="T207" s="94"/>
      <c r="U207" s="94"/>
      <c r="V207" s="94"/>
      <c r="W207" s="94"/>
      <c r="X207" s="94"/>
      <c r="Y207" s="94"/>
      <c r="Z207" s="94"/>
      <c r="AA207" s="94"/>
      <c r="AB207" s="94"/>
      <c r="AC207" s="94"/>
      <c r="AD207" s="94"/>
      <c r="AE207" s="94"/>
      <c r="AF207" s="94"/>
      <c r="AG207" s="94"/>
    </row>
    <row r="208">
      <c r="A208" s="96" t="s">
        <v>1684</v>
      </c>
      <c r="B208" s="95" t="str">
        <f>IFERROR(__xludf.DUMMYFUNCTION("""COMPUTED_VALUE"""),"32044150448603_035")</f>
        <v>32044150448603_035</v>
      </c>
      <c r="C208" s="94" t="str">
        <f>IFERROR(__xludf.DUMMYFUNCTION("""COMPUTED_VALUE""")," 32044150448603_036")</f>
        <v> 32044150448603_036</v>
      </c>
      <c r="D208" s="94" t="str">
        <f>IFERROR(__xludf.DUMMYFUNCTION("""COMPUTED_VALUE""")," 32044150448603_037")</f>
        <v> 32044150448603_037</v>
      </c>
      <c r="E208" s="94" t="str">
        <f>IFERROR(__xludf.DUMMYFUNCTION("""COMPUTED_VALUE""")," 32044150448603_038")</f>
        <v> 32044150448603_038</v>
      </c>
      <c r="F208" s="94" t="str">
        <f>IFERROR(__xludf.DUMMYFUNCTION("""COMPUTED_VALUE""")," 32044150448603_039")</f>
        <v> 32044150448603_039</v>
      </c>
      <c r="G208" s="94" t="str">
        <f>IFERROR(__xludf.DUMMYFUNCTION("""COMPUTED_VALUE""")," 32044150448603_040")</f>
        <v> 32044150448603_040</v>
      </c>
      <c r="H208" s="94" t="str">
        <f>IFERROR(__xludf.DUMMYFUNCTION("""COMPUTED_VALUE""")," 32044150448603_041")</f>
        <v> 32044150448603_041</v>
      </c>
      <c r="I208" s="94" t="str">
        <f>IFERROR(__xludf.DUMMYFUNCTION("""COMPUTED_VALUE""")," 32044150448603_042")</f>
        <v> 32044150448603_042</v>
      </c>
      <c r="J208" s="94" t="str">
        <f>IFERROR(__xludf.DUMMYFUNCTION("""COMPUTED_VALUE""")," 32044150448603_043")</f>
        <v> 32044150448603_043</v>
      </c>
      <c r="K208" s="94" t="str">
        <f>IFERROR(__xludf.DUMMYFUNCTION("""COMPUTED_VALUE""")," 32044150448603_044")</f>
        <v> 32044150448603_044</v>
      </c>
      <c r="L208" s="94" t="str">
        <f>IFERROR(__xludf.DUMMYFUNCTION("""COMPUTED_VALUE""")," 32044150448603_045")</f>
        <v> 32044150448603_045</v>
      </c>
      <c r="M208" s="94" t="str">
        <f>IFERROR(__xludf.DUMMYFUNCTION("""COMPUTED_VALUE""")," 32044150448603_046")</f>
        <v> 32044150448603_046</v>
      </c>
      <c r="N208" s="94" t="str">
        <f>IFERROR(__xludf.DUMMYFUNCTION("""COMPUTED_VALUE""")," 32044150448603_047")</f>
        <v> 32044150448603_047</v>
      </c>
      <c r="O208" s="94"/>
      <c r="P208" s="94"/>
      <c r="Q208" s="94"/>
      <c r="R208" s="94"/>
      <c r="S208" s="94"/>
      <c r="T208" s="94"/>
      <c r="U208" s="94"/>
      <c r="V208" s="94"/>
      <c r="W208" s="94"/>
      <c r="X208" s="94"/>
      <c r="Y208" s="94"/>
      <c r="Z208" s="94"/>
      <c r="AA208" s="94"/>
      <c r="AB208" s="94"/>
      <c r="AC208" s="94"/>
      <c r="AD208" s="94"/>
      <c r="AE208" s="94"/>
      <c r="AF208" s="94"/>
      <c r="AG208" s="94"/>
    </row>
    <row r="209">
      <c r="A209" s="96" t="s">
        <v>1692</v>
      </c>
      <c r="B209" s="95" t="str">
        <f>IFERROR(__xludf.DUMMYFUNCTION("""COMPUTED_VALUE"""),"32044150448603_048")</f>
        <v>32044150448603_048</v>
      </c>
      <c r="C209" s="94" t="str">
        <f>IFERROR(__xludf.DUMMYFUNCTION("""COMPUTED_VALUE""")," 32044150448603_049")</f>
        <v> 32044150448603_049</v>
      </c>
      <c r="D209" s="94" t="str">
        <f>IFERROR(__xludf.DUMMYFUNCTION("""COMPUTED_VALUE""")," 32044150448603_050")</f>
        <v> 32044150448603_050</v>
      </c>
      <c r="E209" s="94" t="str">
        <f>IFERROR(__xludf.DUMMYFUNCTION("""COMPUTED_VALUE""")," 32044150448603_051")</f>
        <v> 32044150448603_051</v>
      </c>
      <c r="F209" s="94" t="str">
        <f>IFERROR(__xludf.DUMMYFUNCTION("""COMPUTED_VALUE""")," 32044150448603_052")</f>
        <v> 32044150448603_052</v>
      </c>
      <c r="G209" s="94" t="str">
        <f>IFERROR(__xludf.DUMMYFUNCTION("""COMPUTED_VALUE""")," 32044150448603_053")</f>
        <v> 32044150448603_053</v>
      </c>
      <c r="H209" s="94"/>
      <c r="I209" s="94"/>
      <c r="J209" s="94"/>
      <c r="K209" s="94"/>
      <c r="L209" s="94"/>
      <c r="M209" s="94"/>
      <c r="N209" s="94"/>
      <c r="O209" s="94"/>
      <c r="P209" s="94"/>
      <c r="Q209" s="94"/>
      <c r="R209" s="94"/>
      <c r="S209" s="94"/>
      <c r="T209" s="94"/>
      <c r="U209" s="94"/>
      <c r="V209" s="94"/>
      <c r="W209" s="94"/>
      <c r="X209" s="94"/>
      <c r="Y209" s="94"/>
      <c r="Z209" s="94"/>
      <c r="AA209" s="94"/>
      <c r="AB209" s="94"/>
      <c r="AC209" s="94"/>
      <c r="AD209" s="94"/>
      <c r="AE209" s="94"/>
      <c r="AF209" s="94"/>
      <c r="AG209" s="94"/>
    </row>
    <row r="210">
      <c r="A210" s="96" t="s">
        <v>1701</v>
      </c>
      <c r="B210" s="95" t="str">
        <f>IFERROR(__xludf.DUMMYFUNCTION("""COMPUTED_VALUE"""),"32044150448611_001")</f>
        <v>32044150448611_001</v>
      </c>
      <c r="C210" s="94" t="str">
        <f>IFERROR(__xludf.DUMMYFUNCTION("""COMPUTED_VALUE""")," 32044150448611_002")</f>
        <v> 32044150448611_002</v>
      </c>
      <c r="D210" s="94" t="str">
        <f>IFERROR(__xludf.DUMMYFUNCTION("""COMPUTED_VALUE""")," 32044150448611_003")</f>
        <v> 32044150448611_003</v>
      </c>
      <c r="E210" s="94" t="str">
        <f>IFERROR(__xludf.DUMMYFUNCTION("""COMPUTED_VALUE""")," 32044150448611_004")</f>
        <v> 32044150448611_004</v>
      </c>
      <c r="F210" s="94" t="str">
        <f>IFERROR(__xludf.DUMMYFUNCTION("""COMPUTED_VALUE""")," 32044150448611_005")</f>
        <v> 32044150448611_005</v>
      </c>
      <c r="G210" s="94" t="str">
        <f>IFERROR(__xludf.DUMMYFUNCTION("""COMPUTED_VALUE""")," 32044150448611_006")</f>
        <v> 32044150448611_006</v>
      </c>
      <c r="H210" s="94" t="str">
        <f>IFERROR(__xludf.DUMMYFUNCTION("""COMPUTED_VALUE""")," 32044150448611_007")</f>
        <v> 32044150448611_007</v>
      </c>
      <c r="I210" s="94" t="str">
        <f>IFERROR(__xludf.DUMMYFUNCTION("""COMPUTED_VALUE""")," 32044150448611_008")</f>
        <v> 32044150448611_008</v>
      </c>
      <c r="J210" s="94" t="str">
        <f>IFERROR(__xludf.DUMMYFUNCTION("""COMPUTED_VALUE""")," 32044150448611_009")</f>
        <v> 32044150448611_009</v>
      </c>
      <c r="K210" s="94" t="str">
        <f>IFERROR(__xludf.DUMMYFUNCTION("""COMPUTED_VALUE""")," 32044150448611_010")</f>
        <v> 32044150448611_010</v>
      </c>
      <c r="L210" s="94" t="str">
        <f>IFERROR(__xludf.DUMMYFUNCTION("""COMPUTED_VALUE""")," 32044150448611_011")</f>
        <v> 32044150448611_011</v>
      </c>
      <c r="M210" s="94" t="str">
        <f>IFERROR(__xludf.DUMMYFUNCTION("""COMPUTED_VALUE""")," 32044150448611_012")</f>
        <v> 32044150448611_012</v>
      </c>
      <c r="N210" s="94" t="str">
        <f>IFERROR(__xludf.DUMMYFUNCTION("""COMPUTED_VALUE""")," 32044150448611_013")</f>
        <v> 32044150448611_013</v>
      </c>
      <c r="O210" s="94" t="str">
        <f>IFERROR(__xludf.DUMMYFUNCTION("""COMPUTED_VALUE""")," 32044150448611_014")</f>
        <v> 32044150448611_014</v>
      </c>
      <c r="P210" s="94" t="str">
        <f>IFERROR(__xludf.DUMMYFUNCTION("""COMPUTED_VALUE""")," 32044150448611_015")</f>
        <v> 32044150448611_015</v>
      </c>
      <c r="Q210" s="94" t="str">
        <f>IFERROR(__xludf.DUMMYFUNCTION("""COMPUTED_VALUE""")," 32044150448611_016")</f>
        <v> 32044150448611_016</v>
      </c>
      <c r="R210" s="94" t="str">
        <f>IFERROR(__xludf.DUMMYFUNCTION("""COMPUTED_VALUE""")," 32044150448611_017")</f>
        <v> 32044150448611_017</v>
      </c>
      <c r="S210" s="94" t="str">
        <f>IFERROR(__xludf.DUMMYFUNCTION("""COMPUTED_VALUE""")," 32044150448611_018")</f>
        <v> 32044150448611_018</v>
      </c>
      <c r="T210" s="94" t="str">
        <f>IFERROR(__xludf.DUMMYFUNCTION("""COMPUTED_VALUE""")," 32044150448611_019")</f>
        <v> 32044150448611_019</v>
      </c>
      <c r="U210" s="94" t="str">
        <f>IFERROR(__xludf.DUMMYFUNCTION("""COMPUTED_VALUE""")," 32044150448611_020")</f>
        <v> 32044150448611_020</v>
      </c>
      <c r="V210" s="94"/>
      <c r="W210" s="94"/>
      <c r="X210" s="94"/>
      <c r="Y210" s="94"/>
      <c r="Z210" s="94"/>
      <c r="AA210" s="94"/>
      <c r="AB210" s="94"/>
      <c r="AC210" s="94"/>
      <c r="AD210" s="94"/>
      <c r="AE210" s="94"/>
      <c r="AF210" s="94"/>
      <c r="AG210" s="94"/>
    </row>
    <row r="211">
      <c r="A211" s="96" t="s">
        <v>1710</v>
      </c>
      <c r="B211" s="95" t="str">
        <f>IFERROR(__xludf.DUMMYFUNCTION("""COMPUTED_VALUE"""),"32044150448611_021")</f>
        <v>32044150448611_021</v>
      </c>
      <c r="C211" s="94" t="str">
        <f>IFERROR(__xludf.DUMMYFUNCTION("""COMPUTED_VALUE""")," 32044150448611_022")</f>
        <v> 32044150448611_022</v>
      </c>
      <c r="D211" s="94" t="str">
        <f>IFERROR(__xludf.DUMMYFUNCTION("""COMPUTED_VALUE""")," 32044150448611_023")</f>
        <v> 32044150448611_023</v>
      </c>
      <c r="E211" s="94" t="str">
        <f>IFERROR(__xludf.DUMMYFUNCTION("""COMPUTED_VALUE""")," 32044150448611_024")</f>
        <v> 32044150448611_024</v>
      </c>
      <c r="F211" s="94" t="str">
        <f>IFERROR(__xludf.DUMMYFUNCTION("""COMPUTED_VALUE""")," 32044150448611_025")</f>
        <v> 32044150448611_025</v>
      </c>
      <c r="G211" s="94" t="str">
        <f>IFERROR(__xludf.DUMMYFUNCTION("""COMPUTED_VALUE""")," 32044150448611_026")</f>
        <v> 32044150448611_026</v>
      </c>
      <c r="H211" s="94"/>
      <c r="I211" s="94"/>
      <c r="J211" s="94"/>
      <c r="K211" s="94"/>
      <c r="L211" s="94"/>
      <c r="M211" s="94"/>
      <c r="N211" s="94"/>
      <c r="O211" s="94"/>
      <c r="P211" s="94"/>
      <c r="Q211" s="94"/>
      <c r="R211" s="94"/>
      <c r="S211" s="94"/>
      <c r="T211" s="94"/>
      <c r="U211" s="94"/>
      <c r="V211" s="94"/>
      <c r="W211" s="94"/>
      <c r="X211" s="94"/>
      <c r="Y211" s="94"/>
      <c r="Z211" s="94"/>
      <c r="AA211" s="94"/>
      <c r="AB211" s="94"/>
      <c r="AC211" s="94"/>
      <c r="AD211" s="94"/>
      <c r="AE211" s="94"/>
      <c r="AF211" s="94"/>
      <c r="AG211" s="94"/>
    </row>
    <row r="212">
      <c r="A212" s="96" t="s">
        <v>1717</v>
      </c>
      <c r="B212" s="95" t="str">
        <f>IFERROR(__xludf.DUMMYFUNCTION("""COMPUTED_VALUE"""),"32044150448611_027")</f>
        <v>32044150448611_027</v>
      </c>
      <c r="C212" s="94" t="str">
        <f>IFERROR(__xludf.DUMMYFUNCTION("""COMPUTED_VALUE""")," 32044150448611_028")</f>
        <v> 32044150448611_028</v>
      </c>
      <c r="D212" s="94" t="str">
        <f>IFERROR(__xludf.DUMMYFUNCTION("""COMPUTED_VALUE""")," 32044150448611_029")</f>
        <v> 32044150448611_029</v>
      </c>
      <c r="E212" s="94" t="str">
        <f>IFERROR(__xludf.DUMMYFUNCTION("""COMPUTED_VALUE""")," 32044150448611_030")</f>
        <v> 32044150448611_030</v>
      </c>
      <c r="F212" s="94" t="str">
        <f>IFERROR(__xludf.DUMMYFUNCTION("""COMPUTED_VALUE""")," 32044150448611_031")</f>
        <v> 32044150448611_031</v>
      </c>
      <c r="G212" s="94"/>
      <c r="H212" s="94"/>
      <c r="I212" s="94"/>
      <c r="J212" s="94"/>
      <c r="K212" s="94"/>
      <c r="L212" s="94"/>
      <c r="M212" s="94"/>
      <c r="N212" s="94"/>
      <c r="O212" s="94"/>
      <c r="P212" s="94"/>
      <c r="Q212" s="94"/>
      <c r="R212" s="94"/>
      <c r="S212" s="94"/>
      <c r="T212" s="94"/>
      <c r="U212" s="94"/>
      <c r="V212" s="94"/>
      <c r="W212" s="94"/>
      <c r="X212" s="94"/>
      <c r="Y212" s="94"/>
      <c r="Z212" s="94"/>
      <c r="AA212" s="94"/>
      <c r="AB212" s="94"/>
      <c r="AC212" s="94"/>
      <c r="AD212" s="94"/>
      <c r="AE212" s="94"/>
      <c r="AF212" s="94"/>
      <c r="AG212" s="94"/>
    </row>
    <row r="213">
      <c r="A213" s="96" t="s">
        <v>1725</v>
      </c>
      <c r="B213" s="95" t="str">
        <f>IFERROR(__xludf.DUMMYFUNCTION("""COMPUTED_VALUE"""),"32044150448611_032")</f>
        <v>32044150448611_032</v>
      </c>
      <c r="C213" s="94" t="str">
        <f>IFERROR(__xludf.DUMMYFUNCTION("""COMPUTED_VALUE""")," 32044150448611_033")</f>
        <v> 32044150448611_033</v>
      </c>
      <c r="D213" s="94" t="str">
        <f>IFERROR(__xludf.DUMMYFUNCTION("""COMPUTED_VALUE""")," 32044150448611_034")</f>
        <v> 32044150448611_034</v>
      </c>
      <c r="E213" s="94" t="str">
        <f>IFERROR(__xludf.DUMMYFUNCTION("""COMPUTED_VALUE""")," 32044150448611_035")</f>
        <v> 32044150448611_035</v>
      </c>
      <c r="F213" s="94" t="str">
        <f>IFERROR(__xludf.DUMMYFUNCTION("""COMPUTED_VALUE""")," 32044150448611_036")</f>
        <v> 32044150448611_036</v>
      </c>
      <c r="G213" s="94" t="str">
        <f>IFERROR(__xludf.DUMMYFUNCTION("""COMPUTED_VALUE""")," 32044150448611_037")</f>
        <v> 32044150448611_037</v>
      </c>
      <c r="H213" s="94"/>
      <c r="I213" s="94"/>
      <c r="J213" s="94"/>
      <c r="K213" s="94"/>
      <c r="L213" s="94"/>
      <c r="M213" s="94"/>
      <c r="N213" s="94"/>
      <c r="O213" s="94"/>
      <c r="P213" s="94"/>
      <c r="Q213" s="94"/>
      <c r="R213" s="94"/>
      <c r="S213" s="94"/>
      <c r="T213" s="94"/>
      <c r="U213" s="94"/>
      <c r="V213" s="94"/>
      <c r="W213" s="94"/>
      <c r="X213" s="94"/>
      <c r="Y213" s="94"/>
      <c r="Z213" s="94"/>
      <c r="AA213" s="94"/>
      <c r="AB213" s="94"/>
      <c r="AC213" s="94"/>
      <c r="AD213" s="94"/>
      <c r="AE213" s="94"/>
      <c r="AF213" s="94"/>
      <c r="AG213" s="94"/>
    </row>
    <row r="214">
      <c r="A214" s="96" t="s">
        <v>1732</v>
      </c>
      <c r="B214" s="95" t="str">
        <f>IFERROR(__xludf.DUMMYFUNCTION("""COMPUTED_VALUE"""),"32044150448611_038")</f>
        <v>32044150448611_038</v>
      </c>
      <c r="C214" s="94" t="str">
        <f>IFERROR(__xludf.DUMMYFUNCTION("""COMPUTED_VALUE""")," 32044150448611_039")</f>
        <v> 32044150448611_039</v>
      </c>
      <c r="D214" s="94" t="str">
        <f>IFERROR(__xludf.DUMMYFUNCTION("""COMPUTED_VALUE""")," 32044150448611_040")</f>
        <v> 32044150448611_040</v>
      </c>
      <c r="E214" s="94" t="str">
        <f>IFERROR(__xludf.DUMMYFUNCTION("""COMPUTED_VALUE""")," 32044150448611_041")</f>
        <v> 32044150448611_041</v>
      </c>
      <c r="F214" s="94"/>
      <c r="G214" s="94"/>
      <c r="H214" s="94"/>
      <c r="I214" s="94"/>
      <c r="J214" s="94"/>
      <c r="K214" s="94"/>
      <c r="L214" s="94"/>
      <c r="M214" s="94"/>
      <c r="N214" s="94"/>
      <c r="O214" s="94"/>
      <c r="P214" s="94"/>
      <c r="Q214" s="94"/>
      <c r="R214" s="94"/>
      <c r="S214" s="94"/>
      <c r="T214" s="94"/>
      <c r="U214" s="94"/>
      <c r="V214" s="94"/>
      <c r="W214" s="94"/>
      <c r="X214" s="94"/>
      <c r="Y214" s="94"/>
      <c r="Z214" s="94"/>
      <c r="AA214" s="94"/>
      <c r="AB214" s="94"/>
      <c r="AC214" s="94"/>
      <c r="AD214" s="94"/>
      <c r="AE214" s="94"/>
      <c r="AF214" s="94"/>
      <c r="AG214" s="94"/>
    </row>
    <row r="215">
      <c r="A215" s="96" t="s">
        <v>1741</v>
      </c>
      <c r="B215" s="95" t="str">
        <f>IFERROR(__xludf.DUMMYFUNCTION("""COMPUTED_VALUE"""),"32044150448611_042")</f>
        <v>32044150448611_042</v>
      </c>
      <c r="C215" s="94" t="str">
        <f>IFERROR(__xludf.DUMMYFUNCTION("""COMPUTED_VALUE""")," 32044150448611_043")</f>
        <v> 32044150448611_043</v>
      </c>
      <c r="D215" s="94" t="str">
        <f>IFERROR(__xludf.DUMMYFUNCTION("""COMPUTED_VALUE""")," 32044150448611_044")</f>
        <v> 32044150448611_044</v>
      </c>
      <c r="E215" s="94" t="str">
        <f>IFERROR(__xludf.DUMMYFUNCTION("""COMPUTED_VALUE""")," 32044150448611_045")</f>
        <v> 32044150448611_045</v>
      </c>
      <c r="F215" s="94" t="str">
        <f>IFERROR(__xludf.DUMMYFUNCTION("""COMPUTED_VALUE""")," 32044150448611_046")</f>
        <v> 32044150448611_046</v>
      </c>
      <c r="G215" s="94" t="str">
        <f>IFERROR(__xludf.DUMMYFUNCTION("""COMPUTED_VALUE""")," 32044150448611_047")</f>
        <v> 32044150448611_047</v>
      </c>
      <c r="H215" s="94" t="str">
        <f>IFERROR(__xludf.DUMMYFUNCTION("""COMPUTED_VALUE""")," 32044150448611_048")</f>
        <v> 32044150448611_048</v>
      </c>
      <c r="I215" s="94" t="str">
        <f>IFERROR(__xludf.DUMMYFUNCTION("""COMPUTED_VALUE""")," 32044150448611_049")</f>
        <v> 32044150448611_049</v>
      </c>
      <c r="J215" s="94" t="str">
        <f>IFERROR(__xludf.DUMMYFUNCTION("""COMPUTED_VALUE""")," 32044150448611_050")</f>
        <v> 32044150448611_050</v>
      </c>
      <c r="K215" s="94" t="str">
        <f>IFERROR(__xludf.DUMMYFUNCTION("""COMPUTED_VALUE""")," 32044150448611_051")</f>
        <v> 32044150448611_051</v>
      </c>
      <c r="L215" s="94" t="str">
        <f>IFERROR(__xludf.DUMMYFUNCTION("""COMPUTED_VALUE""")," 32044150448611_051")</f>
        <v> 32044150448611_051</v>
      </c>
      <c r="M215" s="94" t="str">
        <f>IFERROR(__xludf.DUMMYFUNCTION("""COMPUTED_VALUE""")," 32044150448611_052")</f>
        <v> 32044150448611_052</v>
      </c>
      <c r="N215" s="94"/>
      <c r="O215" s="94"/>
      <c r="P215" s="94"/>
      <c r="Q215" s="94"/>
      <c r="R215" s="94"/>
      <c r="S215" s="94"/>
      <c r="T215" s="94"/>
      <c r="U215" s="94"/>
      <c r="V215" s="94"/>
      <c r="W215" s="94"/>
      <c r="X215" s="94"/>
      <c r="Y215" s="94"/>
      <c r="Z215" s="94"/>
      <c r="AA215" s="94"/>
      <c r="AB215" s="94"/>
      <c r="AC215" s="94"/>
      <c r="AD215" s="94"/>
      <c r="AE215" s="94"/>
      <c r="AF215" s="94"/>
      <c r="AG215" s="94"/>
    </row>
    <row r="216">
      <c r="A216" s="96" t="s">
        <v>1751</v>
      </c>
      <c r="B216" s="95" t="str">
        <f>IFERROR(__xludf.DUMMYFUNCTION("""COMPUTED_VALUE"""),"32044150448611_053")</f>
        <v>32044150448611_053</v>
      </c>
      <c r="C216" s="94" t="str">
        <f>IFERROR(__xludf.DUMMYFUNCTION("""COMPUTED_VALUE""")," 32044150448611_054")</f>
        <v> 32044150448611_054</v>
      </c>
      <c r="D216" s="94" t="str">
        <f>IFERROR(__xludf.DUMMYFUNCTION("""COMPUTED_VALUE""")," 32044150448611_055")</f>
        <v> 32044150448611_055</v>
      </c>
      <c r="E216" s="94" t="str">
        <f>IFERROR(__xludf.DUMMYFUNCTION("""COMPUTED_VALUE""")," 32044150448611_056")</f>
        <v> 32044150448611_056</v>
      </c>
      <c r="F216" s="94" t="str">
        <f>IFERROR(__xludf.DUMMYFUNCTION("""COMPUTED_VALUE""")," 32044150448611_057")</f>
        <v> 32044150448611_057</v>
      </c>
      <c r="G216" s="94" t="str">
        <f>IFERROR(__xludf.DUMMYFUNCTION("""COMPUTED_VALUE""")," 32044150448611_058")</f>
        <v> 32044150448611_058</v>
      </c>
      <c r="H216" s="94" t="str">
        <f>IFERROR(__xludf.DUMMYFUNCTION("""COMPUTED_VALUE""")," 32044150448611_059")</f>
        <v> 32044150448611_059</v>
      </c>
      <c r="I216" s="94" t="str">
        <f>IFERROR(__xludf.DUMMYFUNCTION("""COMPUTED_VALUE""")," 32044150448611_060")</f>
        <v> 32044150448611_060</v>
      </c>
      <c r="J216" s="94" t="str">
        <f>IFERROR(__xludf.DUMMYFUNCTION("""COMPUTED_VALUE""")," 32044150448611_061")</f>
        <v> 32044150448611_061</v>
      </c>
      <c r="K216" s="94"/>
      <c r="L216" s="94"/>
      <c r="M216" s="94"/>
      <c r="N216" s="94"/>
      <c r="O216" s="94"/>
      <c r="P216" s="94"/>
      <c r="Q216" s="94"/>
      <c r="R216" s="94"/>
      <c r="S216" s="94"/>
      <c r="T216" s="94"/>
      <c r="U216" s="94"/>
      <c r="V216" s="94"/>
      <c r="W216" s="94"/>
      <c r="X216" s="94"/>
      <c r="Y216" s="94"/>
      <c r="Z216" s="94"/>
      <c r="AA216" s="94"/>
      <c r="AB216" s="94"/>
      <c r="AC216" s="94"/>
      <c r="AD216" s="94"/>
      <c r="AE216" s="94"/>
      <c r="AF216" s="94"/>
      <c r="AG216" s="94"/>
    </row>
    <row r="217">
      <c r="A217" s="96" t="s">
        <v>1762</v>
      </c>
      <c r="B217" s="95" t="str">
        <f>IFERROR(__xludf.DUMMYFUNCTION("""COMPUTED_VALUE"""),"32044150448629_001")</f>
        <v>32044150448629_001</v>
      </c>
      <c r="C217" s="94" t="str">
        <f>IFERROR(__xludf.DUMMYFUNCTION("""COMPUTED_VALUE""")," 32044150448629_002")</f>
        <v> 32044150448629_002</v>
      </c>
      <c r="D217" s="94" t="str">
        <f>IFERROR(__xludf.DUMMYFUNCTION("""COMPUTED_VALUE""")," 32044150448629_003")</f>
        <v> 32044150448629_003</v>
      </c>
      <c r="E217" s="94"/>
      <c r="F217" s="94"/>
      <c r="G217" s="94"/>
      <c r="H217" s="94"/>
      <c r="I217" s="94"/>
      <c r="J217" s="94"/>
      <c r="K217" s="94"/>
      <c r="L217" s="94"/>
      <c r="M217" s="94"/>
      <c r="N217" s="94"/>
      <c r="O217" s="94"/>
      <c r="P217" s="94"/>
      <c r="Q217" s="94"/>
      <c r="R217" s="94"/>
      <c r="S217" s="94"/>
      <c r="T217" s="94"/>
      <c r="U217" s="94"/>
      <c r="V217" s="94"/>
      <c r="W217" s="94"/>
      <c r="X217" s="94"/>
      <c r="Y217" s="94"/>
      <c r="Z217" s="94"/>
      <c r="AA217" s="94"/>
      <c r="AB217" s="94"/>
      <c r="AC217" s="94"/>
      <c r="AD217" s="94"/>
      <c r="AE217" s="94"/>
      <c r="AF217" s="94"/>
      <c r="AG217" s="94"/>
    </row>
    <row r="218">
      <c r="A218" s="96" t="s">
        <v>1773</v>
      </c>
      <c r="B218" s="95" t="str">
        <f>IFERROR(__xludf.DUMMYFUNCTION("""COMPUTED_VALUE"""),"32044150448637_001")</f>
        <v>32044150448637_001</v>
      </c>
      <c r="C218" s="94" t="str">
        <f>IFERROR(__xludf.DUMMYFUNCTION("""COMPUTED_VALUE""")," 32044150448637_002")</f>
        <v> 32044150448637_002</v>
      </c>
      <c r="D218" s="94" t="str">
        <f>IFERROR(__xludf.DUMMYFUNCTION("""COMPUTED_VALUE""")," 32044150448637_003")</f>
        <v> 32044150448637_003</v>
      </c>
      <c r="E218" s="94" t="str">
        <f>IFERROR(__xludf.DUMMYFUNCTION("""COMPUTED_VALUE""")," 32044150448637_004")</f>
        <v> 32044150448637_004</v>
      </c>
      <c r="F218" s="94" t="str">
        <f>IFERROR(__xludf.DUMMYFUNCTION("""COMPUTED_VALUE""")," 32044150448637_005")</f>
        <v> 32044150448637_005</v>
      </c>
      <c r="G218" s="94" t="str">
        <f>IFERROR(__xludf.DUMMYFUNCTION("""COMPUTED_VALUE""")," 32044150448637_006")</f>
        <v> 32044150448637_006</v>
      </c>
      <c r="H218" s="94" t="str">
        <f>IFERROR(__xludf.DUMMYFUNCTION("""COMPUTED_VALUE""")," 32044150448637_007")</f>
        <v> 32044150448637_007</v>
      </c>
      <c r="I218" s="94" t="str">
        <f>IFERROR(__xludf.DUMMYFUNCTION("""COMPUTED_VALUE""")," 32044150448637_008")</f>
        <v> 32044150448637_008</v>
      </c>
      <c r="J218" s="94" t="str">
        <f>IFERROR(__xludf.DUMMYFUNCTION("""COMPUTED_VALUE""")," 32044150448637_009")</f>
        <v> 32044150448637_009</v>
      </c>
      <c r="K218" s="94" t="str">
        <f>IFERROR(__xludf.DUMMYFUNCTION("""COMPUTED_VALUE""")," 32044150448637_010")</f>
        <v> 32044150448637_010</v>
      </c>
      <c r="L218" s="94"/>
      <c r="M218" s="94"/>
      <c r="N218" s="94"/>
      <c r="O218" s="94"/>
      <c r="P218" s="94"/>
      <c r="Q218" s="94"/>
      <c r="R218" s="94"/>
      <c r="S218" s="94"/>
      <c r="T218" s="94"/>
      <c r="U218" s="94"/>
      <c r="V218" s="94"/>
      <c r="W218" s="94"/>
      <c r="X218" s="94"/>
      <c r="Y218" s="94"/>
      <c r="Z218" s="94"/>
      <c r="AA218" s="94"/>
      <c r="AB218" s="94"/>
      <c r="AC218" s="94"/>
      <c r="AD218" s="94"/>
      <c r="AE218" s="94"/>
      <c r="AF218" s="94"/>
      <c r="AG218" s="94"/>
    </row>
    <row r="219">
      <c r="A219" s="96" t="s">
        <v>1781</v>
      </c>
      <c r="B219" s="95" t="str">
        <f>IFERROR(__xludf.DUMMYFUNCTION("""COMPUTED_VALUE"""),"32044150448637_011")</f>
        <v>32044150448637_011</v>
      </c>
      <c r="C219" s="94" t="str">
        <f>IFERROR(__xludf.DUMMYFUNCTION("""COMPUTED_VALUE""")," 32044150448637_012")</f>
        <v> 32044150448637_012</v>
      </c>
      <c r="D219" s="94" t="str">
        <f>IFERROR(__xludf.DUMMYFUNCTION("""COMPUTED_VALUE""")," 32044150448637_013")</f>
        <v> 32044150448637_013</v>
      </c>
      <c r="E219" s="94" t="str">
        <f>IFERROR(__xludf.DUMMYFUNCTION("""COMPUTED_VALUE""")," 32044150448637_014")</f>
        <v> 32044150448637_014</v>
      </c>
      <c r="F219" s="94" t="str">
        <f>IFERROR(__xludf.DUMMYFUNCTION("""COMPUTED_VALUE""")," 32044150448637_015")</f>
        <v> 32044150448637_015</v>
      </c>
      <c r="G219" s="94" t="str">
        <f>IFERROR(__xludf.DUMMYFUNCTION("""COMPUTED_VALUE""")," 32044150448637_016")</f>
        <v> 32044150448637_016</v>
      </c>
      <c r="H219" s="94" t="str">
        <f>IFERROR(__xludf.DUMMYFUNCTION("""COMPUTED_VALUE""")," 32044150448637_017")</f>
        <v> 32044150448637_017</v>
      </c>
      <c r="I219" s="94" t="str">
        <f>IFERROR(__xludf.DUMMYFUNCTION("""COMPUTED_VALUE""")," 32044150448637_018")</f>
        <v> 32044150448637_018</v>
      </c>
      <c r="J219" s="94"/>
      <c r="K219" s="94"/>
      <c r="L219" s="94"/>
      <c r="M219" s="94"/>
      <c r="N219" s="94"/>
      <c r="O219" s="94"/>
      <c r="P219" s="94"/>
      <c r="Q219" s="94"/>
      <c r="R219" s="94"/>
      <c r="S219" s="94"/>
      <c r="T219" s="94"/>
      <c r="U219" s="94"/>
      <c r="V219" s="94"/>
      <c r="W219" s="94"/>
      <c r="X219" s="94"/>
      <c r="Y219" s="94"/>
      <c r="Z219" s="94"/>
      <c r="AA219" s="94"/>
      <c r="AB219" s="94"/>
      <c r="AC219" s="94"/>
      <c r="AD219" s="94"/>
      <c r="AE219" s="94"/>
      <c r="AF219" s="94"/>
      <c r="AG219" s="94"/>
    </row>
    <row r="220">
      <c r="A220" s="96" t="s">
        <v>1791</v>
      </c>
      <c r="B220" s="95" t="str">
        <f>IFERROR(__xludf.DUMMYFUNCTION("""COMPUTED_VALUE"""),"32044150448637_019")</f>
        <v>32044150448637_019</v>
      </c>
      <c r="C220" s="94" t="str">
        <f>IFERROR(__xludf.DUMMYFUNCTION("""COMPUTED_VALUE""")," 32044150448637_020")</f>
        <v> 32044150448637_020</v>
      </c>
      <c r="D220" s="94" t="str">
        <f>IFERROR(__xludf.DUMMYFUNCTION("""COMPUTED_VALUE""")," 32044150448637_021")</f>
        <v> 32044150448637_021</v>
      </c>
      <c r="E220" s="94"/>
      <c r="F220" s="94"/>
      <c r="G220" s="94"/>
      <c r="H220" s="94"/>
      <c r="I220" s="94"/>
      <c r="J220" s="94"/>
      <c r="K220" s="94"/>
      <c r="L220" s="94"/>
      <c r="M220" s="94"/>
      <c r="N220" s="94"/>
      <c r="O220" s="94"/>
      <c r="P220" s="94"/>
      <c r="Q220" s="94"/>
      <c r="R220" s="94"/>
      <c r="S220" s="94"/>
      <c r="T220" s="94"/>
      <c r="U220" s="94"/>
      <c r="V220" s="94"/>
      <c r="W220" s="94"/>
      <c r="X220" s="94"/>
      <c r="Y220" s="94"/>
      <c r="Z220" s="94"/>
      <c r="AA220" s="94"/>
      <c r="AB220" s="94"/>
      <c r="AC220" s="94"/>
      <c r="AD220" s="94"/>
      <c r="AE220" s="94"/>
      <c r="AF220" s="94"/>
      <c r="AG220" s="94"/>
    </row>
    <row r="221">
      <c r="A221" s="96" t="s">
        <v>1799</v>
      </c>
      <c r="B221" s="95" t="str">
        <f>IFERROR(__xludf.DUMMYFUNCTION("""COMPUTED_VALUE"""),"32044150448637_022")</f>
        <v>32044150448637_022</v>
      </c>
      <c r="C221" s="94" t="str">
        <f>IFERROR(__xludf.DUMMYFUNCTION("""COMPUTED_VALUE""")," 32044150448637_023")</f>
        <v> 32044150448637_023</v>
      </c>
      <c r="D221" s="94" t="str">
        <f>IFERROR(__xludf.DUMMYFUNCTION("""COMPUTED_VALUE""")," 32044150448637_024")</f>
        <v> 32044150448637_024</v>
      </c>
      <c r="E221" s="94" t="str">
        <f>IFERROR(__xludf.DUMMYFUNCTION("""COMPUTED_VALUE""")," 32044150448637_025")</f>
        <v> 32044150448637_025</v>
      </c>
      <c r="F221" s="94" t="str">
        <f>IFERROR(__xludf.DUMMYFUNCTION("""COMPUTED_VALUE""")," 32044150448637_026")</f>
        <v> 32044150448637_026</v>
      </c>
      <c r="G221" s="94" t="str">
        <f>IFERROR(__xludf.DUMMYFUNCTION("""COMPUTED_VALUE""")," 32044150448637_027")</f>
        <v> 32044150448637_027</v>
      </c>
      <c r="H221" s="94" t="str">
        <f>IFERROR(__xludf.DUMMYFUNCTION("""COMPUTED_VALUE""")," 32044150448637_028")</f>
        <v> 32044150448637_028</v>
      </c>
      <c r="I221" s="94" t="str">
        <f>IFERROR(__xludf.DUMMYFUNCTION("""COMPUTED_VALUE""")," 32044150448637_029")</f>
        <v> 32044150448637_029</v>
      </c>
      <c r="J221" s="94" t="str">
        <f>IFERROR(__xludf.DUMMYFUNCTION("""COMPUTED_VALUE""")," 32044150448637_030")</f>
        <v> 32044150448637_030</v>
      </c>
      <c r="K221" s="94"/>
      <c r="L221" s="94"/>
      <c r="M221" s="94"/>
      <c r="N221" s="94"/>
      <c r="O221" s="94"/>
      <c r="P221" s="94"/>
      <c r="Q221" s="94"/>
      <c r="R221" s="94"/>
      <c r="S221" s="94"/>
      <c r="T221" s="94"/>
      <c r="U221" s="94"/>
      <c r="V221" s="94"/>
      <c r="W221" s="94"/>
      <c r="X221" s="94"/>
      <c r="Y221" s="94"/>
      <c r="Z221" s="94"/>
      <c r="AA221" s="94"/>
      <c r="AB221" s="94"/>
      <c r="AC221" s="94"/>
      <c r="AD221" s="94"/>
      <c r="AE221" s="94"/>
      <c r="AF221" s="94"/>
      <c r="AG221" s="94"/>
    </row>
    <row r="222">
      <c r="A222" s="96" t="s">
        <v>1807</v>
      </c>
      <c r="B222" s="95" t="str">
        <f>IFERROR(__xludf.DUMMYFUNCTION("""COMPUTED_VALUE"""),"32044150448637_031")</f>
        <v>32044150448637_031</v>
      </c>
      <c r="C222" s="94" t="str">
        <f>IFERROR(__xludf.DUMMYFUNCTION("""COMPUTED_VALUE""")," 32044150448637_032")</f>
        <v> 32044150448637_032</v>
      </c>
      <c r="D222" s="94" t="str">
        <f>IFERROR(__xludf.DUMMYFUNCTION("""COMPUTED_VALUE""")," 32044150448637_033")</f>
        <v> 32044150448637_033</v>
      </c>
      <c r="E222" s="94" t="str">
        <f>IFERROR(__xludf.DUMMYFUNCTION("""COMPUTED_VALUE""")," 32044150448637_034")</f>
        <v> 32044150448637_034</v>
      </c>
      <c r="F222" s="94"/>
      <c r="G222" s="94"/>
      <c r="H222" s="94"/>
      <c r="I222" s="94"/>
      <c r="J222" s="94"/>
      <c r="K222" s="94"/>
      <c r="L222" s="94"/>
      <c r="M222" s="94"/>
      <c r="N222" s="94"/>
      <c r="O222" s="94"/>
      <c r="P222" s="94"/>
      <c r="Q222" s="94"/>
      <c r="R222" s="94"/>
      <c r="S222" s="94"/>
      <c r="T222" s="94"/>
      <c r="U222" s="94"/>
      <c r="V222" s="94"/>
      <c r="W222" s="94"/>
      <c r="X222" s="94"/>
      <c r="Y222" s="94"/>
      <c r="Z222" s="94"/>
      <c r="AA222" s="94"/>
      <c r="AB222" s="94"/>
      <c r="AC222" s="94"/>
      <c r="AD222" s="94"/>
      <c r="AE222" s="94"/>
      <c r="AF222" s="94"/>
      <c r="AG222" s="94"/>
    </row>
    <row r="223">
      <c r="A223" s="96" t="s">
        <v>1818</v>
      </c>
      <c r="B223" s="95" t="str">
        <f>IFERROR(__xludf.DUMMYFUNCTION("""COMPUTED_VALUE"""),"32044150448637_035")</f>
        <v>32044150448637_035</v>
      </c>
      <c r="C223" s="94" t="str">
        <f>IFERROR(__xludf.DUMMYFUNCTION("""COMPUTED_VALUE""")," 32044150448637_036")</f>
        <v> 32044150448637_036</v>
      </c>
      <c r="D223" s="94" t="str">
        <f>IFERROR(__xludf.DUMMYFUNCTION("""COMPUTED_VALUE""")," 32044150448637_037")</f>
        <v> 32044150448637_037</v>
      </c>
      <c r="E223" s="94" t="str">
        <f>IFERROR(__xludf.DUMMYFUNCTION("""COMPUTED_VALUE""")," 32044150448637_038")</f>
        <v> 32044150448637_038</v>
      </c>
      <c r="F223" s="94" t="str">
        <f>IFERROR(__xludf.DUMMYFUNCTION("""COMPUTED_VALUE""")," 32044150448637_039")</f>
        <v> 32044150448637_039</v>
      </c>
      <c r="G223" s="94" t="str">
        <f>IFERROR(__xludf.DUMMYFUNCTION("""COMPUTED_VALUE""")," 32044150448637_040")</f>
        <v> 32044150448637_040</v>
      </c>
      <c r="H223" s="94" t="str">
        <f>IFERROR(__xludf.DUMMYFUNCTION("""COMPUTED_VALUE""")," 32044150448637_041")</f>
        <v> 32044150448637_041</v>
      </c>
      <c r="I223" s="94" t="str">
        <f>IFERROR(__xludf.DUMMYFUNCTION("""COMPUTED_VALUE""")," 32044150448637_042")</f>
        <v> 32044150448637_042</v>
      </c>
      <c r="J223" s="94" t="str">
        <f>IFERROR(__xludf.DUMMYFUNCTION("""COMPUTED_VALUE""")," 32044150448637_043")</f>
        <v> 32044150448637_043</v>
      </c>
      <c r="K223" s="94" t="str">
        <f>IFERROR(__xludf.DUMMYFUNCTION("""COMPUTED_VALUE""")," 32044150448637_044")</f>
        <v> 32044150448637_044</v>
      </c>
      <c r="L223" s="94" t="str">
        <f>IFERROR(__xludf.DUMMYFUNCTION("""COMPUTED_VALUE""")," 32044150448637_045")</f>
        <v> 32044150448637_045</v>
      </c>
      <c r="M223" s="94" t="str">
        <f>IFERROR(__xludf.DUMMYFUNCTION("""COMPUTED_VALUE""")," 32044150448637_046")</f>
        <v> 32044150448637_046</v>
      </c>
      <c r="N223" s="94" t="str">
        <f>IFERROR(__xludf.DUMMYFUNCTION("""COMPUTED_VALUE""")," 32044150448637_047")</f>
        <v> 32044150448637_047</v>
      </c>
      <c r="O223" s="94" t="str">
        <f>IFERROR(__xludf.DUMMYFUNCTION("""COMPUTED_VALUE""")," 32044150448637_048")</f>
        <v> 32044150448637_048</v>
      </c>
      <c r="P223" s="94" t="str">
        <f>IFERROR(__xludf.DUMMYFUNCTION("""COMPUTED_VALUE""")," 32044150448637_049")</f>
        <v> 32044150448637_049</v>
      </c>
      <c r="Q223" s="94" t="str">
        <f>IFERROR(__xludf.DUMMYFUNCTION("""COMPUTED_VALUE""")," 32044150448637_050")</f>
        <v> 32044150448637_050</v>
      </c>
      <c r="R223" s="94" t="str">
        <f>IFERROR(__xludf.DUMMYFUNCTION("""COMPUTED_VALUE""")," 32044150448637_051")</f>
        <v> 32044150448637_051</v>
      </c>
      <c r="S223" s="94" t="str">
        <f>IFERROR(__xludf.DUMMYFUNCTION("""COMPUTED_VALUE""")," 32044150448637_052")</f>
        <v> 32044150448637_052</v>
      </c>
      <c r="T223" s="94"/>
      <c r="U223" s="94"/>
      <c r="V223" s="94"/>
      <c r="W223" s="94"/>
      <c r="X223" s="94"/>
      <c r="Y223" s="94"/>
      <c r="Z223" s="94"/>
      <c r="AA223" s="94"/>
      <c r="AB223" s="94"/>
      <c r="AC223" s="94"/>
      <c r="AD223" s="94"/>
      <c r="AE223" s="94"/>
      <c r="AF223" s="94"/>
      <c r="AG223" s="94"/>
    </row>
    <row r="224">
      <c r="A224" s="96" t="s">
        <v>1827</v>
      </c>
      <c r="B224" s="95" t="str">
        <f>IFERROR(__xludf.DUMMYFUNCTION("""COMPUTED_VALUE"""),"32044150448645_001")</f>
        <v>32044150448645_001</v>
      </c>
      <c r="C224" s="94" t="str">
        <f>IFERROR(__xludf.DUMMYFUNCTION("""COMPUTED_VALUE""")," 32044150448645_002")</f>
        <v> 32044150448645_002</v>
      </c>
      <c r="D224" s="94" t="str">
        <f>IFERROR(__xludf.DUMMYFUNCTION("""COMPUTED_VALUE""")," 32044150448645_003")</f>
        <v> 32044150448645_003</v>
      </c>
      <c r="E224" s="94" t="str">
        <f>IFERROR(__xludf.DUMMYFUNCTION("""COMPUTED_VALUE""")," 32044150448645_004")</f>
        <v> 32044150448645_004</v>
      </c>
      <c r="F224" s="94" t="str">
        <f>IFERROR(__xludf.DUMMYFUNCTION("""COMPUTED_VALUE""")," 32044150448645_005")</f>
        <v> 32044150448645_005</v>
      </c>
      <c r="G224" s="94" t="str">
        <f>IFERROR(__xludf.DUMMYFUNCTION("""COMPUTED_VALUE""")," 32044150448645_006")</f>
        <v> 32044150448645_006</v>
      </c>
      <c r="H224" s="94"/>
      <c r="I224" s="94"/>
      <c r="J224" s="94"/>
      <c r="K224" s="94"/>
      <c r="L224" s="94"/>
      <c r="M224" s="94"/>
      <c r="N224" s="94"/>
      <c r="O224" s="94"/>
      <c r="P224" s="94"/>
      <c r="Q224" s="94"/>
      <c r="R224" s="94"/>
      <c r="S224" s="94"/>
      <c r="T224" s="94"/>
      <c r="U224" s="94"/>
      <c r="V224" s="94"/>
      <c r="W224" s="94"/>
      <c r="X224" s="94"/>
      <c r="Y224" s="94"/>
      <c r="Z224" s="94"/>
      <c r="AA224" s="94"/>
      <c r="AB224" s="94"/>
      <c r="AC224" s="94"/>
      <c r="AD224" s="94"/>
      <c r="AE224" s="94"/>
      <c r="AF224" s="94"/>
      <c r="AG224" s="94"/>
    </row>
    <row r="225">
      <c r="A225" s="96" t="s">
        <v>1838</v>
      </c>
      <c r="B225" s="95" t="str">
        <f>IFERROR(__xludf.DUMMYFUNCTION("""COMPUTED_VALUE"""),"32044150448645_007")</f>
        <v>32044150448645_007</v>
      </c>
      <c r="C225" s="94" t="str">
        <f>IFERROR(__xludf.DUMMYFUNCTION("""COMPUTED_VALUE""")," 32044150448645_008")</f>
        <v> 32044150448645_008</v>
      </c>
      <c r="D225" s="94" t="str">
        <f>IFERROR(__xludf.DUMMYFUNCTION("""COMPUTED_VALUE""")," 32044150448645_009")</f>
        <v> 32044150448645_009</v>
      </c>
      <c r="E225" s="94" t="str">
        <f>IFERROR(__xludf.DUMMYFUNCTION("""COMPUTED_VALUE""")," 32044150448645_010")</f>
        <v> 32044150448645_010</v>
      </c>
      <c r="F225" s="94" t="str">
        <f>IFERROR(__xludf.DUMMYFUNCTION("""COMPUTED_VALUE""")," 32044150448645_011")</f>
        <v> 32044150448645_011</v>
      </c>
      <c r="G225" s="94" t="str">
        <f>IFERROR(__xludf.DUMMYFUNCTION("""COMPUTED_VALUE""")," 32044150448645_012")</f>
        <v> 32044150448645_012</v>
      </c>
      <c r="H225" s="94" t="str">
        <f>IFERROR(__xludf.DUMMYFUNCTION("""COMPUTED_VALUE""")," 32044150448645_013")</f>
        <v> 32044150448645_013</v>
      </c>
      <c r="I225" s="94" t="str">
        <f>IFERROR(__xludf.DUMMYFUNCTION("""COMPUTED_VALUE""")," 32044150448645_014")</f>
        <v> 32044150448645_014</v>
      </c>
      <c r="J225" s="94"/>
      <c r="K225" s="94"/>
      <c r="L225" s="94"/>
      <c r="M225" s="94"/>
      <c r="N225" s="94"/>
      <c r="O225" s="94"/>
      <c r="P225" s="94"/>
      <c r="Q225" s="94"/>
      <c r="R225" s="94"/>
      <c r="S225" s="94"/>
      <c r="T225" s="94"/>
      <c r="U225" s="94"/>
      <c r="V225" s="94"/>
      <c r="W225" s="94"/>
      <c r="X225" s="94"/>
      <c r="Y225" s="94"/>
      <c r="Z225" s="94"/>
      <c r="AA225" s="94"/>
      <c r="AB225" s="94"/>
      <c r="AC225" s="94"/>
      <c r="AD225" s="94"/>
      <c r="AE225" s="94"/>
      <c r="AF225" s="94"/>
      <c r="AG225" s="94"/>
    </row>
    <row r="226">
      <c r="A226" s="96" t="s">
        <v>1846</v>
      </c>
      <c r="B226" s="95" t="str">
        <f>IFERROR(__xludf.DUMMYFUNCTION("""COMPUTED_VALUE"""),"32044150448645_015")</f>
        <v>32044150448645_015</v>
      </c>
      <c r="C226" s="94" t="str">
        <f>IFERROR(__xludf.DUMMYFUNCTION("""COMPUTED_VALUE""")," 32044150448645_016")</f>
        <v> 32044150448645_016</v>
      </c>
      <c r="D226" s="94" t="str">
        <f>IFERROR(__xludf.DUMMYFUNCTION("""COMPUTED_VALUE""")," 32044150448645_017")</f>
        <v> 32044150448645_017</v>
      </c>
      <c r="E226" s="94" t="str">
        <f>IFERROR(__xludf.DUMMYFUNCTION("""COMPUTED_VALUE""")," 32044150448645_018")</f>
        <v> 32044150448645_018</v>
      </c>
      <c r="F226" s="94" t="str">
        <f>IFERROR(__xludf.DUMMYFUNCTION("""COMPUTED_VALUE""")," 32044150448645_019")</f>
        <v> 32044150448645_019</v>
      </c>
      <c r="G226" s="94" t="str">
        <f>IFERROR(__xludf.DUMMYFUNCTION("""COMPUTED_VALUE""")," 32044150448645_020")</f>
        <v> 32044150448645_020</v>
      </c>
      <c r="H226" s="94" t="str">
        <f>IFERROR(__xludf.DUMMYFUNCTION("""COMPUTED_VALUE""")," 32044150448645_021")</f>
        <v> 32044150448645_021</v>
      </c>
      <c r="I226" s="94" t="str">
        <f>IFERROR(__xludf.DUMMYFUNCTION("""COMPUTED_VALUE""")," 32044150448645_021")</f>
        <v> 32044150448645_021</v>
      </c>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c r="AG226" s="94"/>
    </row>
    <row r="227">
      <c r="A227" s="96" t="s">
        <v>1855</v>
      </c>
      <c r="B227" s="95" t="str">
        <f>IFERROR(__xludf.DUMMYFUNCTION("""COMPUTED_VALUE"""),"32044150448645_024")</f>
        <v>32044150448645_024</v>
      </c>
      <c r="C227" s="94" t="str">
        <f>IFERROR(__xludf.DUMMYFUNCTION("""COMPUTED_VALUE""")," 32044150448645_025")</f>
        <v> 32044150448645_025</v>
      </c>
      <c r="D227" s="94" t="str">
        <f>IFERROR(__xludf.DUMMYFUNCTION("""COMPUTED_VALUE""")," 32044150448645_026")</f>
        <v> 32044150448645_026</v>
      </c>
      <c r="E227" s="94" t="str">
        <f>IFERROR(__xludf.DUMMYFUNCTION("""COMPUTED_VALUE""")," 32044150448645_027")</f>
        <v> 32044150448645_027</v>
      </c>
      <c r="F227" s="94" t="str">
        <f>IFERROR(__xludf.DUMMYFUNCTION("""COMPUTED_VALUE""")," 32044150448645_028")</f>
        <v> 32044150448645_028</v>
      </c>
      <c r="G227" s="94" t="str">
        <f>IFERROR(__xludf.DUMMYFUNCTION("""COMPUTED_VALUE""")," 32044150448645_029")</f>
        <v> 32044150448645_029</v>
      </c>
      <c r="H227" s="94" t="str">
        <f>IFERROR(__xludf.DUMMYFUNCTION("""COMPUTED_VALUE""")," 32044150448645_030")</f>
        <v> 32044150448645_030</v>
      </c>
      <c r="I227" s="94" t="str">
        <f>IFERROR(__xludf.DUMMYFUNCTION("""COMPUTED_VALUE""")," 32044150448645_031")</f>
        <v> 32044150448645_031</v>
      </c>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c r="AG227" s="94"/>
    </row>
    <row r="228">
      <c r="A228" s="96" t="s">
        <v>1865</v>
      </c>
      <c r="B228" s="95" t="str">
        <f>IFERROR(__xludf.DUMMYFUNCTION("""COMPUTED_VALUE"""),"32044150448645_032")</f>
        <v>32044150448645_032</v>
      </c>
      <c r="C228" s="94" t="str">
        <f>IFERROR(__xludf.DUMMYFUNCTION("""COMPUTED_VALUE""")," 32044150448645_033")</f>
        <v> 32044150448645_033</v>
      </c>
      <c r="D228" s="94" t="str">
        <f>IFERROR(__xludf.DUMMYFUNCTION("""COMPUTED_VALUE""")," 32044150448645_034")</f>
        <v> 32044150448645_034</v>
      </c>
      <c r="E228" s="94" t="str">
        <f>IFERROR(__xludf.DUMMYFUNCTION("""COMPUTED_VALUE""")," 32044150448645_035")</f>
        <v> 32044150448645_035</v>
      </c>
      <c r="F228" s="94" t="str">
        <f>IFERROR(__xludf.DUMMYFUNCTION("""COMPUTED_VALUE""")," 32044150448645_036")</f>
        <v> 32044150448645_036</v>
      </c>
      <c r="G228" s="94" t="str">
        <f>IFERROR(__xludf.DUMMYFUNCTION("""COMPUTED_VALUE""")," 32044150448645_037")</f>
        <v> 32044150448645_037</v>
      </c>
      <c r="H228" s="94" t="str">
        <f>IFERROR(__xludf.DUMMYFUNCTION("""COMPUTED_VALUE""")," 32044150448645_038")</f>
        <v> 32044150448645_038</v>
      </c>
      <c r="I228" s="94" t="str">
        <f>IFERROR(__xludf.DUMMYFUNCTION("""COMPUTED_VALUE""")," 32044150448645_039")</f>
        <v> 32044150448645_039</v>
      </c>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c r="AG228" s="94"/>
    </row>
    <row r="229">
      <c r="A229" s="96" t="s">
        <v>1875</v>
      </c>
      <c r="B229" s="95" t="str">
        <f>IFERROR(__xludf.DUMMYFUNCTION("""COMPUTED_VALUE"""),"32044150448645_040")</f>
        <v>32044150448645_040</v>
      </c>
      <c r="C229" s="94" t="str">
        <f>IFERROR(__xludf.DUMMYFUNCTION("""COMPUTED_VALUE""")," 32044150448645_041")</f>
        <v> 32044150448645_041</v>
      </c>
      <c r="D229" s="94" t="str">
        <f>IFERROR(__xludf.DUMMYFUNCTION("""COMPUTED_VALUE""")," 32044150448645_042")</f>
        <v> 32044150448645_042</v>
      </c>
      <c r="E229" s="94" t="str">
        <f>IFERROR(__xludf.DUMMYFUNCTION("""COMPUTED_VALUE""")," 32044150448645_043")</f>
        <v> 32044150448645_043</v>
      </c>
      <c r="F229" s="94" t="str">
        <f>IFERROR(__xludf.DUMMYFUNCTION("""COMPUTED_VALUE""")," 32044150448645_044")</f>
        <v> 32044150448645_044</v>
      </c>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row>
    <row r="230">
      <c r="A230" s="96" t="s">
        <v>1883</v>
      </c>
      <c r="B230" s="95" t="str">
        <f>IFERROR(__xludf.DUMMYFUNCTION("""COMPUTED_VALUE"""),"32044150448645_045")</f>
        <v>32044150448645_045</v>
      </c>
      <c r="C230" s="94" t="str">
        <f>IFERROR(__xludf.DUMMYFUNCTION("""COMPUTED_VALUE""")," 32044150448645_045")</f>
        <v> 32044150448645_045</v>
      </c>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row>
    <row r="231">
      <c r="A231" s="96" t="s">
        <v>1892</v>
      </c>
      <c r="B231" s="95" t="str">
        <f>IFERROR(__xludf.DUMMYFUNCTION("""COMPUTED_VALUE"""),"32044150448652_001")</f>
        <v>32044150448652_001</v>
      </c>
      <c r="C231" s="94" t="str">
        <f>IFERROR(__xludf.DUMMYFUNCTION("""COMPUTED_VALUE""")," 32044150448652_002")</f>
        <v> 32044150448652_002</v>
      </c>
      <c r="D231" s="94" t="str">
        <f>IFERROR(__xludf.DUMMYFUNCTION("""COMPUTED_VALUE""")," 32044150448652_003")</f>
        <v> 32044150448652_003</v>
      </c>
      <c r="E231" s="94" t="str">
        <f>IFERROR(__xludf.DUMMYFUNCTION("""COMPUTED_VALUE""")," 32044150448652_004")</f>
        <v> 32044150448652_004</v>
      </c>
      <c r="F231" s="94" t="str">
        <f>IFERROR(__xludf.DUMMYFUNCTION("""COMPUTED_VALUE""")," 32044150448652_005")</f>
        <v> 32044150448652_005</v>
      </c>
      <c r="G231" s="94" t="str">
        <f>IFERROR(__xludf.DUMMYFUNCTION("""COMPUTED_VALUE""")," 32044150448652_006")</f>
        <v> 32044150448652_006</v>
      </c>
      <c r="H231" s="94" t="str">
        <f>IFERROR(__xludf.DUMMYFUNCTION("""COMPUTED_VALUE""")," 32044150448652_007")</f>
        <v> 32044150448652_007</v>
      </c>
      <c r="I231" s="94" t="str">
        <f>IFERROR(__xludf.DUMMYFUNCTION("""COMPUTED_VALUE""")," 32044150448652_008")</f>
        <v> 32044150448652_008</v>
      </c>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row>
    <row r="232">
      <c r="A232" s="96" t="s">
        <v>1901</v>
      </c>
      <c r="B232" s="95" t="str">
        <f>IFERROR(__xludf.DUMMYFUNCTION("""COMPUTED_VALUE"""),"32044150448652_009")</f>
        <v>32044150448652_009</v>
      </c>
      <c r="C232" s="94" t="str">
        <f>IFERROR(__xludf.DUMMYFUNCTION("""COMPUTED_VALUE""")," 32044150448652_010")</f>
        <v> 32044150448652_010</v>
      </c>
      <c r="D232" s="94" t="str">
        <f>IFERROR(__xludf.DUMMYFUNCTION("""COMPUTED_VALUE""")," 32044150448652_011")</f>
        <v> 32044150448652_011</v>
      </c>
      <c r="E232" s="94" t="str">
        <f>IFERROR(__xludf.DUMMYFUNCTION("""COMPUTED_VALUE""")," 32044150448652_012")</f>
        <v> 32044150448652_012</v>
      </c>
      <c r="F232" s="94" t="str">
        <f>IFERROR(__xludf.DUMMYFUNCTION("""COMPUTED_VALUE""")," 32044150448652_013")</f>
        <v> 32044150448652_013</v>
      </c>
      <c r="G232" s="94" t="str">
        <f>IFERROR(__xludf.DUMMYFUNCTION("""COMPUTED_VALUE""")," 32044150448652_014")</f>
        <v> 32044150448652_014</v>
      </c>
      <c r="H232" s="94" t="str">
        <f>IFERROR(__xludf.DUMMYFUNCTION("""COMPUTED_VALUE""")," 32044150448652_015")</f>
        <v> 32044150448652_015</v>
      </c>
      <c r="I232" s="94" t="str">
        <f>IFERROR(__xludf.DUMMYFUNCTION("""COMPUTED_VALUE""")," 32044150448652_016")</f>
        <v> 32044150448652_016</v>
      </c>
      <c r="J232" s="94" t="str">
        <f>IFERROR(__xludf.DUMMYFUNCTION("""COMPUTED_VALUE""")," 32044150448652_017")</f>
        <v> 32044150448652_017</v>
      </c>
      <c r="K232" s="94" t="str">
        <f>IFERROR(__xludf.DUMMYFUNCTION("""COMPUTED_VALUE""")," 32044150448652_018")</f>
        <v> 32044150448652_018</v>
      </c>
      <c r="L232" s="94" t="str">
        <f>IFERROR(__xludf.DUMMYFUNCTION("""COMPUTED_VALUE""")," 32044150448652_019")</f>
        <v> 32044150448652_019</v>
      </c>
      <c r="M232" s="94" t="str">
        <f>IFERROR(__xludf.DUMMYFUNCTION("""COMPUTED_VALUE""")," 32044150448652_020")</f>
        <v> 32044150448652_020</v>
      </c>
      <c r="N232" s="94" t="str">
        <f>IFERROR(__xludf.DUMMYFUNCTION("""COMPUTED_VALUE""")," 32044150448652_021")</f>
        <v> 32044150448652_021</v>
      </c>
      <c r="O232" s="94" t="str">
        <f>IFERROR(__xludf.DUMMYFUNCTION("""COMPUTED_VALUE""")," 32044150448652_022")</f>
        <v> 32044150448652_022</v>
      </c>
      <c r="P232" s="94" t="str">
        <f>IFERROR(__xludf.DUMMYFUNCTION("""COMPUTED_VALUE""")," 32044150448652_023")</f>
        <v> 32044150448652_023</v>
      </c>
      <c r="Q232" s="94" t="str">
        <f>IFERROR(__xludf.DUMMYFUNCTION("""COMPUTED_VALUE""")," 32044150448652_024")</f>
        <v> 32044150448652_024</v>
      </c>
      <c r="R232" s="94" t="str">
        <f>IFERROR(__xludf.DUMMYFUNCTION("""COMPUTED_VALUE""")," 32044150448652_025")</f>
        <v> 32044150448652_025</v>
      </c>
      <c r="S232" s="94" t="str">
        <f>IFERROR(__xludf.DUMMYFUNCTION("""COMPUTED_VALUE""")," 32044150448652_026")</f>
        <v> 32044150448652_026</v>
      </c>
      <c r="T232" s="94" t="str">
        <f>IFERROR(__xludf.DUMMYFUNCTION("""COMPUTED_VALUE""")," 32044150448652_027")</f>
        <v> 32044150448652_027</v>
      </c>
      <c r="U232" s="94" t="str">
        <f>IFERROR(__xludf.DUMMYFUNCTION("""COMPUTED_VALUE""")," 32044150448652_0028")</f>
        <v> 32044150448652_0028</v>
      </c>
      <c r="V232" s="94"/>
      <c r="W232" s="94"/>
      <c r="X232" s="94"/>
      <c r="Y232" s="94"/>
      <c r="Z232" s="94"/>
      <c r="AA232" s="94"/>
      <c r="AB232" s="94"/>
      <c r="AC232" s="94"/>
      <c r="AD232" s="94"/>
      <c r="AE232" s="94"/>
      <c r="AF232" s="94"/>
      <c r="AG232" s="94"/>
    </row>
    <row r="233">
      <c r="A233" s="96" t="s">
        <v>1908</v>
      </c>
      <c r="B233" s="95" t="str">
        <f>IFERROR(__xludf.DUMMYFUNCTION("""COMPUTED_VALUE"""),"32044150448652_029")</f>
        <v>32044150448652_029</v>
      </c>
      <c r="C233" s="94" t="str">
        <f>IFERROR(__xludf.DUMMYFUNCTION("""COMPUTED_VALUE""")," 32044150448652_030")</f>
        <v> 32044150448652_030</v>
      </c>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c r="AG233" s="94"/>
    </row>
    <row r="234">
      <c r="A234" s="96" t="s">
        <v>1916</v>
      </c>
      <c r="B234" s="95" t="str">
        <f>IFERROR(__xludf.DUMMYFUNCTION("""COMPUTED_VALUE"""),"32044150448652_031")</f>
        <v>32044150448652_031</v>
      </c>
      <c r="C234" s="94" t="str">
        <f>IFERROR(__xludf.DUMMYFUNCTION("""COMPUTED_VALUE""")," 32044150448652_032")</f>
        <v> 32044150448652_032</v>
      </c>
      <c r="D234" s="94"/>
      <c r="E234" s="94"/>
      <c r="F234" s="94"/>
      <c r="G234" s="94"/>
      <c r="H234" s="94"/>
      <c r="I234" s="94"/>
      <c r="J234" s="94"/>
      <c r="K234" s="94"/>
      <c r="L234" s="94"/>
      <c r="M234" s="94"/>
      <c r="N234" s="94"/>
      <c r="O234" s="94"/>
      <c r="P234" s="94"/>
      <c r="Q234" s="94"/>
      <c r="R234" s="94"/>
      <c r="S234" s="94"/>
      <c r="T234" s="94"/>
      <c r="U234" s="94"/>
      <c r="V234" s="94"/>
      <c r="W234" s="94"/>
      <c r="X234" s="94"/>
      <c r="Y234" s="94"/>
      <c r="Z234" s="94"/>
      <c r="AA234" s="94"/>
      <c r="AB234" s="94"/>
      <c r="AC234" s="94"/>
      <c r="AD234" s="94"/>
      <c r="AE234" s="94"/>
      <c r="AF234" s="94"/>
      <c r="AG234" s="94"/>
    </row>
    <row r="235">
      <c r="A235" s="96" t="s">
        <v>1925</v>
      </c>
      <c r="B235" s="95" t="str">
        <f>IFERROR(__xludf.DUMMYFUNCTION("""COMPUTED_VALUE"""),"32044150448652_033")</f>
        <v>32044150448652_033</v>
      </c>
      <c r="C235" s="94" t="str">
        <f>IFERROR(__xludf.DUMMYFUNCTION("""COMPUTED_VALUE""")," 32044150448652_034")</f>
        <v> 32044150448652_034</v>
      </c>
      <c r="D235" s="94"/>
      <c r="E235" s="94"/>
      <c r="F235" s="94"/>
      <c r="G235" s="94"/>
      <c r="H235" s="94"/>
      <c r="I235" s="94"/>
      <c r="J235" s="94"/>
      <c r="K235" s="94"/>
      <c r="L235" s="94"/>
      <c r="M235" s="94"/>
      <c r="N235" s="94"/>
      <c r="O235" s="94"/>
      <c r="P235" s="94"/>
      <c r="Q235" s="94"/>
      <c r="R235" s="94"/>
      <c r="S235" s="94"/>
      <c r="T235" s="94"/>
      <c r="U235" s="94"/>
      <c r="V235" s="94"/>
      <c r="W235" s="94"/>
      <c r="X235" s="94"/>
      <c r="Y235" s="94"/>
      <c r="Z235" s="94"/>
      <c r="AA235" s="94"/>
      <c r="AB235" s="94"/>
      <c r="AC235" s="94"/>
      <c r="AD235" s="94"/>
      <c r="AE235" s="94"/>
      <c r="AF235" s="94"/>
      <c r="AG235" s="94"/>
    </row>
    <row r="236">
      <c r="A236" s="96" t="s">
        <v>1933</v>
      </c>
      <c r="B236" s="95" t="str">
        <f>IFERROR(__xludf.DUMMYFUNCTION("""COMPUTED_VALUE"""),"32044150448652_035")</f>
        <v>32044150448652_035</v>
      </c>
      <c r="C236" s="94" t="str">
        <f>IFERROR(__xludf.DUMMYFUNCTION("""COMPUTED_VALUE""")," 32044150448652_036")</f>
        <v> 32044150448652_036</v>
      </c>
      <c r="D236" s="94" t="str">
        <f>IFERROR(__xludf.DUMMYFUNCTION("""COMPUTED_VALUE""")," 32044150448652_037")</f>
        <v> 32044150448652_037</v>
      </c>
      <c r="E236" s="94" t="str">
        <f>IFERROR(__xludf.DUMMYFUNCTION("""COMPUTED_VALUE""")," 32044150448652_038")</f>
        <v> 32044150448652_038</v>
      </c>
      <c r="F236" s="94" t="str">
        <f>IFERROR(__xludf.DUMMYFUNCTION("""COMPUTED_VALUE""")," 32044150448652_039")</f>
        <v> 32044150448652_039</v>
      </c>
      <c r="G236" s="94"/>
      <c r="H236" s="94"/>
      <c r="I236" s="94"/>
      <c r="J236" s="94"/>
      <c r="K236" s="94"/>
      <c r="L236" s="94"/>
      <c r="M236" s="94"/>
      <c r="N236" s="94"/>
      <c r="O236" s="94"/>
      <c r="P236" s="94"/>
      <c r="Q236" s="94"/>
      <c r="R236" s="94"/>
      <c r="S236" s="94"/>
      <c r="T236" s="94"/>
      <c r="U236" s="94"/>
      <c r="V236" s="94"/>
      <c r="W236" s="94"/>
      <c r="X236" s="94"/>
      <c r="Y236" s="94"/>
      <c r="Z236" s="94"/>
      <c r="AA236" s="94"/>
      <c r="AB236" s="94"/>
      <c r="AC236" s="94"/>
      <c r="AD236" s="94"/>
      <c r="AE236" s="94"/>
      <c r="AF236" s="94"/>
      <c r="AG236" s="94"/>
    </row>
    <row r="237">
      <c r="A237" s="96" t="s">
        <v>1941</v>
      </c>
      <c r="B237" s="95" t="str">
        <f>IFERROR(__xludf.DUMMYFUNCTION("""COMPUTED_VALUE"""),"32044150448652_040")</f>
        <v>32044150448652_040</v>
      </c>
      <c r="C237" s="94" t="str">
        <f>IFERROR(__xludf.DUMMYFUNCTION("""COMPUTED_VALUE""")," 32044150448652_041")</f>
        <v> 32044150448652_041</v>
      </c>
      <c r="D237" s="94" t="str">
        <f>IFERROR(__xludf.DUMMYFUNCTION("""COMPUTED_VALUE""")," 32044150448652_042")</f>
        <v> 32044150448652_042</v>
      </c>
      <c r="E237" s="94" t="str">
        <f>IFERROR(__xludf.DUMMYFUNCTION("""COMPUTED_VALUE""")," 32044150448652_043")</f>
        <v> 32044150448652_043</v>
      </c>
      <c r="F237" s="94" t="str">
        <f>IFERROR(__xludf.DUMMYFUNCTION("""COMPUTED_VALUE""")," 32044150448652_044")</f>
        <v> 32044150448652_044</v>
      </c>
      <c r="G237" s="94" t="str">
        <f>IFERROR(__xludf.DUMMYFUNCTION("""COMPUTED_VALUE""")," 32044150448652_045")</f>
        <v> 32044150448652_045</v>
      </c>
      <c r="H237" s="94" t="str">
        <f>IFERROR(__xludf.DUMMYFUNCTION("""COMPUTED_VALUE""")," 32044150448652_046")</f>
        <v> 32044150448652_046</v>
      </c>
      <c r="I237" s="94" t="str">
        <f>IFERROR(__xludf.DUMMYFUNCTION("""COMPUTED_VALUE""")," 32044150448652_047")</f>
        <v> 32044150448652_047</v>
      </c>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row>
    <row r="238">
      <c r="A238" s="96" t="s">
        <v>1953</v>
      </c>
      <c r="B238" s="95" t="str">
        <f>IFERROR(__xludf.DUMMYFUNCTION("""COMPUTED_VALUE"""),"32044150448660_001")</f>
        <v>32044150448660_001</v>
      </c>
      <c r="C238" s="94" t="str">
        <f>IFERROR(__xludf.DUMMYFUNCTION("""COMPUTED_VALUE""")," 32044150448660_002")</f>
        <v> 32044150448660_002</v>
      </c>
      <c r="D238" s="94" t="str">
        <f>IFERROR(__xludf.DUMMYFUNCTION("""COMPUTED_VALUE""")," 32044150448660_003")</f>
        <v> 32044150448660_003</v>
      </c>
      <c r="E238" s="94" t="str">
        <f>IFERROR(__xludf.DUMMYFUNCTION("""COMPUTED_VALUE""")," 32044150448660_004")</f>
        <v> 32044150448660_004</v>
      </c>
      <c r="F238" s="94" t="str">
        <f>IFERROR(__xludf.DUMMYFUNCTION("""COMPUTED_VALUE""")," 32044150448660_005")</f>
        <v> 32044150448660_005</v>
      </c>
      <c r="G238" s="94" t="str">
        <f>IFERROR(__xludf.DUMMYFUNCTION("""COMPUTED_VALUE""")," 32044150448660_006")</f>
        <v> 32044150448660_006</v>
      </c>
      <c r="H238" s="94" t="str">
        <f>IFERROR(__xludf.DUMMYFUNCTION("""COMPUTED_VALUE""")," 32044150448660_007")</f>
        <v> 32044150448660_007</v>
      </c>
      <c r="I238" s="94" t="str">
        <f>IFERROR(__xludf.DUMMYFUNCTION("""COMPUTED_VALUE""")," 32044150448660_008")</f>
        <v> 32044150448660_008</v>
      </c>
      <c r="J238" s="94"/>
      <c r="K238" s="94"/>
      <c r="L238" s="94"/>
      <c r="M238" s="94"/>
      <c r="N238" s="94"/>
      <c r="O238" s="94"/>
      <c r="P238" s="94"/>
      <c r="Q238" s="94"/>
      <c r="R238" s="94"/>
      <c r="S238" s="94"/>
      <c r="T238" s="94"/>
      <c r="U238" s="94"/>
      <c r="V238" s="94"/>
      <c r="W238" s="94"/>
      <c r="X238" s="94"/>
      <c r="Y238" s="94"/>
      <c r="Z238" s="94"/>
      <c r="AA238" s="94"/>
      <c r="AB238" s="94"/>
      <c r="AC238" s="94"/>
      <c r="AD238" s="94"/>
      <c r="AE238" s="94"/>
      <c r="AF238" s="94"/>
      <c r="AG238" s="94"/>
    </row>
    <row r="239">
      <c r="A239" s="96" t="s">
        <v>1961</v>
      </c>
      <c r="B239" s="95" t="str">
        <f>IFERROR(__xludf.DUMMYFUNCTION("""COMPUTED_VALUE"""),"32044150448660_010")</f>
        <v>32044150448660_010</v>
      </c>
      <c r="C239" s="94" t="str">
        <f>IFERROR(__xludf.DUMMYFUNCTION("""COMPUTED_VALUE""")," 32044150448660_009")</f>
        <v> 32044150448660_009</v>
      </c>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c r="AG239" s="94"/>
    </row>
    <row r="240">
      <c r="A240" s="96" t="s">
        <v>1969</v>
      </c>
      <c r="B240" s="95" t="str">
        <f>IFERROR(__xludf.DUMMYFUNCTION("""COMPUTED_VALUE"""),"32044150448660_011")</f>
        <v>32044150448660_011</v>
      </c>
      <c r="C240" s="94" t="str">
        <f>IFERROR(__xludf.DUMMYFUNCTION("""COMPUTED_VALUE""")," 32044150448660_012")</f>
        <v> 32044150448660_012</v>
      </c>
      <c r="D240" s="94" t="str">
        <f>IFERROR(__xludf.DUMMYFUNCTION("""COMPUTED_VALUE""")," 32044150448660_013")</f>
        <v> 32044150448660_013</v>
      </c>
      <c r="E240" s="94" t="str">
        <f>IFERROR(__xludf.DUMMYFUNCTION("""COMPUTED_VALUE""")," 32044150448660_014")</f>
        <v> 32044150448660_014</v>
      </c>
      <c r="F240" s="94" t="str">
        <f>IFERROR(__xludf.DUMMYFUNCTION("""COMPUTED_VALUE""")," 32044150448660_015")</f>
        <v> 32044150448660_015</v>
      </c>
      <c r="G240" s="94" t="str">
        <f>IFERROR(__xludf.DUMMYFUNCTION("""COMPUTED_VALUE""")," 32044150448660_016")</f>
        <v> 32044150448660_016</v>
      </c>
      <c r="H240" s="94"/>
      <c r="I240" s="94"/>
      <c r="J240" s="94"/>
      <c r="K240" s="94"/>
      <c r="L240" s="94"/>
      <c r="M240" s="94"/>
      <c r="N240" s="94"/>
      <c r="O240" s="94"/>
      <c r="P240" s="94"/>
      <c r="Q240" s="94"/>
      <c r="R240" s="94"/>
      <c r="S240" s="94"/>
      <c r="T240" s="94"/>
      <c r="U240" s="94"/>
      <c r="V240" s="94"/>
      <c r="W240" s="94"/>
      <c r="X240" s="94"/>
      <c r="Y240" s="94"/>
      <c r="Z240" s="94"/>
      <c r="AA240" s="94"/>
      <c r="AB240" s="94"/>
      <c r="AC240" s="94"/>
      <c r="AD240" s="94"/>
      <c r="AE240" s="94"/>
      <c r="AF240" s="94"/>
      <c r="AG240" s="94"/>
    </row>
    <row r="241">
      <c r="A241" s="96" t="s">
        <v>1978</v>
      </c>
      <c r="B241" s="95" t="str">
        <f>IFERROR(__xludf.DUMMYFUNCTION("""COMPUTED_VALUE"""),"32044150448660_017")</f>
        <v>32044150448660_017</v>
      </c>
      <c r="C241" s="94" t="str">
        <f>IFERROR(__xludf.DUMMYFUNCTION("""COMPUTED_VALUE""")," 32044150448660_018")</f>
        <v> 32044150448660_018</v>
      </c>
      <c r="D241" s="94" t="str">
        <f>IFERROR(__xludf.DUMMYFUNCTION("""COMPUTED_VALUE""")," 32044150448660_019")</f>
        <v> 32044150448660_019</v>
      </c>
      <c r="E241" s="94" t="str">
        <f>IFERROR(__xludf.DUMMYFUNCTION("""COMPUTED_VALUE""")," 32044150448660_020")</f>
        <v> 32044150448660_020</v>
      </c>
      <c r="F241" s="94" t="str">
        <f>IFERROR(__xludf.DUMMYFUNCTION("""COMPUTED_VALUE""")," 32044150448660_021")</f>
        <v> 32044150448660_021</v>
      </c>
      <c r="G241" s="94" t="str">
        <f>IFERROR(__xludf.DUMMYFUNCTION("""COMPUTED_VALUE""")," 32044150448660_022")</f>
        <v> 32044150448660_022</v>
      </c>
      <c r="H241" s="94" t="str">
        <f>IFERROR(__xludf.DUMMYFUNCTION("""COMPUTED_VALUE""")," 32044150448660_023")</f>
        <v> 32044150448660_023</v>
      </c>
      <c r="I241" s="94" t="str">
        <f>IFERROR(__xludf.DUMMYFUNCTION("""COMPUTED_VALUE""")," 32044150448660_024")</f>
        <v> 32044150448660_024</v>
      </c>
      <c r="J241" s="94"/>
      <c r="K241" s="94"/>
      <c r="L241" s="94"/>
      <c r="M241" s="94"/>
      <c r="N241" s="94"/>
      <c r="O241" s="94"/>
      <c r="P241" s="94"/>
      <c r="Q241" s="94"/>
      <c r="R241" s="94"/>
      <c r="S241" s="94"/>
      <c r="T241" s="94"/>
      <c r="U241" s="94"/>
      <c r="V241" s="94"/>
      <c r="W241" s="94"/>
      <c r="X241" s="94"/>
      <c r="Y241" s="94"/>
      <c r="Z241" s="94"/>
      <c r="AA241" s="94"/>
      <c r="AB241" s="94"/>
      <c r="AC241" s="94"/>
      <c r="AD241" s="94"/>
      <c r="AE241" s="94"/>
      <c r="AF241" s="94"/>
      <c r="AG241" s="94"/>
    </row>
    <row r="242">
      <c r="A242" s="96" t="s">
        <v>1985</v>
      </c>
      <c r="B242" s="95" t="str">
        <f>IFERROR(__xludf.DUMMYFUNCTION("""COMPUTED_VALUE"""),"32044150448660_025")</f>
        <v>32044150448660_025</v>
      </c>
      <c r="C242" s="94" t="str">
        <f>IFERROR(__xludf.DUMMYFUNCTION("""COMPUTED_VALUE""")," 32044150448660_026")</f>
        <v> 32044150448660_026</v>
      </c>
      <c r="D242" s="94" t="str">
        <f>IFERROR(__xludf.DUMMYFUNCTION("""COMPUTED_VALUE""")," 32044150448660_027")</f>
        <v> 32044150448660_027</v>
      </c>
      <c r="E242" s="94" t="str">
        <f>IFERROR(__xludf.DUMMYFUNCTION("""COMPUTED_VALUE""")," 32044150448660_028")</f>
        <v> 32044150448660_028</v>
      </c>
      <c r="F242" s="94" t="str">
        <f>IFERROR(__xludf.DUMMYFUNCTION("""COMPUTED_VALUE""")," 32044150448660_029")</f>
        <v> 32044150448660_029</v>
      </c>
      <c r="G242" s="94" t="str">
        <f>IFERROR(__xludf.DUMMYFUNCTION("""COMPUTED_VALUE""")," 32044150448660_030")</f>
        <v> 32044150448660_030</v>
      </c>
      <c r="H242" s="94" t="str">
        <f>IFERROR(__xludf.DUMMYFUNCTION("""COMPUTED_VALUE""")," 32044150448660_031")</f>
        <v> 32044150448660_031</v>
      </c>
      <c r="I242" s="94" t="str">
        <f>IFERROR(__xludf.DUMMYFUNCTION("""COMPUTED_VALUE""")," 32044150448660_032")</f>
        <v> 32044150448660_032</v>
      </c>
      <c r="J242" s="94" t="str">
        <f>IFERROR(__xludf.DUMMYFUNCTION("""COMPUTED_VALUE""")," 32044150448660_032")</f>
        <v> 32044150448660_032</v>
      </c>
      <c r="K242" s="94" t="str">
        <f>IFERROR(__xludf.DUMMYFUNCTION("""COMPUTED_VALUE""")," 32044150448660_033")</f>
        <v> 32044150448660_033</v>
      </c>
      <c r="L242" s="94" t="str">
        <f>IFERROR(__xludf.DUMMYFUNCTION("""COMPUTED_VALUE""")," 32044150448660_034")</f>
        <v> 32044150448660_034</v>
      </c>
      <c r="M242" s="94" t="str">
        <f>IFERROR(__xludf.DUMMYFUNCTION("""COMPUTED_VALUE""")," 32044150448660_034")</f>
        <v> 32044150448660_034</v>
      </c>
      <c r="N242" s="94" t="str">
        <f>IFERROR(__xludf.DUMMYFUNCTION("""COMPUTED_VALUE""")," 32044150448660_035")</f>
        <v> 32044150448660_035</v>
      </c>
      <c r="O242" s="94" t="str">
        <f>IFERROR(__xludf.DUMMYFUNCTION("""COMPUTED_VALUE""")," 32044150448660_036")</f>
        <v> 32044150448660_036</v>
      </c>
      <c r="P242" s="94" t="str">
        <f>IFERROR(__xludf.DUMMYFUNCTION("""COMPUTED_VALUE""")," 32044150448660_037")</f>
        <v> 32044150448660_037</v>
      </c>
      <c r="Q242" s="94" t="str">
        <f>IFERROR(__xludf.DUMMYFUNCTION("""COMPUTED_VALUE""")," 32044150448660_038")</f>
        <v> 32044150448660_038</v>
      </c>
      <c r="R242" s="94" t="str">
        <f>IFERROR(__xludf.DUMMYFUNCTION("""COMPUTED_VALUE""")," 32044150448660_039")</f>
        <v> 32044150448660_039</v>
      </c>
      <c r="S242" s="94" t="str">
        <f>IFERROR(__xludf.DUMMYFUNCTION("""COMPUTED_VALUE""")," 32044150448660_040")</f>
        <v> 32044150448660_040</v>
      </c>
      <c r="T242" s="94" t="str">
        <f>IFERROR(__xludf.DUMMYFUNCTION("""COMPUTED_VALUE""")," 32044150448660_041")</f>
        <v> 32044150448660_041</v>
      </c>
      <c r="U242" s="94" t="str">
        <f>IFERROR(__xludf.DUMMYFUNCTION("""COMPUTED_VALUE""")," 32044150448660_042")</f>
        <v> 32044150448660_042</v>
      </c>
      <c r="V242" s="94"/>
      <c r="W242" s="94"/>
      <c r="X242" s="94"/>
      <c r="Y242" s="94"/>
      <c r="Z242" s="94"/>
      <c r="AA242" s="94"/>
      <c r="AB242" s="94"/>
      <c r="AC242" s="94"/>
      <c r="AD242" s="94"/>
      <c r="AE242" s="94"/>
      <c r="AF242" s="94"/>
      <c r="AG242" s="94"/>
    </row>
    <row r="243">
      <c r="A243" s="96" t="s">
        <v>1996</v>
      </c>
      <c r="B243" s="95" t="str">
        <f>IFERROR(__xludf.DUMMYFUNCTION("""COMPUTED_VALUE"""),"32044150448660_043")</f>
        <v>32044150448660_043</v>
      </c>
      <c r="C243" s="94" t="str">
        <f>IFERROR(__xludf.DUMMYFUNCTION("""COMPUTED_VALUE""")," 32044150448660_044")</f>
        <v> 32044150448660_044</v>
      </c>
      <c r="D243" s="94" t="str">
        <f>IFERROR(__xludf.DUMMYFUNCTION("""COMPUTED_VALUE""")," 32044150448660_045")</f>
        <v> 32044150448660_045</v>
      </c>
      <c r="E243" s="94" t="str">
        <f>IFERROR(__xludf.DUMMYFUNCTION("""COMPUTED_VALUE""")," 32044150448660_046")</f>
        <v> 32044150448660_046</v>
      </c>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c r="AG243" s="94"/>
    </row>
    <row r="244">
      <c r="A244" s="96" t="s">
        <v>2005</v>
      </c>
      <c r="B244" s="95" t="str">
        <f>IFERROR(__xludf.DUMMYFUNCTION("""COMPUTED_VALUE"""),"32044150448660_047")</f>
        <v>32044150448660_047</v>
      </c>
      <c r="C244" s="94" t="str">
        <f>IFERROR(__xludf.DUMMYFUNCTION("""COMPUTED_VALUE""")," 32044150448660_048")</f>
        <v> 32044150448660_048</v>
      </c>
      <c r="D244" s="94" t="str">
        <f>IFERROR(__xludf.DUMMYFUNCTION("""COMPUTED_VALUE""")," 32044150448660_049")</f>
        <v> 32044150448660_049</v>
      </c>
      <c r="E244" s="94" t="str">
        <f>IFERROR(__xludf.DUMMYFUNCTION("""COMPUTED_VALUE""")," 32044150448660_050")</f>
        <v> 32044150448660_050</v>
      </c>
      <c r="F244" s="94" t="str">
        <f>IFERROR(__xludf.DUMMYFUNCTION("""COMPUTED_VALUE""")," 32044150448660_051")</f>
        <v> 32044150448660_051</v>
      </c>
      <c r="G244" s="94" t="str">
        <f>IFERROR(__xludf.DUMMYFUNCTION("""COMPUTED_VALUE""")," 32044150448660_052")</f>
        <v> 32044150448660_052</v>
      </c>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c r="AG244" s="94"/>
    </row>
    <row r="245">
      <c r="A245" s="96" t="s">
        <v>2016</v>
      </c>
      <c r="B245" s="95" t="str">
        <f>IFERROR(__xludf.DUMMYFUNCTION("""COMPUTED_VALUE"""),"32044150448678_001")</f>
        <v>32044150448678_001</v>
      </c>
      <c r="C245" s="94" t="str">
        <f>IFERROR(__xludf.DUMMYFUNCTION("""COMPUTED_VALUE""")," 32044150448678_002")</f>
        <v> 32044150448678_002</v>
      </c>
      <c r="D245" s="94" t="str">
        <f>IFERROR(__xludf.DUMMYFUNCTION("""COMPUTED_VALUE""")," 32044150448678_003")</f>
        <v> 32044150448678_003</v>
      </c>
      <c r="E245" s="94" t="str">
        <f>IFERROR(__xludf.DUMMYFUNCTION("""COMPUTED_VALUE""")," 32044150448678_004")</f>
        <v> 32044150448678_004</v>
      </c>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c r="AD245" s="94"/>
      <c r="AE245" s="94"/>
      <c r="AF245" s="94"/>
      <c r="AG245" s="94"/>
    </row>
    <row r="246">
      <c r="A246" s="96" t="s">
        <v>2026</v>
      </c>
      <c r="B246" s="95" t="str">
        <f>IFERROR(__xludf.DUMMYFUNCTION("""COMPUTED_VALUE"""),"32044150448678_005")</f>
        <v>32044150448678_005</v>
      </c>
      <c r="C246" s="94" t="str">
        <f>IFERROR(__xludf.DUMMYFUNCTION("""COMPUTED_VALUE""")," 32044150448678_006")</f>
        <v> 32044150448678_006</v>
      </c>
      <c r="D246" s="94" t="str">
        <f>IFERROR(__xludf.DUMMYFUNCTION("""COMPUTED_VALUE""")," 32044150448678_007")</f>
        <v> 32044150448678_007</v>
      </c>
      <c r="E246" s="94" t="str">
        <f>IFERROR(__xludf.DUMMYFUNCTION("""COMPUTED_VALUE""")," 32044150448678_008")</f>
        <v> 32044150448678_008</v>
      </c>
      <c r="F246" s="94"/>
      <c r="G246" s="94"/>
      <c r="H246" s="94"/>
      <c r="I246" s="94"/>
      <c r="J246" s="94"/>
      <c r="K246" s="94"/>
      <c r="L246" s="94"/>
      <c r="M246" s="94"/>
      <c r="N246" s="94"/>
      <c r="O246" s="94"/>
      <c r="P246" s="94"/>
      <c r="Q246" s="94"/>
      <c r="R246" s="94"/>
      <c r="S246" s="94"/>
      <c r="T246" s="94"/>
      <c r="U246" s="94"/>
      <c r="V246" s="94"/>
      <c r="W246" s="94"/>
      <c r="X246" s="94"/>
      <c r="Y246" s="94"/>
      <c r="Z246" s="94"/>
      <c r="AA246" s="94"/>
      <c r="AB246" s="94"/>
      <c r="AC246" s="94"/>
      <c r="AD246" s="94"/>
      <c r="AE246" s="94"/>
      <c r="AF246" s="94"/>
      <c r="AG246" s="94"/>
    </row>
    <row r="247">
      <c r="A247" s="96" t="s">
        <v>2035</v>
      </c>
      <c r="B247" s="95" t="str">
        <f>IFERROR(__xludf.DUMMYFUNCTION("""COMPUTED_VALUE"""),"32044150448678_009")</f>
        <v>32044150448678_009</v>
      </c>
      <c r="C247" s="94" t="str">
        <f>IFERROR(__xludf.DUMMYFUNCTION("""COMPUTED_VALUE""")," 32044150448678_010")</f>
        <v> 32044150448678_010</v>
      </c>
      <c r="D247" s="94" t="str">
        <f>IFERROR(__xludf.DUMMYFUNCTION("""COMPUTED_VALUE""")," 32044150448678_011")</f>
        <v> 32044150448678_011</v>
      </c>
      <c r="E247" s="94" t="str">
        <f>IFERROR(__xludf.DUMMYFUNCTION("""COMPUTED_VALUE""")," 32044150448678_012")</f>
        <v> 32044150448678_012</v>
      </c>
      <c r="F247" s="94" t="str">
        <f>IFERROR(__xludf.DUMMYFUNCTION("""COMPUTED_VALUE""")," 32044150448678_013")</f>
        <v> 32044150448678_013</v>
      </c>
      <c r="G247" s="94" t="str">
        <f>IFERROR(__xludf.DUMMYFUNCTION("""COMPUTED_VALUE""")," 32044150448678_014")</f>
        <v> 32044150448678_014</v>
      </c>
      <c r="H247" s="94" t="str">
        <f>IFERROR(__xludf.DUMMYFUNCTION("""COMPUTED_VALUE""")," 32044150448678_015")</f>
        <v> 32044150448678_015</v>
      </c>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c r="AG247" s="94"/>
    </row>
    <row r="248">
      <c r="A248" s="96" t="s">
        <v>2042</v>
      </c>
      <c r="B248" s="95" t="str">
        <f>IFERROR(__xludf.DUMMYFUNCTION("""COMPUTED_VALUE"""),"32044150448678_016")</f>
        <v>32044150448678_016</v>
      </c>
      <c r="C248" s="94" t="str">
        <f>IFERROR(__xludf.DUMMYFUNCTION("""COMPUTED_VALUE""")," 32044150448678_017")</f>
        <v> 32044150448678_017</v>
      </c>
      <c r="D248" s="94" t="str">
        <f>IFERROR(__xludf.DUMMYFUNCTION("""COMPUTED_VALUE""")," 32044150448678_018")</f>
        <v> 32044150448678_018</v>
      </c>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c r="AG248" s="94"/>
    </row>
    <row r="249">
      <c r="A249" s="96" t="s">
        <v>2051</v>
      </c>
      <c r="B249" s="95" t="str">
        <f>IFERROR(__xludf.DUMMYFUNCTION("""COMPUTED_VALUE"""),"32044150448678_019")</f>
        <v>32044150448678_019</v>
      </c>
      <c r="C249" s="94" t="str">
        <f>IFERROR(__xludf.DUMMYFUNCTION("""COMPUTED_VALUE""")," 32044150448678_020")</f>
        <v> 32044150448678_020</v>
      </c>
      <c r="D249" s="94" t="str">
        <f>IFERROR(__xludf.DUMMYFUNCTION("""COMPUTED_VALUE""")," 32044150448678_021")</f>
        <v> 32044150448678_021</v>
      </c>
      <c r="E249" s="94" t="str">
        <f>IFERROR(__xludf.DUMMYFUNCTION("""COMPUTED_VALUE""")," 32044150448678_022")</f>
        <v> 32044150448678_022</v>
      </c>
      <c r="F249" s="94" t="str">
        <f>IFERROR(__xludf.DUMMYFUNCTION("""COMPUTED_VALUE""")," 32044150448678_023")</f>
        <v> 32044150448678_023</v>
      </c>
      <c r="G249" s="94" t="str">
        <f>IFERROR(__xludf.DUMMYFUNCTION("""COMPUTED_VALUE""")," 32044150448678_024")</f>
        <v> 32044150448678_024</v>
      </c>
      <c r="H249" s="94" t="str">
        <f>IFERROR(__xludf.DUMMYFUNCTION("""COMPUTED_VALUE""")," 32044150448678_025")</f>
        <v> 32044150448678_025</v>
      </c>
      <c r="I249" s="94" t="str">
        <f>IFERROR(__xludf.DUMMYFUNCTION("""COMPUTED_VALUE""")," 32044150448678_026")</f>
        <v> 32044150448678_026</v>
      </c>
      <c r="J249" s="94" t="str">
        <f>IFERROR(__xludf.DUMMYFUNCTION("""COMPUTED_VALUE""")," 32044150448678_027")</f>
        <v> 32044150448678_027</v>
      </c>
      <c r="K249" s="94" t="str">
        <f>IFERROR(__xludf.DUMMYFUNCTION("""COMPUTED_VALUE""")," 32044150448678_028")</f>
        <v> 32044150448678_028</v>
      </c>
      <c r="L249" s="94" t="str">
        <f>IFERROR(__xludf.DUMMYFUNCTION("""COMPUTED_VALUE""")," 32044150448678_029")</f>
        <v> 32044150448678_029</v>
      </c>
      <c r="M249" s="94" t="str">
        <f>IFERROR(__xludf.DUMMYFUNCTION("""COMPUTED_VALUE""")," 32044150448678_030")</f>
        <v> 32044150448678_030</v>
      </c>
      <c r="N249" s="94" t="str">
        <f>IFERROR(__xludf.DUMMYFUNCTION("""COMPUTED_VALUE""")," 32044150448678_031")</f>
        <v> 32044150448678_031</v>
      </c>
      <c r="O249" s="94" t="str">
        <f>IFERROR(__xludf.DUMMYFUNCTION("""COMPUTED_VALUE""")," 32044150448678_032")</f>
        <v> 32044150448678_032</v>
      </c>
      <c r="P249" s="94" t="str">
        <f>IFERROR(__xludf.DUMMYFUNCTION("""COMPUTED_VALUE""")," 32044150448678_033")</f>
        <v> 32044150448678_033</v>
      </c>
      <c r="Q249" s="94" t="str">
        <f>IFERROR(__xludf.DUMMYFUNCTION("""COMPUTED_VALUE""")," 32044150448678_034")</f>
        <v> 32044150448678_034</v>
      </c>
      <c r="R249" s="94" t="str">
        <f>IFERROR(__xludf.DUMMYFUNCTION("""COMPUTED_VALUE""")," 32044150448678_035")</f>
        <v> 32044150448678_035</v>
      </c>
      <c r="S249" s="94" t="str">
        <f>IFERROR(__xludf.DUMMYFUNCTION("""COMPUTED_VALUE""")," 32044150448678_036")</f>
        <v> 32044150448678_036</v>
      </c>
      <c r="T249" s="94" t="str">
        <f>IFERROR(__xludf.DUMMYFUNCTION("""COMPUTED_VALUE""")," 32044150448678_037")</f>
        <v> 32044150448678_037</v>
      </c>
      <c r="U249" s="94" t="str">
        <f>IFERROR(__xludf.DUMMYFUNCTION("""COMPUTED_VALUE""")," 32044150448678_038")</f>
        <v> 32044150448678_038</v>
      </c>
      <c r="V249" s="94"/>
      <c r="W249" s="94"/>
      <c r="X249" s="94"/>
      <c r="Y249" s="94"/>
      <c r="Z249" s="94"/>
      <c r="AA249" s="94"/>
      <c r="AB249" s="94"/>
      <c r="AC249" s="94"/>
      <c r="AD249" s="94"/>
      <c r="AE249" s="94"/>
      <c r="AF249" s="94"/>
      <c r="AG249" s="94"/>
    </row>
    <row r="250">
      <c r="A250" s="96" t="s">
        <v>2058</v>
      </c>
      <c r="B250" s="95" t="str">
        <f>IFERROR(__xludf.DUMMYFUNCTION("""COMPUTED_VALUE"""),"32044150448686_001")</f>
        <v>32044150448686_001</v>
      </c>
      <c r="C250" s="94" t="str">
        <f>IFERROR(__xludf.DUMMYFUNCTION("""COMPUTED_VALUE""")," 32044150448686_002")</f>
        <v> 32044150448686_002</v>
      </c>
      <c r="D250" s="94" t="str">
        <f>IFERROR(__xludf.DUMMYFUNCTION("""COMPUTED_VALUE""")," 32044150448686_003")</f>
        <v> 32044150448686_003</v>
      </c>
      <c r="E250" s="94" t="str">
        <f>IFERROR(__xludf.DUMMYFUNCTION("""COMPUTED_VALUE""")," 32044150448686_004")</f>
        <v> 32044150448686_004</v>
      </c>
      <c r="F250" s="94" t="str">
        <f>IFERROR(__xludf.DUMMYFUNCTION("""COMPUTED_VALUE""")," 32044150448686_005")</f>
        <v> 32044150448686_005</v>
      </c>
      <c r="G250" s="94" t="str">
        <f>IFERROR(__xludf.DUMMYFUNCTION("""COMPUTED_VALUE""")," 32044150448686_006")</f>
        <v> 32044150448686_006</v>
      </c>
      <c r="H250" s="94" t="str">
        <f>IFERROR(__xludf.DUMMYFUNCTION("""COMPUTED_VALUE""")," 32044150448686_007")</f>
        <v> 32044150448686_007</v>
      </c>
      <c r="I250" s="94" t="str">
        <f>IFERROR(__xludf.DUMMYFUNCTION("""COMPUTED_VALUE""")," 32044150448686_008")</f>
        <v> 32044150448686_008</v>
      </c>
      <c r="J250" s="94" t="str">
        <f>IFERROR(__xludf.DUMMYFUNCTION("""COMPUTED_VALUE""")," 32044150448686_009")</f>
        <v> 32044150448686_009</v>
      </c>
      <c r="K250" s="94" t="str">
        <f>IFERROR(__xludf.DUMMYFUNCTION("""COMPUTED_VALUE""")," 32044150448686_010")</f>
        <v> 32044150448686_010</v>
      </c>
      <c r="L250" s="94" t="str">
        <f>IFERROR(__xludf.DUMMYFUNCTION("""COMPUTED_VALUE""")," 32044150448686_011")</f>
        <v> 32044150448686_011</v>
      </c>
      <c r="M250" s="94" t="str">
        <f>IFERROR(__xludf.DUMMYFUNCTION("""COMPUTED_VALUE""")," 32044150448686_012")</f>
        <v> 32044150448686_012</v>
      </c>
      <c r="N250" s="94" t="str">
        <f>IFERROR(__xludf.DUMMYFUNCTION("""COMPUTED_VALUE""")," 32044150448686_013")</f>
        <v> 32044150448686_013</v>
      </c>
      <c r="O250" s="94" t="str">
        <f>IFERROR(__xludf.DUMMYFUNCTION("""COMPUTED_VALUE""")," 32044150448686_014")</f>
        <v> 32044150448686_014</v>
      </c>
      <c r="P250" s="94"/>
      <c r="Q250" s="94"/>
      <c r="R250" s="94"/>
      <c r="S250" s="94"/>
      <c r="T250" s="94"/>
      <c r="U250" s="94"/>
      <c r="V250" s="94"/>
      <c r="W250" s="94"/>
      <c r="X250" s="94"/>
      <c r="Y250" s="94"/>
      <c r="Z250" s="94"/>
      <c r="AA250" s="94"/>
      <c r="AB250" s="94"/>
      <c r="AC250" s="94"/>
      <c r="AD250" s="94"/>
      <c r="AE250" s="94"/>
      <c r="AF250" s="94"/>
      <c r="AG250" s="94"/>
    </row>
    <row r="251">
      <c r="A251" s="96" t="s">
        <v>2062</v>
      </c>
      <c r="B251" s="95" t="str">
        <f>IFERROR(__xludf.DUMMYFUNCTION("""COMPUTED_VALUE"""),"32044150448686_015")</f>
        <v>32044150448686_015</v>
      </c>
      <c r="C251" s="94" t="str">
        <f>IFERROR(__xludf.DUMMYFUNCTION("""COMPUTED_VALUE""")," 32044150448686_016")</f>
        <v> 32044150448686_016</v>
      </c>
      <c r="D251" s="94" t="str">
        <f>IFERROR(__xludf.DUMMYFUNCTION("""COMPUTED_VALUE""")," 32044150448686_017")</f>
        <v> 32044150448686_017</v>
      </c>
      <c r="E251" s="94" t="str">
        <f>IFERROR(__xludf.DUMMYFUNCTION("""COMPUTED_VALUE""")," 32044150448686_018")</f>
        <v> 32044150448686_018</v>
      </c>
      <c r="F251" s="94" t="str">
        <f>IFERROR(__xludf.DUMMYFUNCTION("""COMPUTED_VALUE""")," 32044150448686_019")</f>
        <v> 32044150448686_019</v>
      </c>
      <c r="G251" s="94" t="str">
        <f>IFERROR(__xludf.DUMMYFUNCTION("""COMPUTED_VALUE""")," 32044150448686_020")</f>
        <v> 32044150448686_020</v>
      </c>
      <c r="H251" s="94" t="str">
        <f>IFERROR(__xludf.DUMMYFUNCTION("""COMPUTED_VALUE""")," 32044150448686_021")</f>
        <v> 32044150448686_021</v>
      </c>
      <c r="I251" s="94" t="str">
        <f>IFERROR(__xludf.DUMMYFUNCTION("""COMPUTED_VALUE""")," 32044150448686_022")</f>
        <v> 32044150448686_022</v>
      </c>
      <c r="J251" s="94" t="str">
        <f>IFERROR(__xludf.DUMMYFUNCTION("""COMPUTED_VALUE""")," 32044150448686_023")</f>
        <v> 32044150448686_023</v>
      </c>
      <c r="K251" s="94" t="str">
        <f>IFERROR(__xludf.DUMMYFUNCTION("""COMPUTED_VALUE""")," 32044150448686_024")</f>
        <v> 32044150448686_024</v>
      </c>
      <c r="L251" s="94" t="str">
        <f>IFERROR(__xludf.DUMMYFUNCTION("""COMPUTED_VALUE""")," 32044150448686_025")</f>
        <v> 32044150448686_025</v>
      </c>
      <c r="M251" s="94" t="str">
        <f>IFERROR(__xludf.DUMMYFUNCTION("""COMPUTED_VALUE""")," 32044150448686_026")</f>
        <v> 32044150448686_026</v>
      </c>
      <c r="N251" s="94" t="str">
        <f>IFERROR(__xludf.DUMMYFUNCTION("""COMPUTED_VALUE""")," 32044150448686_027")</f>
        <v> 32044150448686_027</v>
      </c>
      <c r="O251" s="94" t="str">
        <f>IFERROR(__xludf.DUMMYFUNCTION("""COMPUTED_VALUE""")," 32044150448686_028")</f>
        <v> 32044150448686_028</v>
      </c>
      <c r="P251" s="94" t="str">
        <f>IFERROR(__xludf.DUMMYFUNCTION("""COMPUTED_VALUE""")," 32044150448686_029")</f>
        <v> 32044150448686_029</v>
      </c>
      <c r="Q251" s="94" t="str">
        <f>IFERROR(__xludf.DUMMYFUNCTION("""COMPUTED_VALUE""")," 32044150448686_030")</f>
        <v> 32044150448686_030</v>
      </c>
      <c r="R251" s="94" t="str">
        <f>IFERROR(__xludf.DUMMYFUNCTION("""COMPUTED_VALUE""")," 32044150448686_031")</f>
        <v> 32044150448686_031</v>
      </c>
      <c r="S251" s="94" t="str">
        <f>IFERROR(__xludf.DUMMYFUNCTION("""COMPUTED_VALUE""")," 32044150448686_032")</f>
        <v> 32044150448686_032</v>
      </c>
      <c r="T251" s="94" t="str">
        <f>IFERROR(__xludf.DUMMYFUNCTION("""COMPUTED_VALUE""")," 32044150448686_033")</f>
        <v> 32044150448686_033</v>
      </c>
      <c r="U251" s="94"/>
      <c r="V251" s="94"/>
      <c r="W251" s="94"/>
      <c r="X251" s="94"/>
      <c r="Y251" s="94"/>
      <c r="Z251" s="94"/>
      <c r="AA251" s="94"/>
      <c r="AB251" s="94"/>
      <c r="AC251" s="94"/>
      <c r="AD251" s="94"/>
      <c r="AE251" s="94"/>
      <c r="AF251" s="94"/>
      <c r="AG251" s="94"/>
    </row>
    <row r="252">
      <c r="A252" s="96" t="s">
        <v>2066</v>
      </c>
      <c r="B252" s="95" t="str">
        <f>IFERROR(__xludf.DUMMYFUNCTION("""COMPUTED_VALUE"""),"32044150448686_034")</f>
        <v>32044150448686_034</v>
      </c>
      <c r="C252" s="94" t="str">
        <f>IFERROR(__xludf.DUMMYFUNCTION("""COMPUTED_VALUE""")," 32044150448686_035")</f>
        <v> 32044150448686_035</v>
      </c>
      <c r="D252" s="94" t="str">
        <f>IFERROR(__xludf.DUMMYFUNCTION("""COMPUTED_VALUE""")," 32044150448686_036")</f>
        <v> 32044150448686_036</v>
      </c>
      <c r="E252" s="94" t="str">
        <f>IFERROR(__xludf.DUMMYFUNCTION("""COMPUTED_VALUE""")," 32044150448686_037")</f>
        <v> 32044150448686_037</v>
      </c>
      <c r="F252" s="94" t="str">
        <f>IFERROR(__xludf.DUMMYFUNCTION("""COMPUTED_VALUE""")," 32044150448686_038")</f>
        <v> 32044150448686_038</v>
      </c>
      <c r="G252" s="94" t="str">
        <f>IFERROR(__xludf.DUMMYFUNCTION("""COMPUTED_VALUE""")," 32044150448686_039")</f>
        <v> 32044150448686_039</v>
      </c>
      <c r="H252" s="94" t="str">
        <f>IFERROR(__xludf.DUMMYFUNCTION("""COMPUTED_VALUE""")," 32044150448686_040")</f>
        <v> 32044150448686_040</v>
      </c>
      <c r="I252" s="94" t="str">
        <f>IFERROR(__xludf.DUMMYFUNCTION("""COMPUTED_VALUE""")," 32044150448686_041")</f>
        <v> 32044150448686_041</v>
      </c>
      <c r="J252" s="94" t="str">
        <f>IFERROR(__xludf.DUMMYFUNCTION("""COMPUTED_VALUE""")," 32044150448686_042")</f>
        <v> 32044150448686_042</v>
      </c>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row>
    <row r="253">
      <c r="A253" s="96" t="s">
        <v>2069</v>
      </c>
      <c r="B253" s="95" t="str">
        <f>IFERROR(__xludf.DUMMYFUNCTION("""COMPUTED_VALUE"""),"32044150448694_001")</f>
        <v>32044150448694_001</v>
      </c>
      <c r="C253" s="94" t="str">
        <f>IFERROR(__xludf.DUMMYFUNCTION("""COMPUTED_VALUE""")," 32044150448694_002")</f>
        <v> 32044150448694_002</v>
      </c>
      <c r="D253" s="94" t="str">
        <f>IFERROR(__xludf.DUMMYFUNCTION("""COMPUTED_VALUE""")," 32044150448694_003")</f>
        <v> 32044150448694_003</v>
      </c>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c r="AG253" s="94"/>
    </row>
    <row r="254">
      <c r="A254" s="96" t="s">
        <v>2072</v>
      </c>
      <c r="B254" s="95" t="str">
        <f>IFERROR(__xludf.DUMMYFUNCTION("""COMPUTED_VALUE"""),"32044150448694_004")</f>
        <v>32044150448694_004</v>
      </c>
      <c r="C254" s="94" t="str">
        <f>IFERROR(__xludf.DUMMYFUNCTION("""COMPUTED_VALUE""")," 32044150448694_005")</f>
        <v> 32044150448694_005</v>
      </c>
      <c r="D254" s="94" t="str">
        <f>IFERROR(__xludf.DUMMYFUNCTION("""COMPUTED_VALUE""")," 32044150448694_006")</f>
        <v> 32044150448694_006</v>
      </c>
      <c r="E254" s="94" t="str">
        <f>IFERROR(__xludf.DUMMYFUNCTION("""COMPUTED_VALUE""")," 32044150448694_007")</f>
        <v> 32044150448694_007</v>
      </c>
      <c r="F254" s="94" t="str">
        <f>IFERROR(__xludf.DUMMYFUNCTION("""COMPUTED_VALUE""")," 32044150448694_008")</f>
        <v> 32044150448694_008</v>
      </c>
      <c r="G254" s="94" t="str">
        <f>IFERROR(__xludf.DUMMYFUNCTION("""COMPUTED_VALUE""")," 32044150448694_009")</f>
        <v> 32044150448694_009</v>
      </c>
      <c r="H254" s="94" t="str">
        <f>IFERROR(__xludf.DUMMYFUNCTION("""COMPUTED_VALUE""")," 32044150448694_010")</f>
        <v> 32044150448694_010</v>
      </c>
      <c r="I254" s="94" t="str">
        <f>IFERROR(__xludf.DUMMYFUNCTION("""COMPUTED_VALUE""")," 32044150448694_011")</f>
        <v> 32044150448694_011</v>
      </c>
      <c r="J254" s="94" t="str">
        <f>IFERROR(__xludf.DUMMYFUNCTION("""COMPUTED_VALUE""")," 32044150448694_012")</f>
        <v> 32044150448694_012</v>
      </c>
      <c r="K254" s="94" t="str">
        <f>IFERROR(__xludf.DUMMYFUNCTION("""COMPUTED_VALUE""")," 32044150448694_013")</f>
        <v> 32044150448694_013</v>
      </c>
      <c r="L254" s="94"/>
      <c r="M254" s="94"/>
      <c r="N254" s="94"/>
      <c r="O254" s="94"/>
      <c r="P254" s="94"/>
      <c r="Q254" s="94"/>
      <c r="R254" s="94"/>
      <c r="S254" s="94"/>
      <c r="T254" s="94"/>
      <c r="U254" s="94"/>
      <c r="V254" s="94"/>
      <c r="W254" s="94"/>
      <c r="X254" s="94"/>
      <c r="Y254" s="94"/>
      <c r="Z254" s="94"/>
      <c r="AA254" s="94"/>
      <c r="AB254" s="94"/>
      <c r="AC254" s="94"/>
      <c r="AD254" s="94"/>
      <c r="AE254" s="94"/>
      <c r="AF254" s="94"/>
      <c r="AG254" s="94"/>
    </row>
    <row r="255">
      <c r="A255" s="96" t="s">
        <v>2077</v>
      </c>
      <c r="B255" s="95" t="str">
        <f>IFERROR(__xludf.DUMMYFUNCTION("""COMPUTED_VALUE"""),"32044150448694_014")</f>
        <v>32044150448694_014</v>
      </c>
      <c r="C255" s="94" t="str">
        <f>IFERROR(__xludf.DUMMYFUNCTION("""COMPUTED_VALUE""")," 32044150448694_015")</f>
        <v> 32044150448694_015</v>
      </c>
      <c r="D255" s="94" t="str">
        <f>IFERROR(__xludf.DUMMYFUNCTION("""COMPUTED_VALUE""")," 32044150448694_016")</f>
        <v> 32044150448694_016</v>
      </c>
      <c r="E255" s="94" t="str">
        <f>IFERROR(__xludf.DUMMYFUNCTION("""COMPUTED_VALUE""")," 32044150448694_017")</f>
        <v> 32044150448694_017</v>
      </c>
      <c r="F255" s="94" t="str">
        <f>IFERROR(__xludf.DUMMYFUNCTION("""COMPUTED_VALUE""")," 32044150448694_018")</f>
        <v> 32044150448694_018</v>
      </c>
      <c r="G255" s="94" t="str">
        <f>IFERROR(__xludf.DUMMYFUNCTION("""COMPUTED_VALUE""")," 32044150448694_019")</f>
        <v> 32044150448694_019</v>
      </c>
      <c r="H255" s="94" t="str">
        <f>IFERROR(__xludf.DUMMYFUNCTION("""COMPUTED_VALUE""")," 32044150448694_020")</f>
        <v> 32044150448694_020</v>
      </c>
      <c r="I255" s="94" t="str">
        <f>IFERROR(__xludf.DUMMYFUNCTION("""COMPUTED_VALUE""")," 32044150448694_021")</f>
        <v> 32044150448694_021</v>
      </c>
      <c r="J255" s="94" t="str">
        <f>IFERROR(__xludf.DUMMYFUNCTION("""COMPUTED_VALUE""")," 32044150448694_022")</f>
        <v> 32044150448694_022</v>
      </c>
      <c r="K255" s="94" t="str">
        <f>IFERROR(__xludf.DUMMYFUNCTION("""COMPUTED_VALUE""")," 32044150448694_023")</f>
        <v> 32044150448694_023</v>
      </c>
      <c r="L255" s="94" t="str">
        <f>IFERROR(__xludf.DUMMYFUNCTION("""COMPUTED_VALUE""")," 32044150448694_024")</f>
        <v> 32044150448694_024</v>
      </c>
      <c r="M255" s="94" t="str">
        <f>IFERROR(__xludf.DUMMYFUNCTION("""COMPUTED_VALUE""")," 32044150448694_025")</f>
        <v> 32044150448694_025</v>
      </c>
      <c r="N255" s="94"/>
      <c r="O255" s="94"/>
      <c r="P255" s="94"/>
      <c r="Q255" s="94"/>
      <c r="R255" s="94"/>
      <c r="S255" s="94"/>
      <c r="T255" s="94"/>
      <c r="U255" s="94"/>
      <c r="V255" s="94"/>
      <c r="W255" s="94"/>
      <c r="X255" s="94"/>
      <c r="Y255" s="94"/>
      <c r="Z255" s="94"/>
      <c r="AA255" s="94"/>
      <c r="AB255" s="94"/>
      <c r="AC255" s="94"/>
      <c r="AD255" s="94"/>
      <c r="AE255" s="94"/>
      <c r="AF255" s="94"/>
      <c r="AG255" s="94"/>
    </row>
    <row r="256">
      <c r="A256" s="96" t="s">
        <v>2080</v>
      </c>
      <c r="B256" s="95" t="str">
        <f>IFERROR(__xludf.DUMMYFUNCTION("""COMPUTED_VALUE"""),"32044150448694_030")</f>
        <v>32044150448694_030</v>
      </c>
      <c r="C256" s="94" t="str">
        <f>IFERROR(__xludf.DUMMYFUNCTION("""COMPUTED_VALUE""")," 32044150448694_031")</f>
        <v> 32044150448694_031</v>
      </c>
      <c r="D256" s="94" t="str">
        <f>IFERROR(__xludf.DUMMYFUNCTION("""COMPUTED_VALUE""")," 32044150448694_032")</f>
        <v> 32044150448694_032</v>
      </c>
      <c r="E256" s="94" t="str">
        <f>IFERROR(__xludf.DUMMYFUNCTION("""COMPUTED_VALUE""")," 32044150448694_033")</f>
        <v> 32044150448694_033</v>
      </c>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c r="AD256" s="94"/>
      <c r="AE256" s="94"/>
      <c r="AF256" s="94"/>
      <c r="AG256" s="94"/>
    </row>
    <row r="257">
      <c r="A257" s="96" t="s">
        <v>2083</v>
      </c>
      <c r="B257" s="95" t="str">
        <f>IFERROR(__xludf.DUMMYFUNCTION("""COMPUTED_VALUE"""),"32044150448694_034")</f>
        <v>32044150448694_034</v>
      </c>
      <c r="C257" s="94" t="str">
        <f>IFERROR(__xludf.DUMMYFUNCTION("""COMPUTED_VALUE""")," 32044150448694_035")</f>
        <v> 32044150448694_035</v>
      </c>
      <c r="D257" s="94" t="str">
        <f>IFERROR(__xludf.DUMMYFUNCTION("""COMPUTED_VALUE""")," 32044150448694_036")</f>
        <v> 32044150448694_036</v>
      </c>
      <c r="E257" s="94" t="str">
        <f>IFERROR(__xludf.DUMMYFUNCTION("""COMPUTED_VALUE""")," 32044150448694_037")</f>
        <v> 32044150448694_037</v>
      </c>
      <c r="F257" s="94" t="str">
        <f>IFERROR(__xludf.DUMMYFUNCTION("""COMPUTED_VALUE""")," 32044150448694_038")</f>
        <v> 32044150448694_038</v>
      </c>
      <c r="G257" s="94" t="str">
        <f>IFERROR(__xludf.DUMMYFUNCTION("""COMPUTED_VALUE""")," 32044150448694_039")</f>
        <v> 32044150448694_039</v>
      </c>
      <c r="H257" s="94" t="str">
        <f>IFERROR(__xludf.DUMMYFUNCTION("""COMPUTED_VALUE""")," 32044150448694_040")</f>
        <v> 32044150448694_040</v>
      </c>
      <c r="I257" s="94" t="str">
        <f>IFERROR(__xludf.DUMMYFUNCTION("""COMPUTED_VALUE""")," 32044150448694_041")</f>
        <v> 32044150448694_041</v>
      </c>
      <c r="J257" s="94" t="str">
        <f>IFERROR(__xludf.DUMMYFUNCTION("""COMPUTED_VALUE""")," 32044150448694_042")</f>
        <v> 32044150448694_042</v>
      </c>
      <c r="K257" s="94" t="str">
        <f>IFERROR(__xludf.DUMMYFUNCTION("""COMPUTED_VALUE""")," 32044150448694_043")</f>
        <v> 32044150448694_043</v>
      </c>
      <c r="L257" s="94" t="str">
        <f>IFERROR(__xludf.DUMMYFUNCTION("""COMPUTED_VALUE""")," 32044150448694_044")</f>
        <v> 32044150448694_044</v>
      </c>
      <c r="M257" s="94" t="str">
        <f>IFERROR(__xludf.DUMMYFUNCTION("""COMPUTED_VALUE""")," 32044150448694_045")</f>
        <v> 32044150448694_045</v>
      </c>
      <c r="N257" s="94" t="str">
        <f>IFERROR(__xludf.DUMMYFUNCTION("""COMPUTED_VALUE""")," 32044150448694_046")</f>
        <v> 32044150448694_046</v>
      </c>
      <c r="O257" s="94" t="str">
        <f>IFERROR(__xludf.DUMMYFUNCTION("""COMPUTED_VALUE""")," 32044150448694_047")</f>
        <v> 32044150448694_047</v>
      </c>
      <c r="P257" s="94" t="str">
        <f>IFERROR(__xludf.DUMMYFUNCTION("""COMPUTED_VALUE""")," 32044150448694_048")</f>
        <v> 32044150448694_048</v>
      </c>
      <c r="Q257" s="94" t="str">
        <f>IFERROR(__xludf.DUMMYFUNCTION("""COMPUTED_VALUE""")," 32044150448694_049")</f>
        <v> 32044150448694_049</v>
      </c>
      <c r="R257" s="94" t="str">
        <f>IFERROR(__xludf.DUMMYFUNCTION("""COMPUTED_VALUE""")," 32044150448694_050")</f>
        <v> 32044150448694_050</v>
      </c>
      <c r="S257" s="94" t="str">
        <f>IFERROR(__xludf.DUMMYFUNCTION("""COMPUTED_VALUE""")," 32044150448694_051")</f>
        <v> 32044150448694_051</v>
      </c>
      <c r="T257" s="94"/>
      <c r="U257" s="94"/>
      <c r="V257" s="94"/>
      <c r="W257" s="94"/>
      <c r="X257" s="94"/>
      <c r="Y257" s="94"/>
      <c r="Z257" s="94"/>
      <c r="AA257" s="94"/>
      <c r="AB257" s="94"/>
      <c r="AC257" s="94"/>
      <c r="AD257" s="94"/>
      <c r="AE257" s="94"/>
      <c r="AF257" s="94"/>
      <c r="AG257" s="94"/>
    </row>
    <row r="258">
      <c r="A258" s="96" t="s">
        <v>2087</v>
      </c>
      <c r="B258" s="95" t="str">
        <f>IFERROR(__xludf.DUMMYFUNCTION("""COMPUTED_VALUE"""),"32044150448694_052")</f>
        <v>32044150448694_052</v>
      </c>
      <c r="C258" s="94" t="str">
        <f>IFERROR(__xludf.DUMMYFUNCTION("""COMPUTED_VALUE""")," 32044150448694_053")</f>
        <v> 32044150448694_053</v>
      </c>
      <c r="D258" s="94" t="str">
        <f>IFERROR(__xludf.DUMMYFUNCTION("""COMPUTED_VALUE""")," 32044150448694_054")</f>
        <v> 32044150448694_054</v>
      </c>
      <c r="E258" s="94" t="str">
        <f>IFERROR(__xludf.DUMMYFUNCTION("""COMPUTED_VALUE""")," 32044150448694_055")</f>
        <v> 32044150448694_055</v>
      </c>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c r="AD258" s="94"/>
      <c r="AE258" s="94"/>
      <c r="AF258" s="94"/>
      <c r="AG258" s="94"/>
    </row>
    <row r="259">
      <c r="A259" s="96" t="s">
        <v>2092</v>
      </c>
      <c r="B259" s="95" t="str">
        <f>IFERROR(__xludf.DUMMYFUNCTION("""COMPUTED_VALUE"""),"32044150448694_056")</f>
        <v>32044150448694_056</v>
      </c>
      <c r="C259" s="94" t="str">
        <f>IFERROR(__xludf.DUMMYFUNCTION("""COMPUTED_VALUE""")," 32044150448694_057")</f>
        <v> 32044150448694_057</v>
      </c>
      <c r="D259" s="94" t="str">
        <f>IFERROR(__xludf.DUMMYFUNCTION("""COMPUTED_VALUE""")," 32044150448694_058")</f>
        <v> 32044150448694_058</v>
      </c>
      <c r="E259" s="94" t="str">
        <f>IFERROR(__xludf.DUMMYFUNCTION("""COMPUTED_VALUE""")," 32044150448694_059")</f>
        <v> 32044150448694_059</v>
      </c>
      <c r="F259" s="94" t="str">
        <f>IFERROR(__xludf.DUMMYFUNCTION("""COMPUTED_VALUE""")," 32044150448694_060")</f>
        <v> 32044150448694_060</v>
      </c>
      <c r="G259" s="94" t="str">
        <f>IFERROR(__xludf.DUMMYFUNCTION("""COMPUTED_VALUE""")," 32044150448694_061")</f>
        <v> 32044150448694_061</v>
      </c>
      <c r="H259" s="94" t="str">
        <f>IFERROR(__xludf.DUMMYFUNCTION("""COMPUTED_VALUE""")," 32044150448694_062")</f>
        <v> 32044150448694_062</v>
      </c>
      <c r="I259" s="94" t="str">
        <f>IFERROR(__xludf.DUMMYFUNCTION("""COMPUTED_VALUE""")," 32044150448694_063")</f>
        <v> 32044150448694_063</v>
      </c>
      <c r="J259" s="94" t="str">
        <f>IFERROR(__xludf.DUMMYFUNCTION("""COMPUTED_VALUE""")," 32044150448694_064")</f>
        <v> 32044150448694_064</v>
      </c>
      <c r="K259" s="94" t="str">
        <f>IFERROR(__xludf.DUMMYFUNCTION("""COMPUTED_VALUE""")," 32044150448694_065")</f>
        <v> 32044150448694_065</v>
      </c>
      <c r="L259" s="94" t="str">
        <f>IFERROR(__xludf.DUMMYFUNCTION("""COMPUTED_VALUE""")," 32044150448694_066")</f>
        <v> 32044150448694_066</v>
      </c>
      <c r="M259" s="94" t="str">
        <f>IFERROR(__xludf.DUMMYFUNCTION("""COMPUTED_VALUE""")," 32044150448694_067")</f>
        <v> 32044150448694_067</v>
      </c>
      <c r="N259" s="94" t="str">
        <f>IFERROR(__xludf.DUMMYFUNCTION("""COMPUTED_VALUE""")," 32044150448694_068")</f>
        <v> 32044150448694_068</v>
      </c>
      <c r="O259" s="94" t="str">
        <f>IFERROR(__xludf.DUMMYFUNCTION("""COMPUTED_VALUE""")," 32044150448694_069")</f>
        <v> 32044150448694_069</v>
      </c>
      <c r="P259" s="94" t="str">
        <f>IFERROR(__xludf.DUMMYFUNCTION("""COMPUTED_VALUE""")," 32044150448694_070")</f>
        <v> 32044150448694_070</v>
      </c>
      <c r="Q259" s="94" t="str">
        <f>IFERROR(__xludf.DUMMYFUNCTION("""COMPUTED_VALUE""")," 32044150448694_071")</f>
        <v> 32044150448694_071</v>
      </c>
      <c r="R259" s="94" t="str">
        <f>IFERROR(__xludf.DUMMYFUNCTION("""COMPUTED_VALUE""")," 32044150448694_072")</f>
        <v> 32044150448694_072</v>
      </c>
      <c r="S259" s="94" t="str">
        <f>IFERROR(__xludf.DUMMYFUNCTION("""COMPUTED_VALUE""")," 32044150448694_073")</f>
        <v> 32044150448694_073</v>
      </c>
      <c r="T259" s="94" t="str">
        <f>IFERROR(__xludf.DUMMYFUNCTION("""COMPUTED_VALUE""")," 32044150448694_074")</f>
        <v> 32044150448694_074</v>
      </c>
      <c r="U259" s="94" t="str">
        <f>IFERROR(__xludf.DUMMYFUNCTION("""COMPUTED_VALUE""")," 32044150448694_075")</f>
        <v> 32044150448694_075</v>
      </c>
      <c r="V259" s="94" t="str">
        <f>IFERROR(__xludf.DUMMYFUNCTION("""COMPUTED_VALUE""")," 32044150448694_076")</f>
        <v> 32044150448694_076</v>
      </c>
      <c r="W259" s="94" t="str">
        <f>IFERROR(__xludf.DUMMYFUNCTION("""COMPUTED_VALUE""")," 32044150448694_077")</f>
        <v> 32044150448694_077</v>
      </c>
      <c r="X259" s="94"/>
      <c r="Y259" s="94"/>
      <c r="Z259" s="94"/>
      <c r="AA259" s="94"/>
      <c r="AB259" s="94"/>
      <c r="AC259" s="94"/>
      <c r="AD259" s="94"/>
      <c r="AE259" s="94"/>
      <c r="AF259" s="94"/>
      <c r="AG259" s="94"/>
    </row>
    <row r="260">
      <c r="A260" s="96" t="s">
        <v>2098</v>
      </c>
      <c r="B260" s="95" t="str">
        <f>IFERROR(__xludf.DUMMYFUNCTION("""COMPUTED_VALUE"""),"32044150448702_001")</f>
        <v>32044150448702_001</v>
      </c>
      <c r="C260" s="94" t="str">
        <f>IFERROR(__xludf.DUMMYFUNCTION("""COMPUTED_VALUE""")," 32044150448702_002")</f>
        <v> 32044150448702_002</v>
      </c>
      <c r="D260" s="94" t="str">
        <f>IFERROR(__xludf.DUMMYFUNCTION("""COMPUTED_VALUE""")," 32044150448702_003")</f>
        <v> 32044150448702_003</v>
      </c>
      <c r="E260" s="94" t="str">
        <f>IFERROR(__xludf.DUMMYFUNCTION("""COMPUTED_VALUE""")," 32044150448702_004")</f>
        <v> 32044150448702_004</v>
      </c>
      <c r="F260" s="94" t="str">
        <f>IFERROR(__xludf.DUMMYFUNCTION("""COMPUTED_VALUE""")," 32044150448702_005")</f>
        <v> 32044150448702_005</v>
      </c>
      <c r="G260" s="94" t="str">
        <f>IFERROR(__xludf.DUMMYFUNCTION("""COMPUTED_VALUE""")," 32044150448702_006")</f>
        <v> 32044150448702_006</v>
      </c>
      <c r="H260" s="94" t="str">
        <f>IFERROR(__xludf.DUMMYFUNCTION("""COMPUTED_VALUE""")," 32044150448702_007")</f>
        <v> 32044150448702_007</v>
      </c>
      <c r="I260" s="94" t="str">
        <f>IFERROR(__xludf.DUMMYFUNCTION("""COMPUTED_VALUE""")," 32044150448702_008")</f>
        <v> 32044150448702_008</v>
      </c>
      <c r="J260" s="94" t="str">
        <f>IFERROR(__xludf.DUMMYFUNCTION("""COMPUTED_VALUE""")," 32044150448702_009")</f>
        <v> 32044150448702_009</v>
      </c>
      <c r="K260" s="94" t="str">
        <f>IFERROR(__xludf.DUMMYFUNCTION("""COMPUTED_VALUE""")," 32044150448702_010")</f>
        <v> 32044150448702_010</v>
      </c>
      <c r="L260" s="94" t="str">
        <f>IFERROR(__xludf.DUMMYFUNCTION("""COMPUTED_VALUE""")," 32044150448702_011")</f>
        <v> 32044150448702_011</v>
      </c>
      <c r="M260" s="94" t="str">
        <f>IFERROR(__xludf.DUMMYFUNCTION("""COMPUTED_VALUE""")," 32044150448702_012")</f>
        <v> 32044150448702_012</v>
      </c>
      <c r="N260" s="94" t="str">
        <f>IFERROR(__xludf.DUMMYFUNCTION("""COMPUTED_VALUE""")," 32044150448702_013")</f>
        <v> 32044150448702_013</v>
      </c>
      <c r="O260" s="94"/>
      <c r="P260" s="94"/>
      <c r="Q260" s="94"/>
      <c r="R260" s="94"/>
      <c r="S260" s="94"/>
      <c r="T260" s="94"/>
      <c r="U260" s="94"/>
      <c r="V260" s="94"/>
      <c r="W260" s="94"/>
      <c r="X260" s="94"/>
      <c r="Y260" s="94"/>
      <c r="Z260" s="94"/>
      <c r="AA260" s="94"/>
      <c r="AB260" s="94"/>
      <c r="AC260" s="94"/>
      <c r="AD260" s="94"/>
      <c r="AE260" s="94"/>
      <c r="AF260" s="94"/>
      <c r="AG260" s="94"/>
    </row>
    <row r="261">
      <c r="A261" s="96" t="s">
        <v>2103</v>
      </c>
      <c r="B261" s="95" t="str">
        <f>IFERROR(__xludf.DUMMYFUNCTION("""COMPUTED_VALUE"""),"32044150448702_014")</f>
        <v>32044150448702_014</v>
      </c>
      <c r="C261" s="94" t="str">
        <f>IFERROR(__xludf.DUMMYFUNCTION("""COMPUTED_VALUE""")," 32044150448702_015")</f>
        <v> 32044150448702_015</v>
      </c>
      <c r="D261" s="94" t="str">
        <f>IFERROR(__xludf.DUMMYFUNCTION("""COMPUTED_VALUE""")," 32044150448702_016")</f>
        <v> 32044150448702_016</v>
      </c>
      <c r="E261" s="94" t="str">
        <f>IFERROR(__xludf.DUMMYFUNCTION("""COMPUTED_VALUE""")," 32044150448702_017")</f>
        <v> 32044150448702_017</v>
      </c>
      <c r="F261" s="94" t="str">
        <f>IFERROR(__xludf.DUMMYFUNCTION("""COMPUTED_VALUE""")," 32044150448702_018")</f>
        <v> 32044150448702_018</v>
      </c>
      <c r="G261" s="94" t="str">
        <f>IFERROR(__xludf.DUMMYFUNCTION("""COMPUTED_VALUE""")," 32044150448702_019")</f>
        <v> 32044150448702_019</v>
      </c>
      <c r="H261" s="94" t="str">
        <f>IFERROR(__xludf.DUMMYFUNCTION("""COMPUTED_VALUE""")," 32044150448702_020")</f>
        <v> 32044150448702_020</v>
      </c>
      <c r="I261" s="94" t="str">
        <f>IFERROR(__xludf.DUMMYFUNCTION("""COMPUTED_VALUE""")," 32044150448702_021")</f>
        <v> 32044150448702_021</v>
      </c>
      <c r="J261" s="94" t="str">
        <f>IFERROR(__xludf.DUMMYFUNCTION("""COMPUTED_VALUE""")," 32044150448702_022")</f>
        <v> 32044150448702_022</v>
      </c>
      <c r="K261" s="94" t="str">
        <f>IFERROR(__xludf.DUMMYFUNCTION("""COMPUTED_VALUE""")," 32044150448702_023")</f>
        <v> 32044150448702_023</v>
      </c>
      <c r="L261" s="94" t="str">
        <f>IFERROR(__xludf.DUMMYFUNCTION("""COMPUTED_VALUE""")," 32044150448702_024")</f>
        <v> 32044150448702_024</v>
      </c>
      <c r="M261" s="94" t="str">
        <f>IFERROR(__xludf.DUMMYFUNCTION("""COMPUTED_VALUE""")," 32044150448702_025")</f>
        <v> 32044150448702_025</v>
      </c>
      <c r="N261" s="94" t="str">
        <f>IFERROR(__xludf.DUMMYFUNCTION("""COMPUTED_VALUE""")," 32044150448702_026")</f>
        <v> 32044150448702_026</v>
      </c>
      <c r="O261" s="94" t="str">
        <f>IFERROR(__xludf.DUMMYFUNCTION("""COMPUTED_VALUE""")," 32044150448702_027")</f>
        <v> 32044150448702_027</v>
      </c>
      <c r="P261" s="94" t="str">
        <f>IFERROR(__xludf.DUMMYFUNCTION("""COMPUTED_VALUE""")," 32044150448702_028")</f>
        <v> 32044150448702_028</v>
      </c>
      <c r="Q261" s="94" t="str">
        <f>IFERROR(__xludf.DUMMYFUNCTION("""COMPUTED_VALUE""")," 32044150448702_029")</f>
        <v> 32044150448702_029</v>
      </c>
      <c r="R261" s="94" t="str">
        <f>IFERROR(__xludf.DUMMYFUNCTION("""COMPUTED_VALUE""")," 32044150448702_030")</f>
        <v> 32044150448702_030</v>
      </c>
      <c r="S261" s="94" t="str">
        <f>IFERROR(__xludf.DUMMYFUNCTION("""COMPUTED_VALUE""")," 32044150448702_031")</f>
        <v> 32044150448702_031</v>
      </c>
      <c r="T261" s="94" t="str">
        <f>IFERROR(__xludf.DUMMYFUNCTION("""COMPUTED_VALUE""")," 32044150448702_032")</f>
        <v> 32044150448702_032</v>
      </c>
      <c r="U261" s="94" t="str">
        <f>IFERROR(__xludf.DUMMYFUNCTION("""COMPUTED_VALUE""")," 32044150448702_033")</f>
        <v> 32044150448702_033</v>
      </c>
      <c r="V261" s="94" t="str">
        <f>IFERROR(__xludf.DUMMYFUNCTION("""COMPUTED_VALUE""")," 32044150448702_034")</f>
        <v> 32044150448702_034</v>
      </c>
      <c r="W261" s="94" t="str">
        <f>IFERROR(__xludf.DUMMYFUNCTION("""COMPUTED_VALUE""")," 32044150448702_035")</f>
        <v> 32044150448702_035</v>
      </c>
      <c r="X261" s="94" t="str">
        <f>IFERROR(__xludf.DUMMYFUNCTION("""COMPUTED_VALUE""")," 32044150448702_036")</f>
        <v> 32044150448702_036</v>
      </c>
      <c r="Y261" s="94" t="str">
        <f>IFERROR(__xludf.DUMMYFUNCTION("""COMPUTED_VALUE""")," 32044150448702_037")</f>
        <v> 32044150448702_037</v>
      </c>
      <c r="Z261" s="94"/>
      <c r="AA261" s="94"/>
      <c r="AB261" s="94"/>
      <c r="AC261" s="94"/>
      <c r="AD261" s="94"/>
      <c r="AE261" s="94"/>
      <c r="AF261" s="94"/>
      <c r="AG261" s="94"/>
    </row>
    <row r="262">
      <c r="A262" s="96" t="s">
        <v>2107</v>
      </c>
      <c r="B262" s="95" t="str">
        <f>IFERROR(__xludf.DUMMYFUNCTION("""COMPUTED_VALUE"""),"32044150448694_026")</f>
        <v>32044150448694_026</v>
      </c>
      <c r="C262" s="94" t="str">
        <f>IFERROR(__xludf.DUMMYFUNCTION("""COMPUTED_VALUE""")," 32044150448694_027")</f>
        <v> 32044150448694_027</v>
      </c>
      <c r="D262" s="94" t="str">
        <f>IFERROR(__xludf.DUMMYFUNCTION("""COMPUTED_VALUE""")," 32044150448694_028")</f>
        <v> 32044150448694_028</v>
      </c>
      <c r="E262" s="94" t="str">
        <f>IFERROR(__xludf.DUMMYFUNCTION("""COMPUTED_VALUE""")," 32044150448694_029")</f>
        <v> 32044150448694_029</v>
      </c>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c r="AG262" s="94"/>
    </row>
    <row r="263">
      <c r="A263" s="96" t="s">
        <v>2115</v>
      </c>
      <c r="B263" s="95" t="str">
        <f>IFERROR(__xludf.DUMMYFUNCTION("""COMPUTED_VALUE"""),"32044150448702_038")</f>
        <v>32044150448702_038</v>
      </c>
      <c r="C263" s="94" t="str">
        <f>IFERROR(__xludf.DUMMYFUNCTION("""COMPUTED_VALUE""")," 32044150448702_039")</f>
        <v> 32044150448702_039</v>
      </c>
      <c r="D263" s="94" t="str">
        <f>IFERROR(__xludf.DUMMYFUNCTION("""COMPUTED_VALUE""")," 32044150448702_040")</f>
        <v> 32044150448702_040</v>
      </c>
      <c r="E263" s="94" t="str">
        <f>IFERROR(__xludf.DUMMYFUNCTION("""COMPUTED_VALUE""")," 32044150448702_041")</f>
        <v> 32044150448702_041</v>
      </c>
      <c r="F263" s="94" t="str">
        <f>IFERROR(__xludf.DUMMYFUNCTION("""COMPUTED_VALUE""")," 32044150448702_042")</f>
        <v> 32044150448702_042</v>
      </c>
      <c r="G263" s="94" t="str">
        <f>IFERROR(__xludf.DUMMYFUNCTION("""COMPUTED_VALUE""")," 32044150448702_043")</f>
        <v> 32044150448702_043</v>
      </c>
      <c r="H263" s="94" t="str">
        <f>IFERROR(__xludf.DUMMYFUNCTION("""COMPUTED_VALUE""")," 32044150448702_044")</f>
        <v> 32044150448702_044</v>
      </c>
      <c r="I263" s="94" t="str">
        <f>IFERROR(__xludf.DUMMYFUNCTION("""COMPUTED_VALUE""")," 32044150448702_045")</f>
        <v> 32044150448702_045</v>
      </c>
      <c r="J263" s="94" t="str">
        <f>IFERROR(__xludf.DUMMYFUNCTION("""COMPUTED_VALUE""")," 32044150448702_045")</f>
        <v> 32044150448702_045</v>
      </c>
      <c r="K263" s="94" t="str">
        <f>IFERROR(__xludf.DUMMYFUNCTION("""COMPUTED_VALUE""")," 32044150448702_046")</f>
        <v> 32044150448702_046</v>
      </c>
      <c r="L263" s="94" t="str">
        <f>IFERROR(__xludf.DUMMYFUNCTION("""COMPUTED_VALUE""")," 32044150448702_047")</f>
        <v> 32044150448702_047</v>
      </c>
      <c r="M263" s="94" t="str">
        <f>IFERROR(__xludf.DUMMYFUNCTION("""COMPUTED_VALUE""")," 32044150448702_048")</f>
        <v> 32044150448702_048</v>
      </c>
      <c r="N263" s="94" t="str">
        <f>IFERROR(__xludf.DUMMYFUNCTION("""COMPUTED_VALUE""")," 32044150448702_049")</f>
        <v> 32044150448702_049</v>
      </c>
      <c r="O263" s="94" t="str">
        <f>IFERROR(__xludf.DUMMYFUNCTION("""COMPUTED_VALUE""")," 32044150448702_050")</f>
        <v> 32044150448702_050</v>
      </c>
      <c r="P263" s="94" t="str">
        <f>IFERROR(__xludf.DUMMYFUNCTION("""COMPUTED_VALUE""")," 32044150448702_051")</f>
        <v> 32044150448702_051</v>
      </c>
      <c r="Q263" s="94" t="str">
        <f>IFERROR(__xludf.DUMMYFUNCTION("""COMPUTED_VALUE""")," 32044150448702_052")</f>
        <v> 32044150448702_052</v>
      </c>
      <c r="R263" s="94" t="str">
        <f>IFERROR(__xludf.DUMMYFUNCTION("""COMPUTED_VALUE""")," 32044150448702_053")</f>
        <v> 32044150448702_053</v>
      </c>
      <c r="S263" s="94" t="str">
        <f>IFERROR(__xludf.DUMMYFUNCTION("""COMPUTED_VALUE""")," 32044150448702_054")</f>
        <v> 32044150448702_054</v>
      </c>
      <c r="T263" s="94" t="str">
        <f>IFERROR(__xludf.DUMMYFUNCTION("""COMPUTED_VALUE""")," 32044150448702_055")</f>
        <v> 32044150448702_055</v>
      </c>
      <c r="U263" s="94" t="str">
        <f>IFERROR(__xludf.DUMMYFUNCTION("""COMPUTED_VALUE""")," 32044150448702_056")</f>
        <v> 32044150448702_056</v>
      </c>
      <c r="V263" s="94" t="str">
        <f>IFERROR(__xludf.DUMMYFUNCTION("""COMPUTED_VALUE""")," 32044150448702_057")</f>
        <v> 32044150448702_057</v>
      </c>
      <c r="W263" s="94" t="str">
        <f>IFERROR(__xludf.DUMMYFUNCTION("""COMPUTED_VALUE""")," 32044150448702_058")</f>
        <v> 32044150448702_058</v>
      </c>
      <c r="X263" s="94" t="str">
        <f>IFERROR(__xludf.DUMMYFUNCTION("""COMPUTED_VALUE""")," 32044150448702_059")</f>
        <v> 32044150448702_059</v>
      </c>
      <c r="Y263" s="94" t="str">
        <f>IFERROR(__xludf.DUMMYFUNCTION("""COMPUTED_VALUE""")," 32044150448744_060")</f>
        <v> 32044150448744_060</v>
      </c>
      <c r="Z263" s="94"/>
      <c r="AA263" s="94"/>
      <c r="AB263" s="94"/>
      <c r="AC263" s="94"/>
      <c r="AD263" s="94"/>
      <c r="AE263" s="94"/>
      <c r="AF263" s="94"/>
      <c r="AG263" s="94"/>
    </row>
    <row r="264">
      <c r="A264" s="96" t="s">
        <v>2118</v>
      </c>
      <c r="B264" s="95" t="str">
        <f>IFERROR(__xludf.DUMMYFUNCTION("""COMPUTED_VALUE"""),"32044150448702_060")</f>
        <v>32044150448702_060</v>
      </c>
      <c r="C264" s="94" t="str">
        <f>IFERROR(__xludf.DUMMYFUNCTION("""COMPUTED_VALUE""")," 32044150448702_061")</f>
        <v> 32044150448702_061</v>
      </c>
      <c r="D264" s="94" t="str">
        <f>IFERROR(__xludf.DUMMYFUNCTION("""COMPUTED_VALUE""")," 32044150448702_062")</f>
        <v> 32044150448702_062</v>
      </c>
      <c r="E264" s="94" t="str">
        <f>IFERROR(__xludf.DUMMYFUNCTION("""COMPUTED_VALUE""")," 32044150448702_063")</f>
        <v> 32044150448702_063</v>
      </c>
      <c r="F264" s="94" t="str">
        <f>IFERROR(__xludf.DUMMYFUNCTION("""COMPUTED_VALUE""")," 32044150448702_064")</f>
        <v> 32044150448702_064</v>
      </c>
      <c r="G264" s="94" t="str">
        <f>IFERROR(__xludf.DUMMYFUNCTION("""COMPUTED_VALUE""")," 32044150448702_065")</f>
        <v> 32044150448702_065</v>
      </c>
      <c r="H264" s="94" t="str">
        <f>IFERROR(__xludf.DUMMYFUNCTION("""COMPUTED_VALUE""")," 32044150448702_066")</f>
        <v> 32044150448702_066</v>
      </c>
      <c r="I264" s="94" t="str">
        <f>IFERROR(__xludf.DUMMYFUNCTION("""COMPUTED_VALUE""")," 32044150448702_067")</f>
        <v> 32044150448702_067</v>
      </c>
      <c r="J264" s="94" t="str">
        <f>IFERROR(__xludf.DUMMYFUNCTION("""COMPUTED_VALUE""")," 32044150448702_068")</f>
        <v> 32044150448702_068</v>
      </c>
      <c r="K264" s="94" t="str">
        <f>IFERROR(__xludf.DUMMYFUNCTION("""COMPUTED_VALUE""")," 32044150448702_069")</f>
        <v> 32044150448702_069</v>
      </c>
      <c r="L264" s="94" t="str">
        <f>IFERROR(__xludf.DUMMYFUNCTION("""COMPUTED_VALUE""")," 32044150448702_070")</f>
        <v> 32044150448702_070</v>
      </c>
      <c r="M264" s="94" t="str">
        <f>IFERROR(__xludf.DUMMYFUNCTION("""COMPUTED_VALUE""")," 32044150448702_071")</f>
        <v> 32044150448702_071</v>
      </c>
      <c r="N264" s="94" t="str">
        <f>IFERROR(__xludf.DUMMYFUNCTION("""COMPUTED_VALUE""")," 32044150448702_072")</f>
        <v> 32044150448702_072</v>
      </c>
      <c r="O264" s="94" t="str">
        <f>IFERROR(__xludf.DUMMYFUNCTION("""COMPUTED_VALUE""")," 32044150448702_073")</f>
        <v> 32044150448702_073</v>
      </c>
      <c r="P264" s="94" t="str">
        <f>IFERROR(__xludf.DUMMYFUNCTION("""COMPUTED_VALUE""")," 32044150448702_074")</f>
        <v> 32044150448702_074</v>
      </c>
      <c r="Q264" s="94" t="str">
        <f>IFERROR(__xludf.DUMMYFUNCTION("""COMPUTED_VALUE""")," 32044150448702_075")</f>
        <v> 32044150448702_075</v>
      </c>
      <c r="R264" s="94" t="str">
        <f>IFERROR(__xludf.DUMMYFUNCTION("""COMPUTED_VALUE""")," 32044150448702_076")</f>
        <v> 32044150448702_076</v>
      </c>
      <c r="S264" s="94" t="str">
        <f>IFERROR(__xludf.DUMMYFUNCTION("""COMPUTED_VALUE""")," 32044150448702_077")</f>
        <v> 32044150448702_077</v>
      </c>
      <c r="T264" s="94" t="str">
        <f>IFERROR(__xludf.DUMMYFUNCTION("""COMPUTED_VALUE""")," 32044150448702_078")</f>
        <v> 32044150448702_078</v>
      </c>
      <c r="U264" s="94" t="str">
        <f>IFERROR(__xludf.DUMMYFUNCTION("""COMPUTED_VALUE""")," 32044150448702_079")</f>
        <v> 32044150448702_079</v>
      </c>
      <c r="V264" s="94" t="str">
        <f>IFERROR(__xludf.DUMMYFUNCTION("""COMPUTED_VALUE""")," 32044150448702_080")</f>
        <v> 32044150448702_080</v>
      </c>
      <c r="W264" s="94" t="str">
        <f>IFERROR(__xludf.DUMMYFUNCTION("""COMPUTED_VALUE""")," 32044150448702_081")</f>
        <v> 32044150448702_081</v>
      </c>
      <c r="X264" s="94" t="str">
        <f>IFERROR(__xludf.DUMMYFUNCTION("""COMPUTED_VALUE""")," 32044150448702_082")</f>
        <v> 32044150448702_082</v>
      </c>
      <c r="Y264" s="94" t="str">
        <f>IFERROR(__xludf.DUMMYFUNCTION("""COMPUTED_VALUE""")," 32044150448702_083")</f>
        <v> 32044150448702_083</v>
      </c>
      <c r="Z264" s="94"/>
      <c r="AA264" s="94"/>
      <c r="AB264" s="94"/>
      <c r="AC264" s="94"/>
      <c r="AD264" s="94"/>
      <c r="AE264" s="94"/>
      <c r="AF264" s="94"/>
      <c r="AG264" s="94"/>
    </row>
    <row r="265">
      <c r="A265" s="96" t="s">
        <v>2121</v>
      </c>
      <c r="B265" s="95" t="str">
        <f>IFERROR(__xludf.DUMMYFUNCTION("""COMPUTED_VALUE"""),"32044150448702_084")</f>
        <v>32044150448702_084</v>
      </c>
      <c r="C265" s="94" t="str">
        <f>IFERROR(__xludf.DUMMYFUNCTION("""COMPUTED_VALUE""")," 32044150448702_085")</f>
        <v> 32044150448702_085</v>
      </c>
      <c r="D265" s="94" t="str">
        <f>IFERROR(__xludf.DUMMYFUNCTION("""COMPUTED_VALUE""")," 32044150448702_086")</f>
        <v> 32044150448702_086</v>
      </c>
      <c r="E265" s="94" t="str">
        <f>IFERROR(__xludf.DUMMYFUNCTION("""COMPUTED_VALUE""")," 32044150448702_087")</f>
        <v> 32044150448702_087</v>
      </c>
      <c r="F265" s="94" t="str">
        <f>IFERROR(__xludf.DUMMYFUNCTION("""COMPUTED_VALUE""")," 32044150448702_088")</f>
        <v> 32044150448702_088</v>
      </c>
      <c r="G265" s="94" t="str">
        <f>IFERROR(__xludf.DUMMYFUNCTION("""COMPUTED_VALUE""")," 32044150448702_089")</f>
        <v> 32044150448702_089</v>
      </c>
      <c r="H265" s="94" t="str">
        <f>IFERROR(__xludf.DUMMYFUNCTION("""COMPUTED_VALUE""")," 32044150448702_090")</f>
        <v> 32044150448702_090</v>
      </c>
      <c r="I265" s="94" t="str">
        <f>IFERROR(__xludf.DUMMYFUNCTION("""COMPUTED_VALUE""")," 32044150448702_091")</f>
        <v> 32044150448702_091</v>
      </c>
      <c r="J265" s="94"/>
      <c r="K265" s="94"/>
      <c r="L265" s="94"/>
      <c r="M265" s="94"/>
      <c r="N265" s="94"/>
      <c r="O265" s="94"/>
      <c r="P265" s="94"/>
      <c r="Q265" s="94"/>
      <c r="R265" s="94"/>
      <c r="S265" s="94"/>
      <c r="T265" s="94"/>
      <c r="U265" s="94"/>
      <c r="V265" s="94"/>
      <c r="W265" s="94"/>
      <c r="X265" s="94"/>
      <c r="Y265" s="94"/>
      <c r="Z265" s="94"/>
      <c r="AA265" s="94"/>
      <c r="AB265" s="94"/>
      <c r="AC265" s="94"/>
      <c r="AD265" s="94"/>
      <c r="AE265" s="94"/>
      <c r="AF265" s="94"/>
      <c r="AG265" s="94"/>
    </row>
    <row r="266">
      <c r="A266" s="96" t="s">
        <v>2126</v>
      </c>
      <c r="B266" s="95" t="str">
        <f>IFERROR(__xludf.DUMMYFUNCTION("""COMPUTED_VALUE"""),"32044150448710_001")</f>
        <v>32044150448710_001</v>
      </c>
      <c r="C266" s="94" t="str">
        <f>IFERROR(__xludf.DUMMYFUNCTION("""COMPUTED_VALUE""")," 32044150448710_002")</f>
        <v> 32044150448710_002</v>
      </c>
      <c r="D266" s="94" t="str">
        <f>IFERROR(__xludf.DUMMYFUNCTION("""COMPUTED_VALUE""")," 32044150448710_003")</f>
        <v> 32044150448710_003</v>
      </c>
      <c r="E266" s="94" t="str">
        <f>IFERROR(__xludf.DUMMYFUNCTION("""COMPUTED_VALUE""")," 32044150448710_004")</f>
        <v> 32044150448710_004</v>
      </c>
      <c r="F266" s="94" t="str">
        <f>IFERROR(__xludf.DUMMYFUNCTION("""COMPUTED_VALUE""")," 32044150448710_005")</f>
        <v> 32044150448710_005</v>
      </c>
      <c r="G266" s="94" t="str">
        <f>IFERROR(__xludf.DUMMYFUNCTION("""COMPUTED_VALUE""")," 32044150448710_006")</f>
        <v> 32044150448710_006</v>
      </c>
      <c r="H266" s="94" t="str">
        <f>IFERROR(__xludf.DUMMYFUNCTION("""COMPUTED_VALUE""")," 32044150448710_007")</f>
        <v> 32044150448710_007</v>
      </c>
      <c r="I266" s="94" t="str">
        <f>IFERROR(__xludf.DUMMYFUNCTION("""COMPUTED_VALUE""")," 32044150448710_008")</f>
        <v> 32044150448710_008</v>
      </c>
      <c r="J266" s="94" t="str">
        <f>IFERROR(__xludf.DUMMYFUNCTION("""COMPUTED_VALUE""")," 32044150448710_009")</f>
        <v> 32044150448710_009</v>
      </c>
      <c r="K266" s="94" t="str">
        <f>IFERROR(__xludf.DUMMYFUNCTION("""COMPUTED_VALUE""")," 32044150448710_010")</f>
        <v> 32044150448710_010</v>
      </c>
      <c r="L266" s="94" t="str">
        <f>IFERROR(__xludf.DUMMYFUNCTION("""COMPUTED_VALUE""")," 32044150448710_011")</f>
        <v> 32044150448710_011</v>
      </c>
      <c r="M266" s="94" t="str">
        <f>IFERROR(__xludf.DUMMYFUNCTION("""COMPUTED_VALUE""")," 32044150448710_012")</f>
        <v> 32044150448710_012</v>
      </c>
      <c r="N266" s="94" t="str">
        <f>IFERROR(__xludf.DUMMYFUNCTION("""COMPUTED_VALUE""")," 32044150448710_013")</f>
        <v> 32044150448710_013</v>
      </c>
      <c r="O266" s="94" t="str">
        <f>IFERROR(__xludf.DUMMYFUNCTION("""COMPUTED_VALUE""")," 32044150448710_014")</f>
        <v> 32044150448710_014</v>
      </c>
      <c r="P266" s="94"/>
      <c r="Q266" s="94"/>
      <c r="R266" s="94"/>
      <c r="S266" s="94"/>
      <c r="T266" s="94"/>
      <c r="U266" s="94"/>
      <c r="V266" s="94"/>
      <c r="W266" s="94"/>
      <c r="X266" s="94"/>
      <c r="Y266" s="94"/>
      <c r="Z266" s="94"/>
      <c r="AA266" s="94"/>
      <c r="AB266" s="94"/>
      <c r="AC266" s="94"/>
      <c r="AD266" s="94"/>
      <c r="AE266" s="94"/>
      <c r="AF266" s="94"/>
      <c r="AG266" s="94"/>
    </row>
    <row r="267">
      <c r="A267" s="96" t="s">
        <v>2129</v>
      </c>
      <c r="B267" s="95" t="str">
        <f>IFERROR(__xludf.DUMMYFUNCTION("""COMPUTED_VALUE"""),"32044150448710_015")</f>
        <v>32044150448710_015</v>
      </c>
      <c r="C267" s="94" t="str">
        <f>IFERROR(__xludf.DUMMYFUNCTION("""COMPUTED_VALUE""")," 32044150448710_016")</f>
        <v> 32044150448710_016</v>
      </c>
      <c r="D267" s="94" t="str">
        <f>IFERROR(__xludf.DUMMYFUNCTION("""COMPUTED_VALUE""")," 32044150448710_017")</f>
        <v> 32044150448710_017</v>
      </c>
      <c r="E267" s="94" t="str">
        <f>IFERROR(__xludf.DUMMYFUNCTION("""COMPUTED_VALUE""")," 32044150448710_018")</f>
        <v> 32044150448710_018</v>
      </c>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c r="AD267" s="94"/>
      <c r="AE267" s="94"/>
      <c r="AF267" s="94"/>
      <c r="AG267" s="94"/>
    </row>
    <row r="268">
      <c r="A268" s="96" t="s">
        <v>2132</v>
      </c>
      <c r="B268" s="95" t="str">
        <f>IFERROR(__xludf.DUMMYFUNCTION("""COMPUTED_VALUE"""),"32044150448710_019")</f>
        <v>32044150448710_019</v>
      </c>
      <c r="C268" s="94" t="str">
        <f>IFERROR(__xludf.DUMMYFUNCTION("""COMPUTED_VALUE""")," 32044150448710_020")</f>
        <v> 32044150448710_020</v>
      </c>
      <c r="D268" s="94" t="str">
        <f>IFERROR(__xludf.DUMMYFUNCTION("""COMPUTED_VALUE""")," 32044150448710_021")</f>
        <v> 32044150448710_021</v>
      </c>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c r="AD268" s="94"/>
      <c r="AE268" s="94"/>
      <c r="AF268" s="94"/>
      <c r="AG268" s="94"/>
    </row>
    <row r="269">
      <c r="A269" s="96" t="s">
        <v>2135</v>
      </c>
      <c r="B269" s="95" t="str">
        <f>IFERROR(__xludf.DUMMYFUNCTION("""COMPUTED_VALUE"""),"32044150448710_022")</f>
        <v>32044150448710_022</v>
      </c>
      <c r="C269" s="94" t="str">
        <f>IFERROR(__xludf.DUMMYFUNCTION("""COMPUTED_VALUE""")," 32044150448710_023")</f>
        <v> 32044150448710_023</v>
      </c>
      <c r="D269" s="94" t="str">
        <f>IFERROR(__xludf.DUMMYFUNCTION("""COMPUTED_VALUE""")," 32044150448710_024")</f>
        <v> 32044150448710_024</v>
      </c>
      <c r="E269" s="94" t="str">
        <f>IFERROR(__xludf.DUMMYFUNCTION("""COMPUTED_VALUE""")," 32044150448710_025")</f>
        <v> 32044150448710_025</v>
      </c>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c r="AD269" s="94"/>
      <c r="AE269" s="94"/>
      <c r="AF269" s="94"/>
      <c r="AG269" s="94"/>
    </row>
    <row r="270">
      <c r="A270" s="96" t="s">
        <v>2138</v>
      </c>
      <c r="B270" s="95" t="str">
        <f>IFERROR(__xludf.DUMMYFUNCTION("""COMPUTED_VALUE"""),"32044150448710_026")</f>
        <v>32044150448710_026</v>
      </c>
      <c r="C270" s="94" t="str">
        <f>IFERROR(__xludf.DUMMYFUNCTION("""COMPUTED_VALUE""")," 32044150448710_027")</f>
        <v> 32044150448710_027</v>
      </c>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c r="AD270" s="94"/>
      <c r="AE270" s="94"/>
      <c r="AF270" s="94"/>
      <c r="AG270" s="94"/>
    </row>
    <row r="271">
      <c r="A271" s="96" t="s">
        <v>2141</v>
      </c>
      <c r="B271" s="95" t="str">
        <f>IFERROR(__xludf.DUMMYFUNCTION("""COMPUTED_VALUE"""),"32044150448710_028")</f>
        <v>32044150448710_028</v>
      </c>
      <c r="C271" s="94" t="str">
        <f>IFERROR(__xludf.DUMMYFUNCTION("""COMPUTED_VALUE""")," 32044150448710_029")</f>
        <v> 32044150448710_029</v>
      </c>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c r="AD271" s="94"/>
      <c r="AE271" s="94"/>
      <c r="AF271" s="94"/>
      <c r="AG271" s="94"/>
    </row>
    <row r="272">
      <c r="A272" s="96" t="s">
        <v>2144</v>
      </c>
      <c r="B272" s="95" t="str">
        <f>IFERROR(__xludf.DUMMYFUNCTION("""COMPUTED_VALUE"""),"32044150448710_032")</f>
        <v>32044150448710_032</v>
      </c>
      <c r="C272" s="94" t="str">
        <f>IFERROR(__xludf.DUMMYFUNCTION("""COMPUTED_VALUE""")," 32044150448710_033")</f>
        <v> 32044150448710_033</v>
      </c>
      <c r="D272" s="94" t="str">
        <f>IFERROR(__xludf.DUMMYFUNCTION("""COMPUTED_VALUE""")," 32044150448710_034")</f>
        <v> 32044150448710_034</v>
      </c>
      <c r="E272" s="94" t="str">
        <f>IFERROR(__xludf.DUMMYFUNCTION("""COMPUTED_VALUE""")," 32044150448710_035")</f>
        <v> 32044150448710_035</v>
      </c>
      <c r="F272" s="94" t="str">
        <f>IFERROR(__xludf.DUMMYFUNCTION("""COMPUTED_VALUE""")," 32044150448710_036")</f>
        <v> 32044150448710_036</v>
      </c>
      <c r="G272" s="94" t="str">
        <f>IFERROR(__xludf.DUMMYFUNCTION("""COMPUTED_VALUE""")," 32044150448710_037")</f>
        <v> 32044150448710_037</v>
      </c>
      <c r="H272" s="94" t="str">
        <f>IFERROR(__xludf.DUMMYFUNCTION("""COMPUTED_VALUE""")," 32044150448710_038")</f>
        <v> 32044150448710_038</v>
      </c>
      <c r="I272" s="94" t="str">
        <f>IFERROR(__xludf.DUMMYFUNCTION("""COMPUTED_VALUE""")," 32044150448710_039")</f>
        <v> 32044150448710_039</v>
      </c>
      <c r="J272" s="94"/>
      <c r="K272" s="94"/>
      <c r="L272" s="94"/>
      <c r="M272" s="94"/>
      <c r="N272" s="94"/>
      <c r="O272" s="94"/>
      <c r="P272" s="94"/>
      <c r="Q272" s="94"/>
      <c r="R272" s="94"/>
      <c r="S272" s="94"/>
      <c r="T272" s="94"/>
      <c r="U272" s="94"/>
      <c r="V272" s="94"/>
      <c r="W272" s="94"/>
      <c r="X272" s="94"/>
      <c r="Y272" s="94"/>
      <c r="Z272" s="94"/>
      <c r="AA272" s="94"/>
      <c r="AB272" s="94"/>
      <c r="AC272" s="94"/>
      <c r="AD272" s="94"/>
      <c r="AE272" s="94"/>
      <c r="AF272" s="94"/>
      <c r="AG272" s="94"/>
    </row>
    <row r="273">
      <c r="A273" s="96" t="s">
        <v>2147</v>
      </c>
      <c r="B273" s="95" t="str">
        <f>IFERROR(__xludf.DUMMYFUNCTION("""COMPUTED_VALUE"""),"32044150448710_040")</f>
        <v>32044150448710_040</v>
      </c>
      <c r="C273" s="94" t="str">
        <f>IFERROR(__xludf.DUMMYFUNCTION("""COMPUTED_VALUE""")," 32044150448710_041")</f>
        <v> 32044150448710_041</v>
      </c>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c r="AD273" s="94"/>
      <c r="AE273" s="94"/>
      <c r="AF273" s="94"/>
      <c r="AG273" s="94"/>
    </row>
    <row r="274">
      <c r="A274" s="96" t="s">
        <v>2150</v>
      </c>
      <c r="B274" s="95" t="str">
        <f>IFERROR(__xludf.DUMMYFUNCTION("""COMPUTED_VALUE"""),"32044150448710_030")</f>
        <v>32044150448710_030</v>
      </c>
      <c r="C274" s="94" t="str">
        <f>IFERROR(__xludf.DUMMYFUNCTION("""COMPUTED_VALUE""")," 32044150448710_031")</f>
        <v> 32044150448710_031</v>
      </c>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c r="AD274" s="94"/>
      <c r="AE274" s="94"/>
      <c r="AF274" s="94"/>
      <c r="AG274" s="94"/>
    </row>
    <row r="275">
      <c r="A275" s="96" t="s">
        <v>2159</v>
      </c>
      <c r="B275" s="95" t="str">
        <f>IFERROR(__xludf.DUMMYFUNCTION("""COMPUTED_VALUE"""),"32044150448728_001")</f>
        <v>32044150448728_001</v>
      </c>
      <c r="C275" s="94" t="str">
        <f>IFERROR(__xludf.DUMMYFUNCTION("""COMPUTED_VALUE""")," 32044150448728_002")</f>
        <v> 32044150448728_002</v>
      </c>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94"/>
      <c r="AE275" s="94"/>
      <c r="AF275" s="94"/>
      <c r="AG275" s="94"/>
    </row>
    <row r="276">
      <c r="A276" s="96" t="s">
        <v>2164</v>
      </c>
      <c r="B276" s="95" t="str">
        <f>IFERROR(__xludf.DUMMYFUNCTION("""COMPUTED_VALUE"""),"32044150448728_003")</f>
        <v>32044150448728_003</v>
      </c>
      <c r="C276" s="94" t="str">
        <f>IFERROR(__xludf.DUMMYFUNCTION("""COMPUTED_VALUE""")," 32044150448728_004")</f>
        <v> 32044150448728_004</v>
      </c>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c r="AD276" s="94"/>
      <c r="AE276" s="94"/>
      <c r="AF276" s="94"/>
      <c r="AG276" s="94"/>
    </row>
    <row r="277">
      <c r="A277" s="96" t="s">
        <v>2172</v>
      </c>
      <c r="B277" s="95" t="str">
        <f>IFERROR(__xludf.DUMMYFUNCTION("""COMPUTED_VALUE"""),"32044150448728_005")</f>
        <v>32044150448728_005</v>
      </c>
      <c r="C277" s="94" t="str">
        <f>IFERROR(__xludf.DUMMYFUNCTION("""COMPUTED_VALUE""")," 32044150448728_006")</f>
        <v> 32044150448728_006</v>
      </c>
      <c r="D277" s="94" t="str">
        <f>IFERROR(__xludf.DUMMYFUNCTION("""COMPUTED_VALUE""")," 32044150448728_007")</f>
        <v> 32044150448728_007</v>
      </c>
      <c r="E277" s="94" t="str">
        <f>IFERROR(__xludf.DUMMYFUNCTION("""COMPUTED_VALUE""")," 32044150448728_008")</f>
        <v> 32044150448728_008</v>
      </c>
      <c r="F277" s="94" t="str">
        <f>IFERROR(__xludf.DUMMYFUNCTION("""COMPUTED_VALUE""")," 32044150448728_009")</f>
        <v> 32044150448728_009</v>
      </c>
      <c r="G277" s="94" t="str">
        <f>IFERROR(__xludf.DUMMYFUNCTION("""COMPUTED_VALUE""")," 32044150448728_010")</f>
        <v> 32044150448728_010</v>
      </c>
      <c r="H277" s="94" t="str">
        <f>IFERROR(__xludf.DUMMYFUNCTION("""COMPUTED_VALUE""")," 32044150448728_011")</f>
        <v> 32044150448728_011</v>
      </c>
      <c r="I277" s="94" t="str">
        <f>IFERROR(__xludf.DUMMYFUNCTION("""COMPUTED_VALUE""")," 32044150448728_012")</f>
        <v> 32044150448728_012</v>
      </c>
      <c r="J277" s="94"/>
      <c r="K277" s="94"/>
      <c r="L277" s="94"/>
      <c r="M277" s="94"/>
      <c r="N277" s="94"/>
      <c r="O277" s="94"/>
      <c r="P277" s="94"/>
      <c r="Q277" s="94"/>
      <c r="R277" s="94"/>
      <c r="S277" s="94"/>
      <c r="T277" s="94"/>
      <c r="U277" s="94"/>
      <c r="V277" s="94"/>
      <c r="W277" s="94"/>
      <c r="X277" s="94"/>
      <c r="Y277" s="94"/>
      <c r="Z277" s="94"/>
      <c r="AA277" s="94"/>
      <c r="AB277" s="94"/>
      <c r="AC277" s="94"/>
      <c r="AD277" s="94"/>
      <c r="AE277" s="94"/>
      <c r="AF277" s="94"/>
      <c r="AG277" s="94"/>
    </row>
    <row r="278">
      <c r="A278" s="96" t="s">
        <v>2175</v>
      </c>
      <c r="B278" s="95" t="str">
        <f>IFERROR(__xludf.DUMMYFUNCTION("""COMPUTED_VALUE"""),"32044150448736_001")</f>
        <v>32044150448736_001</v>
      </c>
      <c r="C278" s="94" t="str">
        <f>IFERROR(__xludf.DUMMYFUNCTION("""COMPUTED_VALUE""")," 32044150448736_002")</f>
        <v> 32044150448736_002</v>
      </c>
      <c r="D278" s="94" t="str">
        <f>IFERROR(__xludf.DUMMYFUNCTION("""COMPUTED_VALUE""")," 32044150448736_003")</f>
        <v> 32044150448736_003</v>
      </c>
      <c r="E278" s="94" t="str">
        <f>IFERROR(__xludf.DUMMYFUNCTION("""COMPUTED_VALUE""")," 32044150448736_004")</f>
        <v> 32044150448736_004</v>
      </c>
      <c r="F278" s="94" t="str">
        <f>IFERROR(__xludf.DUMMYFUNCTION("""COMPUTED_VALUE""")," 32044150448736_005")</f>
        <v> 32044150448736_005</v>
      </c>
      <c r="G278" s="94" t="str">
        <f>IFERROR(__xludf.DUMMYFUNCTION("""COMPUTED_VALUE""")," 32044150448736_006")</f>
        <v> 32044150448736_006</v>
      </c>
      <c r="H278" s="94" t="str">
        <f>IFERROR(__xludf.DUMMYFUNCTION("""COMPUTED_VALUE""")," 32044150448736_007")</f>
        <v> 32044150448736_007</v>
      </c>
      <c r="I278" s="94" t="str">
        <f>IFERROR(__xludf.DUMMYFUNCTION("""COMPUTED_VALUE""")," 32044150448736_008")</f>
        <v> 32044150448736_008</v>
      </c>
      <c r="J278" s="94" t="str">
        <f>IFERROR(__xludf.DUMMYFUNCTION("""COMPUTED_VALUE""")," 32044150448736_009")</f>
        <v> 32044150448736_009</v>
      </c>
      <c r="K278" s="94" t="str">
        <f>IFERROR(__xludf.DUMMYFUNCTION("""COMPUTED_VALUE""")," 32044150448736_010")</f>
        <v> 32044150448736_010</v>
      </c>
      <c r="L278" s="94" t="str">
        <f>IFERROR(__xludf.DUMMYFUNCTION("""COMPUTED_VALUE""")," 32044150448736_011")</f>
        <v> 32044150448736_011</v>
      </c>
      <c r="M278" s="94" t="str">
        <f>IFERROR(__xludf.DUMMYFUNCTION("""COMPUTED_VALUE""")," 32044150448736_012")</f>
        <v> 32044150448736_012</v>
      </c>
      <c r="N278" s="94"/>
      <c r="O278" s="94"/>
      <c r="P278" s="94"/>
      <c r="Q278" s="94"/>
      <c r="R278" s="94"/>
      <c r="S278" s="94"/>
      <c r="T278" s="94"/>
      <c r="U278" s="94"/>
      <c r="V278" s="94"/>
      <c r="W278" s="94"/>
      <c r="X278" s="94"/>
      <c r="Y278" s="94"/>
      <c r="Z278" s="94"/>
      <c r="AA278" s="94"/>
      <c r="AB278" s="94"/>
      <c r="AC278" s="94"/>
      <c r="AD278" s="94"/>
      <c r="AE278" s="94"/>
      <c r="AF278" s="94"/>
      <c r="AG278" s="94"/>
    </row>
    <row r="279">
      <c r="A279" s="96" t="s">
        <v>2178</v>
      </c>
      <c r="B279" s="95" t="str">
        <f>IFERROR(__xludf.DUMMYFUNCTION("""COMPUTED_VALUE"""),"32044150448736_013")</f>
        <v>32044150448736_013</v>
      </c>
      <c r="C279" s="94" t="str">
        <f>IFERROR(__xludf.DUMMYFUNCTION("""COMPUTED_VALUE""")," 32044150448736_014")</f>
        <v> 32044150448736_014</v>
      </c>
      <c r="D279" s="94" t="str">
        <f>IFERROR(__xludf.DUMMYFUNCTION("""COMPUTED_VALUE""")," 32044150448736_015")</f>
        <v> 32044150448736_015</v>
      </c>
      <c r="E279" s="94" t="str">
        <f>IFERROR(__xludf.DUMMYFUNCTION("""COMPUTED_VALUE""")," 32044150448736_016")</f>
        <v> 32044150448736_016</v>
      </c>
      <c r="F279" s="94" t="str">
        <f>IFERROR(__xludf.DUMMYFUNCTION("""COMPUTED_VALUE""")," 32044150448736_017")</f>
        <v> 32044150448736_017</v>
      </c>
      <c r="G279" s="94" t="str">
        <f>IFERROR(__xludf.DUMMYFUNCTION("""COMPUTED_VALUE""")," 32044150448736_018")</f>
        <v> 32044150448736_018</v>
      </c>
      <c r="H279" s="94" t="str">
        <f>IFERROR(__xludf.DUMMYFUNCTION("""COMPUTED_VALUE""")," 32044150448736_019")</f>
        <v> 32044150448736_019</v>
      </c>
      <c r="I279" s="94" t="str">
        <f>IFERROR(__xludf.DUMMYFUNCTION("""COMPUTED_VALUE""")," 32044150448736_020")</f>
        <v> 32044150448736_020</v>
      </c>
      <c r="J279" s="94" t="str">
        <f>IFERROR(__xludf.DUMMYFUNCTION("""COMPUTED_VALUE""")," 32044150448736_021")</f>
        <v> 32044150448736_021</v>
      </c>
      <c r="K279" s="94" t="str">
        <f>IFERROR(__xludf.DUMMYFUNCTION("""COMPUTED_VALUE""")," 32044150448736_022")</f>
        <v> 32044150448736_022</v>
      </c>
      <c r="L279" s="94" t="str">
        <f>IFERROR(__xludf.DUMMYFUNCTION("""COMPUTED_VALUE""")," 32044150448736_023")</f>
        <v> 32044150448736_023</v>
      </c>
      <c r="M279" s="94" t="str">
        <f>IFERROR(__xludf.DUMMYFUNCTION("""COMPUTED_VALUE""")," 32044150448736_024")</f>
        <v> 32044150448736_024</v>
      </c>
      <c r="N279" s="94"/>
      <c r="O279" s="94"/>
      <c r="P279" s="94"/>
      <c r="Q279" s="94"/>
      <c r="R279" s="94"/>
      <c r="S279" s="94"/>
      <c r="T279" s="94"/>
      <c r="U279" s="94"/>
      <c r="V279" s="94"/>
      <c r="W279" s="94"/>
      <c r="X279" s="94"/>
      <c r="Y279" s="94"/>
      <c r="Z279" s="94"/>
      <c r="AA279" s="94"/>
      <c r="AB279" s="94"/>
      <c r="AC279" s="94"/>
      <c r="AD279" s="94"/>
      <c r="AE279" s="94"/>
      <c r="AF279" s="94"/>
      <c r="AG279" s="94"/>
    </row>
    <row r="280">
      <c r="A280" s="96" t="s">
        <v>2181</v>
      </c>
      <c r="B280" s="95" t="str">
        <f>IFERROR(__xludf.DUMMYFUNCTION("""COMPUTED_VALUE"""),"32044150448736_025")</f>
        <v>32044150448736_025</v>
      </c>
      <c r="C280" s="94" t="str">
        <f>IFERROR(__xludf.DUMMYFUNCTION("""COMPUTED_VALUE""")," 32044150448736_026")</f>
        <v> 32044150448736_026</v>
      </c>
      <c r="D280" s="94" t="str">
        <f>IFERROR(__xludf.DUMMYFUNCTION("""COMPUTED_VALUE""")," 32044150448736_027")</f>
        <v> 32044150448736_027</v>
      </c>
      <c r="E280" s="94" t="str">
        <f>IFERROR(__xludf.DUMMYFUNCTION("""COMPUTED_VALUE""")," 32044150448736_028")</f>
        <v> 32044150448736_028</v>
      </c>
      <c r="F280" s="94" t="str">
        <f>IFERROR(__xludf.DUMMYFUNCTION("""COMPUTED_VALUE""")," 32044150448736_029")</f>
        <v> 32044150448736_029</v>
      </c>
      <c r="G280" s="94" t="str">
        <f>IFERROR(__xludf.DUMMYFUNCTION("""COMPUTED_VALUE""")," 32044150448736_030")</f>
        <v> 32044150448736_030</v>
      </c>
      <c r="H280" s="94" t="str">
        <f>IFERROR(__xludf.DUMMYFUNCTION("""COMPUTED_VALUE""")," 32044150448736_031")</f>
        <v> 32044150448736_031</v>
      </c>
      <c r="I280" s="94" t="str">
        <f>IFERROR(__xludf.DUMMYFUNCTION("""COMPUTED_VALUE""")," 32044150448736_032")</f>
        <v> 32044150448736_032</v>
      </c>
      <c r="J280" s="94" t="str">
        <f>IFERROR(__xludf.DUMMYFUNCTION("""COMPUTED_VALUE""")," 32044150448736_033")</f>
        <v> 32044150448736_033</v>
      </c>
      <c r="K280" s="94" t="str">
        <f>IFERROR(__xludf.DUMMYFUNCTION("""COMPUTED_VALUE""")," 32044150448736_034")</f>
        <v> 32044150448736_034</v>
      </c>
      <c r="L280" s="94" t="str">
        <f>IFERROR(__xludf.DUMMYFUNCTION("""COMPUTED_VALUE""")," 32044150448736_035")</f>
        <v> 32044150448736_035</v>
      </c>
      <c r="M280" s="94"/>
      <c r="N280" s="94"/>
      <c r="O280" s="94"/>
      <c r="P280" s="94"/>
      <c r="Q280" s="94"/>
      <c r="R280" s="94"/>
      <c r="S280" s="94"/>
      <c r="T280" s="94"/>
      <c r="U280" s="94"/>
      <c r="V280" s="94"/>
      <c r="W280" s="94"/>
      <c r="X280" s="94"/>
      <c r="Y280" s="94"/>
      <c r="Z280" s="94"/>
      <c r="AA280" s="94"/>
      <c r="AB280" s="94"/>
      <c r="AC280" s="94"/>
      <c r="AD280" s="94"/>
      <c r="AE280" s="94"/>
      <c r="AF280" s="94"/>
      <c r="AG280" s="94"/>
    </row>
    <row r="281">
      <c r="A281" s="96" t="s">
        <v>2184</v>
      </c>
      <c r="B281" s="95" t="str">
        <f>IFERROR(__xludf.DUMMYFUNCTION("""COMPUTED_VALUE"""),"32044150448736_036")</f>
        <v>32044150448736_036</v>
      </c>
      <c r="C281" s="94" t="str">
        <f>IFERROR(__xludf.DUMMYFUNCTION("""COMPUTED_VALUE""")," 32044150448736_037")</f>
        <v> 32044150448736_037</v>
      </c>
      <c r="D281" s="94" t="str">
        <f>IFERROR(__xludf.DUMMYFUNCTION("""COMPUTED_VALUE""")," 32044150448736_038")</f>
        <v> 32044150448736_038</v>
      </c>
      <c r="E281" s="94" t="str">
        <f>IFERROR(__xludf.DUMMYFUNCTION("""COMPUTED_VALUE""")," 32044150448736_039")</f>
        <v> 32044150448736_039</v>
      </c>
      <c r="F281" s="94" t="str">
        <f>IFERROR(__xludf.DUMMYFUNCTION("""COMPUTED_VALUE""")," 32044150448736_040")</f>
        <v> 32044150448736_040</v>
      </c>
      <c r="G281" s="94" t="str">
        <f>IFERROR(__xludf.DUMMYFUNCTION("""COMPUTED_VALUE""")," 32044150448736_041")</f>
        <v> 32044150448736_041</v>
      </c>
      <c r="H281" s="94" t="str">
        <f>IFERROR(__xludf.DUMMYFUNCTION("""COMPUTED_VALUE""")," 32044150448736_042")</f>
        <v> 32044150448736_042</v>
      </c>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c r="AG281" s="94"/>
    </row>
    <row r="282">
      <c r="A282" s="96" t="s">
        <v>2187</v>
      </c>
      <c r="B282" s="95" t="str">
        <f>IFERROR(__xludf.DUMMYFUNCTION("""COMPUTED_VALUE"""),"32044150448736_043")</f>
        <v>32044150448736_043</v>
      </c>
      <c r="C282" s="94" t="str">
        <f>IFERROR(__xludf.DUMMYFUNCTION("""COMPUTED_VALUE""")," 32044150448736_044")</f>
        <v> 32044150448736_044</v>
      </c>
      <c r="D282" s="94" t="str">
        <f>IFERROR(__xludf.DUMMYFUNCTION("""COMPUTED_VALUE""")," 32044150448736_045")</f>
        <v> 32044150448736_045</v>
      </c>
      <c r="E282" s="94" t="str">
        <f>IFERROR(__xludf.DUMMYFUNCTION("""COMPUTED_VALUE""")," 32044150448736_046")</f>
        <v> 32044150448736_046</v>
      </c>
      <c r="F282" s="94" t="str">
        <f>IFERROR(__xludf.DUMMYFUNCTION("""COMPUTED_VALUE""")," 32044150448736_047")</f>
        <v> 32044150448736_047</v>
      </c>
      <c r="G282" s="94" t="str">
        <f>IFERROR(__xludf.DUMMYFUNCTION("""COMPUTED_VALUE""")," 32044150448736_048")</f>
        <v> 32044150448736_048</v>
      </c>
      <c r="H282" s="94" t="str">
        <f>IFERROR(__xludf.DUMMYFUNCTION("""COMPUTED_VALUE""")," 32044150448736_049")</f>
        <v> 32044150448736_049</v>
      </c>
      <c r="I282" s="94" t="str">
        <f>IFERROR(__xludf.DUMMYFUNCTION("""COMPUTED_VALUE""")," 32044150448736_050")</f>
        <v> 32044150448736_050</v>
      </c>
      <c r="J282" s="94" t="str">
        <f>IFERROR(__xludf.DUMMYFUNCTION("""COMPUTED_VALUE""")," 32044150448736_051")</f>
        <v> 32044150448736_051</v>
      </c>
      <c r="K282" s="94" t="str">
        <f>IFERROR(__xludf.DUMMYFUNCTION("""COMPUTED_VALUE""")," 32044150448736_052")</f>
        <v> 32044150448736_052</v>
      </c>
      <c r="L282" s="94"/>
      <c r="M282" s="94"/>
      <c r="N282" s="94"/>
      <c r="O282" s="94"/>
      <c r="P282" s="94"/>
      <c r="Q282" s="94"/>
      <c r="R282" s="94"/>
      <c r="S282" s="94"/>
      <c r="T282" s="94"/>
      <c r="U282" s="94"/>
      <c r="V282" s="94"/>
      <c r="W282" s="94"/>
      <c r="X282" s="94"/>
      <c r="Y282" s="94"/>
      <c r="Z282" s="94"/>
      <c r="AA282" s="94"/>
      <c r="AB282" s="94"/>
      <c r="AC282" s="94"/>
      <c r="AD282" s="94"/>
      <c r="AE282" s="94"/>
      <c r="AF282" s="94"/>
      <c r="AG282" s="94"/>
    </row>
    <row r="283">
      <c r="A283" s="96" t="s">
        <v>2190</v>
      </c>
      <c r="B283" s="95" t="str">
        <f>IFERROR(__xludf.DUMMYFUNCTION("""COMPUTED_VALUE"""),"32044150448736_053")</f>
        <v>32044150448736_053</v>
      </c>
      <c r="C283" s="94" t="str">
        <f>IFERROR(__xludf.DUMMYFUNCTION("""COMPUTED_VALUE""")," 32044150448736_054")</f>
        <v> 32044150448736_054</v>
      </c>
      <c r="D283" s="94" t="str">
        <f>IFERROR(__xludf.DUMMYFUNCTION("""COMPUTED_VALUE""")," 32044150448736_055")</f>
        <v> 32044150448736_055</v>
      </c>
      <c r="E283" s="94" t="str">
        <f>IFERROR(__xludf.DUMMYFUNCTION("""COMPUTED_VALUE""")," 32044150448736_056")</f>
        <v> 32044150448736_056</v>
      </c>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c r="AD283" s="94"/>
      <c r="AE283" s="94"/>
      <c r="AF283" s="94"/>
      <c r="AG283" s="94"/>
    </row>
    <row r="284">
      <c r="A284" s="96" t="s">
        <v>2193</v>
      </c>
      <c r="B284" s="95" t="str">
        <f>IFERROR(__xludf.DUMMYFUNCTION("""COMPUTED_VALUE"""),"32044150448736_057")</f>
        <v>32044150448736_057</v>
      </c>
      <c r="C284" s="94" t="str">
        <f>IFERROR(__xludf.DUMMYFUNCTION("""COMPUTED_VALUE""")," 32044150448736_058")</f>
        <v> 32044150448736_058</v>
      </c>
      <c r="D284" s="94" t="str">
        <f>IFERROR(__xludf.DUMMYFUNCTION("""COMPUTED_VALUE""")," 32044150448736_059")</f>
        <v> 32044150448736_059</v>
      </c>
      <c r="E284" s="94" t="str">
        <f>IFERROR(__xludf.DUMMYFUNCTION("""COMPUTED_VALUE""")," 32044150448736_060")</f>
        <v> 32044150448736_060</v>
      </c>
      <c r="F284" s="94" t="str">
        <f>IFERROR(__xludf.DUMMYFUNCTION("""COMPUTED_VALUE""")," 32044150448736_061")</f>
        <v> 32044150448736_061</v>
      </c>
      <c r="G284" s="94" t="str">
        <f>IFERROR(__xludf.DUMMYFUNCTION("""COMPUTED_VALUE""")," 32044150448736_062")</f>
        <v> 32044150448736_062</v>
      </c>
      <c r="H284" s="94" t="str">
        <f>IFERROR(__xludf.DUMMYFUNCTION("""COMPUTED_VALUE""")," 32044150448736_063")</f>
        <v> 32044150448736_063</v>
      </c>
      <c r="I284" s="94" t="str">
        <f>IFERROR(__xludf.DUMMYFUNCTION("""COMPUTED_VALUE""")," 32044150448736_064")</f>
        <v> 32044150448736_064</v>
      </c>
      <c r="J284" s="94" t="str">
        <f>IFERROR(__xludf.DUMMYFUNCTION("""COMPUTED_VALUE""")," 32044150448736_065")</f>
        <v> 32044150448736_065</v>
      </c>
      <c r="K284" s="94" t="str">
        <f>IFERROR(__xludf.DUMMYFUNCTION("""COMPUTED_VALUE""")," 32044150448736_066")</f>
        <v> 32044150448736_066</v>
      </c>
      <c r="L284" s="94"/>
      <c r="M284" s="94"/>
      <c r="N284" s="94"/>
      <c r="O284" s="94"/>
      <c r="P284" s="94"/>
      <c r="Q284" s="94"/>
      <c r="R284" s="94"/>
      <c r="S284" s="94"/>
      <c r="T284" s="94"/>
      <c r="U284" s="94"/>
      <c r="V284" s="94"/>
      <c r="W284" s="94"/>
      <c r="X284" s="94"/>
      <c r="Y284" s="94"/>
      <c r="Z284" s="94"/>
      <c r="AA284" s="94"/>
      <c r="AB284" s="94"/>
      <c r="AC284" s="94"/>
      <c r="AD284" s="94"/>
      <c r="AE284" s="94"/>
      <c r="AF284" s="94"/>
      <c r="AG284" s="94"/>
    </row>
    <row r="285">
      <c r="A285" s="96" t="s">
        <v>2196</v>
      </c>
      <c r="B285" s="95" t="str">
        <f>IFERROR(__xludf.DUMMYFUNCTION("""COMPUTED_VALUE"""),"32044150448736_067")</f>
        <v>32044150448736_067</v>
      </c>
      <c r="C285" s="94" t="str">
        <f>IFERROR(__xludf.DUMMYFUNCTION("""COMPUTED_VALUE""")," 32044150448736_068")</f>
        <v> 32044150448736_068</v>
      </c>
      <c r="D285" s="94" t="str">
        <f>IFERROR(__xludf.DUMMYFUNCTION("""COMPUTED_VALUE""")," 32044150448736_069")</f>
        <v> 32044150448736_069</v>
      </c>
      <c r="E285" s="94" t="str">
        <f>IFERROR(__xludf.DUMMYFUNCTION("""COMPUTED_VALUE""")," 32044150448736_070")</f>
        <v> 32044150448736_070</v>
      </c>
      <c r="F285" s="94" t="str">
        <f>IFERROR(__xludf.DUMMYFUNCTION("""COMPUTED_VALUE""")," 32044150448736_071")</f>
        <v> 32044150448736_071</v>
      </c>
      <c r="G285" s="94" t="str">
        <f>IFERROR(__xludf.DUMMYFUNCTION("""COMPUTED_VALUE""")," 32044150448736_072")</f>
        <v> 32044150448736_072</v>
      </c>
      <c r="H285" s="94"/>
      <c r="I285" s="94"/>
      <c r="J285" s="94"/>
      <c r="K285" s="94"/>
      <c r="L285" s="94"/>
      <c r="M285" s="94"/>
      <c r="N285" s="94"/>
      <c r="O285" s="94"/>
      <c r="P285" s="94"/>
      <c r="Q285" s="94"/>
      <c r="R285" s="94"/>
      <c r="S285" s="94"/>
      <c r="T285" s="94"/>
      <c r="U285" s="94"/>
      <c r="V285" s="94"/>
      <c r="W285" s="94"/>
      <c r="X285" s="94"/>
      <c r="Y285" s="94"/>
      <c r="Z285" s="94"/>
      <c r="AA285" s="94"/>
      <c r="AB285" s="94"/>
      <c r="AC285" s="94"/>
      <c r="AD285" s="94"/>
      <c r="AE285" s="94"/>
      <c r="AF285" s="94"/>
      <c r="AG285" s="94"/>
    </row>
    <row r="286">
      <c r="A286" s="96" t="s">
        <v>2199</v>
      </c>
      <c r="B286" s="95" t="str">
        <f>IFERROR(__xludf.DUMMYFUNCTION("""COMPUTED_VALUE"""),"32044150448744_001")</f>
        <v>32044150448744_001</v>
      </c>
      <c r="C286" s="94" t="str">
        <f>IFERROR(__xludf.DUMMYFUNCTION("""COMPUTED_VALUE""")," 32044150448744_002")</f>
        <v> 32044150448744_002</v>
      </c>
      <c r="D286" s="94" t="str">
        <f>IFERROR(__xludf.DUMMYFUNCTION("""COMPUTED_VALUE""")," 32044150448744_003")</f>
        <v> 32044150448744_003</v>
      </c>
      <c r="E286" s="94" t="str">
        <f>IFERROR(__xludf.DUMMYFUNCTION("""COMPUTED_VALUE""")," 32044150448744_004")</f>
        <v> 32044150448744_004</v>
      </c>
      <c r="F286" s="94" t="str">
        <f>IFERROR(__xludf.DUMMYFUNCTION("""COMPUTED_VALUE""")," 32044150448744_005")</f>
        <v> 32044150448744_005</v>
      </c>
      <c r="G286" s="94" t="str">
        <f>IFERROR(__xludf.DUMMYFUNCTION("""COMPUTED_VALUE""")," 32044150448744_006")</f>
        <v> 32044150448744_006</v>
      </c>
      <c r="H286" s="94" t="str">
        <f>IFERROR(__xludf.DUMMYFUNCTION("""COMPUTED_VALUE""")," 32044150448744_007")</f>
        <v> 32044150448744_007</v>
      </c>
      <c r="I286" s="94" t="str">
        <f>IFERROR(__xludf.DUMMYFUNCTION("""COMPUTED_VALUE""")," 32044150448744_008")</f>
        <v> 32044150448744_008</v>
      </c>
      <c r="J286" s="94" t="str">
        <f>IFERROR(__xludf.DUMMYFUNCTION("""COMPUTED_VALUE""")," 32044150448744_009")</f>
        <v> 32044150448744_009</v>
      </c>
      <c r="K286" s="94"/>
      <c r="L286" s="94"/>
      <c r="M286" s="94"/>
      <c r="N286" s="94"/>
      <c r="O286" s="94"/>
      <c r="P286" s="94"/>
      <c r="Q286" s="94"/>
      <c r="R286" s="94"/>
      <c r="S286" s="94"/>
      <c r="T286" s="94"/>
      <c r="U286" s="94"/>
      <c r="V286" s="94"/>
      <c r="W286" s="94"/>
      <c r="X286" s="94"/>
      <c r="Y286" s="94"/>
      <c r="Z286" s="94"/>
      <c r="AA286" s="94"/>
      <c r="AB286" s="94"/>
      <c r="AC286" s="94"/>
      <c r="AD286" s="94"/>
      <c r="AE286" s="94"/>
      <c r="AF286" s="94"/>
      <c r="AG286" s="94"/>
    </row>
    <row r="287">
      <c r="A287" s="96" t="s">
        <v>2202</v>
      </c>
      <c r="B287" s="95" t="str">
        <f>IFERROR(__xludf.DUMMYFUNCTION("""COMPUTED_VALUE"""),"32044150448744_010")</f>
        <v>32044150448744_010</v>
      </c>
      <c r="C287" s="94" t="str">
        <f>IFERROR(__xludf.DUMMYFUNCTION("""COMPUTED_VALUE""")," 32044150448744_011")</f>
        <v> 32044150448744_011</v>
      </c>
      <c r="D287" s="94" t="str">
        <f>IFERROR(__xludf.DUMMYFUNCTION("""COMPUTED_VALUE""")," 32044150448744_012")</f>
        <v> 32044150448744_012</v>
      </c>
      <c r="E287" s="94" t="str">
        <f>IFERROR(__xludf.DUMMYFUNCTION("""COMPUTED_VALUE""")," 32044150448744_013")</f>
        <v> 32044150448744_013</v>
      </c>
      <c r="F287" s="94" t="str">
        <f>IFERROR(__xludf.DUMMYFUNCTION("""COMPUTED_VALUE""")," 32044150448744_014")</f>
        <v> 32044150448744_014</v>
      </c>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row>
    <row r="288">
      <c r="A288" s="96" t="s">
        <v>2205</v>
      </c>
      <c r="B288" s="95" t="str">
        <f>IFERROR(__xludf.DUMMYFUNCTION("""COMPUTED_VALUE"""),"32044150448744_015")</f>
        <v>32044150448744_015</v>
      </c>
      <c r="C288" s="94" t="str">
        <f>IFERROR(__xludf.DUMMYFUNCTION("""COMPUTED_VALUE""")," 32044150448744_016")</f>
        <v> 32044150448744_016</v>
      </c>
      <c r="D288" s="94" t="str">
        <f>IFERROR(__xludf.DUMMYFUNCTION("""COMPUTED_VALUE""")," 32044150448744_017")</f>
        <v> 32044150448744_017</v>
      </c>
      <c r="E288" s="94" t="str">
        <f>IFERROR(__xludf.DUMMYFUNCTION("""COMPUTED_VALUE""")," 32044150448744_018")</f>
        <v> 32044150448744_018</v>
      </c>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c r="AD288" s="94"/>
      <c r="AE288" s="94"/>
      <c r="AF288" s="94"/>
      <c r="AG288" s="94"/>
    </row>
    <row r="289">
      <c r="A289" s="96" t="s">
        <v>2213</v>
      </c>
      <c r="B289" s="95" t="str">
        <f>IFERROR(__xludf.DUMMYFUNCTION("""COMPUTED_VALUE"""),"32044150448744_037")</f>
        <v>32044150448744_037</v>
      </c>
      <c r="C289" s="94" t="str">
        <f>IFERROR(__xludf.DUMMYFUNCTION("""COMPUTED_VALUE""")," 32044150448744_038")</f>
        <v> 32044150448744_038</v>
      </c>
      <c r="D289" s="94" t="str">
        <f>IFERROR(__xludf.DUMMYFUNCTION("""COMPUTED_VALUE""")," 32044150448744_039")</f>
        <v> 32044150448744_039</v>
      </c>
      <c r="E289" s="94" t="str">
        <f>IFERROR(__xludf.DUMMYFUNCTION("""COMPUTED_VALUE""")," 32044150448744_040")</f>
        <v> 32044150448744_040</v>
      </c>
      <c r="F289" s="94" t="str">
        <f>IFERROR(__xludf.DUMMYFUNCTION("""COMPUTED_VALUE""")," 32044150448744_041")</f>
        <v> 32044150448744_041</v>
      </c>
      <c r="G289" s="94" t="str">
        <f>IFERROR(__xludf.DUMMYFUNCTION("""COMPUTED_VALUE""")," 32044150448744_042")</f>
        <v> 32044150448744_042</v>
      </c>
      <c r="H289" s="94" t="str">
        <f>IFERROR(__xludf.DUMMYFUNCTION("""COMPUTED_VALUE""")," 32044150448744_043")</f>
        <v> 32044150448744_043</v>
      </c>
      <c r="I289" s="94" t="str">
        <f>IFERROR(__xludf.DUMMYFUNCTION("""COMPUTED_VALUE""")," 32044150448744_044")</f>
        <v> 32044150448744_044</v>
      </c>
      <c r="J289" s="94" t="str">
        <f>IFERROR(__xludf.DUMMYFUNCTION("""COMPUTED_VALUE""")," 32044150448744_045")</f>
        <v> 32044150448744_045</v>
      </c>
      <c r="K289" s="94" t="str">
        <f>IFERROR(__xludf.DUMMYFUNCTION("""COMPUTED_VALUE""")," 32044150448744_046")</f>
        <v> 32044150448744_046</v>
      </c>
      <c r="L289" s="94" t="str">
        <f>IFERROR(__xludf.DUMMYFUNCTION("""COMPUTED_VALUE""")," 32044150448744_047")</f>
        <v> 32044150448744_047</v>
      </c>
      <c r="M289" s="94" t="str">
        <f>IFERROR(__xludf.DUMMYFUNCTION("""COMPUTED_VALUE""")," 32044150448744_048")</f>
        <v> 32044150448744_048</v>
      </c>
      <c r="N289" s="94" t="str">
        <f>IFERROR(__xludf.DUMMYFUNCTION("""COMPUTED_VALUE""")," 32044150448744_049")</f>
        <v> 32044150448744_049</v>
      </c>
      <c r="O289" s="94" t="str">
        <f>IFERROR(__xludf.DUMMYFUNCTION("""COMPUTED_VALUE""")," 32044150448744_050")</f>
        <v> 32044150448744_050</v>
      </c>
      <c r="P289" s="94" t="str">
        <f>IFERROR(__xludf.DUMMYFUNCTION("""COMPUTED_VALUE""")," 32044150448744_051")</f>
        <v> 32044150448744_051</v>
      </c>
      <c r="Q289" s="94" t="str">
        <f>IFERROR(__xludf.DUMMYFUNCTION("""COMPUTED_VALUE""")," 32044150448744_052")</f>
        <v> 32044150448744_052</v>
      </c>
      <c r="R289" s="94" t="str">
        <f>IFERROR(__xludf.DUMMYFUNCTION("""COMPUTED_VALUE""")," 32044150448744_053")</f>
        <v> 32044150448744_053</v>
      </c>
      <c r="S289" s="94" t="str">
        <f>IFERROR(__xludf.DUMMYFUNCTION("""COMPUTED_VALUE""")," 32044150448744_054")</f>
        <v> 32044150448744_054</v>
      </c>
      <c r="T289" s="94" t="str">
        <f>IFERROR(__xludf.DUMMYFUNCTION("""COMPUTED_VALUE""")," 32044150448744_055")</f>
        <v> 32044150448744_055</v>
      </c>
      <c r="U289" s="94" t="str">
        <f>IFERROR(__xludf.DUMMYFUNCTION("""COMPUTED_VALUE""")," 32044150448744_056")</f>
        <v> 32044150448744_056</v>
      </c>
      <c r="V289" s="94" t="str">
        <f>IFERROR(__xludf.DUMMYFUNCTION("""COMPUTED_VALUE""")," 32044150448744_057")</f>
        <v> 32044150448744_057</v>
      </c>
      <c r="W289" s="94" t="str">
        <f>IFERROR(__xludf.DUMMYFUNCTION("""COMPUTED_VALUE""")," 32044150448744_058")</f>
        <v> 32044150448744_058</v>
      </c>
      <c r="X289" s="94" t="str">
        <f>IFERROR(__xludf.DUMMYFUNCTION("""COMPUTED_VALUE""")," 32044150448744_059")</f>
        <v> 32044150448744_059</v>
      </c>
      <c r="Y289" s="94" t="str">
        <f>IFERROR(__xludf.DUMMYFUNCTION("""COMPUTED_VALUE""")," 32044150448744_060")</f>
        <v> 32044150448744_060</v>
      </c>
      <c r="Z289" s="94"/>
      <c r="AA289" s="94"/>
      <c r="AB289" s="94"/>
      <c r="AC289" s="94"/>
      <c r="AD289" s="94"/>
      <c r="AE289" s="94"/>
      <c r="AF289" s="94"/>
      <c r="AG289" s="94"/>
    </row>
    <row r="290">
      <c r="A290" s="96" t="s">
        <v>2221</v>
      </c>
      <c r="B290" s="95" t="str">
        <f>IFERROR(__xludf.DUMMYFUNCTION("""COMPUTED_VALUE"""),"32044150448744_019")</f>
        <v>32044150448744_019</v>
      </c>
      <c r="C290" s="94" t="str">
        <f>IFERROR(__xludf.DUMMYFUNCTION("""COMPUTED_VALUE""")," 32044150448744_020")</f>
        <v> 32044150448744_020</v>
      </c>
      <c r="D290" s="94" t="str">
        <f>IFERROR(__xludf.DUMMYFUNCTION("""COMPUTED_VALUE""")," 32044150448744_021")</f>
        <v> 32044150448744_021</v>
      </c>
      <c r="E290" s="94" t="str">
        <f>IFERROR(__xludf.DUMMYFUNCTION("""COMPUTED_VALUE""")," 32044150448744_022")</f>
        <v> 32044150448744_022</v>
      </c>
      <c r="F290" s="94" t="str">
        <f>IFERROR(__xludf.DUMMYFUNCTION("""COMPUTED_VALUE""")," 32044150448744_023")</f>
        <v> 32044150448744_023</v>
      </c>
      <c r="G290" s="94" t="str">
        <f>IFERROR(__xludf.DUMMYFUNCTION("""COMPUTED_VALUE""")," 32044150448744_024")</f>
        <v> 32044150448744_024</v>
      </c>
      <c r="H290" s="94"/>
      <c r="I290" s="94"/>
      <c r="J290" s="94"/>
      <c r="K290" s="94"/>
      <c r="L290" s="94"/>
      <c r="M290" s="94"/>
      <c r="N290" s="94"/>
      <c r="O290" s="94"/>
      <c r="P290" s="94"/>
      <c r="Q290" s="94"/>
      <c r="R290" s="94"/>
      <c r="S290" s="94"/>
      <c r="T290" s="94"/>
      <c r="U290" s="94"/>
      <c r="V290" s="94"/>
      <c r="W290" s="94"/>
      <c r="X290" s="94"/>
      <c r="Y290" s="94"/>
      <c r="Z290" s="94"/>
      <c r="AA290" s="94"/>
      <c r="AB290" s="94"/>
      <c r="AC290" s="94"/>
      <c r="AD290" s="94"/>
      <c r="AE290" s="94"/>
      <c r="AF290" s="94"/>
      <c r="AG290" s="94"/>
    </row>
    <row r="291">
      <c r="A291" s="96" t="s">
        <v>2224</v>
      </c>
      <c r="B291" s="95" t="str">
        <f>IFERROR(__xludf.DUMMYFUNCTION("""COMPUTED_VALUE"""),"32044150448744_025")</f>
        <v>32044150448744_025</v>
      </c>
      <c r="C291" s="94" t="str">
        <f>IFERROR(__xludf.DUMMYFUNCTION("""COMPUTED_VALUE""")," 32044150448744_026")</f>
        <v> 32044150448744_026</v>
      </c>
      <c r="D291" s="94" t="str">
        <f>IFERROR(__xludf.DUMMYFUNCTION("""COMPUTED_VALUE""")," 32044150448744_027")</f>
        <v> 32044150448744_027</v>
      </c>
      <c r="E291" s="94" t="str">
        <f>IFERROR(__xludf.DUMMYFUNCTION("""COMPUTED_VALUE""")," 32044150448744_028")</f>
        <v> 32044150448744_028</v>
      </c>
      <c r="F291" s="94" t="str">
        <f>IFERROR(__xludf.DUMMYFUNCTION("""COMPUTED_VALUE""")," 32044150448744_029")</f>
        <v> 32044150448744_029</v>
      </c>
      <c r="G291" s="94" t="str">
        <f>IFERROR(__xludf.DUMMYFUNCTION("""COMPUTED_VALUE""")," 32044150448744_030")</f>
        <v> 32044150448744_030</v>
      </c>
      <c r="H291" s="94" t="str">
        <f>IFERROR(__xludf.DUMMYFUNCTION("""COMPUTED_VALUE""")," 32044150448744_031")</f>
        <v> 32044150448744_031</v>
      </c>
      <c r="I291" s="94" t="str">
        <f>IFERROR(__xludf.DUMMYFUNCTION("""COMPUTED_VALUE""")," 32044150448744_032")</f>
        <v> 32044150448744_032</v>
      </c>
      <c r="J291" s="94" t="str">
        <f>IFERROR(__xludf.DUMMYFUNCTION("""COMPUTED_VALUE""")," 32044150448744_033")</f>
        <v> 32044150448744_033</v>
      </c>
      <c r="K291" s="94" t="str">
        <f>IFERROR(__xludf.DUMMYFUNCTION("""COMPUTED_VALUE""")," 32044150448744_034")</f>
        <v> 32044150448744_034</v>
      </c>
      <c r="L291" s="94" t="str">
        <f>IFERROR(__xludf.DUMMYFUNCTION("""COMPUTED_VALUE""")," 32044150448744_035")</f>
        <v> 32044150448744_035</v>
      </c>
      <c r="M291" s="94" t="str">
        <f>IFERROR(__xludf.DUMMYFUNCTION("""COMPUTED_VALUE""")," 32044150448744_036")</f>
        <v> 32044150448744_036</v>
      </c>
      <c r="N291" s="94"/>
      <c r="O291" s="94"/>
      <c r="P291" s="94"/>
      <c r="Q291" s="94"/>
      <c r="R291" s="94"/>
      <c r="S291" s="94"/>
      <c r="T291" s="94"/>
      <c r="U291" s="94"/>
      <c r="V291" s="94"/>
      <c r="W291" s="94"/>
      <c r="X291" s="94"/>
      <c r="Y291" s="94"/>
      <c r="Z291" s="94"/>
      <c r="AA291" s="94"/>
      <c r="AB291" s="94"/>
      <c r="AC291" s="94"/>
      <c r="AD291" s="94"/>
      <c r="AE291" s="94"/>
      <c r="AF291" s="94"/>
      <c r="AG291" s="94"/>
    </row>
    <row r="292">
      <c r="A292" s="96" t="s">
        <v>2227</v>
      </c>
      <c r="B292" s="95" t="str">
        <f>IFERROR(__xludf.DUMMYFUNCTION("""COMPUTED_VALUE"""),"32044150448744_064")</f>
        <v>32044150448744_064</v>
      </c>
      <c r="C292" s="94" t="str">
        <f>IFERROR(__xludf.DUMMYFUNCTION("""COMPUTED_VALUE""")," 32044150448744_065")</f>
        <v> 32044150448744_065</v>
      </c>
      <c r="D292" s="94" t="str">
        <f>IFERROR(__xludf.DUMMYFUNCTION("""COMPUTED_VALUE""")," 32044150448744_066")</f>
        <v> 32044150448744_066</v>
      </c>
      <c r="E292" s="94" t="str">
        <f>IFERROR(__xludf.DUMMYFUNCTION("""COMPUTED_VALUE""")," 32044150448744_067")</f>
        <v> 32044150448744_067</v>
      </c>
      <c r="F292" s="94" t="str">
        <f>IFERROR(__xludf.DUMMYFUNCTION("""COMPUTED_VALUE""")," 32044150448744_068")</f>
        <v> 32044150448744_068</v>
      </c>
      <c r="G292" s="94" t="str">
        <f>IFERROR(__xludf.DUMMYFUNCTION("""COMPUTED_VALUE""")," 32044150448744_069")</f>
        <v> 32044150448744_069</v>
      </c>
      <c r="H292" s="94" t="str">
        <f>IFERROR(__xludf.DUMMYFUNCTION("""COMPUTED_VALUE""")," 32044150448744_070")</f>
        <v> 32044150448744_070</v>
      </c>
      <c r="I292" s="94" t="str">
        <f>IFERROR(__xludf.DUMMYFUNCTION("""COMPUTED_VALUE""")," 32044150448744_071")</f>
        <v> 32044150448744_071</v>
      </c>
      <c r="J292" s="94" t="str">
        <f>IFERROR(__xludf.DUMMYFUNCTION("""COMPUTED_VALUE""")," 32044150448744_072")</f>
        <v> 32044150448744_072</v>
      </c>
      <c r="K292" s="94" t="str">
        <f>IFERROR(__xludf.DUMMYFUNCTION("""COMPUTED_VALUE""")," 32044150448744_073")</f>
        <v> 32044150448744_073</v>
      </c>
      <c r="L292" s="94" t="str">
        <f>IFERROR(__xludf.DUMMYFUNCTION("""COMPUTED_VALUE""")," 32044150448744_074")</f>
        <v> 32044150448744_074</v>
      </c>
      <c r="M292" s="94" t="str">
        <f>IFERROR(__xludf.DUMMYFUNCTION("""COMPUTED_VALUE""")," 32044150448744_075")</f>
        <v> 32044150448744_075</v>
      </c>
      <c r="N292" s="94" t="str">
        <f>IFERROR(__xludf.DUMMYFUNCTION("""COMPUTED_VALUE""")," 32044150448744_076")</f>
        <v> 32044150448744_076</v>
      </c>
      <c r="O292" s="94"/>
      <c r="P292" s="94"/>
      <c r="Q292" s="94"/>
      <c r="R292" s="94"/>
      <c r="S292" s="94"/>
      <c r="T292" s="94"/>
      <c r="U292" s="94"/>
      <c r="V292" s="94"/>
      <c r="W292" s="94"/>
      <c r="X292" s="94"/>
      <c r="Y292" s="94"/>
      <c r="Z292" s="94"/>
      <c r="AA292" s="94"/>
      <c r="AB292" s="94"/>
      <c r="AC292" s="94"/>
      <c r="AD292" s="94"/>
      <c r="AE292" s="94"/>
      <c r="AF292" s="94"/>
      <c r="AG292" s="94"/>
    </row>
    <row r="293">
      <c r="A293" s="96" t="s">
        <v>2236</v>
      </c>
      <c r="B293" s="95" t="str">
        <f>IFERROR(__xludf.DUMMYFUNCTION("""COMPUTED_VALUE"""),"32044150448744_061")</f>
        <v>32044150448744_061</v>
      </c>
      <c r="C293" s="94" t="str">
        <f>IFERROR(__xludf.DUMMYFUNCTION("""COMPUTED_VALUE""")," 32044150448744_062")</f>
        <v> 32044150448744_062</v>
      </c>
      <c r="D293" s="94" t="str">
        <f>IFERROR(__xludf.DUMMYFUNCTION("""COMPUTED_VALUE""")," 32044150448744_063")</f>
        <v> 32044150448744_063</v>
      </c>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c r="AD293" s="94"/>
      <c r="AE293" s="94"/>
      <c r="AF293" s="94"/>
      <c r="AG293" s="94"/>
    </row>
    <row r="294">
      <c r="A294" s="96" t="s">
        <v>2239</v>
      </c>
      <c r="B294" s="95" t="str">
        <f>IFERROR(__xludf.DUMMYFUNCTION("""COMPUTED_VALUE"""),"32044150448751_001")</f>
        <v>32044150448751_001</v>
      </c>
      <c r="C294" s="94" t="str">
        <f>IFERROR(__xludf.DUMMYFUNCTION("""COMPUTED_VALUE""")," 32044150448751_002")</f>
        <v> 32044150448751_002</v>
      </c>
      <c r="D294" s="94" t="str">
        <f>IFERROR(__xludf.DUMMYFUNCTION("""COMPUTED_VALUE""")," 32044150448751_003")</f>
        <v> 32044150448751_003</v>
      </c>
      <c r="E294" s="94" t="str">
        <f>IFERROR(__xludf.DUMMYFUNCTION("""COMPUTED_VALUE""")," 32044150448751_004")</f>
        <v> 32044150448751_004</v>
      </c>
      <c r="F294" s="94" t="str">
        <f>IFERROR(__xludf.DUMMYFUNCTION("""COMPUTED_VALUE""")," 32044150448751_005")</f>
        <v> 32044150448751_005</v>
      </c>
      <c r="G294" s="94" t="str">
        <f>IFERROR(__xludf.DUMMYFUNCTION("""COMPUTED_VALUE""")," 32044150448751_006")</f>
        <v> 32044150448751_006</v>
      </c>
      <c r="H294" s="94"/>
      <c r="I294" s="94"/>
      <c r="J294" s="94"/>
      <c r="K294" s="94"/>
      <c r="L294" s="94"/>
      <c r="M294" s="94"/>
      <c r="N294" s="94"/>
      <c r="O294" s="94"/>
      <c r="P294" s="94"/>
      <c r="Q294" s="94"/>
      <c r="R294" s="94"/>
      <c r="S294" s="94"/>
      <c r="T294" s="94"/>
      <c r="U294" s="94"/>
      <c r="V294" s="94"/>
      <c r="W294" s="94"/>
      <c r="X294" s="94"/>
      <c r="Y294" s="94"/>
      <c r="Z294" s="94"/>
      <c r="AA294" s="94"/>
      <c r="AB294" s="94"/>
      <c r="AC294" s="94"/>
      <c r="AD294" s="94"/>
      <c r="AE294" s="94"/>
      <c r="AF294" s="94"/>
      <c r="AG294" s="94"/>
    </row>
    <row r="295">
      <c r="A295" s="96" t="s">
        <v>2242</v>
      </c>
      <c r="B295" s="95" t="str">
        <f>IFERROR(__xludf.DUMMYFUNCTION("""COMPUTED_VALUE"""),"32044150448751_007")</f>
        <v>32044150448751_007</v>
      </c>
      <c r="C295" s="94" t="str">
        <f>IFERROR(__xludf.DUMMYFUNCTION("""COMPUTED_VALUE""")," 32044150448751_008")</f>
        <v> 32044150448751_008</v>
      </c>
      <c r="D295" s="94" t="str">
        <f>IFERROR(__xludf.DUMMYFUNCTION("""COMPUTED_VALUE""")," 32044150448751_009")</f>
        <v> 32044150448751_009</v>
      </c>
      <c r="E295" s="94" t="str">
        <f>IFERROR(__xludf.DUMMYFUNCTION("""COMPUTED_VALUE""")," 32044150448751_010")</f>
        <v> 32044150448751_010</v>
      </c>
      <c r="F295" s="94" t="str">
        <f>IFERROR(__xludf.DUMMYFUNCTION("""COMPUTED_VALUE""")," 32044150448751_011")</f>
        <v> 32044150448751_011</v>
      </c>
      <c r="G295" s="94" t="str">
        <f>IFERROR(__xludf.DUMMYFUNCTION("""COMPUTED_VALUE""")," 32044150448751_012")</f>
        <v> 32044150448751_012</v>
      </c>
      <c r="H295" s="94"/>
      <c r="I295" s="94"/>
      <c r="J295" s="94"/>
      <c r="K295" s="94"/>
      <c r="L295" s="94"/>
      <c r="M295" s="94"/>
      <c r="N295" s="94"/>
      <c r="O295" s="94"/>
      <c r="P295" s="94"/>
      <c r="Q295" s="94"/>
      <c r="R295" s="94"/>
      <c r="S295" s="94"/>
      <c r="T295" s="94"/>
      <c r="U295" s="94"/>
      <c r="V295" s="94"/>
      <c r="W295" s="94"/>
      <c r="X295" s="94"/>
      <c r="Y295" s="94"/>
      <c r="Z295" s="94"/>
      <c r="AA295" s="94"/>
      <c r="AB295" s="94"/>
      <c r="AC295" s="94"/>
      <c r="AD295" s="94"/>
      <c r="AE295" s="94"/>
      <c r="AF295" s="94"/>
      <c r="AG295" s="94"/>
    </row>
    <row r="296">
      <c r="A296" s="96" t="s">
        <v>2245</v>
      </c>
      <c r="B296" s="95" t="str">
        <f>IFERROR(__xludf.DUMMYFUNCTION("""COMPUTED_VALUE"""),"32044150448751_013")</f>
        <v>32044150448751_013</v>
      </c>
      <c r="C296" s="94" t="str">
        <f>IFERROR(__xludf.DUMMYFUNCTION("""COMPUTED_VALUE""")," 32044150448751_014")</f>
        <v> 32044150448751_014</v>
      </c>
      <c r="D296" s="94" t="str">
        <f>IFERROR(__xludf.DUMMYFUNCTION("""COMPUTED_VALUE""")," 32044150448751_015")</f>
        <v> 32044150448751_015</v>
      </c>
      <c r="E296" s="94" t="str">
        <f>IFERROR(__xludf.DUMMYFUNCTION("""COMPUTED_VALUE""")," 32044150448751_016")</f>
        <v> 32044150448751_016</v>
      </c>
      <c r="F296" s="94" t="str">
        <f>IFERROR(__xludf.DUMMYFUNCTION("""COMPUTED_VALUE""")," 32044150448751_017")</f>
        <v> 32044150448751_017</v>
      </c>
      <c r="G296" s="94" t="str">
        <f>IFERROR(__xludf.DUMMYFUNCTION("""COMPUTED_VALUE""")," 32044150448751_018")</f>
        <v> 32044150448751_018</v>
      </c>
      <c r="H296" s="94" t="str">
        <f>IFERROR(__xludf.DUMMYFUNCTION("""COMPUTED_VALUE""")," 32044150448751_019")</f>
        <v> 32044150448751_019</v>
      </c>
      <c r="I296" s="94" t="str">
        <f>IFERROR(__xludf.DUMMYFUNCTION("""COMPUTED_VALUE""")," 32044150448751_020")</f>
        <v> 32044150448751_020</v>
      </c>
      <c r="J296" s="94" t="str">
        <f>IFERROR(__xludf.DUMMYFUNCTION("""COMPUTED_VALUE""")," 32044150448751_021")</f>
        <v> 32044150448751_021</v>
      </c>
      <c r="K296" s="94" t="str">
        <f>IFERROR(__xludf.DUMMYFUNCTION("""COMPUTED_VALUE""")," 32044150448751_022")</f>
        <v> 32044150448751_022</v>
      </c>
      <c r="L296" s="94" t="str">
        <f>IFERROR(__xludf.DUMMYFUNCTION("""COMPUTED_VALUE""")," 32044150448751_023")</f>
        <v> 32044150448751_023</v>
      </c>
      <c r="M296" s="94" t="str">
        <f>IFERROR(__xludf.DUMMYFUNCTION("""COMPUTED_VALUE""")," 32044150448751_024")</f>
        <v> 32044150448751_024</v>
      </c>
      <c r="N296" s="94"/>
      <c r="O296" s="94"/>
      <c r="P296" s="94"/>
      <c r="Q296" s="94"/>
      <c r="R296" s="94"/>
      <c r="S296" s="94"/>
      <c r="T296" s="94"/>
      <c r="U296" s="94"/>
      <c r="V296" s="94"/>
      <c r="W296" s="94"/>
      <c r="X296" s="94"/>
      <c r="Y296" s="94"/>
      <c r="Z296" s="94"/>
      <c r="AA296" s="94"/>
      <c r="AB296" s="94"/>
      <c r="AC296" s="94"/>
      <c r="AD296" s="94"/>
      <c r="AE296" s="94"/>
      <c r="AF296" s="94"/>
      <c r="AG296" s="94"/>
    </row>
    <row r="297">
      <c r="A297" s="96" t="s">
        <v>2248</v>
      </c>
      <c r="B297" s="95" t="str">
        <f>IFERROR(__xludf.DUMMYFUNCTION("""COMPUTED_VALUE"""),"32044150448751_025")</f>
        <v>32044150448751_025</v>
      </c>
      <c r="C297" s="94" t="str">
        <f>IFERROR(__xludf.DUMMYFUNCTION("""COMPUTED_VALUE""")," 32044150448751_026")</f>
        <v> 32044150448751_026</v>
      </c>
      <c r="D297" s="94" t="str">
        <f>IFERROR(__xludf.DUMMYFUNCTION("""COMPUTED_VALUE""")," 32044150448751_027")</f>
        <v> 32044150448751_027</v>
      </c>
      <c r="E297" s="94" t="str">
        <f>IFERROR(__xludf.DUMMYFUNCTION("""COMPUTED_VALUE""")," 32044150448751_028")</f>
        <v> 32044150448751_028</v>
      </c>
      <c r="F297" s="94" t="str">
        <f>IFERROR(__xludf.DUMMYFUNCTION("""COMPUTED_VALUE""")," 32044150448751_029")</f>
        <v> 32044150448751_029</v>
      </c>
      <c r="G297" s="94" t="str">
        <f>IFERROR(__xludf.DUMMYFUNCTION("""COMPUTED_VALUE""")," 32044150448751_030")</f>
        <v> 32044150448751_030</v>
      </c>
      <c r="H297" s="94" t="str">
        <f>IFERROR(__xludf.DUMMYFUNCTION("""COMPUTED_VALUE""")," 32044150448751_031")</f>
        <v> 32044150448751_031</v>
      </c>
      <c r="I297" s="94"/>
      <c r="J297" s="94"/>
      <c r="K297" s="94"/>
      <c r="L297" s="94"/>
      <c r="M297" s="94"/>
      <c r="N297" s="94"/>
      <c r="O297" s="94"/>
      <c r="P297" s="94"/>
      <c r="Q297" s="94"/>
      <c r="R297" s="94"/>
      <c r="S297" s="94"/>
      <c r="T297" s="94"/>
      <c r="U297" s="94"/>
      <c r="V297" s="94"/>
      <c r="W297" s="94"/>
      <c r="X297" s="94"/>
      <c r="Y297" s="94"/>
      <c r="Z297" s="94"/>
      <c r="AA297" s="94"/>
      <c r="AB297" s="94"/>
      <c r="AC297" s="94"/>
      <c r="AD297" s="94"/>
      <c r="AE297" s="94"/>
      <c r="AF297" s="94"/>
      <c r="AG297" s="94"/>
    </row>
    <row r="298">
      <c r="A298" s="96" t="s">
        <v>2251</v>
      </c>
      <c r="B298" s="95" t="str">
        <f>IFERROR(__xludf.DUMMYFUNCTION("""COMPUTED_VALUE"""),"32044150448751_032")</f>
        <v>32044150448751_032</v>
      </c>
      <c r="C298" s="94" t="str">
        <f>IFERROR(__xludf.DUMMYFUNCTION("""COMPUTED_VALUE""")," 32044150448751_033")</f>
        <v> 32044150448751_033</v>
      </c>
      <c r="D298" s="94" t="str">
        <f>IFERROR(__xludf.DUMMYFUNCTION("""COMPUTED_VALUE""")," 32044150448751_034")</f>
        <v> 32044150448751_034</v>
      </c>
      <c r="E298" s="94" t="str">
        <f>IFERROR(__xludf.DUMMYFUNCTION("""COMPUTED_VALUE""")," 32044150448751_035")</f>
        <v> 32044150448751_035</v>
      </c>
      <c r="F298" s="94" t="str">
        <f>IFERROR(__xludf.DUMMYFUNCTION("""COMPUTED_VALUE""")," 32044150448751_036")</f>
        <v> 32044150448751_036</v>
      </c>
      <c r="G298" s="94" t="str">
        <f>IFERROR(__xludf.DUMMYFUNCTION("""COMPUTED_VALUE""")," 32044150448751_037")</f>
        <v> 32044150448751_037</v>
      </c>
      <c r="H298" s="94"/>
      <c r="I298" s="94"/>
      <c r="J298" s="94"/>
      <c r="K298" s="94"/>
      <c r="L298" s="94"/>
      <c r="M298" s="94"/>
      <c r="N298" s="94"/>
      <c r="O298" s="94"/>
      <c r="P298" s="94"/>
      <c r="Q298" s="94"/>
      <c r="R298" s="94"/>
      <c r="S298" s="94"/>
      <c r="T298" s="94"/>
      <c r="U298" s="94"/>
      <c r="V298" s="94"/>
      <c r="W298" s="94"/>
      <c r="X298" s="94"/>
      <c r="Y298" s="94"/>
      <c r="Z298" s="94"/>
      <c r="AA298" s="94"/>
      <c r="AB298" s="94"/>
      <c r="AC298" s="94"/>
      <c r="AD298" s="94"/>
      <c r="AE298" s="94"/>
      <c r="AF298" s="94"/>
      <c r="AG298" s="94"/>
    </row>
    <row r="299">
      <c r="A299" s="96" t="s">
        <v>2254</v>
      </c>
      <c r="B299" s="95" t="str">
        <f>IFERROR(__xludf.DUMMYFUNCTION("""COMPUTED_VALUE"""),"32044150448751_038")</f>
        <v>32044150448751_038</v>
      </c>
      <c r="C299" s="94" t="str">
        <f>IFERROR(__xludf.DUMMYFUNCTION("""COMPUTED_VALUE""")," 32044150448751_039")</f>
        <v> 32044150448751_039</v>
      </c>
      <c r="D299" s="94" t="str">
        <f>IFERROR(__xludf.DUMMYFUNCTION("""COMPUTED_VALUE""")," 32044150448751_040")</f>
        <v> 32044150448751_040</v>
      </c>
      <c r="E299" s="94" t="str">
        <f>IFERROR(__xludf.DUMMYFUNCTION("""COMPUTED_VALUE""")," 32044150448751_041")</f>
        <v> 32044150448751_041</v>
      </c>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row>
    <row r="300">
      <c r="A300" s="96" t="s">
        <v>2257</v>
      </c>
      <c r="B300" s="95" t="str">
        <f>IFERROR(__xludf.DUMMYFUNCTION("""COMPUTED_VALUE"""),"32044150448751_042")</f>
        <v>32044150448751_042</v>
      </c>
      <c r="C300" s="94" t="str">
        <f>IFERROR(__xludf.DUMMYFUNCTION("""COMPUTED_VALUE""")," 32044150448751_043")</f>
        <v> 32044150448751_043</v>
      </c>
      <c r="D300" s="94" t="str">
        <f>IFERROR(__xludf.DUMMYFUNCTION("""COMPUTED_VALUE""")," 32044150448751_044")</f>
        <v> 32044150448751_044</v>
      </c>
      <c r="E300" s="94" t="str">
        <f>IFERROR(__xludf.DUMMYFUNCTION("""COMPUTED_VALUE""")," 32044150448751_045")</f>
        <v> 32044150448751_045</v>
      </c>
      <c r="F300" s="94" t="str">
        <f>IFERROR(__xludf.DUMMYFUNCTION("""COMPUTED_VALUE""")," 32044150448751_046")</f>
        <v> 32044150448751_046</v>
      </c>
      <c r="G300" s="94" t="str">
        <f>IFERROR(__xludf.DUMMYFUNCTION("""COMPUTED_VALUE""")," 32044150448751_047")</f>
        <v> 32044150448751_047</v>
      </c>
      <c r="H300" s="94" t="str">
        <f>IFERROR(__xludf.DUMMYFUNCTION("""COMPUTED_VALUE""")," 32044150448751_048")</f>
        <v> 32044150448751_048</v>
      </c>
      <c r="I300" s="94" t="str">
        <f>IFERROR(__xludf.DUMMYFUNCTION("""COMPUTED_VALUE""")," 32044150448751_049")</f>
        <v> 32044150448751_049</v>
      </c>
      <c r="J300" s="94"/>
      <c r="K300" s="94"/>
      <c r="L300" s="94"/>
      <c r="M300" s="94"/>
      <c r="N300" s="94"/>
      <c r="O300" s="94"/>
      <c r="P300" s="94"/>
      <c r="Q300" s="94"/>
      <c r="R300" s="94"/>
      <c r="S300" s="94"/>
      <c r="T300" s="94"/>
      <c r="U300" s="94"/>
      <c r="V300" s="94"/>
      <c r="W300" s="94"/>
      <c r="X300" s="94"/>
      <c r="Y300" s="94"/>
      <c r="Z300" s="94"/>
      <c r="AA300" s="94"/>
      <c r="AB300" s="94"/>
      <c r="AC300" s="94"/>
      <c r="AD300" s="94"/>
      <c r="AE300" s="94"/>
      <c r="AF300" s="94"/>
      <c r="AG300" s="94"/>
    </row>
    <row r="301">
      <c r="A301" s="96" t="s">
        <v>2260</v>
      </c>
      <c r="B301" s="95" t="str">
        <f>IFERROR(__xludf.DUMMYFUNCTION("""COMPUTED_VALUE"""),"32044150448769_001")</f>
        <v>32044150448769_001</v>
      </c>
      <c r="C301" s="94" t="str">
        <f>IFERROR(__xludf.DUMMYFUNCTION("""COMPUTED_VALUE""")," 32044150448769_002")</f>
        <v> 32044150448769_002</v>
      </c>
      <c r="D301" s="94" t="str">
        <f>IFERROR(__xludf.DUMMYFUNCTION("""COMPUTED_VALUE""")," 32044150448769_003")</f>
        <v> 32044150448769_003</v>
      </c>
      <c r="E301" s="94" t="str">
        <f>IFERROR(__xludf.DUMMYFUNCTION("""COMPUTED_VALUE""")," 32044150448769_004")</f>
        <v> 32044150448769_004</v>
      </c>
      <c r="F301" s="94" t="str">
        <f>IFERROR(__xludf.DUMMYFUNCTION("""COMPUTED_VALUE""")," 32044150448769_005")</f>
        <v> 32044150448769_005</v>
      </c>
      <c r="G301" s="94" t="str">
        <f>IFERROR(__xludf.DUMMYFUNCTION("""COMPUTED_VALUE""")," 32044150448769_006")</f>
        <v> 32044150448769_006</v>
      </c>
      <c r="H301" s="94" t="str">
        <f>IFERROR(__xludf.DUMMYFUNCTION("""COMPUTED_VALUE""")," 32044150448769_007")</f>
        <v> 32044150448769_007</v>
      </c>
      <c r="I301" s="94" t="str">
        <f>IFERROR(__xludf.DUMMYFUNCTION("""COMPUTED_VALUE""")," 32044150448769_008")</f>
        <v> 32044150448769_008</v>
      </c>
      <c r="J301" s="94" t="str">
        <f>IFERROR(__xludf.DUMMYFUNCTION("""COMPUTED_VALUE""")," 32044150448769_009")</f>
        <v> 32044150448769_009</v>
      </c>
      <c r="K301" s="94" t="str">
        <f>IFERROR(__xludf.DUMMYFUNCTION("""COMPUTED_VALUE""")," 32044150448769_010")</f>
        <v> 32044150448769_010</v>
      </c>
      <c r="L301" s="94"/>
      <c r="M301" s="94"/>
      <c r="N301" s="94"/>
      <c r="O301" s="94"/>
      <c r="P301" s="94"/>
      <c r="Q301" s="94"/>
      <c r="R301" s="94"/>
      <c r="S301" s="94"/>
      <c r="T301" s="94"/>
      <c r="U301" s="94"/>
      <c r="V301" s="94"/>
      <c r="W301" s="94"/>
      <c r="X301" s="94"/>
      <c r="Y301" s="94"/>
      <c r="Z301" s="94"/>
      <c r="AA301" s="94"/>
      <c r="AB301" s="94"/>
      <c r="AC301" s="94"/>
      <c r="AD301" s="94"/>
      <c r="AE301" s="94"/>
      <c r="AF301" s="94"/>
      <c r="AG301" s="94"/>
    </row>
    <row r="302">
      <c r="A302" s="96" t="s">
        <v>2263</v>
      </c>
      <c r="B302" s="95" t="str">
        <f>IFERROR(__xludf.DUMMYFUNCTION("""COMPUTED_VALUE"""),"32044150448769_011")</f>
        <v>32044150448769_011</v>
      </c>
      <c r="C302" s="94" t="str">
        <f>IFERROR(__xludf.DUMMYFUNCTION("""COMPUTED_VALUE""")," 32044150448769_012")</f>
        <v> 32044150448769_012</v>
      </c>
      <c r="D302" s="94" t="str">
        <f>IFERROR(__xludf.DUMMYFUNCTION("""COMPUTED_VALUE""")," 32044150448769_013")</f>
        <v> 32044150448769_013</v>
      </c>
      <c r="E302" s="94" t="str">
        <f>IFERROR(__xludf.DUMMYFUNCTION("""COMPUTED_VALUE""")," 32044150448769_014")</f>
        <v> 32044150448769_014</v>
      </c>
      <c r="F302" s="94" t="str">
        <f>IFERROR(__xludf.DUMMYFUNCTION("""COMPUTED_VALUE""")," 32044150448769_015")</f>
        <v> 32044150448769_015</v>
      </c>
      <c r="G302" s="94" t="str">
        <f>IFERROR(__xludf.DUMMYFUNCTION("""COMPUTED_VALUE""")," 32044150448769_016")</f>
        <v> 32044150448769_016</v>
      </c>
      <c r="H302" s="94" t="str">
        <f>IFERROR(__xludf.DUMMYFUNCTION("""COMPUTED_VALUE""")," 32044150448769_017")</f>
        <v> 32044150448769_017</v>
      </c>
      <c r="I302" s="94" t="str">
        <f>IFERROR(__xludf.DUMMYFUNCTION("""COMPUTED_VALUE""")," 32044150448769_018")</f>
        <v> 32044150448769_018</v>
      </c>
      <c r="J302" s="94" t="str">
        <f>IFERROR(__xludf.DUMMYFUNCTION("""COMPUTED_VALUE""")," 32044150448769_019")</f>
        <v> 32044150448769_019</v>
      </c>
      <c r="K302" s="94" t="str">
        <f>IFERROR(__xludf.DUMMYFUNCTION("""COMPUTED_VALUE""")," 32044150448769_020")</f>
        <v> 32044150448769_020</v>
      </c>
      <c r="L302" s="94" t="str">
        <f>IFERROR(__xludf.DUMMYFUNCTION("""COMPUTED_VALUE""")," 32044150448769_021")</f>
        <v> 32044150448769_021</v>
      </c>
      <c r="M302" s="94" t="str">
        <f>IFERROR(__xludf.DUMMYFUNCTION("""COMPUTED_VALUE""")," 32044150448769_022")</f>
        <v> 32044150448769_022</v>
      </c>
      <c r="N302" s="94" t="str">
        <f>IFERROR(__xludf.DUMMYFUNCTION("""COMPUTED_VALUE""")," 32044150448769_023")</f>
        <v> 32044150448769_023</v>
      </c>
      <c r="O302" s="94" t="str">
        <f>IFERROR(__xludf.DUMMYFUNCTION("""COMPUTED_VALUE""")," 32044150448769_024")</f>
        <v> 32044150448769_024</v>
      </c>
      <c r="P302" s="94" t="str">
        <f>IFERROR(__xludf.DUMMYFUNCTION("""COMPUTED_VALUE""")," 32044150448769_025")</f>
        <v> 32044150448769_025</v>
      </c>
      <c r="Q302" s="94" t="str">
        <f>IFERROR(__xludf.DUMMYFUNCTION("""COMPUTED_VALUE""")," 32044150448769_026")</f>
        <v> 32044150448769_026</v>
      </c>
      <c r="R302" s="94"/>
      <c r="S302" s="94"/>
      <c r="T302" s="94"/>
      <c r="U302" s="94"/>
      <c r="V302" s="94"/>
      <c r="W302" s="94"/>
      <c r="X302" s="94"/>
      <c r="Y302" s="94"/>
      <c r="Z302" s="94"/>
      <c r="AA302" s="94"/>
      <c r="AB302" s="94"/>
      <c r="AC302" s="94"/>
      <c r="AD302" s="94"/>
      <c r="AE302" s="94"/>
      <c r="AF302" s="94"/>
      <c r="AG302" s="94"/>
    </row>
    <row r="303">
      <c r="A303" s="96" t="s">
        <v>2266</v>
      </c>
      <c r="B303" s="95" t="str">
        <f>IFERROR(__xludf.DUMMYFUNCTION("""COMPUTED_VALUE"""),"32044150448769_027")</f>
        <v>32044150448769_027</v>
      </c>
      <c r="C303" s="94" t="str">
        <f>IFERROR(__xludf.DUMMYFUNCTION("""COMPUTED_VALUE""")," 32044150448769_028")</f>
        <v> 32044150448769_028</v>
      </c>
      <c r="D303" s="94" t="str">
        <f>IFERROR(__xludf.DUMMYFUNCTION("""COMPUTED_VALUE""")," 32044150448769_029")</f>
        <v> 32044150448769_029</v>
      </c>
      <c r="E303" s="94" t="str">
        <f>IFERROR(__xludf.DUMMYFUNCTION("""COMPUTED_VALUE""")," 32044150448769_030")</f>
        <v> 32044150448769_030</v>
      </c>
      <c r="F303" s="94" t="str">
        <f>IFERROR(__xludf.DUMMYFUNCTION("""COMPUTED_VALUE""")," 32044150448769_031")</f>
        <v> 32044150448769_031</v>
      </c>
      <c r="G303" s="94" t="str">
        <f>IFERROR(__xludf.DUMMYFUNCTION("""COMPUTED_VALUE""")," 32044150448769_032")</f>
        <v> 32044150448769_032</v>
      </c>
      <c r="H303" s="94" t="str">
        <f>IFERROR(__xludf.DUMMYFUNCTION("""COMPUTED_VALUE""")," 32044150448769_033")</f>
        <v> 32044150448769_033</v>
      </c>
      <c r="I303" s="94" t="str">
        <f>IFERROR(__xludf.DUMMYFUNCTION("""COMPUTED_VALUE""")," 32044150448769_034")</f>
        <v> 32044150448769_034</v>
      </c>
      <c r="J303" s="94" t="str">
        <f>IFERROR(__xludf.DUMMYFUNCTION("""COMPUTED_VALUE""")," 32044150448769_035")</f>
        <v> 32044150448769_035</v>
      </c>
      <c r="K303" s="94" t="str">
        <f>IFERROR(__xludf.DUMMYFUNCTION("""COMPUTED_VALUE""")," 32044150448769_036")</f>
        <v> 32044150448769_036</v>
      </c>
      <c r="L303" s="94" t="str">
        <f>IFERROR(__xludf.DUMMYFUNCTION("""COMPUTED_VALUE""")," 32044150448769_037")</f>
        <v> 32044150448769_037</v>
      </c>
      <c r="M303" s="94" t="str">
        <f>IFERROR(__xludf.DUMMYFUNCTION("""COMPUTED_VALUE""")," 32044150448769_038")</f>
        <v> 32044150448769_038</v>
      </c>
      <c r="N303" s="94" t="str">
        <f>IFERROR(__xludf.DUMMYFUNCTION("""COMPUTED_VALUE""")," 32044150448769_039")</f>
        <v> 32044150448769_039</v>
      </c>
      <c r="O303" s="94" t="str">
        <f>IFERROR(__xludf.DUMMYFUNCTION("""COMPUTED_VALUE""")," 32044150448769_040")</f>
        <v> 32044150448769_040</v>
      </c>
      <c r="P303" s="94"/>
      <c r="Q303" s="94"/>
      <c r="R303" s="94"/>
      <c r="S303" s="94"/>
      <c r="T303" s="94"/>
      <c r="U303" s="94"/>
      <c r="V303" s="94"/>
      <c r="W303" s="94"/>
      <c r="X303" s="94"/>
      <c r="Y303" s="94"/>
      <c r="Z303" s="94"/>
      <c r="AA303" s="94"/>
      <c r="AB303" s="94"/>
      <c r="AC303" s="94"/>
      <c r="AD303" s="94"/>
      <c r="AE303" s="94"/>
      <c r="AF303" s="94"/>
      <c r="AG303" s="94"/>
    </row>
    <row r="304">
      <c r="A304" s="96" t="s">
        <v>2269</v>
      </c>
      <c r="B304" s="95" t="str">
        <f>IFERROR(__xludf.DUMMYFUNCTION("""COMPUTED_VALUE"""),"32044150448769_041")</f>
        <v>32044150448769_041</v>
      </c>
      <c r="C304" s="94" t="str">
        <f>IFERROR(__xludf.DUMMYFUNCTION("""COMPUTED_VALUE""")," 32044150448769_042")</f>
        <v> 32044150448769_042</v>
      </c>
      <c r="D304" s="94" t="str">
        <f>IFERROR(__xludf.DUMMYFUNCTION("""COMPUTED_VALUE""")," 32044150448769_043")</f>
        <v> 32044150448769_043</v>
      </c>
      <c r="E304" s="94" t="str">
        <f>IFERROR(__xludf.DUMMYFUNCTION("""COMPUTED_VALUE""")," 32044150448769_044")</f>
        <v> 32044150448769_044</v>
      </c>
      <c r="F304" s="94" t="str">
        <f>IFERROR(__xludf.DUMMYFUNCTION("""COMPUTED_VALUE""")," 32044150448769_045")</f>
        <v> 32044150448769_045</v>
      </c>
      <c r="G304" s="94" t="str">
        <f>IFERROR(__xludf.DUMMYFUNCTION("""COMPUTED_VALUE""")," 32044150448769_046")</f>
        <v> 32044150448769_046</v>
      </c>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row>
    <row r="305">
      <c r="A305" s="96" t="s">
        <v>2272</v>
      </c>
      <c r="B305" s="95" t="str">
        <f>IFERROR(__xludf.DUMMYFUNCTION("""COMPUTED_VALUE"""),"32044150448769_047")</f>
        <v>32044150448769_047</v>
      </c>
      <c r="C305" s="94" t="str">
        <f>IFERROR(__xludf.DUMMYFUNCTION("""COMPUTED_VALUE""")," 32044150448769_048")</f>
        <v> 32044150448769_048</v>
      </c>
      <c r="D305" s="94" t="str">
        <f>IFERROR(__xludf.DUMMYFUNCTION("""COMPUTED_VALUE""")," 32044150448769_049")</f>
        <v> 32044150448769_049</v>
      </c>
      <c r="E305" s="94" t="str">
        <f>IFERROR(__xludf.DUMMYFUNCTION("""COMPUTED_VALUE""")," 32044150448769_050")</f>
        <v> 32044150448769_050</v>
      </c>
      <c r="F305" s="94" t="str">
        <f>IFERROR(__xludf.DUMMYFUNCTION("""COMPUTED_VALUE""")," 32044150448769_051")</f>
        <v> 32044150448769_051</v>
      </c>
      <c r="G305" s="94" t="str">
        <f>IFERROR(__xludf.DUMMYFUNCTION("""COMPUTED_VALUE""")," 32044150448769_052")</f>
        <v> 32044150448769_052</v>
      </c>
      <c r="H305" s="94" t="str">
        <f>IFERROR(__xludf.DUMMYFUNCTION("""COMPUTED_VALUE""")," 32044150448769_053")</f>
        <v> 32044150448769_053</v>
      </c>
      <c r="I305" s="94" t="str">
        <f>IFERROR(__xludf.DUMMYFUNCTION("""COMPUTED_VALUE""")," 32044150448769_054")</f>
        <v> 32044150448769_054</v>
      </c>
      <c r="J305" s="94"/>
      <c r="K305" s="94"/>
      <c r="L305" s="94"/>
      <c r="M305" s="94"/>
      <c r="N305" s="94"/>
      <c r="O305" s="94"/>
      <c r="P305" s="94"/>
      <c r="Q305" s="94"/>
      <c r="R305" s="94"/>
      <c r="S305" s="94"/>
      <c r="T305" s="94"/>
      <c r="U305" s="94"/>
      <c r="V305" s="94"/>
      <c r="W305" s="94"/>
      <c r="X305" s="94"/>
      <c r="Y305" s="94"/>
      <c r="Z305" s="94"/>
      <c r="AA305" s="94"/>
      <c r="AB305" s="94"/>
      <c r="AC305" s="94"/>
      <c r="AD305" s="94"/>
      <c r="AE305" s="94"/>
      <c r="AF305" s="94"/>
      <c r="AG305" s="94"/>
    </row>
    <row r="306">
      <c r="A306" s="96" t="s">
        <v>2275</v>
      </c>
      <c r="B306" s="95" t="str">
        <f>IFERROR(__xludf.DUMMYFUNCTION("""COMPUTED_VALUE"""),"32044150448777_001")</f>
        <v>32044150448777_001</v>
      </c>
      <c r="C306" s="94" t="str">
        <f>IFERROR(__xludf.DUMMYFUNCTION("""COMPUTED_VALUE""")," 32044150448777_002")</f>
        <v> 32044150448777_002</v>
      </c>
      <c r="D306" s="94" t="str">
        <f>IFERROR(__xludf.DUMMYFUNCTION("""COMPUTED_VALUE""")," 32044150448777_003")</f>
        <v> 32044150448777_003</v>
      </c>
      <c r="E306" s="94" t="str">
        <f>IFERROR(__xludf.DUMMYFUNCTION("""COMPUTED_VALUE""")," 32044150448777_004")</f>
        <v> 32044150448777_004</v>
      </c>
      <c r="F306" s="94" t="str">
        <f>IFERROR(__xludf.DUMMYFUNCTION("""COMPUTED_VALUE""")," 32044150448777_005")</f>
        <v> 32044150448777_005</v>
      </c>
      <c r="G306" s="94" t="str">
        <f>IFERROR(__xludf.DUMMYFUNCTION("""COMPUTED_VALUE""")," 32044150448777_006")</f>
        <v> 32044150448777_006</v>
      </c>
      <c r="H306" s="94" t="str">
        <f>IFERROR(__xludf.DUMMYFUNCTION("""COMPUTED_VALUE""")," 32044150448777_007")</f>
        <v> 32044150448777_007</v>
      </c>
      <c r="I306" s="94" t="str">
        <f>IFERROR(__xludf.DUMMYFUNCTION("""COMPUTED_VALUE""")," 32044150448777_008")</f>
        <v> 32044150448777_008</v>
      </c>
      <c r="J306" s="94" t="str">
        <f>IFERROR(__xludf.DUMMYFUNCTION("""COMPUTED_VALUE""")," 32044150448777_009")</f>
        <v> 32044150448777_009</v>
      </c>
      <c r="K306" s="94" t="str">
        <f>IFERROR(__xludf.DUMMYFUNCTION("""COMPUTED_VALUE""")," 32044150448777_010")</f>
        <v> 32044150448777_010</v>
      </c>
      <c r="L306" s="94"/>
      <c r="M306" s="94"/>
      <c r="N306" s="94"/>
      <c r="O306" s="94"/>
      <c r="P306" s="94"/>
      <c r="Q306" s="94"/>
      <c r="R306" s="94"/>
      <c r="S306" s="94"/>
      <c r="T306" s="94"/>
      <c r="U306" s="94"/>
      <c r="V306" s="94"/>
      <c r="W306" s="94"/>
      <c r="X306" s="94"/>
      <c r="Y306" s="94"/>
      <c r="Z306" s="94"/>
      <c r="AA306" s="94"/>
      <c r="AB306" s="94"/>
      <c r="AC306" s="94"/>
      <c r="AD306" s="94"/>
      <c r="AE306" s="94"/>
      <c r="AF306" s="94"/>
      <c r="AG306" s="94"/>
    </row>
    <row r="307">
      <c r="A307" s="96" t="s">
        <v>2278</v>
      </c>
      <c r="B307" s="95" t="str">
        <f>IFERROR(__xludf.DUMMYFUNCTION("""COMPUTED_VALUE"""),"32044150448777_011")</f>
        <v>32044150448777_011</v>
      </c>
      <c r="C307" s="94" t="str">
        <f>IFERROR(__xludf.DUMMYFUNCTION("""COMPUTED_VALUE""")," 32044150448777_012")</f>
        <v> 32044150448777_012</v>
      </c>
      <c r="D307" s="94" t="str">
        <f>IFERROR(__xludf.DUMMYFUNCTION("""COMPUTED_VALUE""")," 32044150448777_013")</f>
        <v> 32044150448777_013</v>
      </c>
      <c r="E307" s="94" t="str">
        <f>IFERROR(__xludf.DUMMYFUNCTION("""COMPUTED_VALUE""")," 32044150448777_014")</f>
        <v> 32044150448777_014</v>
      </c>
      <c r="F307" s="94" t="str">
        <f>IFERROR(__xludf.DUMMYFUNCTION("""COMPUTED_VALUE""")," 32044150448777_015")</f>
        <v> 32044150448777_015</v>
      </c>
      <c r="G307" s="94" t="str">
        <f>IFERROR(__xludf.DUMMYFUNCTION("""COMPUTED_VALUE""")," 32044150448777_016")</f>
        <v> 32044150448777_016</v>
      </c>
      <c r="H307" s="94"/>
      <c r="I307" s="94"/>
      <c r="J307" s="94"/>
      <c r="K307" s="94"/>
      <c r="L307" s="94"/>
      <c r="M307" s="94"/>
      <c r="N307" s="94"/>
      <c r="O307" s="94"/>
      <c r="P307" s="94"/>
      <c r="Q307" s="94"/>
      <c r="R307" s="94"/>
      <c r="S307" s="94"/>
      <c r="T307" s="94"/>
      <c r="U307" s="94"/>
      <c r="V307" s="94"/>
      <c r="W307" s="94"/>
      <c r="X307" s="94"/>
      <c r="Y307" s="94"/>
      <c r="Z307" s="94"/>
      <c r="AA307" s="94"/>
      <c r="AB307" s="94"/>
      <c r="AC307" s="94"/>
      <c r="AD307" s="94"/>
      <c r="AE307" s="94"/>
      <c r="AF307" s="94"/>
      <c r="AG307" s="94"/>
    </row>
    <row r="308">
      <c r="A308" s="96" t="s">
        <v>2281</v>
      </c>
      <c r="B308" s="95" t="str">
        <f>IFERROR(__xludf.DUMMYFUNCTION("""COMPUTED_VALUE"""),"32044150448777_017")</f>
        <v>32044150448777_017</v>
      </c>
      <c r="C308" s="94" t="str">
        <f>IFERROR(__xludf.DUMMYFUNCTION("""COMPUTED_VALUE""")," 32044150448777_018")</f>
        <v> 32044150448777_018</v>
      </c>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c r="AD308" s="94"/>
      <c r="AE308" s="94"/>
      <c r="AF308" s="94"/>
      <c r="AG308" s="94"/>
    </row>
    <row r="309">
      <c r="A309" s="96" t="s">
        <v>2284</v>
      </c>
      <c r="B309" s="95" t="str">
        <f>IFERROR(__xludf.DUMMYFUNCTION("""COMPUTED_VALUE"""),"32044150448777_019")</f>
        <v>32044150448777_019</v>
      </c>
      <c r="C309" s="94" t="str">
        <f>IFERROR(__xludf.DUMMYFUNCTION("""COMPUTED_VALUE""")," 32044150448777_020")</f>
        <v> 32044150448777_020</v>
      </c>
      <c r="D309" s="94" t="str">
        <f>IFERROR(__xludf.DUMMYFUNCTION("""COMPUTED_VALUE""")," 32044150448777_021")</f>
        <v> 32044150448777_021</v>
      </c>
      <c r="E309" s="94" t="str">
        <f>IFERROR(__xludf.DUMMYFUNCTION("""COMPUTED_VALUE""")," 32044150448777_022")</f>
        <v> 32044150448777_022</v>
      </c>
      <c r="F309" s="94" t="str">
        <f>IFERROR(__xludf.DUMMYFUNCTION("""COMPUTED_VALUE""")," 32044150448777_023")</f>
        <v> 32044150448777_023</v>
      </c>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c r="AE309" s="94"/>
      <c r="AF309" s="94"/>
      <c r="AG309" s="94"/>
    </row>
    <row r="310">
      <c r="A310" s="96" t="s">
        <v>2287</v>
      </c>
      <c r="B310" s="95" t="str">
        <f>IFERROR(__xludf.DUMMYFUNCTION("""COMPUTED_VALUE"""),"32044150448777_024")</f>
        <v>32044150448777_024</v>
      </c>
      <c r="C310" s="94" t="str">
        <f>IFERROR(__xludf.DUMMYFUNCTION("""COMPUTED_VALUE""")," 32044150448777_025")</f>
        <v> 32044150448777_025</v>
      </c>
      <c r="D310" s="94" t="str">
        <f>IFERROR(__xludf.DUMMYFUNCTION("""COMPUTED_VALUE""")," 32044150448777_026")</f>
        <v> 32044150448777_026</v>
      </c>
      <c r="E310" s="94" t="str">
        <f>IFERROR(__xludf.DUMMYFUNCTION("""COMPUTED_VALUE""")," 32044150448777_027")</f>
        <v> 32044150448777_027</v>
      </c>
      <c r="F310" s="94" t="str">
        <f>IFERROR(__xludf.DUMMYFUNCTION("""COMPUTED_VALUE""")," 32044150448777_028")</f>
        <v> 32044150448777_028</v>
      </c>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c r="AD310" s="94"/>
      <c r="AE310" s="94"/>
      <c r="AF310" s="94"/>
      <c r="AG310" s="94"/>
    </row>
    <row r="311">
      <c r="A311" s="96" t="s">
        <v>2290</v>
      </c>
      <c r="B311" s="95" t="str">
        <f>IFERROR(__xludf.DUMMYFUNCTION("""COMPUTED_VALUE"""),"32044150448777_029")</f>
        <v>32044150448777_029</v>
      </c>
      <c r="C311" s="94" t="str">
        <f>IFERROR(__xludf.DUMMYFUNCTION("""COMPUTED_VALUE""")," 32044150448777_030")</f>
        <v> 32044150448777_030</v>
      </c>
      <c r="D311" s="94" t="str">
        <f>IFERROR(__xludf.DUMMYFUNCTION("""COMPUTED_VALUE""")," 32044150448777_031")</f>
        <v> 32044150448777_031</v>
      </c>
      <c r="E311" s="94" t="str">
        <f>IFERROR(__xludf.DUMMYFUNCTION("""COMPUTED_VALUE""")," 32044150448777_032")</f>
        <v> 32044150448777_032</v>
      </c>
      <c r="F311" s="94" t="str">
        <f>IFERROR(__xludf.DUMMYFUNCTION("""COMPUTED_VALUE""")," 32044150448777_033")</f>
        <v> 32044150448777_033</v>
      </c>
      <c r="G311" s="94" t="str">
        <f>IFERROR(__xludf.DUMMYFUNCTION("""COMPUTED_VALUE""")," 32044150448777_034")</f>
        <v> 32044150448777_034</v>
      </c>
      <c r="H311" s="94" t="str">
        <f>IFERROR(__xludf.DUMMYFUNCTION("""COMPUTED_VALUE""")," 32044150448777_035")</f>
        <v> 32044150448777_035</v>
      </c>
      <c r="I311" s="94" t="str">
        <f>IFERROR(__xludf.DUMMYFUNCTION("""COMPUTED_VALUE""")," 32044150448777_036")</f>
        <v> 32044150448777_036</v>
      </c>
      <c r="J311" s="94" t="str">
        <f>IFERROR(__xludf.DUMMYFUNCTION("""COMPUTED_VALUE""")," 32044150448777_037")</f>
        <v> 32044150448777_037</v>
      </c>
      <c r="K311" s="94" t="str">
        <f>IFERROR(__xludf.DUMMYFUNCTION("""COMPUTED_VALUE""")," 32044150448777_038")</f>
        <v> 32044150448777_038</v>
      </c>
      <c r="L311" s="94" t="str">
        <f>IFERROR(__xludf.DUMMYFUNCTION("""COMPUTED_VALUE""")," 32044150448777_039")</f>
        <v> 32044150448777_039</v>
      </c>
      <c r="M311" s="94"/>
      <c r="N311" s="94"/>
      <c r="O311" s="94"/>
      <c r="P311" s="94"/>
      <c r="Q311" s="94"/>
      <c r="R311" s="94"/>
      <c r="S311" s="94"/>
      <c r="T311" s="94"/>
      <c r="U311" s="94"/>
      <c r="V311" s="94"/>
      <c r="W311" s="94"/>
      <c r="X311" s="94"/>
      <c r="Y311" s="94"/>
      <c r="Z311" s="94"/>
      <c r="AA311" s="94"/>
      <c r="AB311" s="94"/>
      <c r="AC311" s="94"/>
      <c r="AD311" s="94"/>
      <c r="AE311" s="94"/>
      <c r="AF311" s="94"/>
      <c r="AG311" s="94"/>
    </row>
    <row r="312">
      <c r="A312" s="96" t="s">
        <v>2293</v>
      </c>
      <c r="B312" s="95" t="str">
        <f>IFERROR(__xludf.DUMMYFUNCTION("""COMPUTED_VALUE"""),"32044150448785_001")</f>
        <v>32044150448785_001</v>
      </c>
      <c r="C312" s="94" t="str">
        <f>IFERROR(__xludf.DUMMYFUNCTION("""COMPUTED_VALUE""")," 32044150448785_002")</f>
        <v> 32044150448785_002</v>
      </c>
      <c r="D312" s="94" t="str">
        <f>IFERROR(__xludf.DUMMYFUNCTION("""COMPUTED_VALUE""")," 32044150448785_003")</f>
        <v> 32044150448785_003</v>
      </c>
      <c r="E312" s="94" t="str">
        <f>IFERROR(__xludf.DUMMYFUNCTION("""COMPUTED_VALUE""")," 32044150448785_004")</f>
        <v> 32044150448785_004</v>
      </c>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c r="AD312" s="94"/>
      <c r="AE312" s="94"/>
      <c r="AF312" s="94"/>
      <c r="AG312" s="94"/>
    </row>
    <row r="313">
      <c r="A313" s="96" t="s">
        <v>2296</v>
      </c>
      <c r="B313" s="95" t="str">
        <f>IFERROR(__xludf.DUMMYFUNCTION("""COMPUTED_VALUE"""),"32044150448785_005")</f>
        <v>32044150448785_005</v>
      </c>
      <c r="C313" s="94" t="str">
        <f>IFERROR(__xludf.DUMMYFUNCTION("""COMPUTED_VALUE""")," 32044150448785_006")</f>
        <v> 32044150448785_006</v>
      </c>
      <c r="D313" s="94" t="str">
        <f>IFERROR(__xludf.DUMMYFUNCTION("""COMPUTED_VALUE""")," 32044150448785_007")</f>
        <v> 32044150448785_007</v>
      </c>
      <c r="E313" s="94" t="str">
        <f>IFERROR(__xludf.DUMMYFUNCTION("""COMPUTED_VALUE""")," 32044150448785_008")</f>
        <v> 32044150448785_008</v>
      </c>
      <c r="F313" s="94" t="str">
        <f>IFERROR(__xludf.DUMMYFUNCTION("""COMPUTED_VALUE""")," 32044150448785_009")</f>
        <v> 32044150448785_009</v>
      </c>
      <c r="G313" s="94" t="str">
        <f>IFERROR(__xludf.DUMMYFUNCTION("""COMPUTED_VALUE""")," 32044150448785_010")</f>
        <v> 32044150448785_010</v>
      </c>
      <c r="H313" s="94" t="str">
        <f>IFERROR(__xludf.DUMMYFUNCTION("""COMPUTED_VALUE""")," 32044150448785_011")</f>
        <v> 32044150448785_011</v>
      </c>
      <c r="I313" s="94" t="str">
        <f>IFERROR(__xludf.DUMMYFUNCTION("""COMPUTED_VALUE""")," 32044150448785_012")</f>
        <v> 32044150448785_012</v>
      </c>
      <c r="J313" s="94" t="str">
        <f>IFERROR(__xludf.DUMMYFUNCTION("""COMPUTED_VALUE""")," 32044150448785_013")</f>
        <v> 32044150448785_013</v>
      </c>
      <c r="K313" s="94" t="str">
        <f>IFERROR(__xludf.DUMMYFUNCTION("""COMPUTED_VALUE""")," 32044150448785_014")</f>
        <v> 32044150448785_014</v>
      </c>
      <c r="L313" s="94" t="str">
        <f>IFERROR(__xludf.DUMMYFUNCTION("""COMPUTED_VALUE""")," 32044150448785_015")</f>
        <v> 32044150448785_015</v>
      </c>
      <c r="M313" s="94" t="str">
        <f>IFERROR(__xludf.DUMMYFUNCTION("""COMPUTED_VALUE""")," 32044150448785_016")</f>
        <v> 32044150448785_016</v>
      </c>
      <c r="N313" s="94"/>
      <c r="O313" s="94"/>
      <c r="P313" s="94"/>
      <c r="Q313" s="94"/>
      <c r="R313" s="94"/>
      <c r="S313" s="94"/>
      <c r="T313" s="94"/>
      <c r="U313" s="94"/>
      <c r="V313" s="94"/>
      <c r="W313" s="94"/>
      <c r="X313" s="94"/>
      <c r="Y313" s="94"/>
      <c r="Z313" s="94"/>
      <c r="AA313" s="94"/>
      <c r="AB313" s="94"/>
      <c r="AC313" s="94"/>
      <c r="AD313" s="94"/>
      <c r="AE313" s="94"/>
      <c r="AF313" s="94"/>
      <c r="AG313" s="94"/>
    </row>
    <row r="314">
      <c r="A314" s="96" t="s">
        <v>2299</v>
      </c>
      <c r="B314" s="95" t="str">
        <f>IFERROR(__xludf.DUMMYFUNCTION("""COMPUTED_VALUE"""),"32044150448785_017")</f>
        <v>32044150448785_017</v>
      </c>
      <c r="C314" s="94" t="str">
        <f>IFERROR(__xludf.DUMMYFUNCTION("""COMPUTED_VALUE""")," 32044150448785_018")</f>
        <v> 32044150448785_018</v>
      </c>
      <c r="D314" s="94" t="str">
        <f>IFERROR(__xludf.DUMMYFUNCTION("""COMPUTED_VALUE""")," 32044150448785_019")</f>
        <v> 32044150448785_019</v>
      </c>
      <c r="E314" s="94" t="str">
        <f>IFERROR(__xludf.DUMMYFUNCTION("""COMPUTED_VALUE""")," 32044150448785_020")</f>
        <v> 32044150448785_020</v>
      </c>
      <c r="F314" s="94" t="str">
        <f>IFERROR(__xludf.DUMMYFUNCTION("""COMPUTED_VALUE""")," 32044150448785_021")</f>
        <v> 32044150448785_021</v>
      </c>
      <c r="G314" s="94" t="str">
        <f>IFERROR(__xludf.DUMMYFUNCTION("""COMPUTED_VALUE""")," 32044150448785_022")</f>
        <v> 32044150448785_022</v>
      </c>
      <c r="H314" s="94" t="str">
        <f>IFERROR(__xludf.DUMMYFUNCTION("""COMPUTED_VALUE""")," 32044150448785_023")</f>
        <v> 32044150448785_023</v>
      </c>
      <c r="I314" s="94" t="str">
        <f>IFERROR(__xludf.DUMMYFUNCTION("""COMPUTED_VALUE""")," 32044150448785_024")</f>
        <v> 32044150448785_024</v>
      </c>
      <c r="J314" s="94" t="str">
        <f>IFERROR(__xludf.DUMMYFUNCTION("""COMPUTED_VALUE""")," 32044150448785_025")</f>
        <v> 32044150448785_025</v>
      </c>
      <c r="K314" s="94"/>
      <c r="L314" s="94"/>
      <c r="M314" s="94"/>
      <c r="N314" s="94"/>
      <c r="O314" s="94"/>
      <c r="P314" s="94"/>
      <c r="Q314" s="94"/>
      <c r="R314" s="94"/>
      <c r="S314" s="94"/>
      <c r="T314" s="94"/>
      <c r="U314" s="94"/>
      <c r="V314" s="94"/>
      <c r="W314" s="94"/>
      <c r="X314" s="94"/>
      <c r="Y314" s="94"/>
      <c r="Z314" s="94"/>
      <c r="AA314" s="94"/>
      <c r="AB314" s="94"/>
      <c r="AC314" s="94"/>
      <c r="AD314" s="94"/>
      <c r="AE314" s="94"/>
      <c r="AF314" s="94"/>
      <c r="AG314" s="94"/>
    </row>
    <row r="315">
      <c r="A315" s="96" t="s">
        <v>2302</v>
      </c>
      <c r="B315" s="95" t="str">
        <f>IFERROR(__xludf.DUMMYFUNCTION("""COMPUTED_VALUE"""),"32044150448785_026")</f>
        <v>32044150448785_026</v>
      </c>
      <c r="C315" s="94" t="str">
        <f>IFERROR(__xludf.DUMMYFUNCTION("""COMPUTED_VALUE""")," 32044150448785_027")</f>
        <v> 32044150448785_027</v>
      </c>
      <c r="D315" s="94" t="str">
        <f>IFERROR(__xludf.DUMMYFUNCTION("""COMPUTED_VALUE""")," 32044150448785_028")</f>
        <v> 32044150448785_028</v>
      </c>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c r="AD315" s="94"/>
      <c r="AE315" s="94"/>
      <c r="AF315" s="94"/>
      <c r="AG315" s="94"/>
    </row>
    <row r="316">
      <c r="A316" s="96" t="s">
        <v>2305</v>
      </c>
      <c r="B316" s="95" t="str">
        <f>IFERROR(__xludf.DUMMYFUNCTION("""COMPUTED_VALUE"""),"32044150448785_029")</f>
        <v>32044150448785_029</v>
      </c>
      <c r="C316" s="94" t="str">
        <f>IFERROR(__xludf.DUMMYFUNCTION("""COMPUTED_VALUE""")," 32044150448785_030")</f>
        <v> 32044150448785_030</v>
      </c>
      <c r="D316" s="94" t="str">
        <f>IFERROR(__xludf.DUMMYFUNCTION("""COMPUTED_VALUE""")," 32044150448785_031")</f>
        <v> 32044150448785_031</v>
      </c>
      <c r="E316" s="94" t="str">
        <f>IFERROR(__xludf.DUMMYFUNCTION("""COMPUTED_VALUE""")," 32044150448785_032")</f>
        <v> 32044150448785_032</v>
      </c>
      <c r="F316" s="94" t="str">
        <f>IFERROR(__xludf.DUMMYFUNCTION("""COMPUTED_VALUE""")," 32044150448785_033")</f>
        <v> 32044150448785_033</v>
      </c>
      <c r="G316" s="94" t="str">
        <f>IFERROR(__xludf.DUMMYFUNCTION("""COMPUTED_VALUE""")," 32044150448785_034")</f>
        <v> 32044150448785_034</v>
      </c>
      <c r="H316" s="94" t="str">
        <f>IFERROR(__xludf.DUMMYFUNCTION("""COMPUTED_VALUE""")," 32044150448785_035")</f>
        <v> 32044150448785_035</v>
      </c>
      <c r="I316" s="94" t="str">
        <f>IFERROR(__xludf.DUMMYFUNCTION("""COMPUTED_VALUE""")," 32044150448785_036")</f>
        <v> 32044150448785_036</v>
      </c>
      <c r="J316" s="94" t="str">
        <f>IFERROR(__xludf.DUMMYFUNCTION("""COMPUTED_VALUE""")," 32044150448785_037")</f>
        <v> 32044150448785_037</v>
      </c>
      <c r="K316" s="94" t="str">
        <f>IFERROR(__xludf.DUMMYFUNCTION("""COMPUTED_VALUE""")," 32044150448785_038")</f>
        <v> 32044150448785_038</v>
      </c>
      <c r="L316" s="94" t="str">
        <f>IFERROR(__xludf.DUMMYFUNCTION("""COMPUTED_VALUE""")," 32044150448785_039")</f>
        <v> 32044150448785_039</v>
      </c>
      <c r="M316" s="94" t="str">
        <f>IFERROR(__xludf.DUMMYFUNCTION("""COMPUTED_VALUE""")," 32044150448785_040")</f>
        <v> 32044150448785_040</v>
      </c>
      <c r="N316" s="94" t="str">
        <f>IFERROR(__xludf.DUMMYFUNCTION("""COMPUTED_VALUE""")," 32044150448785_041")</f>
        <v> 32044150448785_041</v>
      </c>
      <c r="O316" s="94" t="str">
        <f>IFERROR(__xludf.DUMMYFUNCTION("""COMPUTED_VALUE""")," 32044150448785_042")</f>
        <v> 32044150448785_042</v>
      </c>
      <c r="P316" s="94"/>
      <c r="Q316" s="94"/>
      <c r="R316" s="94"/>
      <c r="S316" s="94"/>
      <c r="T316" s="94"/>
      <c r="U316" s="94"/>
      <c r="V316" s="94"/>
      <c r="W316" s="94"/>
      <c r="X316" s="94"/>
      <c r="Y316" s="94"/>
      <c r="Z316" s="94"/>
      <c r="AA316" s="94"/>
      <c r="AB316" s="94"/>
      <c r="AC316" s="94"/>
      <c r="AD316" s="94"/>
      <c r="AE316" s="94"/>
      <c r="AF316" s="94"/>
      <c r="AG316" s="94"/>
    </row>
    <row r="317">
      <c r="A317" s="96" t="s">
        <v>2316</v>
      </c>
      <c r="B317" s="95" t="str">
        <f>IFERROR(__xludf.DUMMYFUNCTION("""COMPUTED_VALUE"""),"32044150448793_001")</f>
        <v>32044150448793_001</v>
      </c>
      <c r="C317" s="94" t="str">
        <f>IFERROR(__xludf.DUMMYFUNCTION("""COMPUTED_VALUE""")," 32044150448793_002")</f>
        <v> 32044150448793_002</v>
      </c>
      <c r="D317" s="94" t="str">
        <f>IFERROR(__xludf.DUMMYFUNCTION("""COMPUTED_VALUE""")," 32044150448793_003")</f>
        <v> 32044150448793_003</v>
      </c>
      <c r="E317" s="94" t="str">
        <f>IFERROR(__xludf.DUMMYFUNCTION("""COMPUTED_VALUE""")," 32044150448793_004")</f>
        <v> 32044150448793_004</v>
      </c>
      <c r="F317" s="94" t="str">
        <f>IFERROR(__xludf.DUMMYFUNCTION("""COMPUTED_VALUE""")," 32044150448793_005")</f>
        <v> 32044150448793_005</v>
      </c>
      <c r="G317" s="94" t="str">
        <f>IFERROR(__xludf.DUMMYFUNCTION("""COMPUTED_VALUE""")," 32044150448793_006")</f>
        <v> 32044150448793_006</v>
      </c>
      <c r="H317" s="94"/>
      <c r="I317" s="94"/>
      <c r="J317" s="94"/>
      <c r="K317" s="94"/>
      <c r="L317" s="94"/>
      <c r="M317" s="94"/>
      <c r="N317" s="94"/>
      <c r="O317" s="94"/>
      <c r="P317" s="94"/>
      <c r="Q317" s="94"/>
      <c r="R317" s="94"/>
      <c r="S317" s="94"/>
      <c r="T317" s="94"/>
      <c r="U317" s="94"/>
      <c r="V317" s="94"/>
      <c r="W317" s="94"/>
      <c r="X317" s="94"/>
      <c r="Y317" s="94"/>
      <c r="Z317" s="94"/>
      <c r="AA317" s="94"/>
      <c r="AB317" s="94"/>
      <c r="AC317" s="94"/>
      <c r="AD317" s="94"/>
      <c r="AE317" s="94"/>
      <c r="AF317" s="94"/>
      <c r="AG317" s="94"/>
    </row>
    <row r="318">
      <c r="A318" s="96" t="s">
        <v>2324</v>
      </c>
      <c r="B318" s="95" t="str">
        <f>IFERROR(__xludf.DUMMYFUNCTION("""COMPUTED_VALUE"""),"32044150448793_007")</f>
        <v>32044150448793_007</v>
      </c>
      <c r="C318" s="94" t="str">
        <f>IFERROR(__xludf.DUMMYFUNCTION("""COMPUTED_VALUE""")," 32044150448793_008")</f>
        <v> 32044150448793_008</v>
      </c>
      <c r="D318" s="94" t="str">
        <f>IFERROR(__xludf.DUMMYFUNCTION("""COMPUTED_VALUE""")," 32044150448793_009")</f>
        <v> 32044150448793_009</v>
      </c>
      <c r="E318" s="94" t="str">
        <f>IFERROR(__xludf.DUMMYFUNCTION("""COMPUTED_VALUE""")," 32044150448793_010")</f>
        <v> 32044150448793_010</v>
      </c>
      <c r="F318" s="94" t="str">
        <f>IFERROR(__xludf.DUMMYFUNCTION("""COMPUTED_VALUE""")," 32044150448793_011")</f>
        <v> 32044150448793_011</v>
      </c>
      <c r="G318" s="94" t="str">
        <f>IFERROR(__xludf.DUMMYFUNCTION("""COMPUTED_VALUE""")," 32044150448793_012")</f>
        <v> 32044150448793_012</v>
      </c>
      <c r="H318" s="94" t="str">
        <f>IFERROR(__xludf.DUMMYFUNCTION("""COMPUTED_VALUE""")," 32044150448793_013")</f>
        <v> 32044150448793_013</v>
      </c>
      <c r="I318" s="94" t="str">
        <f>IFERROR(__xludf.DUMMYFUNCTION("""COMPUTED_VALUE""")," 32044150448793_014")</f>
        <v> 32044150448793_014</v>
      </c>
      <c r="J318" s="94" t="str">
        <f>IFERROR(__xludf.DUMMYFUNCTION("""COMPUTED_VALUE""")," 32044150448793_015")</f>
        <v> 32044150448793_015</v>
      </c>
      <c r="K318" s="94" t="str">
        <f>IFERROR(__xludf.DUMMYFUNCTION("""COMPUTED_VALUE""")," 32044150448793_016")</f>
        <v> 32044150448793_016</v>
      </c>
      <c r="L318" s="94" t="str">
        <f>IFERROR(__xludf.DUMMYFUNCTION("""COMPUTED_VALUE""")," 32044150448793_017")</f>
        <v> 32044150448793_017</v>
      </c>
      <c r="M318" s="94" t="str">
        <f>IFERROR(__xludf.DUMMYFUNCTION("""COMPUTED_VALUE""")," 32044150448793_018")</f>
        <v> 32044150448793_018</v>
      </c>
      <c r="N318" s="94" t="str">
        <f>IFERROR(__xludf.DUMMYFUNCTION("""COMPUTED_VALUE""")," 32044150448793_019")</f>
        <v> 32044150448793_019</v>
      </c>
      <c r="O318" s="94" t="str">
        <f>IFERROR(__xludf.DUMMYFUNCTION("""COMPUTED_VALUE""")," 32044150448793_020")</f>
        <v> 32044150448793_020</v>
      </c>
      <c r="P318" s="94" t="str">
        <f>IFERROR(__xludf.DUMMYFUNCTION("""COMPUTED_VALUE""")," 32044150448793_021")</f>
        <v> 32044150448793_021</v>
      </c>
      <c r="Q318" s="94"/>
      <c r="R318" s="94"/>
      <c r="S318" s="94"/>
      <c r="T318" s="94"/>
      <c r="U318" s="94"/>
      <c r="V318" s="94"/>
      <c r="W318" s="94"/>
      <c r="X318" s="94"/>
      <c r="Y318" s="94"/>
      <c r="Z318" s="94"/>
      <c r="AA318" s="94"/>
      <c r="AB318" s="94"/>
      <c r="AC318" s="94"/>
      <c r="AD318" s="94"/>
      <c r="AE318" s="94"/>
      <c r="AF318" s="94"/>
      <c r="AG318" s="94"/>
    </row>
    <row r="319">
      <c r="A319" s="96" t="s">
        <v>2334</v>
      </c>
      <c r="B319" s="95" t="str">
        <f>IFERROR(__xludf.DUMMYFUNCTION("""COMPUTED_VALUE"""),"32044150448793_022")</f>
        <v>32044150448793_022</v>
      </c>
      <c r="C319" s="94" t="str">
        <f>IFERROR(__xludf.DUMMYFUNCTION("""COMPUTED_VALUE""")," 32044150448793_023")</f>
        <v> 32044150448793_023</v>
      </c>
      <c r="D319" s="94" t="str">
        <f>IFERROR(__xludf.DUMMYFUNCTION("""COMPUTED_VALUE""")," 32044150448793_024")</f>
        <v> 32044150448793_024</v>
      </c>
      <c r="E319" s="94" t="str">
        <f>IFERROR(__xludf.DUMMYFUNCTION("""COMPUTED_VALUE""")," 
32044150448793_025")</f>
        <v> 
32044150448793_025</v>
      </c>
      <c r="F319" s="94" t="str">
        <f>IFERROR(__xludf.DUMMYFUNCTION("""COMPUTED_VALUE""")," 32044150448793_026")</f>
        <v> 32044150448793_026</v>
      </c>
      <c r="G319" s="94" t="str">
        <f>IFERROR(__xludf.DUMMYFUNCTION("""COMPUTED_VALUE""")," 32044150448793_027")</f>
        <v> 32044150448793_027</v>
      </c>
      <c r="H319" s="94" t="str">
        <f>IFERROR(__xludf.DUMMYFUNCTION("""COMPUTED_VALUE""")," 
32044150448793_028")</f>
        <v> 
32044150448793_028</v>
      </c>
      <c r="I319" s="94" t="str">
        <f>IFERROR(__xludf.DUMMYFUNCTION("""COMPUTED_VALUE""")," 32044150448793_029")</f>
        <v> 32044150448793_029</v>
      </c>
      <c r="J319" s="94" t="str">
        <f>IFERROR(__xludf.DUMMYFUNCTION("""COMPUTED_VALUE""")," 32044150448793_030")</f>
        <v> 32044150448793_030</v>
      </c>
      <c r="K319" s="94" t="str">
        <f>IFERROR(__xludf.DUMMYFUNCTION("""COMPUTED_VALUE""")," 
32044150448793_031")</f>
        <v> 
32044150448793_031</v>
      </c>
      <c r="L319" s="94" t="str">
        <f>IFERROR(__xludf.DUMMYFUNCTION("""COMPUTED_VALUE""")," 32044150448793_032")</f>
        <v> 32044150448793_032</v>
      </c>
      <c r="M319" s="94" t="str">
        <f>IFERROR(__xludf.DUMMYFUNCTION("""COMPUTED_VALUE""")," 32044150448793_033")</f>
        <v> 32044150448793_033</v>
      </c>
      <c r="N319" s="94"/>
      <c r="O319" s="94"/>
      <c r="P319" s="94"/>
      <c r="Q319" s="94"/>
      <c r="R319" s="94"/>
      <c r="S319" s="94"/>
      <c r="T319" s="94"/>
      <c r="U319" s="94"/>
      <c r="V319" s="94"/>
      <c r="W319" s="94"/>
      <c r="X319" s="94"/>
      <c r="Y319" s="94"/>
      <c r="Z319" s="94"/>
      <c r="AA319" s="94"/>
      <c r="AB319" s="94"/>
      <c r="AC319" s="94"/>
      <c r="AD319" s="94"/>
      <c r="AE319" s="94"/>
      <c r="AF319" s="94"/>
      <c r="AG319" s="94"/>
    </row>
    <row r="320">
      <c r="A320" s="96" t="s">
        <v>2343</v>
      </c>
      <c r="B320" s="95" t="str">
        <f>IFERROR(__xludf.DUMMYFUNCTION("""COMPUTED_VALUE"""),"32044150448793_034")</f>
        <v>32044150448793_034</v>
      </c>
      <c r="C320" s="94" t="str">
        <f>IFERROR(__xludf.DUMMYFUNCTION("""COMPUTED_VALUE""")," 32044150448793_035")</f>
        <v> 32044150448793_035</v>
      </c>
      <c r="D320" s="94" t="str">
        <f>IFERROR(__xludf.DUMMYFUNCTION("""COMPUTED_VALUE""")," 32044150448793_036")</f>
        <v> 32044150448793_036</v>
      </c>
      <c r="E320" s="94" t="str">
        <f>IFERROR(__xludf.DUMMYFUNCTION("""COMPUTED_VALUE""")," 
32044150448793_037")</f>
        <v> 
32044150448793_037</v>
      </c>
      <c r="F320" s="94" t="str">
        <f>IFERROR(__xludf.DUMMYFUNCTION("""COMPUTED_VALUE""")," 32044150448793_038")</f>
        <v> 32044150448793_038</v>
      </c>
      <c r="G320" s="94" t="str">
        <f>IFERROR(__xludf.DUMMYFUNCTION("""COMPUTED_VALUE""")," 32044150448793_039")</f>
        <v> 32044150448793_039</v>
      </c>
      <c r="H320" s="94" t="str">
        <f>IFERROR(__xludf.DUMMYFUNCTION("""COMPUTED_VALUE""")," 
32044150448793_040")</f>
        <v> 
32044150448793_040</v>
      </c>
      <c r="I320" s="94" t="str">
        <f>IFERROR(__xludf.DUMMYFUNCTION("""COMPUTED_VALUE""")," 32044150448793_041")</f>
        <v> 32044150448793_041</v>
      </c>
      <c r="J320" s="94" t="str">
        <f>IFERROR(__xludf.DUMMYFUNCTION("""COMPUTED_VALUE""")," 32044150448793_042")</f>
        <v> 32044150448793_042</v>
      </c>
      <c r="K320" s="94" t="str">
        <f>IFERROR(__xludf.DUMMYFUNCTION("""COMPUTED_VALUE""")," 
32044150448793_043")</f>
        <v> 
32044150448793_043</v>
      </c>
      <c r="L320" s="94" t="str">
        <f>IFERROR(__xludf.DUMMYFUNCTION("""COMPUTED_VALUE""")," 32044150448793_044")</f>
        <v> 32044150448793_044</v>
      </c>
      <c r="M320" s="94" t="str">
        <f>IFERROR(__xludf.DUMMYFUNCTION("""COMPUTED_VALUE""")," 32044150448793_045")</f>
        <v> 32044150448793_045</v>
      </c>
      <c r="N320" s="94"/>
      <c r="O320" s="94"/>
      <c r="P320" s="94"/>
      <c r="Q320" s="94"/>
      <c r="R320" s="94"/>
      <c r="S320" s="94"/>
      <c r="T320" s="94"/>
      <c r="U320" s="94"/>
      <c r="V320" s="94"/>
      <c r="W320" s="94"/>
      <c r="X320" s="94"/>
      <c r="Y320" s="94"/>
      <c r="Z320" s="94"/>
      <c r="AA320" s="94"/>
      <c r="AB320" s="94"/>
      <c r="AC320" s="94"/>
      <c r="AD320" s="94"/>
      <c r="AE320" s="94"/>
      <c r="AF320" s="94"/>
      <c r="AG320" s="94"/>
    </row>
    <row r="321">
      <c r="A321" s="96" t="s">
        <v>2354</v>
      </c>
      <c r="B321" s="95" t="str">
        <f>IFERROR(__xludf.DUMMYFUNCTION("""COMPUTED_VALUE"""),"32044150448801_048")</f>
        <v>32044150448801_048</v>
      </c>
      <c r="C321" s="94" t="str">
        <f>IFERROR(__xludf.DUMMYFUNCTION("""COMPUTED_VALUE""")," 32044150448801_049")</f>
        <v> 32044150448801_049</v>
      </c>
      <c r="D321" s="94" t="str">
        <f>IFERROR(__xludf.DUMMYFUNCTION("""COMPUTED_VALUE""")," 32044150448801_050")</f>
        <v> 32044150448801_050</v>
      </c>
      <c r="E321" s="94" t="str">
        <f>IFERROR(__xludf.DUMMYFUNCTION("""COMPUTED_VALUE""")," 32044150448801_051")</f>
        <v> 32044150448801_051</v>
      </c>
      <c r="F321" s="94" t="str">
        <f>IFERROR(__xludf.DUMMYFUNCTION("""COMPUTED_VALUE""")," 32044150448801_052")</f>
        <v> 32044150448801_052</v>
      </c>
      <c r="G321" s="94" t="str">
        <f>IFERROR(__xludf.DUMMYFUNCTION("""COMPUTED_VALUE""")," 32044150448801_053")</f>
        <v> 32044150448801_053</v>
      </c>
      <c r="H321" s="94" t="str">
        <f>IFERROR(__xludf.DUMMYFUNCTION("""COMPUTED_VALUE""")," 32044150448801_054")</f>
        <v> 32044150448801_054</v>
      </c>
      <c r="I321" s="94" t="str">
        <f>IFERROR(__xludf.DUMMYFUNCTION("""COMPUTED_VALUE""")," 32044150448801_055")</f>
        <v> 32044150448801_055</v>
      </c>
      <c r="J321" s="94" t="str">
        <f>IFERROR(__xludf.DUMMYFUNCTION("""COMPUTED_VALUE""")," 32044150448801_056")</f>
        <v> 32044150448801_056</v>
      </c>
      <c r="K321" s="94" t="str">
        <f>IFERROR(__xludf.DUMMYFUNCTION("""COMPUTED_VALUE""")," 32044150448801_057")</f>
        <v> 32044150448801_057</v>
      </c>
      <c r="L321" s="94" t="str">
        <f>IFERROR(__xludf.DUMMYFUNCTION("""COMPUTED_VALUE""")," 32044150448801_058")</f>
        <v> 32044150448801_058</v>
      </c>
      <c r="M321" s="94" t="str">
        <f>IFERROR(__xludf.DUMMYFUNCTION("""COMPUTED_VALUE""")," 32044150448801_059")</f>
        <v> 32044150448801_059</v>
      </c>
      <c r="N321" s="94" t="str">
        <f>IFERROR(__xludf.DUMMYFUNCTION("""COMPUTED_VALUE""")," 32044150448801_060")</f>
        <v> 32044150448801_060</v>
      </c>
      <c r="O321" s="94" t="str">
        <f>IFERROR(__xludf.DUMMYFUNCTION("""COMPUTED_VALUE""")," 32044150448801_061")</f>
        <v> 32044150448801_061</v>
      </c>
      <c r="P321" s="94"/>
      <c r="Q321" s="94"/>
      <c r="R321" s="94"/>
      <c r="S321" s="94"/>
      <c r="T321" s="94"/>
      <c r="U321" s="94"/>
      <c r="V321" s="94"/>
      <c r="W321" s="94"/>
      <c r="X321" s="94"/>
      <c r="Y321" s="94"/>
      <c r="Z321" s="94"/>
      <c r="AA321" s="94"/>
      <c r="AB321" s="94"/>
      <c r="AC321" s="94"/>
      <c r="AD321" s="94"/>
      <c r="AE321" s="94"/>
      <c r="AF321" s="94"/>
      <c r="AG321" s="94"/>
    </row>
    <row r="322">
      <c r="A322" s="96" t="s">
        <v>2363</v>
      </c>
      <c r="B322" s="95" t="str">
        <f>IFERROR(__xludf.DUMMYFUNCTION("""COMPUTED_VALUE"""),"32044150448801_010")</f>
        <v>32044150448801_010</v>
      </c>
      <c r="C322" s="94" t="str">
        <f>IFERROR(__xludf.DUMMYFUNCTION("""COMPUTED_VALUE""")," 32044150448801_011")</f>
        <v> 32044150448801_011</v>
      </c>
      <c r="D322" s="94" t="str">
        <f>IFERROR(__xludf.DUMMYFUNCTION("""COMPUTED_VALUE""")," 32044150448801_012")</f>
        <v> 32044150448801_012</v>
      </c>
      <c r="E322" s="94" t="str">
        <f>IFERROR(__xludf.DUMMYFUNCTION("""COMPUTED_VALUE""")," 32044150448801_013")</f>
        <v> 32044150448801_013</v>
      </c>
      <c r="F322" s="94" t="str">
        <f>IFERROR(__xludf.DUMMYFUNCTION("""COMPUTED_VALUE""")," 32044150448801_014")</f>
        <v> 32044150448801_014</v>
      </c>
      <c r="G322" s="94" t="str">
        <f>IFERROR(__xludf.DUMMYFUNCTION("""COMPUTED_VALUE""")," 32044150448801_015")</f>
        <v> 32044150448801_015</v>
      </c>
      <c r="H322" s="94" t="str">
        <f>IFERROR(__xludf.DUMMYFUNCTION("""COMPUTED_VALUE""")," 32044150448801_016")</f>
        <v> 32044150448801_016</v>
      </c>
      <c r="I322" s="94" t="str">
        <f>IFERROR(__xludf.DUMMYFUNCTION("""COMPUTED_VALUE""")," 32044150448801_017")</f>
        <v> 32044150448801_017</v>
      </c>
      <c r="J322" s="94"/>
      <c r="K322" s="94"/>
      <c r="L322" s="94"/>
      <c r="M322" s="94"/>
      <c r="N322" s="94"/>
      <c r="O322" s="94"/>
      <c r="P322" s="94"/>
      <c r="Q322" s="94"/>
      <c r="R322" s="94"/>
      <c r="S322" s="94"/>
      <c r="T322" s="94"/>
      <c r="U322" s="94"/>
      <c r="V322" s="94"/>
      <c r="W322" s="94"/>
      <c r="X322" s="94"/>
      <c r="Y322" s="94"/>
      <c r="Z322" s="94"/>
      <c r="AA322" s="94"/>
      <c r="AB322" s="94"/>
      <c r="AC322" s="94"/>
      <c r="AD322" s="94"/>
      <c r="AE322" s="94"/>
      <c r="AF322" s="94"/>
      <c r="AG322" s="94"/>
    </row>
    <row r="323">
      <c r="A323" s="96" t="s">
        <v>2367</v>
      </c>
      <c r="B323" s="95" t="str">
        <f>IFERROR(__xludf.DUMMYFUNCTION("""COMPUTED_VALUE"""),"32044150448801_062")</f>
        <v>32044150448801_062</v>
      </c>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c r="AD323" s="94"/>
      <c r="AE323" s="94"/>
      <c r="AF323" s="94"/>
      <c r="AG323" s="94"/>
    </row>
    <row r="324">
      <c r="A324" s="96" t="s">
        <v>2378</v>
      </c>
      <c r="B324" s="95" t="str">
        <f>IFERROR(__xludf.DUMMYFUNCTION("""COMPUTED_VALUE"""),"32044150448801_018")</f>
        <v>32044150448801_018</v>
      </c>
      <c r="C324" s="94" t="str">
        <f>IFERROR(__xludf.DUMMYFUNCTION("""COMPUTED_VALUE""")," 32044150448801_019")</f>
        <v> 32044150448801_019</v>
      </c>
      <c r="D324" s="94" t="str">
        <f>IFERROR(__xludf.DUMMYFUNCTION("""COMPUTED_VALUE""")," 32044150448801_020")</f>
        <v> 32044150448801_020</v>
      </c>
      <c r="E324" s="94" t="str">
        <f>IFERROR(__xludf.DUMMYFUNCTION("""COMPUTED_VALUE""")," 32044150448801_021")</f>
        <v> 32044150448801_021</v>
      </c>
      <c r="F324" s="94" t="str">
        <f>IFERROR(__xludf.DUMMYFUNCTION("""COMPUTED_VALUE""")," 32044150448801_022")</f>
        <v> 32044150448801_022</v>
      </c>
      <c r="G324" s="94" t="str">
        <f>IFERROR(__xludf.DUMMYFUNCTION("""COMPUTED_VALUE""")," 32044150448801_023")</f>
        <v> 32044150448801_023</v>
      </c>
      <c r="H324" s="94" t="str">
        <f>IFERROR(__xludf.DUMMYFUNCTION("""COMPUTED_VALUE""")," 32044150448801_024")</f>
        <v> 32044150448801_024</v>
      </c>
      <c r="I324" s="94" t="str">
        <f>IFERROR(__xludf.DUMMYFUNCTION("""COMPUTED_VALUE""")," 32044150448801_025")</f>
        <v> 32044150448801_025</v>
      </c>
      <c r="J324" s="94" t="str">
        <f>IFERROR(__xludf.DUMMYFUNCTION("""COMPUTED_VALUE""")," 32044150448801_026")</f>
        <v> 32044150448801_026</v>
      </c>
      <c r="K324" s="94" t="str">
        <f>IFERROR(__xludf.DUMMYFUNCTION("""COMPUTED_VALUE""")," 32044150448801_027")</f>
        <v> 32044150448801_027</v>
      </c>
      <c r="L324" s="94" t="str">
        <f>IFERROR(__xludf.DUMMYFUNCTION("""COMPUTED_VALUE""")," 32044150448801_028")</f>
        <v> 32044150448801_028</v>
      </c>
      <c r="M324" s="94" t="str">
        <f>IFERROR(__xludf.DUMMYFUNCTION("""COMPUTED_VALUE""")," 32044150448801_029")</f>
        <v> 32044150448801_029</v>
      </c>
      <c r="N324" s="94" t="str">
        <f>IFERROR(__xludf.DUMMYFUNCTION("""COMPUTED_VALUE""")," 32044150448801_030")</f>
        <v> 32044150448801_030</v>
      </c>
      <c r="O324" s="94" t="str">
        <f>IFERROR(__xludf.DUMMYFUNCTION("""COMPUTED_VALUE""")," 32044150448801_031")</f>
        <v> 32044150448801_031</v>
      </c>
      <c r="P324" s="94" t="str">
        <f>IFERROR(__xludf.DUMMYFUNCTION("""COMPUTED_VALUE""")," 32044150448801_032")</f>
        <v> 32044150448801_032</v>
      </c>
      <c r="Q324" s="94" t="str">
        <f>IFERROR(__xludf.DUMMYFUNCTION("""COMPUTED_VALUE""")," 32044150448801_033")</f>
        <v> 32044150448801_033</v>
      </c>
      <c r="R324" s="94" t="str">
        <f>IFERROR(__xludf.DUMMYFUNCTION("""COMPUTED_VALUE""")," 32044150448801_034")</f>
        <v> 32044150448801_034</v>
      </c>
      <c r="S324" s="94" t="str">
        <f>IFERROR(__xludf.DUMMYFUNCTION("""COMPUTED_VALUE""")," 32044150448801_035")</f>
        <v> 32044150448801_035</v>
      </c>
      <c r="T324" s="94" t="str">
        <f>IFERROR(__xludf.DUMMYFUNCTION("""COMPUTED_VALUE""")," 32044150448801_036")</f>
        <v> 32044150448801_036</v>
      </c>
      <c r="U324" s="94" t="str">
        <f>IFERROR(__xludf.DUMMYFUNCTION("""COMPUTED_VALUE""")," 32044150448801_037")</f>
        <v> 32044150448801_037</v>
      </c>
      <c r="V324" s="94" t="str">
        <f>IFERROR(__xludf.DUMMYFUNCTION("""COMPUTED_VALUE""")," 32044150448801_038")</f>
        <v> 32044150448801_038</v>
      </c>
      <c r="W324" s="94" t="str">
        <f>IFERROR(__xludf.DUMMYFUNCTION("""COMPUTED_VALUE""")," 32044150448801_039")</f>
        <v> 32044150448801_039</v>
      </c>
      <c r="X324" s="94" t="str">
        <f>IFERROR(__xludf.DUMMYFUNCTION("""COMPUTED_VALUE""")," 32044150448801_040")</f>
        <v> 32044150448801_040</v>
      </c>
      <c r="Y324" s="94" t="str">
        <f>IFERROR(__xludf.DUMMYFUNCTION("""COMPUTED_VALUE""")," 32044150448801_041")</f>
        <v> 32044150448801_041</v>
      </c>
      <c r="Z324" s="94" t="str">
        <f>IFERROR(__xludf.DUMMYFUNCTION("""COMPUTED_VALUE""")," 32044150448801_042")</f>
        <v> 32044150448801_042</v>
      </c>
      <c r="AA324" s="94" t="str">
        <f>IFERROR(__xludf.DUMMYFUNCTION("""COMPUTED_VALUE""")," 32044150448801_043")</f>
        <v> 32044150448801_043</v>
      </c>
      <c r="AB324" s="94" t="str">
        <f>IFERROR(__xludf.DUMMYFUNCTION("""COMPUTED_VALUE""")," 32044150448801_044")</f>
        <v> 32044150448801_044</v>
      </c>
      <c r="AC324" s="94" t="str">
        <f>IFERROR(__xludf.DUMMYFUNCTION("""COMPUTED_VALUE""")," 32044150448801_045")</f>
        <v> 32044150448801_045</v>
      </c>
      <c r="AD324" s="94" t="str">
        <f>IFERROR(__xludf.DUMMYFUNCTION("""COMPUTED_VALUE""")," 32044150448801_046")</f>
        <v> 32044150448801_046</v>
      </c>
      <c r="AE324" s="94" t="str">
        <f>IFERROR(__xludf.DUMMYFUNCTION("""COMPUTED_VALUE""")," 32044150448801_047")</f>
        <v> 32044150448801_047</v>
      </c>
      <c r="AF324" s="94"/>
      <c r="AG324" s="94"/>
    </row>
    <row r="325">
      <c r="A325" s="96" t="s">
        <v>2385</v>
      </c>
      <c r="B325" s="95" t="str">
        <f>IFERROR(__xludf.DUMMYFUNCTION("""COMPUTED_VALUE"""),"32044150448801_001")</f>
        <v>32044150448801_001</v>
      </c>
      <c r="C325" s="94" t="str">
        <f>IFERROR(__xludf.DUMMYFUNCTION("""COMPUTED_VALUE""")," 32044150448801_002")</f>
        <v> 32044150448801_002</v>
      </c>
      <c r="D325" s="94" t="str">
        <f>IFERROR(__xludf.DUMMYFUNCTION("""COMPUTED_VALUE""")," 32044150448801_003")</f>
        <v> 32044150448801_003</v>
      </c>
      <c r="E325" s="94" t="str">
        <f>IFERROR(__xludf.DUMMYFUNCTION("""COMPUTED_VALUE""")," 32044150448801_004")</f>
        <v> 32044150448801_004</v>
      </c>
      <c r="F325" s="94" t="str">
        <f>IFERROR(__xludf.DUMMYFUNCTION("""COMPUTED_VALUE""")," 32044150448801_005")</f>
        <v> 32044150448801_005</v>
      </c>
      <c r="G325" s="94" t="str">
        <f>IFERROR(__xludf.DUMMYFUNCTION("""COMPUTED_VALUE""")," 32044150448801_006")</f>
        <v> 32044150448801_006</v>
      </c>
      <c r="H325" s="94" t="str">
        <f>IFERROR(__xludf.DUMMYFUNCTION("""COMPUTED_VALUE""")," 32044150448801_007")</f>
        <v> 32044150448801_007</v>
      </c>
      <c r="I325" s="94" t="str">
        <f>IFERROR(__xludf.DUMMYFUNCTION("""COMPUTED_VALUE""")," 32044150448801_008")</f>
        <v> 32044150448801_008</v>
      </c>
      <c r="J325" s="94" t="str">
        <f>IFERROR(__xludf.DUMMYFUNCTION("""COMPUTED_VALUE""")," 32044150448801_009")</f>
        <v> 32044150448801_009</v>
      </c>
      <c r="K325" s="94"/>
      <c r="L325" s="94"/>
      <c r="M325" s="94"/>
      <c r="N325" s="94"/>
      <c r="O325" s="94"/>
      <c r="P325" s="94"/>
      <c r="Q325" s="94"/>
      <c r="R325" s="94"/>
      <c r="S325" s="94"/>
      <c r="T325" s="94"/>
      <c r="U325" s="94"/>
      <c r="V325" s="94"/>
      <c r="W325" s="94"/>
      <c r="X325" s="94"/>
      <c r="Y325" s="94"/>
      <c r="Z325" s="94"/>
      <c r="AA325" s="94"/>
      <c r="AB325" s="94"/>
      <c r="AC325" s="94"/>
      <c r="AD325" s="94"/>
      <c r="AE325" s="94"/>
      <c r="AF325" s="94"/>
      <c r="AG325" s="94"/>
    </row>
    <row r="326">
      <c r="A326" s="96" t="s">
        <v>2393</v>
      </c>
      <c r="B326" s="95" t="str">
        <f>IFERROR(__xludf.DUMMYFUNCTION("""COMPUTED_VALUE"""),"32044150448827_003")</f>
        <v>32044150448827_003</v>
      </c>
      <c r="C326" s="94" t="str">
        <f>IFERROR(__xludf.DUMMYFUNCTION("""COMPUTED_VALUE""")," 32044150448827_004")</f>
        <v> 32044150448827_004</v>
      </c>
      <c r="D326" s="94" t="str">
        <f>IFERROR(__xludf.DUMMYFUNCTION("""COMPUTED_VALUE""")," 32044150448827_005")</f>
        <v> 32044150448827_005</v>
      </c>
      <c r="E326" s="94" t="str">
        <f>IFERROR(__xludf.DUMMYFUNCTION("""COMPUTED_VALUE""")," 32044150448827_006")</f>
        <v> 32044150448827_006</v>
      </c>
      <c r="F326" s="94" t="str">
        <f>IFERROR(__xludf.DUMMYFUNCTION("""COMPUTED_VALUE""")," 32044150448827_007")</f>
        <v> 32044150448827_007</v>
      </c>
      <c r="G326" s="94" t="str">
        <f>IFERROR(__xludf.DUMMYFUNCTION("""COMPUTED_VALUE""")," 32044150448827_008")</f>
        <v> 32044150448827_008</v>
      </c>
      <c r="H326" s="94" t="str">
        <f>IFERROR(__xludf.DUMMYFUNCTION("""COMPUTED_VALUE""")," 32044150448827_009")</f>
        <v> 32044150448827_009</v>
      </c>
      <c r="I326" s="94" t="str">
        <f>IFERROR(__xludf.DUMMYFUNCTION("""COMPUTED_VALUE""")," 32044150448827_010")</f>
        <v> 32044150448827_010</v>
      </c>
      <c r="J326" s="94" t="str">
        <f>IFERROR(__xludf.DUMMYFUNCTION("""COMPUTED_VALUE""")," 32044150448827_011")</f>
        <v> 32044150448827_011</v>
      </c>
      <c r="K326" s="94" t="str">
        <f>IFERROR(__xludf.DUMMYFUNCTION("""COMPUTED_VALUE""")," 32044150448827_012")</f>
        <v> 32044150448827_012</v>
      </c>
      <c r="L326" s="94" t="str">
        <f>IFERROR(__xludf.DUMMYFUNCTION("""COMPUTED_VALUE""")," 32044150448827_013")</f>
        <v> 32044150448827_013</v>
      </c>
      <c r="M326" s="94" t="str">
        <f>IFERROR(__xludf.DUMMYFUNCTION("""COMPUTED_VALUE""")," 32044150448827_014")</f>
        <v> 32044150448827_014</v>
      </c>
      <c r="N326" s="94" t="str">
        <f>IFERROR(__xludf.DUMMYFUNCTION("""COMPUTED_VALUE""")," 32044150448827_015")</f>
        <v> 32044150448827_015</v>
      </c>
      <c r="O326" s="94" t="str">
        <f>IFERROR(__xludf.DUMMYFUNCTION("""COMPUTED_VALUE""")," 32044150448827_016")</f>
        <v> 32044150448827_016</v>
      </c>
      <c r="P326" s="94" t="str">
        <f>IFERROR(__xludf.DUMMYFUNCTION("""COMPUTED_VALUE""")," 32044150448827_017 ")</f>
        <v> 32044150448827_017 </v>
      </c>
      <c r="Q326" s="94"/>
      <c r="R326" s="94"/>
      <c r="S326" s="94"/>
      <c r="T326" s="94"/>
      <c r="U326" s="94"/>
      <c r="V326" s="94"/>
      <c r="W326" s="94"/>
      <c r="X326" s="94"/>
      <c r="Y326" s="94"/>
      <c r="Z326" s="94"/>
      <c r="AA326" s="94"/>
      <c r="AB326" s="94"/>
      <c r="AC326" s="94"/>
      <c r="AD326" s="94"/>
      <c r="AE326" s="94"/>
      <c r="AF326" s="94"/>
      <c r="AG326" s="94"/>
    </row>
    <row r="327">
      <c r="A327" s="96" t="s">
        <v>2400</v>
      </c>
      <c r="B327" s="95" t="str">
        <f>IFERROR(__xludf.DUMMYFUNCTION("""COMPUTED_VALUE"""),"32044150448827_002")</f>
        <v>32044150448827_002</v>
      </c>
      <c r="C327" s="94" t="str">
        <f>IFERROR(__xludf.DUMMYFUNCTION("""COMPUTED_VALUE""")," 32044150448827_003")</f>
        <v> 32044150448827_003</v>
      </c>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c r="AD327" s="94"/>
      <c r="AE327" s="94"/>
      <c r="AF327" s="94"/>
      <c r="AG327" s="94"/>
    </row>
    <row r="328">
      <c r="A328" s="96" t="s">
        <v>2407</v>
      </c>
      <c r="B328" s="95" t="str">
        <f>IFERROR(__xludf.DUMMYFUNCTION("""COMPUTED_VALUE"""),"32044150448827_018")</f>
        <v>32044150448827_018</v>
      </c>
      <c r="C328" s="94" t="str">
        <f>IFERROR(__xludf.DUMMYFUNCTION("""COMPUTED_VALUE""")," 32044150448827_019")</f>
        <v> 32044150448827_019</v>
      </c>
      <c r="D328" s="94" t="str">
        <f>IFERROR(__xludf.DUMMYFUNCTION("""COMPUTED_VALUE""")," 32044150448827_020")</f>
        <v> 32044150448827_020</v>
      </c>
      <c r="E328" s="94" t="str">
        <f>IFERROR(__xludf.DUMMYFUNCTION("""COMPUTED_VALUE""")," 32044150448827_021")</f>
        <v> 32044150448827_021</v>
      </c>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c r="AD328" s="94"/>
      <c r="AE328" s="94"/>
      <c r="AF328" s="94"/>
      <c r="AG328" s="94"/>
    </row>
    <row r="329">
      <c r="A329" s="96" t="s">
        <v>2414</v>
      </c>
      <c r="B329" s="95" t="str">
        <f>IFERROR(__xludf.DUMMYFUNCTION("""COMPUTED_VALUE"""),"32044150448827_022")</f>
        <v>32044150448827_022</v>
      </c>
      <c r="C329" s="94" t="str">
        <f>IFERROR(__xludf.DUMMYFUNCTION("""COMPUTED_VALUE""")," 32044150448827_023")</f>
        <v> 32044150448827_023</v>
      </c>
      <c r="D329" s="94" t="str">
        <f>IFERROR(__xludf.DUMMYFUNCTION("""COMPUTED_VALUE""")," 32044150448827_024")</f>
        <v> 32044150448827_024</v>
      </c>
      <c r="E329" s="94" t="str">
        <f>IFERROR(__xludf.DUMMYFUNCTION("""COMPUTED_VALUE""")," 32044150448827_025")</f>
        <v> 32044150448827_025</v>
      </c>
      <c r="F329" s="94" t="str">
        <f>IFERROR(__xludf.DUMMYFUNCTION("""COMPUTED_VALUE""")," 32044150448827_026")</f>
        <v> 32044150448827_026</v>
      </c>
      <c r="G329" s="94" t="str">
        <f>IFERROR(__xludf.DUMMYFUNCTION("""COMPUTED_VALUE""")," 32044150448827_027")</f>
        <v> 32044150448827_027</v>
      </c>
      <c r="H329" s="94" t="str">
        <f>IFERROR(__xludf.DUMMYFUNCTION("""COMPUTED_VALUE""")," 32044150448827_028")</f>
        <v> 32044150448827_028</v>
      </c>
      <c r="I329" s="94" t="str">
        <f>IFERROR(__xludf.DUMMYFUNCTION("""COMPUTED_VALUE""")," 32044150448827_029")</f>
        <v> 32044150448827_029</v>
      </c>
      <c r="J329" s="94" t="str">
        <f>IFERROR(__xludf.DUMMYFUNCTION("""COMPUTED_VALUE""")," 32044150448827_030")</f>
        <v> 32044150448827_030</v>
      </c>
      <c r="K329" s="94" t="str">
        <f>IFERROR(__xludf.DUMMYFUNCTION("""COMPUTED_VALUE""")," 32044150448827_031")</f>
        <v> 32044150448827_031</v>
      </c>
      <c r="L329" s="94" t="str">
        <f>IFERROR(__xludf.DUMMYFUNCTION("""COMPUTED_VALUE""")," 32044150448827_032")</f>
        <v> 32044150448827_032</v>
      </c>
      <c r="M329" s="94"/>
      <c r="N329" s="94"/>
      <c r="O329" s="94"/>
      <c r="P329" s="94"/>
      <c r="Q329" s="94"/>
      <c r="R329" s="94"/>
      <c r="S329" s="94"/>
      <c r="T329" s="94"/>
      <c r="U329" s="94"/>
      <c r="V329" s="94"/>
      <c r="W329" s="94"/>
      <c r="X329" s="94"/>
      <c r="Y329" s="94"/>
      <c r="Z329" s="94"/>
      <c r="AA329" s="94"/>
      <c r="AB329" s="94"/>
      <c r="AC329" s="94"/>
      <c r="AD329" s="94"/>
      <c r="AE329" s="94"/>
      <c r="AF329" s="94"/>
      <c r="AG329" s="94"/>
    </row>
    <row r="330">
      <c r="A330" s="96" t="s">
        <v>2424</v>
      </c>
      <c r="B330" s="95" t="str">
        <f>IFERROR(__xludf.DUMMYFUNCTION("""COMPUTED_VALUE"""),"32044150448827_033")</f>
        <v>32044150448827_033</v>
      </c>
      <c r="C330" s="94" t="str">
        <f>IFERROR(__xludf.DUMMYFUNCTION("""COMPUTED_VALUE""")," 32044150448827_034")</f>
        <v> 32044150448827_034</v>
      </c>
      <c r="D330" s="94" t="str">
        <f>IFERROR(__xludf.DUMMYFUNCTION("""COMPUTED_VALUE""")," 32044150448827_035")</f>
        <v> 32044150448827_035</v>
      </c>
      <c r="E330" s="94" t="str">
        <f>IFERROR(__xludf.DUMMYFUNCTION("""COMPUTED_VALUE""")," 32044150448827_036")</f>
        <v> 32044150448827_036</v>
      </c>
      <c r="F330" s="94" t="str">
        <f>IFERROR(__xludf.DUMMYFUNCTION("""COMPUTED_VALUE""")," 32044150448827_037")</f>
        <v> 32044150448827_037</v>
      </c>
      <c r="G330" s="94" t="str">
        <f>IFERROR(__xludf.DUMMYFUNCTION("""COMPUTED_VALUE""")," 32044150448827_038")</f>
        <v> 32044150448827_038</v>
      </c>
      <c r="H330" s="94" t="str">
        <f>IFERROR(__xludf.DUMMYFUNCTION("""COMPUTED_VALUE""")," 32044150448827_039")</f>
        <v> 32044150448827_039</v>
      </c>
      <c r="I330" s="94" t="str">
        <f>IFERROR(__xludf.DUMMYFUNCTION("""COMPUTED_VALUE""")," 32044150448827_040")</f>
        <v> 32044150448827_040</v>
      </c>
      <c r="J330" s="94" t="str">
        <f>IFERROR(__xludf.DUMMYFUNCTION("""COMPUTED_VALUE""")," 32044150448827_041")</f>
        <v> 32044150448827_041</v>
      </c>
      <c r="K330" s="94" t="str">
        <f>IFERROR(__xludf.DUMMYFUNCTION("""COMPUTED_VALUE""")," 32044150448827_042")</f>
        <v> 32044150448827_042</v>
      </c>
      <c r="L330" s="94" t="str">
        <f>IFERROR(__xludf.DUMMYFUNCTION("""COMPUTED_VALUE""")," 32044150448827_043")</f>
        <v> 32044150448827_043</v>
      </c>
      <c r="M330" s="94" t="str">
        <f>IFERROR(__xludf.DUMMYFUNCTION("""COMPUTED_VALUE""")," 32044150448827_044")</f>
        <v> 32044150448827_044</v>
      </c>
      <c r="N330" s="94" t="str">
        <f>IFERROR(__xludf.DUMMYFUNCTION("""COMPUTED_VALUE""")," 32044150448827_045")</f>
        <v> 32044150448827_045</v>
      </c>
      <c r="O330" s="94" t="str">
        <f>IFERROR(__xludf.DUMMYFUNCTION("""COMPUTED_VALUE""")," 32044150448827_046")</f>
        <v> 32044150448827_046</v>
      </c>
      <c r="P330" s="94" t="str">
        <f>IFERROR(__xludf.DUMMYFUNCTION("""COMPUTED_VALUE""")," 32044150448827_047")</f>
        <v> 32044150448827_047</v>
      </c>
      <c r="Q330" s="94" t="str">
        <f>IFERROR(__xludf.DUMMYFUNCTION("""COMPUTED_VALUE""")," 32044150448827_048")</f>
        <v> 32044150448827_048</v>
      </c>
      <c r="R330" s="94"/>
      <c r="S330" s="94"/>
      <c r="T330" s="94"/>
      <c r="U330" s="94"/>
      <c r="V330" s="94"/>
      <c r="W330" s="94"/>
      <c r="X330" s="94"/>
      <c r="Y330" s="94"/>
      <c r="Z330" s="94"/>
      <c r="AA330" s="94"/>
      <c r="AB330" s="94"/>
      <c r="AC330" s="94"/>
      <c r="AD330" s="94"/>
      <c r="AE330" s="94"/>
      <c r="AF330" s="94"/>
      <c r="AG330" s="94"/>
    </row>
    <row r="331">
      <c r="A331" s="96" t="s">
        <v>2431</v>
      </c>
      <c r="B331" s="95" t="str">
        <f>IFERROR(__xludf.DUMMYFUNCTION("""COMPUTED_VALUE"""),"32044150448827_049")</f>
        <v>32044150448827_049</v>
      </c>
      <c r="C331" s="94" t="str">
        <f>IFERROR(__xludf.DUMMYFUNCTION("""COMPUTED_VALUE""")," 32044150448827_050")</f>
        <v> 32044150448827_050</v>
      </c>
      <c r="D331" s="94" t="str">
        <f>IFERROR(__xludf.DUMMYFUNCTION("""COMPUTED_VALUE""")," 32044150448827_051")</f>
        <v> 32044150448827_051</v>
      </c>
      <c r="E331" s="94" t="str">
        <f>IFERROR(__xludf.DUMMYFUNCTION("""COMPUTED_VALUE""")," 32044150448827_052")</f>
        <v> 32044150448827_052</v>
      </c>
      <c r="F331" s="94" t="str">
        <f>IFERROR(__xludf.DUMMYFUNCTION("""COMPUTED_VALUE""")," 32044150448827_053")</f>
        <v> 32044150448827_053</v>
      </c>
      <c r="G331" s="94" t="str">
        <f>IFERROR(__xludf.DUMMYFUNCTION("""COMPUTED_VALUE""")," 32044150448827_054")</f>
        <v> 32044150448827_054</v>
      </c>
      <c r="H331" s="94"/>
      <c r="I331" s="94"/>
      <c r="J331" s="94"/>
      <c r="K331" s="94"/>
      <c r="L331" s="94"/>
      <c r="M331" s="94"/>
      <c r="N331" s="94"/>
      <c r="O331" s="94"/>
      <c r="P331" s="94"/>
      <c r="Q331" s="94"/>
      <c r="R331" s="94"/>
      <c r="S331" s="94"/>
      <c r="T331" s="94"/>
      <c r="U331" s="94"/>
      <c r="V331" s="94"/>
      <c r="W331" s="94"/>
      <c r="X331" s="94"/>
      <c r="Y331" s="94"/>
      <c r="Z331" s="94"/>
      <c r="AA331" s="94"/>
      <c r="AB331" s="94"/>
      <c r="AC331" s="94"/>
      <c r="AD331" s="94"/>
      <c r="AE331" s="94"/>
      <c r="AF331" s="94"/>
      <c r="AG331" s="94"/>
    </row>
    <row r="332">
      <c r="A332" s="96" t="s">
        <v>2440</v>
      </c>
      <c r="B332" s="95" t="str">
        <f>IFERROR(__xludf.DUMMYFUNCTION("""COMPUTED_VALUE"""),"32044150448827_055")</f>
        <v>32044150448827_055</v>
      </c>
      <c r="C332" s="94" t="str">
        <f>IFERROR(__xludf.DUMMYFUNCTION("""COMPUTED_VALUE""")," 32044150448827_056")</f>
        <v> 32044150448827_056</v>
      </c>
      <c r="D332" s="94" t="str">
        <f>IFERROR(__xludf.DUMMYFUNCTION("""COMPUTED_VALUE""")," 32044150448827_057")</f>
        <v> 32044150448827_057</v>
      </c>
      <c r="E332" s="94" t="str">
        <f>IFERROR(__xludf.DUMMYFUNCTION("""COMPUTED_VALUE""")," 32044150448827_058")</f>
        <v> 32044150448827_058</v>
      </c>
      <c r="F332" s="94" t="str">
        <f>IFERROR(__xludf.DUMMYFUNCTION("""COMPUTED_VALUE""")," 32044150448827_059")</f>
        <v> 32044150448827_059</v>
      </c>
      <c r="G332" s="94" t="str">
        <f>IFERROR(__xludf.DUMMYFUNCTION("""COMPUTED_VALUE""")," 32044150448827_060")</f>
        <v> 32044150448827_060</v>
      </c>
      <c r="H332" s="94" t="str">
        <f>IFERROR(__xludf.DUMMYFUNCTION("""COMPUTED_VALUE""")," 32044150448827_061")</f>
        <v> 32044150448827_061</v>
      </c>
      <c r="I332" s="94" t="str">
        <f>IFERROR(__xludf.DUMMYFUNCTION("""COMPUTED_VALUE""")," 32044150448827_062")</f>
        <v> 32044150448827_062</v>
      </c>
      <c r="J332" s="94" t="str">
        <f>IFERROR(__xludf.DUMMYFUNCTION("""COMPUTED_VALUE""")," 32044150448827_063")</f>
        <v> 32044150448827_063</v>
      </c>
      <c r="K332" s="94" t="str">
        <f>IFERROR(__xludf.DUMMYFUNCTION("""COMPUTED_VALUE""")," 32044150448827_064")</f>
        <v> 32044150448827_064</v>
      </c>
      <c r="L332" s="94"/>
      <c r="M332" s="94"/>
      <c r="N332" s="94"/>
      <c r="O332" s="94"/>
      <c r="P332" s="94"/>
      <c r="Q332" s="94"/>
      <c r="R332" s="94"/>
      <c r="S332" s="94"/>
      <c r="T332" s="94"/>
      <c r="U332" s="94"/>
      <c r="V332" s="94"/>
      <c r="W332" s="94"/>
      <c r="X332" s="94"/>
      <c r="Y332" s="94"/>
      <c r="Z332" s="94"/>
      <c r="AA332" s="94"/>
      <c r="AB332" s="94"/>
      <c r="AC332" s="94"/>
      <c r="AD332" s="94"/>
      <c r="AE332" s="94"/>
      <c r="AF332" s="94"/>
      <c r="AG332" s="94"/>
    </row>
    <row r="333">
      <c r="A333" s="96" t="s">
        <v>2449</v>
      </c>
      <c r="B333" s="95" t="str">
        <f>IFERROR(__xludf.DUMMYFUNCTION("""COMPUTED_VALUE"""),"32044150448835_001")</f>
        <v>32044150448835_001</v>
      </c>
      <c r="C333" s="94" t="str">
        <f>IFERROR(__xludf.DUMMYFUNCTION("""COMPUTED_VALUE""")," 32044150448835_002")</f>
        <v> 32044150448835_002</v>
      </c>
      <c r="D333" s="94" t="str">
        <f>IFERROR(__xludf.DUMMYFUNCTION("""COMPUTED_VALUE""")," 32044150448835_003")</f>
        <v> 32044150448835_003</v>
      </c>
      <c r="E333" s="94" t="str">
        <f>IFERROR(__xludf.DUMMYFUNCTION("""COMPUTED_VALUE""")," 32044150448835_004")</f>
        <v> 32044150448835_004</v>
      </c>
      <c r="F333" s="94" t="str">
        <f>IFERROR(__xludf.DUMMYFUNCTION("""COMPUTED_VALUE""")," 32044150448835_005")</f>
        <v> 32044150448835_005</v>
      </c>
      <c r="G333" s="94" t="str">
        <f>IFERROR(__xludf.DUMMYFUNCTION("""COMPUTED_VALUE""")," 32044150448835_006")</f>
        <v> 32044150448835_006</v>
      </c>
      <c r="H333" s="94"/>
      <c r="I333" s="94"/>
      <c r="J333" s="94"/>
      <c r="K333" s="94"/>
      <c r="L333" s="94"/>
      <c r="M333" s="94"/>
      <c r="N333" s="94"/>
      <c r="O333" s="94"/>
      <c r="P333" s="94"/>
      <c r="Q333" s="94"/>
      <c r="R333" s="94"/>
      <c r="S333" s="94"/>
      <c r="T333" s="94"/>
      <c r="U333" s="94"/>
      <c r="V333" s="94"/>
      <c r="W333" s="94"/>
      <c r="X333" s="94"/>
      <c r="Y333" s="94"/>
      <c r="Z333" s="94"/>
      <c r="AA333" s="94"/>
      <c r="AB333" s="94"/>
      <c r="AC333" s="94"/>
      <c r="AD333" s="94"/>
      <c r="AE333" s="94"/>
      <c r="AF333" s="94"/>
      <c r="AG333" s="94"/>
    </row>
    <row r="334">
      <c r="A334" s="96" t="s">
        <v>2459</v>
      </c>
      <c r="B334" s="95" t="str">
        <f>IFERROR(__xludf.DUMMYFUNCTION("""COMPUTED_VALUE"""),"32044150448835_007")</f>
        <v>32044150448835_007</v>
      </c>
      <c r="C334" s="94" t="str">
        <f>IFERROR(__xludf.DUMMYFUNCTION("""COMPUTED_VALUE""")," 32044150448835_008")</f>
        <v> 32044150448835_008</v>
      </c>
      <c r="D334" s="94" t="str">
        <f>IFERROR(__xludf.DUMMYFUNCTION("""COMPUTED_VALUE""")," 32044150448835_009")</f>
        <v> 32044150448835_009</v>
      </c>
      <c r="E334" s="94" t="str">
        <f>IFERROR(__xludf.DUMMYFUNCTION("""COMPUTED_VALUE""")," 32044150448835_010")</f>
        <v> 32044150448835_010</v>
      </c>
      <c r="F334" s="94" t="str">
        <f>IFERROR(__xludf.DUMMYFUNCTION("""COMPUTED_VALUE""")," 32044150448835_011")</f>
        <v> 32044150448835_011</v>
      </c>
      <c r="G334" s="94" t="str">
        <f>IFERROR(__xludf.DUMMYFUNCTION("""COMPUTED_VALUE""")," 32044150448835_012")</f>
        <v> 32044150448835_012</v>
      </c>
      <c r="H334" s="94" t="str">
        <f>IFERROR(__xludf.DUMMYFUNCTION("""COMPUTED_VALUE""")," 32044150448835_013")</f>
        <v> 32044150448835_013</v>
      </c>
      <c r="I334" s="94" t="str">
        <f>IFERROR(__xludf.DUMMYFUNCTION("""COMPUTED_VALUE""")," 32044150448835_014")</f>
        <v> 32044150448835_014</v>
      </c>
      <c r="J334" s="94"/>
      <c r="K334" s="94"/>
      <c r="L334" s="94"/>
      <c r="M334" s="94"/>
      <c r="N334" s="94"/>
      <c r="O334" s="94"/>
      <c r="P334" s="94"/>
      <c r="Q334" s="94"/>
      <c r="R334" s="94"/>
      <c r="S334" s="94"/>
      <c r="T334" s="94"/>
      <c r="U334" s="94"/>
      <c r="V334" s="94"/>
      <c r="W334" s="94"/>
      <c r="X334" s="94"/>
      <c r="Y334" s="94"/>
      <c r="Z334" s="94"/>
      <c r="AA334" s="94"/>
      <c r="AB334" s="94"/>
      <c r="AC334" s="94"/>
      <c r="AD334" s="94"/>
      <c r="AE334" s="94"/>
      <c r="AF334" s="94"/>
      <c r="AG334" s="94"/>
    </row>
    <row r="335">
      <c r="A335" s="96" t="s">
        <v>2467</v>
      </c>
      <c r="B335" s="95" t="str">
        <f>IFERROR(__xludf.DUMMYFUNCTION("""COMPUTED_VALUE"""),"32044150448835_015")</f>
        <v>32044150448835_015</v>
      </c>
      <c r="C335" s="94" t="str">
        <f>IFERROR(__xludf.DUMMYFUNCTION("""COMPUTED_VALUE""")," 32044150448835_016")</f>
        <v> 32044150448835_016</v>
      </c>
      <c r="D335" s="94" t="str">
        <f>IFERROR(__xludf.DUMMYFUNCTION("""COMPUTED_VALUE""")," 32044150448835_017")</f>
        <v> 32044150448835_017</v>
      </c>
      <c r="E335" s="94" t="str">
        <f>IFERROR(__xludf.DUMMYFUNCTION("""COMPUTED_VALUE""")," 32044150448835_018")</f>
        <v> 32044150448835_018</v>
      </c>
      <c r="F335" s="94" t="str">
        <f>IFERROR(__xludf.DUMMYFUNCTION("""COMPUTED_VALUE""")," 32044150448835_019")</f>
        <v> 32044150448835_019</v>
      </c>
      <c r="G335" s="94" t="str">
        <f>IFERROR(__xludf.DUMMYFUNCTION("""COMPUTED_VALUE""")," 32044150448835_020")</f>
        <v> 32044150448835_020</v>
      </c>
      <c r="H335" s="94" t="str">
        <f>IFERROR(__xludf.DUMMYFUNCTION("""COMPUTED_VALUE""")," 32044150448835_021")</f>
        <v> 32044150448835_021</v>
      </c>
      <c r="I335" s="94" t="str">
        <f>IFERROR(__xludf.DUMMYFUNCTION("""COMPUTED_VALUE""")," 32044150448835_022")</f>
        <v> 32044150448835_022</v>
      </c>
      <c r="J335" s="94"/>
      <c r="K335" s="94"/>
      <c r="L335" s="94"/>
      <c r="M335" s="94"/>
      <c r="N335" s="94"/>
      <c r="O335" s="94"/>
      <c r="P335" s="94"/>
      <c r="Q335" s="94"/>
      <c r="R335" s="94"/>
      <c r="S335" s="94"/>
      <c r="T335" s="94"/>
      <c r="U335" s="94"/>
      <c r="V335" s="94"/>
      <c r="W335" s="94"/>
      <c r="X335" s="94"/>
      <c r="Y335" s="94"/>
      <c r="Z335" s="94"/>
      <c r="AA335" s="94"/>
      <c r="AB335" s="94"/>
      <c r="AC335" s="94"/>
      <c r="AD335" s="94"/>
      <c r="AE335" s="94"/>
      <c r="AF335" s="94"/>
      <c r="AG335" s="94"/>
    </row>
    <row r="336">
      <c r="A336" s="96" t="s">
        <v>2474</v>
      </c>
      <c r="B336" s="95" t="str">
        <f>IFERROR(__xludf.DUMMYFUNCTION("""COMPUTED_VALUE"""),"32044150448835_023")</f>
        <v>32044150448835_023</v>
      </c>
      <c r="C336" s="94" t="str">
        <f>IFERROR(__xludf.DUMMYFUNCTION("""COMPUTED_VALUE""")," 32044150448835_024")</f>
        <v> 32044150448835_024</v>
      </c>
      <c r="D336" s="94" t="str">
        <f>IFERROR(__xludf.DUMMYFUNCTION("""COMPUTED_VALUE""")," 32044150448835_025")</f>
        <v> 32044150448835_025</v>
      </c>
      <c r="E336" s="94" t="str">
        <f>IFERROR(__xludf.DUMMYFUNCTION("""COMPUTED_VALUE""")," 32044150448835_026")</f>
        <v> 32044150448835_026</v>
      </c>
      <c r="F336" s="94" t="str">
        <f>IFERROR(__xludf.DUMMYFUNCTION("""COMPUTED_VALUE""")," 32044150448835_027")</f>
        <v> 32044150448835_027</v>
      </c>
      <c r="G336" s="94" t="str">
        <f>IFERROR(__xludf.DUMMYFUNCTION("""COMPUTED_VALUE""")," 32044150448835_028")</f>
        <v> 32044150448835_028</v>
      </c>
      <c r="H336" s="94" t="str">
        <f>IFERROR(__xludf.DUMMYFUNCTION("""COMPUTED_VALUE""")," 32044150448835_029")</f>
        <v> 32044150448835_029</v>
      </c>
      <c r="I336" s="94" t="str">
        <f>IFERROR(__xludf.DUMMYFUNCTION("""COMPUTED_VALUE""")," 32044150448835_030")</f>
        <v> 32044150448835_030</v>
      </c>
      <c r="J336" s="94" t="str">
        <f>IFERROR(__xludf.DUMMYFUNCTION("""COMPUTED_VALUE""")," 32044150448835_031")</f>
        <v> 32044150448835_031</v>
      </c>
      <c r="K336" s="94" t="str">
        <f>IFERROR(__xludf.DUMMYFUNCTION("""COMPUTED_VALUE""")," 32044150448835_032")</f>
        <v> 32044150448835_032</v>
      </c>
      <c r="L336" s="94" t="str">
        <f>IFERROR(__xludf.DUMMYFUNCTION("""COMPUTED_VALUE""")," 32044150448835_033")</f>
        <v> 32044150448835_033</v>
      </c>
      <c r="M336" s="94" t="str">
        <f>IFERROR(__xludf.DUMMYFUNCTION("""COMPUTED_VALUE""")," 32044150448835_034")</f>
        <v> 32044150448835_034</v>
      </c>
      <c r="N336" s="94"/>
      <c r="O336" s="94"/>
      <c r="P336" s="94"/>
      <c r="Q336" s="94"/>
      <c r="R336" s="94"/>
      <c r="S336" s="94"/>
      <c r="T336" s="94"/>
      <c r="U336" s="94"/>
      <c r="V336" s="94"/>
      <c r="W336" s="94"/>
      <c r="X336" s="94"/>
      <c r="Y336" s="94"/>
      <c r="Z336" s="94"/>
      <c r="AA336" s="94"/>
      <c r="AB336" s="94"/>
      <c r="AC336" s="94"/>
      <c r="AD336" s="94"/>
      <c r="AE336" s="94"/>
      <c r="AF336" s="94"/>
      <c r="AG336" s="94"/>
    </row>
    <row r="337">
      <c r="A337" s="96" t="s">
        <v>2484</v>
      </c>
      <c r="B337" s="95" t="str">
        <f>IFERROR(__xludf.DUMMYFUNCTION("""COMPUTED_VALUE"""),"32044150448835_035")</f>
        <v>32044150448835_035</v>
      </c>
      <c r="C337" s="94" t="str">
        <f>IFERROR(__xludf.DUMMYFUNCTION("""COMPUTED_VALUE""")," 32044150448835_036")</f>
        <v> 32044150448835_036</v>
      </c>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c r="AD337" s="94"/>
      <c r="AE337" s="94"/>
      <c r="AF337" s="94"/>
      <c r="AG337" s="94"/>
    </row>
    <row r="338">
      <c r="A338" s="96" t="s">
        <v>2492</v>
      </c>
      <c r="B338" s="95" t="str">
        <f>IFERROR(__xludf.DUMMYFUNCTION("""COMPUTED_VALUE"""),"32044150448835_037")</f>
        <v>32044150448835_037</v>
      </c>
      <c r="C338" s="94" t="str">
        <f>IFERROR(__xludf.DUMMYFUNCTION("""COMPUTED_VALUE""")," 32044150448835_038")</f>
        <v> 32044150448835_038</v>
      </c>
      <c r="D338" s="94" t="str">
        <f>IFERROR(__xludf.DUMMYFUNCTION("""COMPUTED_VALUE""")," 32044150448835_039")</f>
        <v> 32044150448835_039</v>
      </c>
      <c r="E338" s="94" t="str">
        <f>IFERROR(__xludf.DUMMYFUNCTION("""COMPUTED_VALUE""")," 32044150448835_040")</f>
        <v> 32044150448835_040</v>
      </c>
      <c r="F338" s="94" t="str">
        <f>IFERROR(__xludf.DUMMYFUNCTION("""COMPUTED_VALUE""")," 32044150448835_041")</f>
        <v> 32044150448835_041</v>
      </c>
      <c r="G338" s="94" t="str">
        <f>IFERROR(__xludf.DUMMYFUNCTION("""COMPUTED_VALUE""")," 32044150448835_042")</f>
        <v> 32044150448835_042</v>
      </c>
      <c r="H338" s="94" t="str">
        <f>IFERROR(__xludf.DUMMYFUNCTION("""COMPUTED_VALUE""")," 32044150448835_043")</f>
        <v> 32044150448835_043</v>
      </c>
      <c r="I338" s="94" t="str">
        <f>IFERROR(__xludf.DUMMYFUNCTION("""COMPUTED_VALUE""")," 32044150448835_044")</f>
        <v> 32044150448835_044</v>
      </c>
      <c r="J338" s="94" t="str">
        <f>IFERROR(__xludf.DUMMYFUNCTION("""COMPUTED_VALUE""")," 32044150448835_045")</f>
        <v> 32044150448835_045</v>
      </c>
      <c r="K338" s="94" t="str">
        <f>IFERROR(__xludf.DUMMYFUNCTION("""COMPUTED_VALUE""")," 32044150448835_046")</f>
        <v> 32044150448835_046</v>
      </c>
      <c r="L338" s="94" t="str">
        <f>IFERROR(__xludf.DUMMYFUNCTION("""COMPUTED_VALUE""")," 32044150448835_047")</f>
        <v> 32044150448835_047</v>
      </c>
      <c r="M338" s="94" t="str">
        <f>IFERROR(__xludf.DUMMYFUNCTION("""COMPUTED_VALUE""")," 32044150448835_048")</f>
        <v> 32044150448835_048</v>
      </c>
      <c r="N338" s="94"/>
      <c r="O338" s="94"/>
      <c r="P338" s="94"/>
      <c r="Q338" s="94"/>
      <c r="R338" s="94"/>
      <c r="S338" s="94"/>
      <c r="T338" s="94"/>
      <c r="U338" s="94"/>
      <c r="V338" s="94"/>
      <c r="W338" s="94"/>
      <c r="X338" s="94"/>
      <c r="Y338" s="94"/>
      <c r="Z338" s="94"/>
      <c r="AA338" s="94"/>
      <c r="AB338" s="94"/>
      <c r="AC338" s="94"/>
      <c r="AD338" s="94"/>
      <c r="AE338" s="94"/>
      <c r="AF338" s="94"/>
      <c r="AG338" s="94"/>
    </row>
    <row r="339">
      <c r="A339" s="96" t="s">
        <v>2499</v>
      </c>
      <c r="B339" s="95" t="str">
        <f>IFERROR(__xludf.DUMMYFUNCTION("""COMPUTED_VALUE"""),"32044150448835_049")</f>
        <v>32044150448835_049</v>
      </c>
      <c r="C339" s="94" t="str">
        <f>IFERROR(__xludf.DUMMYFUNCTION("""COMPUTED_VALUE""")," 32044150448835_050")</f>
        <v> 32044150448835_050</v>
      </c>
      <c r="D339" s="94" t="str">
        <f>IFERROR(__xludf.DUMMYFUNCTION("""COMPUTED_VALUE""")," 32044150448835_051")</f>
        <v> 32044150448835_051</v>
      </c>
      <c r="E339" s="94" t="str">
        <f>IFERROR(__xludf.DUMMYFUNCTION("""COMPUTED_VALUE""")," 32044150448835_052")</f>
        <v> 32044150448835_052</v>
      </c>
      <c r="F339" s="94" t="str">
        <f>IFERROR(__xludf.DUMMYFUNCTION("""COMPUTED_VALUE""")," 32044150448835_053")</f>
        <v> 32044150448835_053</v>
      </c>
      <c r="G339" s="94" t="str">
        <f>IFERROR(__xludf.DUMMYFUNCTION("""COMPUTED_VALUE""")," 32044150448835_054")</f>
        <v> 32044150448835_054</v>
      </c>
      <c r="H339" s="94"/>
      <c r="I339" s="94"/>
      <c r="J339" s="94"/>
      <c r="K339" s="94"/>
      <c r="L339" s="94"/>
      <c r="M339" s="94"/>
      <c r="N339" s="94"/>
      <c r="O339" s="94"/>
      <c r="P339" s="94"/>
      <c r="Q339" s="94"/>
      <c r="R339" s="94"/>
      <c r="S339" s="94"/>
      <c r="T339" s="94"/>
      <c r="U339" s="94"/>
      <c r="V339" s="94"/>
      <c r="W339" s="94"/>
      <c r="X339" s="94"/>
      <c r="Y339" s="94"/>
      <c r="Z339" s="94"/>
      <c r="AA339" s="94"/>
      <c r="AB339" s="94"/>
      <c r="AC339" s="94"/>
      <c r="AD339" s="94"/>
      <c r="AE339" s="94"/>
      <c r="AF339" s="94"/>
      <c r="AG339" s="94"/>
    </row>
    <row r="340">
      <c r="A340" s="96" t="s">
        <v>2505</v>
      </c>
      <c r="B340" s="95" t="str">
        <f>IFERROR(__xludf.DUMMYFUNCTION("""COMPUTED_VALUE"""),"32044150448835_059")</f>
        <v>32044150448835_059</v>
      </c>
      <c r="C340" s="94" t="str">
        <f>IFERROR(__xludf.DUMMYFUNCTION("""COMPUTED_VALUE""")," 32044150448835_060")</f>
        <v> 32044150448835_060</v>
      </c>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c r="AD340" s="94"/>
      <c r="AE340" s="94"/>
      <c r="AF340" s="94"/>
      <c r="AG340" s="94"/>
    </row>
    <row r="341">
      <c r="A341" s="96" t="s">
        <v>2510</v>
      </c>
      <c r="B341" s="95" t="str">
        <f>IFERROR(__xludf.DUMMYFUNCTION("""COMPUTED_VALUE"""),"32044150448835_055")</f>
        <v>32044150448835_055</v>
      </c>
      <c r="C341" s="94" t="str">
        <f>IFERROR(__xludf.DUMMYFUNCTION("""COMPUTED_VALUE""")," 32044150448835_056")</f>
        <v> 32044150448835_056</v>
      </c>
      <c r="D341" s="94" t="str">
        <f>IFERROR(__xludf.DUMMYFUNCTION("""COMPUTED_VALUE""")," 32044150448835_057")</f>
        <v> 32044150448835_057</v>
      </c>
      <c r="E341" s="94" t="str">
        <f>IFERROR(__xludf.DUMMYFUNCTION("""COMPUTED_VALUE""")," 32044150448835_058")</f>
        <v> 32044150448835_058</v>
      </c>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c r="AD341" s="94"/>
      <c r="AE341" s="94"/>
      <c r="AF341" s="94"/>
      <c r="AG341" s="94"/>
    </row>
    <row r="342">
      <c r="A342" s="96" t="s">
        <v>2518</v>
      </c>
      <c r="B342" s="95" t="str">
        <f>IFERROR(__xludf.DUMMYFUNCTION("""COMPUTED_VALUE"""),"32044150448835_061")</f>
        <v>32044150448835_061</v>
      </c>
      <c r="C342" s="94" t="str">
        <f>IFERROR(__xludf.DUMMYFUNCTION("""COMPUTED_VALUE""")," 32044150448835_062")</f>
        <v> 32044150448835_062</v>
      </c>
      <c r="D342" s="94" t="str">
        <f>IFERROR(__xludf.DUMMYFUNCTION("""COMPUTED_VALUE""")," 32044150448835_063")</f>
        <v> 32044150448835_063</v>
      </c>
      <c r="E342" s="94" t="str">
        <f>IFERROR(__xludf.DUMMYFUNCTION("""COMPUTED_VALUE""")," 32044150448835_064")</f>
        <v> 32044150448835_064</v>
      </c>
      <c r="F342" s="94" t="str">
        <f>IFERROR(__xludf.DUMMYFUNCTION("""COMPUTED_VALUE""")," 32044150448835_065")</f>
        <v> 32044150448835_065</v>
      </c>
      <c r="G342" s="94" t="str">
        <f>IFERROR(__xludf.DUMMYFUNCTION("""COMPUTED_VALUE""")," 32044150448835_066")</f>
        <v> 32044150448835_066</v>
      </c>
      <c r="H342" s="94" t="str">
        <f>IFERROR(__xludf.DUMMYFUNCTION("""COMPUTED_VALUE""")," 32044150448835_067")</f>
        <v> 32044150448835_067</v>
      </c>
      <c r="I342" s="94" t="str">
        <f>IFERROR(__xludf.DUMMYFUNCTION("""COMPUTED_VALUE""")," 32044150448835_068")</f>
        <v> 32044150448835_068</v>
      </c>
      <c r="J342" s="94" t="str">
        <f>IFERROR(__xludf.DUMMYFUNCTION("""COMPUTED_VALUE""")," 32044150448835_069")</f>
        <v> 32044150448835_069</v>
      </c>
      <c r="K342" s="94" t="str">
        <f>IFERROR(__xludf.DUMMYFUNCTION("""COMPUTED_VALUE""")," 32044150448835_070")</f>
        <v> 32044150448835_070</v>
      </c>
      <c r="L342" s="94" t="str">
        <f>IFERROR(__xludf.DUMMYFUNCTION("""COMPUTED_VALUE""")," 32044150448835_071")</f>
        <v> 32044150448835_071</v>
      </c>
      <c r="M342" s="94" t="str">
        <f>IFERROR(__xludf.DUMMYFUNCTION("""COMPUTED_VALUE""")," 32044150448835_072")</f>
        <v> 32044150448835_072</v>
      </c>
      <c r="N342" s="94" t="str">
        <f>IFERROR(__xludf.DUMMYFUNCTION("""COMPUTED_VALUE""")," 32044150448835_073")</f>
        <v> 32044150448835_073</v>
      </c>
      <c r="O342" s="94"/>
      <c r="P342" s="94"/>
      <c r="Q342" s="94"/>
      <c r="R342" s="94"/>
      <c r="S342" s="94"/>
      <c r="T342" s="94"/>
      <c r="U342" s="94"/>
      <c r="V342" s="94"/>
      <c r="W342" s="94"/>
      <c r="X342" s="94"/>
      <c r="Y342" s="94"/>
      <c r="Z342" s="94"/>
      <c r="AA342" s="94"/>
      <c r="AB342" s="94"/>
      <c r="AC342" s="94"/>
      <c r="AD342" s="94"/>
      <c r="AE342" s="94"/>
      <c r="AF342" s="94"/>
      <c r="AG342" s="94"/>
    </row>
    <row r="343">
      <c r="A343" s="96" t="s">
        <v>2529</v>
      </c>
      <c r="B343" s="95" t="str">
        <f>IFERROR(__xludf.DUMMYFUNCTION("""COMPUTED_VALUE"""),"32044150448843_001")</f>
        <v>32044150448843_001</v>
      </c>
      <c r="C343" s="94" t="str">
        <f>IFERROR(__xludf.DUMMYFUNCTION("""COMPUTED_VALUE""")," 32044150448843_002")</f>
        <v> 32044150448843_002</v>
      </c>
      <c r="D343" s="94" t="str">
        <f>IFERROR(__xludf.DUMMYFUNCTION("""COMPUTED_VALUE""")," 32044150448843_003")</f>
        <v> 32044150448843_003</v>
      </c>
      <c r="E343" s="94" t="str">
        <f>IFERROR(__xludf.DUMMYFUNCTION("""COMPUTED_VALUE""")," 32044150448843_004")</f>
        <v> 32044150448843_004</v>
      </c>
      <c r="F343" s="94" t="str">
        <f>IFERROR(__xludf.DUMMYFUNCTION("""COMPUTED_VALUE""")," 32044150448843_005")</f>
        <v> 32044150448843_005</v>
      </c>
      <c r="G343" s="94" t="str">
        <f>IFERROR(__xludf.DUMMYFUNCTION("""COMPUTED_VALUE""")," 32044150448843_006")</f>
        <v> 32044150448843_006</v>
      </c>
      <c r="H343" s="94"/>
      <c r="I343" s="94"/>
      <c r="J343" s="94"/>
      <c r="K343" s="94"/>
      <c r="L343" s="94"/>
      <c r="M343" s="94"/>
      <c r="N343" s="94"/>
      <c r="O343" s="94"/>
      <c r="P343" s="94"/>
      <c r="Q343" s="94"/>
      <c r="R343" s="94"/>
      <c r="S343" s="94"/>
      <c r="T343" s="94"/>
      <c r="U343" s="94"/>
      <c r="V343" s="94"/>
      <c r="W343" s="94"/>
      <c r="X343" s="94"/>
      <c r="Y343" s="94"/>
      <c r="Z343" s="94"/>
      <c r="AA343" s="94"/>
      <c r="AB343" s="94"/>
      <c r="AC343" s="94"/>
      <c r="AD343" s="94"/>
      <c r="AE343" s="94"/>
      <c r="AF343" s="94"/>
      <c r="AG343" s="94"/>
    </row>
    <row r="344">
      <c r="A344" s="96" t="s">
        <v>2537</v>
      </c>
      <c r="B344" s="95" t="str">
        <f>IFERROR(__xludf.DUMMYFUNCTION("""COMPUTED_VALUE"""),"32044150448843_007")</f>
        <v>32044150448843_007</v>
      </c>
      <c r="C344" s="94" t="str">
        <f>IFERROR(__xludf.DUMMYFUNCTION("""COMPUTED_VALUE""")," 32044150448843_008")</f>
        <v> 32044150448843_008</v>
      </c>
      <c r="D344" s="94" t="str">
        <f>IFERROR(__xludf.DUMMYFUNCTION("""COMPUTED_VALUE""")," 32044150448843_009")</f>
        <v> 32044150448843_009</v>
      </c>
      <c r="E344" s="94" t="str">
        <f>IFERROR(__xludf.DUMMYFUNCTION("""COMPUTED_VALUE""")," 32044150448843_010")</f>
        <v> 32044150448843_010</v>
      </c>
      <c r="F344" s="94" t="str">
        <f>IFERROR(__xludf.DUMMYFUNCTION("""COMPUTED_VALUE""")," 32044150448843_011")</f>
        <v> 32044150448843_011</v>
      </c>
      <c r="G344" s="94" t="str">
        <f>IFERROR(__xludf.DUMMYFUNCTION("""COMPUTED_VALUE""")," 32044150448843_012")</f>
        <v> 32044150448843_012</v>
      </c>
      <c r="H344" s="94" t="str">
        <f>IFERROR(__xludf.DUMMYFUNCTION("""COMPUTED_VALUE""")," 32044150448843_013")</f>
        <v> 32044150448843_013</v>
      </c>
      <c r="I344" s="94" t="str">
        <f>IFERROR(__xludf.DUMMYFUNCTION("""COMPUTED_VALUE""")," 32044150448843_014")</f>
        <v> 32044150448843_014</v>
      </c>
      <c r="J344" s="94" t="str">
        <f>IFERROR(__xludf.DUMMYFUNCTION("""COMPUTED_VALUE""")," 32044150448843_015")</f>
        <v> 32044150448843_015</v>
      </c>
      <c r="K344" s="94" t="str">
        <f>IFERROR(__xludf.DUMMYFUNCTION("""COMPUTED_VALUE""")," 32044150448843_016")</f>
        <v> 32044150448843_016</v>
      </c>
      <c r="L344" s="94" t="str">
        <f>IFERROR(__xludf.DUMMYFUNCTION("""COMPUTED_VALUE""")," 32044150448843_017")</f>
        <v> 32044150448843_017</v>
      </c>
      <c r="M344" s="94" t="str">
        <f>IFERROR(__xludf.DUMMYFUNCTION("""COMPUTED_VALUE""")," 32044150448843_018")</f>
        <v> 32044150448843_018</v>
      </c>
      <c r="N344" s="94"/>
      <c r="O344" s="94"/>
      <c r="P344" s="94"/>
      <c r="Q344" s="94"/>
      <c r="R344" s="94"/>
      <c r="S344" s="94"/>
      <c r="T344" s="94"/>
      <c r="U344" s="94"/>
      <c r="V344" s="94"/>
      <c r="W344" s="94"/>
      <c r="X344" s="94"/>
      <c r="Y344" s="94"/>
      <c r="Z344" s="94"/>
      <c r="AA344" s="94"/>
      <c r="AB344" s="94"/>
      <c r="AC344" s="94"/>
      <c r="AD344" s="94"/>
      <c r="AE344" s="94"/>
      <c r="AF344" s="94"/>
      <c r="AG344" s="94"/>
    </row>
    <row r="345">
      <c r="A345" s="96" t="s">
        <v>2542</v>
      </c>
      <c r="B345" s="95" t="str">
        <f>IFERROR(__xludf.DUMMYFUNCTION("""COMPUTED_VALUE"""),"32044150448843_019")</f>
        <v>32044150448843_019</v>
      </c>
      <c r="C345" s="94" t="str">
        <f>IFERROR(__xludf.DUMMYFUNCTION("""COMPUTED_VALUE""")," 32044150448843_020")</f>
        <v> 32044150448843_020</v>
      </c>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c r="AD345" s="94"/>
      <c r="AE345" s="94"/>
      <c r="AF345" s="94"/>
      <c r="AG345" s="94"/>
    </row>
    <row r="346">
      <c r="A346" s="96" t="s">
        <v>2547</v>
      </c>
      <c r="B346" s="95" t="str">
        <f>IFERROR(__xludf.DUMMYFUNCTION("""COMPUTED_VALUE"""),"32044150448843_021")</f>
        <v>32044150448843_021</v>
      </c>
      <c r="C346" s="94" t="str">
        <f>IFERROR(__xludf.DUMMYFUNCTION("""COMPUTED_VALUE""")," 32044150448843_022")</f>
        <v> 32044150448843_022</v>
      </c>
      <c r="D346" s="94" t="str">
        <f>IFERROR(__xludf.DUMMYFUNCTION("""COMPUTED_VALUE""")," 32044150448843_023")</f>
        <v> 32044150448843_023</v>
      </c>
      <c r="E346" s="94" t="str">
        <f>IFERROR(__xludf.DUMMYFUNCTION("""COMPUTED_VALUE""")," 32044150448843_024")</f>
        <v> 32044150448843_024</v>
      </c>
      <c r="F346" s="94" t="str">
        <f>IFERROR(__xludf.DUMMYFUNCTION("""COMPUTED_VALUE""")," 32044150448843_025")</f>
        <v> 32044150448843_025</v>
      </c>
      <c r="G346" s="94" t="str">
        <f>IFERROR(__xludf.DUMMYFUNCTION("""COMPUTED_VALUE""")," 32044150448843_026")</f>
        <v> 32044150448843_026</v>
      </c>
      <c r="H346" s="94"/>
      <c r="I346" s="94"/>
      <c r="J346" s="94"/>
      <c r="K346" s="94"/>
      <c r="L346" s="94"/>
      <c r="M346" s="94"/>
      <c r="N346" s="94"/>
      <c r="O346" s="94"/>
      <c r="P346" s="94"/>
      <c r="Q346" s="94"/>
      <c r="R346" s="94"/>
      <c r="S346" s="94"/>
      <c r="T346" s="94"/>
      <c r="U346" s="94"/>
      <c r="V346" s="94"/>
      <c r="W346" s="94"/>
      <c r="X346" s="94"/>
      <c r="Y346" s="94"/>
      <c r="Z346" s="94"/>
      <c r="AA346" s="94"/>
      <c r="AB346" s="94"/>
      <c r="AC346" s="94"/>
      <c r="AD346" s="94"/>
      <c r="AE346" s="94"/>
      <c r="AF346" s="94"/>
      <c r="AG346" s="94"/>
    </row>
    <row r="347">
      <c r="A347" s="96" t="s">
        <v>2551</v>
      </c>
      <c r="B347" s="95" t="str">
        <f>IFERROR(__xludf.DUMMYFUNCTION("""COMPUTED_VALUE"""),"32044150448843_027")</f>
        <v>32044150448843_027</v>
      </c>
      <c r="C347" s="94" t="str">
        <f>IFERROR(__xludf.DUMMYFUNCTION("""COMPUTED_VALUE""")," 32044150448843_028")</f>
        <v> 32044150448843_028</v>
      </c>
      <c r="D347" s="94" t="str">
        <f>IFERROR(__xludf.DUMMYFUNCTION("""COMPUTED_VALUE""")," 32044150448843_029")</f>
        <v> 32044150448843_029</v>
      </c>
      <c r="E347" s="94" t="str">
        <f>IFERROR(__xludf.DUMMYFUNCTION("""COMPUTED_VALUE""")," 32044150448843_030")</f>
        <v> 32044150448843_030</v>
      </c>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row>
    <row r="348">
      <c r="A348" s="96" t="s">
        <v>2558</v>
      </c>
      <c r="B348" s="95" t="str">
        <f>IFERROR(__xludf.DUMMYFUNCTION("""COMPUTED_VALUE"""),"32044150448843_031")</f>
        <v>32044150448843_031</v>
      </c>
      <c r="C348" s="94" t="str">
        <f>IFERROR(__xludf.DUMMYFUNCTION("""COMPUTED_VALUE""")," 32044150448843_032")</f>
        <v> 32044150448843_032</v>
      </c>
      <c r="D348" s="94" t="str">
        <f>IFERROR(__xludf.DUMMYFUNCTION("""COMPUTED_VALUE""")," 32044150448843_033")</f>
        <v> 32044150448843_033</v>
      </c>
      <c r="E348" s="94" t="str">
        <f>IFERROR(__xludf.DUMMYFUNCTION("""COMPUTED_VALUE""")," 32044150448843_034")</f>
        <v> 32044150448843_034</v>
      </c>
      <c r="F348" s="94" t="str">
        <f>IFERROR(__xludf.DUMMYFUNCTION("""COMPUTED_VALUE""")," 32044150448843_035")</f>
        <v> 32044150448843_035</v>
      </c>
      <c r="G348" s="94" t="str">
        <f>IFERROR(__xludf.DUMMYFUNCTION("""COMPUTED_VALUE""")," 32044150448843_036")</f>
        <v> 32044150448843_036</v>
      </c>
      <c r="H348" s="94" t="str">
        <f>IFERROR(__xludf.DUMMYFUNCTION("""COMPUTED_VALUE""")," 32044150448843_037")</f>
        <v> 32044150448843_037</v>
      </c>
      <c r="I348" s="94" t="str">
        <f>IFERROR(__xludf.DUMMYFUNCTION("""COMPUTED_VALUE""")," 32044150448843_038")</f>
        <v> 32044150448843_038</v>
      </c>
      <c r="J348" s="94" t="str">
        <f>IFERROR(__xludf.DUMMYFUNCTION("""COMPUTED_VALUE""")," 32044150448843_039")</f>
        <v> 32044150448843_039</v>
      </c>
      <c r="K348" s="94" t="str">
        <f>IFERROR(__xludf.DUMMYFUNCTION("""COMPUTED_VALUE""")," 32044150448843_040")</f>
        <v> 32044150448843_040</v>
      </c>
      <c r="L348" s="94" t="str">
        <f>IFERROR(__xludf.DUMMYFUNCTION("""COMPUTED_VALUE""")," 32044150448843_041")</f>
        <v> 32044150448843_041</v>
      </c>
      <c r="M348" s="94" t="str">
        <f>IFERROR(__xludf.DUMMYFUNCTION("""COMPUTED_VALUE""")," 32044150448843_042")</f>
        <v> 32044150448843_042</v>
      </c>
      <c r="N348" s="94"/>
      <c r="O348" s="94"/>
      <c r="P348" s="94"/>
      <c r="Q348" s="94"/>
      <c r="R348" s="94"/>
      <c r="S348" s="94"/>
      <c r="T348" s="94"/>
      <c r="U348" s="94"/>
      <c r="V348" s="94"/>
      <c r="W348" s="94"/>
      <c r="X348" s="94"/>
      <c r="Y348" s="94"/>
      <c r="Z348" s="94"/>
      <c r="AA348" s="94"/>
      <c r="AB348" s="94"/>
      <c r="AC348" s="94"/>
      <c r="AD348" s="94"/>
      <c r="AE348" s="94"/>
      <c r="AF348" s="94"/>
      <c r="AG348" s="94"/>
    </row>
    <row r="349">
      <c r="A349" s="96" t="s">
        <v>2562</v>
      </c>
      <c r="B349" s="95" t="str">
        <f>IFERROR(__xludf.DUMMYFUNCTION("""COMPUTED_VALUE"""),"32044150448843_043")</f>
        <v>32044150448843_043</v>
      </c>
      <c r="C349" s="94" t="str">
        <f>IFERROR(__xludf.DUMMYFUNCTION("""COMPUTED_VALUE""")," 32044150448843_044")</f>
        <v> 32044150448843_044</v>
      </c>
      <c r="D349" s="94" t="str">
        <f>IFERROR(__xludf.DUMMYFUNCTION("""COMPUTED_VALUE""")," 32044150448843_045")</f>
        <v> 32044150448843_045</v>
      </c>
      <c r="E349" s="94" t="str">
        <f>IFERROR(__xludf.DUMMYFUNCTION("""COMPUTED_VALUE""")," 32044150448843_046")</f>
        <v> 32044150448843_046</v>
      </c>
      <c r="F349" s="94" t="str">
        <f>IFERROR(__xludf.DUMMYFUNCTION("""COMPUTED_VALUE""")," 32044150448843_047")</f>
        <v> 32044150448843_047</v>
      </c>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c r="AD349" s="94"/>
      <c r="AE349" s="94"/>
      <c r="AF349" s="94"/>
      <c r="AG349" s="94"/>
    </row>
    <row r="350">
      <c r="A350" s="96" t="s">
        <v>2571</v>
      </c>
      <c r="B350" s="95" t="str">
        <f>IFERROR(__xludf.DUMMYFUNCTION("""COMPUTED_VALUE"""),"32044150448850_001")</f>
        <v>32044150448850_001</v>
      </c>
      <c r="C350" s="94" t="str">
        <f>IFERROR(__xludf.DUMMYFUNCTION("""COMPUTED_VALUE""")," 32044150448850_002")</f>
        <v> 32044150448850_002</v>
      </c>
      <c r="D350" s="94" t="str">
        <f>IFERROR(__xludf.DUMMYFUNCTION("""COMPUTED_VALUE""")," 32044150448850_003")</f>
        <v> 32044150448850_003</v>
      </c>
      <c r="E350" s="94" t="str">
        <f>IFERROR(__xludf.DUMMYFUNCTION("""COMPUTED_VALUE""")," 32044150448850_004")</f>
        <v> 32044150448850_004</v>
      </c>
      <c r="F350" s="94" t="str">
        <f>IFERROR(__xludf.DUMMYFUNCTION("""COMPUTED_VALUE""")," 32044150448850_005")</f>
        <v> 32044150448850_005</v>
      </c>
      <c r="G350" s="94" t="str">
        <f>IFERROR(__xludf.DUMMYFUNCTION("""COMPUTED_VALUE""")," 32044150448850_006")</f>
        <v> 32044150448850_006</v>
      </c>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c r="AE350" s="94"/>
      <c r="AF350" s="94"/>
      <c r="AG350" s="94"/>
    </row>
    <row r="351">
      <c r="A351" s="96" t="s">
        <v>2578</v>
      </c>
      <c r="B351" s="95" t="str">
        <f>IFERROR(__xludf.DUMMYFUNCTION("""COMPUTED_VALUE"""),"32044150448860_007")</f>
        <v>32044150448860_007</v>
      </c>
      <c r="C351" s="94" t="str">
        <f>IFERROR(__xludf.DUMMYFUNCTION("""COMPUTED_VALUE""")," 32044150448860_008")</f>
        <v> 32044150448860_008</v>
      </c>
      <c r="D351" s="94" t="str">
        <f>IFERROR(__xludf.DUMMYFUNCTION("""COMPUTED_VALUE""")," 32044150448860_009")</f>
        <v> 32044150448860_009</v>
      </c>
      <c r="E351" s="94" t="str">
        <f>IFERROR(__xludf.DUMMYFUNCTION("""COMPUTED_VALUE""")," 32044150448860_010")</f>
        <v> 32044150448860_010</v>
      </c>
      <c r="F351" s="94" t="str">
        <f>IFERROR(__xludf.DUMMYFUNCTION("""COMPUTED_VALUE""")," 32044150448860_011")</f>
        <v> 32044150448860_011</v>
      </c>
      <c r="G351" s="94" t="str">
        <f>IFERROR(__xludf.DUMMYFUNCTION("""COMPUTED_VALUE""")," 32044150448860_012")</f>
        <v> 32044150448860_012</v>
      </c>
      <c r="H351" s="94" t="str">
        <f>IFERROR(__xludf.DUMMYFUNCTION("""COMPUTED_VALUE""")," 32044150448860_013")</f>
        <v> 32044150448860_013</v>
      </c>
      <c r="I351" s="94" t="str">
        <f>IFERROR(__xludf.DUMMYFUNCTION("""COMPUTED_VALUE""")," 32044150448860_014")</f>
        <v> 32044150448860_014</v>
      </c>
      <c r="J351" s="94" t="str">
        <f>IFERROR(__xludf.DUMMYFUNCTION("""COMPUTED_VALUE""")," 32044150448860_015")</f>
        <v> 32044150448860_015</v>
      </c>
      <c r="K351" s="94" t="str">
        <f>IFERROR(__xludf.DUMMYFUNCTION("""COMPUTED_VALUE""")," 32044150448860_016")</f>
        <v> 32044150448860_016</v>
      </c>
      <c r="L351" s="94" t="str">
        <f>IFERROR(__xludf.DUMMYFUNCTION("""COMPUTED_VALUE""")," 32044150448860_017")</f>
        <v> 32044150448860_017</v>
      </c>
      <c r="M351" s="94" t="str">
        <f>IFERROR(__xludf.DUMMYFUNCTION("""COMPUTED_VALUE""")," 32044150448860_018")</f>
        <v> 32044150448860_018</v>
      </c>
      <c r="N351" s="94" t="str">
        <f>IFERROR(__xludf.DUMMYFUNCTION("""COMPUTED_VALUE""")," 32044150448860_019")</f>
        <v> 32044150448860_019</v>
      </c>
      <c r="O351" s="94"/>
      <c r="P351" s="94"/>
      <c r="Q351" s="94"/>
      <c r="R351" s="94"/>
      <c r="S351" s="94"/>
      <c r="T351" s="94"/>
      <c r="U351" s="94"/>
      <c r="V351" s="94"/>
      <c r="W351" s="94"/>
      <c r="X351" s="94"/>
      <c r="Y351" s="94"/>
      <c r="Z351" s="94"/>
      <c r="AA351" s="94"/>
      <c r="AB351" s="94"/>
      <c r="AC351" s="94"/>
      <c r="AD351" s="94"/>
      <c r="AE351" s="94"/>
      <c r="AF351" s="94"/>
      <c r="AG351" s="94"/>
    </row>
    <row r="352">
      <c r="A352" s="96" t="s">
        <v>2586</v>
      </c>
      <c r="B352" s="95" t="str">
        <f>IFERROR(__xludf.DUMMYFUNCTION("""COMPUTED_VALUE"""),"32044150448860_020")</f>
        <v>32044150448860_020</v>
      </c>
      <c r="C352" s="94" t="str">
        <f>IFERROR(__xludf.DUMMYFUNCTION("""COMPUTED_VALUE""")," 32044150448860_021")</f>
        <v> 32044150448860_021</v>
      </c>
      <c r="D352" s="94" t="str">
        <f>IFERROR(__xludf.DUMMYFUNCTION("""COMPUTED_VALUE""")," 32044150448860_022")</f>
        <v> 32044150448860_022</v>
      </c>
      <c r="E352" s="94" t="str">
        <f>IFERROR(__xludf.DUMMYFUNCTION("""COMPUTED_VALUE""")," 32044150448860_023")</f>
        <v> 32044150448860_023</v>
      </c>
      <c r="F352" s="94" t="str">
        <f>IFERROR(__xludf.DUMMYFUNCTION("""COMPUTED_VALUE""")," 32044150448860_024")</f>
        <v> 32044150448860_024</v>
      </c>
      <c r="G352" s="94" t="str">
        <f>IFERROR(__xludf.DUMMYFUNCTION("""COMPUTED_VALUE""")," 32044150448860_025")</f>
        <v> 32044150448860_025</v>
      </c>
      <c r="H352" s="94" t="str">
        <f>IFERROR(__xludf.DUMMYFUNCTION("""COMPUTED_VALUE""")," 32044150448860_026")</f>
        <v> 32044150448860_026</v>
      </c>
      <c r="I352" s="94" t="str">
        <f>IFERROR(__xludf.DUMMYFUNCTION("""COMPUTED_VALUE""")," 32044150448860_027")</f>
        <v> 32044150448860_027</v>
      </c>
      <c r="J352" s="94" t="str">
        <f>IFERROR(__xludf.DUMMYFUNCTION("""COMPUTED_VALUE""")," 32044150448860_028")</f>
        <v> 32044150448860_028</v>
      </c>
      <c r="K352" s="94" t="str">
        <f>IFERROR(__xludf.DUMMYFUNCTION("""COMPUTED_VALUE""")," 32044150448860_029")</f>
        <v> 32044150448860_029</v>
      </c>
      <c r="L352" s="94" t="str">
        <f>IFERROR(__xludf.DUMMYFUNCTION("""COMPUTED_VALUE""")," 32044150448860_030")</f>
        <v> 32044150448860_030</v>
      </c>
      <c r="M352" s="94" t="str">
        <f>IFERROR(__xludf.DUMMYFUNCTION("""COMPUTED_VALUE""")," 32044150448860_031")</f>
        <v> 32044150448860_031</v>
      </c>
      <c r="N352" s="94"/>
      <c r="O352" s="94"/>
      <c r="P352" s="94"/>
      <c r="Q352" s="94"/>
      <c r="R352" s="94"/>
      <c r="S352" s="94"/>
      <c r="T352" s="94"/>
      <c r="U352" s="94"/>
      <c r="V352" s="94"/>
      <c r="W352" s="94"/>
      <c r="X352" s="94"/>
      <c r="Y352" s="94"/>
      <c r="Z352" s="94"/>
      <c r="AA352" s="94"/>
      <c r="AB352" s="94"/>
      <c r="AC352" s="94"/>
      <c r="AD352" s="94"/>
      <c r="AE352" s="94"/>
      <c r="AF352" s="94"/>
      <c r="AG352" s="94"/>
    </row>
    <row r="353">
      <c r="A353" s="96" t="s">
        <v>2592</v>
      </c>
      <c r="B353" s="95" t="str">
        <f>IFERROR(__xludf.DUMMYFUNCTION("""COMPUTED_VALUE"""),"32044150448850_032")</f>
        <v>32044150448850_032</v>
      </c>
      <c r="C353" s="94" t="str">
        <f>IFERROR(__xludf.DUMMYFUNCTION("""COMPUTED_VALUE""")," 32044150448850_033")</f>
        <v> 32044150448850_033</v>
      </c>
      <c r="D353" s="94" t="str">
        <f>IFERROR(__xludf.DUMMYFUNCTION("""COMPUTED_VALUE""")," 32044150448850_034")</f>
        <v> 32044150448850_034</v>
      </c>
      <c r="E353" s="94" t="str">
        <f>IFERROR(__xludf.DUMMYFUNCTION("""COMPUTED_VALUE""")," 32044150448850_035")</f>
        <v> 32044150448850_035</v>
      </c>
      <c r="F353" s="94" t="str">
        <f>IFERROR(__xludf.DUMMYFUNCTION("""COMPUTED_VALUE""")," 32044150448850_036")</f>
        <v> 32044150448850_036</v>
      </c>
      <c r="G353" s="94" t="str">
        <f>IFERROR(__xludf.DUMMYFUNCTION("""COMPUTED_VALUE""")," 32044150448850_037")</f>
        <v> 32044150448850_037</v>
      </c>
      <c r="H353" s="94"/>
      <c r="I353" s="94"/>
      <c r="J353" s="94"/>
      <c r="K353" s="94"/>
      <c r="L353" s="94"/>
      <c r="M353" s="94"/>
      <c r="N353" s="94"/>
      <c r="O353" s="94"/>
      <c r="P353" s="94"/>
      <c r="Q353" s="94"/>
      <c r="R353" s="94"/>
      <c r="S353" s="94"/>
      <c r="T353" s="94"/>
      <c r="U353" s="94"/>
      <c r="V353" s="94"/>
      <c r="W353" s="94"/>
      <c r="X353" s="94"/>
      <c r="Y353" s="94"/>
      <c r="Z353" s="94"/>
      <c r="AA353" s="94"/>
      <c r="AB353" s="94"/>
      <c r="AC353" s="94"/>
      <c r="AD353" s="94"/>
      <c r="AE353" s="94"/>
      <c r="AF353" s="94"/>
      <c r="AG353" s="94"/>
    </row>
    <row r="354">
      <c r="A354" s="96" t="s">
        <v>2600</v>
      </c>
      <c r="B354" s="95" t="str">
        <f>IFERROR(__xludf.DUMMYFUNCTION("""COMPUTED_VALUE"""),"32044150448850_038")</f>
        <v>32044150448850_038</v>
      </c>
      <c r="C354" s="94" t="str">
        <f>IFERROR(__xludf.DUMMYFUNCTION("""COMPUTED_VALUE""")," 32044150448850_039")</f>
        <v> 32044150448850_039</v>
      </c>
      <c r="D354" s="94" t="str">
        <f>IFERROR(__xludf.DUMMYFUNCTION("""COMPUTED_VALUE""")," 32044150448850_040")</f>
        <v> 32044150448850_040</v>
      </c>
      <c r="E354" s="94" t="str">
        <f>IFERROR(__xludf.DUMMYFUNCTION("""COMPUTED_VALUE""")," 32044150448850_041")</f>
        <v> 32044150448850_041</v>
      </c>
      <c r="F354" s="94" t="str">
        <f>IFERROR(__xludf.DUMMYFUNCTION("""COMPUTED_VALUE""")," 32044150448850_042")</f>
        <v> 32044150448850_042</v>
      </c>
      <c r="G354" s="94" t="str">
        <f>IFERROR(__xludf.DUMMYFUNCTION("""COMPUTED_VALUE""")," 32044150448850_043")</f>
        <v> 32044150448850_043</v>
      </c>
      <c r="H354" s="94" t="str">
        <f>IFERROR(__xludf.DUMMYFUNCTION("""COMPUTED_VALUE""")," 32044150448850_044")</f>
        <v> 32044150448850_044</v>
      </c>
      <c r="I354" s="94" t="str">
        <f>IFERROR(__xludf.DUMMYFUNCTION("""COMPUTED_VALUE""")," 32044150448850_045")</f>
        <v> 32044150448850_045</v>
      </c>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row>
    <row r="355">
      <c r="A355" s="96" t="s">
        <v>2609</v>
      </c>
      <c r="B355" s="95" t="str">
        <f>IFERROR(__xludf.DUMMYFUNCTION("""COMPUTED_VALUE"""),"32044150448850_046")</f>
        <v>32044150448850_046</v>
      </c>
      <c r="C355" s="94" t="str">
        <f>IFERROR(__xludf.DUMMYFUNCTION("""COMPUTED_VALUE""")," 32044150448850_047")</f>
        <v> 32044150448850_047</v>
      </c>
      <c r="D355" s="94" t="str">
        <f>IFERROR(__xludf.DUMMYFUNCTION("""COMPUTED_VALUE""")," 32044150448850_048")</f>
        <v> 32044150448850_048</v>
      </c>
      <c r="E355" s="94" t="str">
        <f>IFERROR(__xludf.DUMMYFUNCTION("""COMPUTED_VALUE""")," 32044150448850_049")</f>
        <v> 32044150448850_049</v>
      </c>
      <c r="F355" s="94" t="str">
        <f>IFERROR(__xludf.DUMMYFUNCTION("""COMPUTED_VALUE""")," 32044150448850_050")</f>
        <v> 32044150448850_050</v>
      </c>
      <c r="G355" s="94" t="str">
        <f>IFERROR(__xludf.DUMMYFUNCTION("""COMPUTED_VALUE""")," 32044150448850_051")</f>
        <v> 32044150448850_051</v>
      </c>
      <c r="H355" s="94"/>
      <c r="I355" s="94"/>
      <c r="J355" s="94"/>
      <c r="K355" s="94"/>
      <c r="L355" s="94"/>
      <c r="M355" s="94"/>
      <c r="N355" s="94"/>
      <c r="O355" s="94"/>
      <c r="P355" s="94"/>
      <c r="Q355" s="94"/>
      <c r="R355" s="94"/>
      <c r="S355" s="94"/>
      <c r="T355" s="94"/>
      <c r="U355" s="94"/>
      <c r="V355" s="94"/>
      <c r="W355" s="94"/>
      <c r="X355" s="94"/>
      <c r="Y355" s="94"/>
      <c r="Z355" s="94"/>
      <c r="AA355" s="94"/>
      <c r="AB355" s="94"/>
      <c r="AC355" s="94"/>
      <c r="AD355" s="94"/>
      <c r="AE355" s="94"/>
      <c r="AF355" s="94"/>
      <c r="AG355" s="94"/>
    </row>
    <row r="356">
      <c r="A356" s="96" t="s">
        <v>2615</v>
      </c>
      <c r="B356" s="95" t="str">
        <f>IFERROR(__xludf.DUMMYFUNCTION("""COMPUTED_VALUE"""),"32044150448868_001")</f>
        <v>32044150448868_001</v>
      </c>
      <c r="C356" s="94" t="str">
        <f>IFERROR(__xludf.DUMMYFUNCTION("""COMPUTED_VALUE""")," 32044150448868_002")</f>
        <v> 32044150448868_002</v>
      </c>
      <c r="D356" s="94" t="str">
        <f>IFERROR(__xludf.DUMMYFUNCTION("""COMPUTED_VALUE""")," 32044150448868_003")</f>
        <v> 32044150448868_003</v>
      </c>
      <c r="E356" s="94" t="str">
        <f>IFERROR(__xludf.DUMMYFUNCTION("""COMPUTED_VALUE""")," 32044150448868_004")</f>
        <v> 32044150448868_004</v>
      </c>
      <c r="F356" s="94" t="str">
        <f>IFERROR(__xludf.DUMMYFUNCTION("""COMPUTED_VALUE""")," 32044150448868_005")</f>
        <v> 32044150448868_005</v>
      </c>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row>
    <row r="357">
      <c r="A357" s="96" t="s">
        <v>2620</v>
      </c>
      <c r="B357" s="95" t="str">
        <f>IFERROR(__xludf.DUMMYFUNCTION("""COMPUTED_VALUE"""),"32044150448868_006")</f>
        <v>32044150448868_006</v>
      </c>
      <c r="C357" s="94" t="str">
        <f>IFERROR(__xludf.DUMMYFUNCTION("""COMPUTED_VALUE""")," 32044150448868_007")</f>
        <v> 32044150448868_007</v>
      </c>
      <c r="D357" s="94" t="str">
        <f>IFERROR(__xludf.DUMMYFUNCTION("""COMPUTED_VALUE""")," 32044150448868_008")</f>
        <v> 32044150448868_008</v>
      </c>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row>
    <row r="358">
      <c r="A358" s="96" t="s">
        <v>2625</v>
      </c>
      <c r="B358" s="95" t="str">
        <f>IFERROR(__xludf.DUMMYFUNCTION("""COMPUTED_VALUE"""),"32044150448868_009")</f>
        <v>32044150448868_009</v>
      </c>
      <c r="C358" s="94" t="str">
        <f>IFERROR(__xludf.DUMMYFUNCTION("""COMPUTED_VALUE""")," 32044150448868_010")</f>
        <v> 32044150448868_010</v>
      </c>
      <c r="D358" s="94" t="str">
        <f>IFERROR(__xludf.DUMMYFUNCTION("""COMPUTED_VALUE""")," 32044150448868_011")</f>
        <v> 32044150448868_011</v>
      </c>
      <c r="E358" s="94" t="str">
        <f>IFERROR(__xludf.DUMMYFUNCTION("""COMPUTED_VALUE""")," 32044150448868_012")</f>
        <v> 32044150448868_012</v>
      </c>
      <c r="F358" s="94" t="str">
        <f>IFERROR(__xludf.DUMMYFUNCTION("""COMPUTED_VALUE""")," 32044150448868_013")</f>
        <v> 32044150448868_013</v>
      </c>
      <c r="G358" s="94" t="str">
        <f>IFERROR(__xludf.DUMMYFUNCTION("""COMPUTED_VALUE""")," 32044150448868_014")</f>
        <v> 32044150448868_014</v>
      </c>
      <c r="H358" s="94" t="str">
        <f>IFERROR(__xludf.DUMMYFUNCTION("""COMPUTED_VALUE""")," 32044150448868_015")</f>
        <v> 32044150448868_015</v>
      </c>
      <c r="I358" s="94" t="str">
        <f>IFERROR(__xludf.DUMMYFUNCTION("""COMPUTED_VALUE""")," 32044150448868_016")</f>
        <v> 32044150448868_016</v>
      </c>
      <c r="J358" s="94" t="str">
        <f>IFERROR(__xludf.DUMMYFUNCTION("""COMPUTED_VALUE""")," 32044150448868_017")</f>
        <v> 32044150448868_017</v>
      </c>
      <c r="K358" s="94" t="str">
        <f>IFERROR(__xludf.DUMMYFUNCTION("""COMPUTED_VALUE""")," 32044150448868_018")</f>
        <v> 32044150448868_018</v>
      </c>
      <c r="L358" s="94" t="str">
        <f>IFERROR(__xludf.DUMMYFUNCTION("""COMPUTED_VALUE""")," 32044150448868_019")</f>
        <v> 32044150448868_019</v>
      </c>
      <c r="M358" s="94" t="str">
        <f>IFERROR(__xludf.DUMMYFUNCTION("""COMPUTED_VALUE""")," 32044150448868_020")</f>
        <v> 32044150448868_020</v>
      </c>
      <c r="N358" s="94" t="str">
        <f>IFERROR(__xludf.DUMMYFUNCTION("""COMPUTED_VALUE""")," 32044150448868_021")</f>
        <v> 32044150448868_021</v>
      </c>
      <c r="O358" s="94" t="str">
        <f>IFERROR(__xludf.DUMMYFUNCTION("""COMPUTED_VALUE""")," 32044150448868_022")</f>
        <v> 32044150448868_022</v>
      </c>
      <c r="P358" s="94"/>
      <c r="Q358" s="94"/>
      <c r="R358" s="94"/>
      <c r="S358" s="94"/>
      <c r="T358" s="94"/>
      <c r="U358" s="94"/>
      <c r="V358" s="94"/>
      <c r="W358" s="94"/>
      <c r="X358" s="94"/>
      <c r="Y358" s="94"/>
      <c r="Z358" s="94"/>
      <c r="AA358" s="94"/>
      <c r="AB358" s="94"/>
      <c r="AC358" s="94"/>
      <c r="AD358" s="94"/>
      <c r="AE358" s="94"/>
      <c r="AF358" s="94"/>
      <c r="AG358" s="94"/>
    </row>
    <row r="359">
      <c r="A359" s="96" t="s">
        <v>2630</v>
      </c>
      <c r="B359" s="95" t="str">
        <f>IFERROR(__xludf.DUMMYFUNCTION("""COMPUTED_VALUE"""),"32044150448868_034")</f>
        <v>32044150448868_034</v>
      </c>
      <c r="C359" s="94" t="str">
        <f>IFERROR(__xludf.DUMMYFUNCTION("""COMPUTED_VALUE""")," 32044150448868_035")</f>
        <v> 32044150448868_035</v>
      </c>
      <c r="D359" s="94" t="str">
        <f>IFERROR(__xludf.DUMMYFUNCTION("""COMPUTED_VALUE""")," 32044150448868_036")</f>
        <v> 32044150448868_036</v>
      </c>
      <c r="E359" s="94" t="str">
        <f>IFERROR(__xludf.DUMMYFUNCTION("""COMPUTED_VALUE""")," 32044150448868_037")</f>
        <v> 32044150448868_037</v>
      </c>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c r="AD359" s="94"/>
      <c r="AE359" s="94"/>
      <c r="AF359" s="94"/>
      <c r="AG359" s="94"/>
    </row>
    <row r="360">
      <c r="A360" s="96" t="s">
        <v>2636</v>
      </c>
      <c r="B360" s="95" t="str">
        <f>IFERROR(__xludf.DUMMYFUNCTION("""COMPUTED_VALUE"""),"32044150448868_038")</f>
        <v>32044150448868_038</v>
      </c>
      <c r="C360" s="94" t="str">
        <f>IFERROR(__xludf.DUMMYFUNCTION("""COMPUTED_VALUE""")," 32044150448868_039")</f>
        <v> 32044150448868_039</v>
      </c>
      <c r="D360" s="94" t="str">
        <f>IFERROR(__xludf.DUMMYFUNCTION("""COMPUTED_VALUE""")," 32044150448868_040")</f>
        <v> 32044150448868_040</v>
      </c>
      <c r="E360" s="94" t="str">
        <f>IFERROR(__xludf.DUMMYFUNCTION("""COMPUTED_VALUE""")," 32044150448868_041")</f>
        <v> 32044150448868_041</v>
      </c>
      <c r="F360" s="94" t="str">
        <f>IFERROR(__xludf.DUMMYFUNCTION("""COMPUTED_VALUE""")," 32044150448868_042")</f>
        <v> 32044150448868_042</v>
      </c>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c r="AD360" s="94"/>
      <c r="AE360" s="94"/>
      <c r="AF360" s="94"/>
      <c r="AG360" s="94"/>
    </row>
    <row r="361">
      <c r="A361" s="96" t="s">
        <v>2643</v>
      </c>
      <c r="B361" s="95" t="str">
        <f>IFERROR(__xludf.DUMMYFUNCTION("""COMPUTED_VALUE"""),"32044150448868_023")</f>
        <v>32044150448868_023</v>
      </c>
      <c r="C361" s="94" t="str">
        <f>IFERROR(__xludf.DUMMYFUNCTION("""COMPUTED_VALUE""")," 32044150448868_024")</f>
        <v> 32044150448868_024</v>
      </c>
      <c r="D361" s="94" t="str">
        <f>IFERROR(__xludf.DUMMYFUNCTION("""COMPUTED_VALUE""")," 32044150448868_025")</f>
        <v> 32044150448868_025</v>
      </c>
      <c r="E361" s="94" t="str">
        <f>IFERROR(__xludf.DUMMYFUNCTION("""COMPUTED_VALUE""")," 32044150448868_026")</f>
        <v> 32044150448868_026</v>
      </c>
      <c r="F361" s="94" t="str">
        <f>IFERROR(__xludf.DUMMYFUNCTION("""COMPUTED_VALUE""")," 32044150448868_027")</f>
        <v> 32044150448868_027</v>
      </c>
      <c r="G361" s="94" t="str">
        <f>IFERROR(__xludf.DUMMYFUNCTION("""COMPUTED_VALUE""")," 32044150448868_028")</f>
        <v> 32044150448868_028</v>
      </c>
      <c r="H361" s="94" t="str">
        <f>IFERROR(__xludf.DUMMYFUNCTION("""COMPUTED_VALUE""")," 32044150448868_029")</f>
        <v> 32044150448868_029</v>
      </c>
      <c r="I361" s="94" t="str">
        <f>IFERROR(__xludf.DUMMYFUNCTION("""COMPUTED_VALUE""")," 32044150448868_030")</f>
        <v> 32044150448868_030</v>
      </c>
      <c r="J361" s="94" t="str">
        <f>IFERROR(__xludf.DUMMYFUNCTION("""COMPUTED_VALUE""")," 32044150448868_031")</f>
        <v> 32044150448868_031</v>
      </c>
      <c r="K361" s="94" t="str">
        <f>IFERROR(__xludf.DUMMYFUNCTION("""COMPUTED_VALUE""")," 32044150448868_032")</f>
        <v> 32044150448868_032</v>
      </c>
      <c r="L361" s="94" t="str">
        <f>IFERROR(__xludf.DUMMYFUNCTION("""COMPUTED_VALUE""")," 32044150448868_033")</f>
        <v> 32044150448868_033</v>
      </c>
      <c r="M361" s="94"/>
      <c r="N361" s="94"/>
      <c r="O361" s="94"/>
      <c r="P361" s="94"/>
      <c r="Q361" s="94"/>
      <c r="R361" s="94"/>
      <c r="S361" s="94"/>
      <c r="T361" s="94"/>
      <c r="U361" s="94"/>
      <c r="V361" s="94"/>
      <c r="W361" s="94"/>
      <c r="X361" s="94"/>
      <c r="Y361" s="94"/>
      <c r="Z361" s="94"/>
      <c r="AA361" s="94"/>
      <c r="AB361" s="94"/>
      <c r="AC361" s="94"/>
      <c r="AD361" s="94"/>
      <c r="AE361" s="94"/>
      <c r="AF361" s="94"/>
      <c r="AG361" s="94"/>
    </row>
    <row r="362">
      <c r="A362" s="96" t="s">
        <v>2649</v>
      </c>
      <c r="B362" s="95" t="str">
        <f>IFERROR(__xludf.DUMMYFUNCTION("""COMPUTED_VALUE"""),"32044150448884_038")</f>
        <v>32044150448884_038</v>
      </c>
      <c r="C362" s="94" t="str">
        <f>IFERROR(__xludf.DUMMYFUNCTION("""COMPUTED_VALUE""")," 32044150448884_039")</f>
        <v> 32044150448884_039</v>
      </c>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c r="AD362" s="94"/>
      <c r="AE362" s="94"/>
      <c r="AF362" s="94"/>
      <c r="AG362" s="94"/>
    </row>
    <row r="363">
      <c r="A363" s="96" t="s">
        <v>2655</v>
      </c>
      <c r="B363" s="95" t="str">
        <f>IFERROR(__xludf.DUMMYFUNCTION("""COMPUTED_VALUE"""),"32044150448884_001")</f>
        <v>32044150448884_001</v>
      </c>
      <c r="C363" s="94" t="str">
        <f>IFERROR(__xludf.DUMMYFUNCTION("""COMPUTED_VALUE""")," 32044150448884_002")</f>
        <v> 32044150448884_002</v>
      </c>
      <c r="D363" s="94" t="str">
        <f>IFERROR(__xludf.DUMMYFUNCTION("""COMPUTED_VALUE""")," 32044150448884_003")</f>
        <v> 32044150448884_003</v>
      </c>
      <c r="E363" s="94" t="str">
        <f>IFERROR(__xludf.DUMMYFUNCTION("""COMPUTED_VALUE""")," 32044150448884_004")</f>
        <v> 32044150448884_004</v>
      </c>
      <c r="F363" s="94" t="str">
        <f>IFERROR(__xludf.DUMMYFUNCTION("""COMPUTED_VALUE""")," 32044150448884_005")</f>
        <v> 32044150448884_005</v>
      </c>
      <c r="G363" s="94" t="str">
        <f>IFERROR(__xludf.DUMMYFUNCTION("""COMPUTED_VALUE""")," 32044150448884_006")</f>
        <v> 32044150448884_006</v>
      </c>
      <c r="H363" s="94" t="str">
        <f>IFERROR(__xludf.DUMMYFUNCTION("""COMPUTED_VALUE""")," 32044150448884_007")</f>
        <v> 32044150448884_007</v>
      </c>
      <c r="I363" s="94" t="str">
        <f>IFERROR(__xludf.DUMMYFUNCTION("""COMPUTED_VALUE""")," 32044150448884_008")</f>
        <v> 32044150448884_008</v>
      </c>
      <c r="J363" s="94" t="str">
        <f>IFERROR(__xludf.DUMMYFUNCTION("""COMPUTED_VALUE""")," 32044150448884_009")</f>
        <v> 32044150448884_009</v>
      </c>
      <c r="K363" s="94" t="str">
        <f>IFERROR(__xludf.DUMMYFUNCTION("""COMPUTED_VALUE""")," 32044150448884_010")</f>
        <v> 32044150448884_010</v>
      </c>
      <c r="L363" s="94" t="str">
        <f>IFERROR(__xludf.DUMMYFUNCTION("""COMPUTED_VALUE""")," 32044150448884_011")</f>
        <v> 32044150448884_011</v>
      </c>
      <c r="M363" s="94" t="str">
        <f>IFERROR(__xludf.DUMMYFUNCTION("""COMPUTED_VALUE""")," 32044150448884_012")</f>
        <v> 32044150448884_012</v>
      </c>
      <c r="N363" s="94" t="str">
        <f>IFERROR(__xludf.DUMMYFUNCTION("""COMPUTED_VALUE""")," 32044150448884_013")</f>
        <v> 32044150448884_013</v>
      </c>
      <c r="O363" s="94" t="str">
        <f>IFERROR(__xludf.DUMMYFUNCTION("""COMPUTED_VALUE""")," 32044150448884_014")</f>
        <v> 32044150448884_014</v>
      </c>
      <c r="P363" s="94" t="str">
        <f>IFERROR(__xludf.DUMMYFUNCTION("""COMPUTED_VALUE""")," 32044150448884_015")</f>
        <v> 32044150448884_015</v>
      </c>
      <c r="Q363" s="94" t="str">
        <f>IFERROR(__xludf.DUMMYFUNCTION("""COMPUTED_VALUE""")," 32044150448884_016")</f>
        <v> 32044150448884_016</v>
      </c>
      <c r="R363" s="94"/>
      <c r="S363" s="94"/>
      <c r="T363" s="94"/>
      <c r="U363" s="94"/>
      <c r="V363" s="94"/>
      <c r="W363" s="94"/>
      <c r="X363" s="94"/>
      <c r="Y363" s="94"/>
      <c r="Z363" s="94"/>
      <c r="AA363" s="94"/>
      <c r="AB363" s="94"/>
      <c r="AC363" s="94"/>
      <c r="AD363" s="94"/>
      <c r="AE363" s="94"/>
      <c r="AF363" s="94"/>
      <c r="AG363" s="94"/>
    </row>
    <row r="364">
      <c r="A364" s="96" t="s">
        <v>2661</v>
      </c>
      <c r="B364" s="95" t="str">
        <f>IFERROR(__xludf.DUMMYFUNCTION("""COMPUTED_VALUE"""),"32044150448884_017")</f>
        <v>32044150448884_017</v>
      </c>
      <c r="C364" s="94" t="str">
        <f>IFERROR(__xludf.DUMMYFUNCTION("""COMPUTED_VALUE""")," 32044150448884_018")</f>
        <v> 32044150448884_018</v>
      </c>
      <c r="D364" s="94" t="str">
        <f>IFERROR(__xludf.DUMMYFUNCTION("""COMPUTED_VALUE""")," 32044150448884_019")</f>
        <v> 32044150448884_019</v>
      </c>
      <c r="E364" s="94" t="str">
        <f>IFERROR(__xludf.DUMMYFUNCTION("""COMPUTED_VALUE""")," 32044150448884_020")</f>
        <v> 32044150448884_020</v>
      </c>
      <c r="F364" s="94" t="str">
        <f>IFERROR(__xludf.DUMMYFUNCTION("""COMPUTED_VALUE""")," 32044150448884_021")</f>
        <v> 32044150448884_021</v>
      </c>
      <c r="G364" s="94" t="str">
        <f>IFERROR(__xludf.DUMMYFUNCTION("""COMPUTED_VALUE""")," 32044150448884_022")</f>
        <v> 32044150448884_022</v>
      </c>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row>
    <row r="365">
      <c r="A365" s="96" t="s">
        <v>2668</v>
      </c>
      <c r="B365" s="95" t="str">
        <f>IFERROR(__xludf.DUMMYFUNCTION("""COMPUTED_VALUE"""),"32044150448884_023")</f>
        <v>32044150448884_023</v>
      </c>
      <c r="C365" s="94" t="str">
        <f>IFERROR(__xludf.DUMMYFUNCTION("""COMPUTED_VALUE""")," 32044150448884_024")</f>
        <v> 32044150448884_024</v>
      </c>
      <c r="D365" s="94" t="str">
        <f>IFERROR(__xludf.DUMMYFUNCTION("""COMPUTED_VALUE""")," 32044150448884_025")</f>
        <v> 32044150448884_025</v>
      </c>
      <c r="E365" s="94" t="str">
        <f>IFERROR(__xludf.DUMMYFUNCTION("""COMPUTED_VALUE""")," 32044150448884_026")</f>
        <v> 32044150448884_026</v>
      </c>
      <c r="F365" s="94" t="str">
        <f>IFERROR(__xludf.DUMMYFUNCTION("""COMPUTED_VALUE""")," 32044150448884_027")</f>
        <v> 32044150448884_027</v>
      </c>
      <c r="G365" s="94" t="str">
        <f>IFERROR(__xludf.DUMMYFUNCTION("""COMPUTED_VALUE""")," 32044150448884_028")</f>
        <v> 32044150448884_028</v>
      </c>
      <c r="H365" s="94" t="str">
        <f>IFERROR(__xludf.DUMMYFUNCTION("""COMPUTED_VALUE""")," 32044150448884_029")</f>
        <v> 32044150448884_029</v>
      </c>
      <c r="I365" s="94" t="str">
        <f>IFERROR(__xludf.DUMMYFUNCTION("""COMPUTED_VALUE""")," 32044150448884_030")</f>
        <v> 32044150448884_030</v>
      </c>
      <c r="J365" s="94" t="str">
        <f>IFERROR(__xludf.DUMMYFUNCTION("""COMPUTED_VALUE""")," 32044150448884_031")</f>
        <v> 32044150448884_031</v>
      </c>
      <c r="K365" s="94" t="str">
        <f>IFERROR(__xludf.DUMMYFUNCTION("""COMPUTED_VALUE""")," 32044150448884_032")</f>
        <v> 32044150448884_032</v>
      </c>
      <c r="L365" s="94" t="str">
        <f>IFERROR(__xludf.DUMMYFUNCTION("""COMPUTED_VALUE""")," 32044150448884_033")</f>
        <v> 32044150448884_033</v>
      </c>
      <c r="M365" s="94" t="str">
        <f>IFERROR(__xludf.DUMMYFUNCTION("""COMPUTED_VALUE""")," 32044150448884_034")</f>
        <v> 32044150448884_034</v>
      </c>
      <c r="N365" s="94"/>
      <c r="O365" s="94"/>
      <c r="P365" s="94"/>
      <c r="Q365" s="94"/>
      <c r="R365" s="94"/>
      <c r="S365" s="94"/>
      <c r="T365" s="94"/>
      <c r="U365" s="94"/>
      <c r="V365" s="94"/>
      <c r="W365" s="94"/>
      <c r="X365" s="94"/>
      <c r="Y365" s="94"/>
      <c r="Z365" s="94"/>
      <c r="AA365" s="94"/>
      <c r="AB365" s="94"/>
      <c r="AC365" s="94"/>
      <c r="AD365" s="94"/>
      <c r="AE365" s="94"/>
      <c r="AF365" s="94"/>
      <c r="AG365" s="94"/>
    </row>
    <row r="366">
      <c r="A366" s="96" t="s">
        <v>2674</v>
      </c>
      <c r="B366" s="95" t="str">
        <f>IFERROR(__xludf.DUMMYFUNCTION("""COMPUTED_VALUE"""),"32044150448884_035")</f>
        <v>32044150448884_035</v>
      </c>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c r="AD366" s="94"/>
      <c r="AE366" s="94"/>
      <c r="AF366" s="94"/>
      <c r="AG366" s="94"/>
    </row>
    <row r="367">
      <c r="A367" s="96" t="s">
        <v>2679</v>
      </c>
      <c r="B367" s="95" t="str">
        <f>IFERROR(__xludf.DUMMYFUNCTION("""COMPUTED_VALUE"""),"32044150448884_037")</f>
        <v>32044150448884_037</v>
      </c>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c r="AD367" s="94"/>
      <c r="AE367" s="94"/>
      <c r="AF367" s="94"/>
      <c r="AG367" s="94"/>
    </row>
    <row r="368">
      <c r="A368" s="96" t="s">
        <v>2684</v>
      </c>
      <c r="B368" s="95" t="str">
        <f>IFERROR(__xludf.DUMMYFUNCTION("""COMPUTED_VALUE"""),"32044150448884_036")</f>
        <v>32044150448884_036</v>
      </c>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c r="AD368" s="94"/>
      <c r="AE368" s="94"/>
      <c r="AF368" s="94"/>
      <c r="AG368" s="94"/>
    </row>
    <row r="369">
      <c r="A369" s="96" t="s">
        <v>2690</v>
      </c>
      <c r="B369" s="95" t="str">
        <f>IFERROR(__xludf.DUMMYFUNCTION("""COMPUTED_VALUE"""),"32044150448892_001")</f>
        <v>32044150448892_001</v>
      </c>
      <c r="C369" s="94" t="str">
        <f>IFERROR(__xludf.DUMMYFUNCTION("""COMPUTED_VALUE""")," 32044150448892_002")</f>
        <v> 32044150448892_002</v>
      </c>
      <c r="D369" s="94" t="str">
        <f>IFERROR(__xludf.DUMMYFUNCTION("""COMPUTED_VALUE""")," 32044150448892_003")</f>
        <v> 32044150448892_003</v>
      </c>
      <c r="E369" s="94" t="str">
        <f>IFERROR(__xludf.DUMMYFUNCTION("""COMPUTED_VALUE""")," 32044150448892_004")</f>
        <v> 32044150448892_004</v>
      </c>
      <c r="F369" s="94" t="str">
        <f>IFERROR(__xludf.DUMMYFUNCTION("""COMPUTED_VALUE""")," 32044150448892_005")</f>
        <v> 32044150448892_005</v>
      </c>
      <c r="G369" s="94" t="str">
        <f>IFERROR(__xludf.DUMMYFUNCTION("""COMPUTED_VALUE""")," 32044150448892_006")</f>
        <v> 32044150448892_006</v>
      </c>
      <c r="H369" s="94" t="str">
        <f>IFERROR(__xludf.DUMMYFUNCTION("""COMPUTED_VALUE""")," 32044150448892_007")</f>
        <v> 32044150448892_007</v>
      </c>
      <c r="I369" s="94" t="str">
        <f>IFERROR(__xludf.DUMMYFUNCTION("""COMPUTED_VALUE""")," 32044150448892_008")</f>
        <v> 32044150448892_008</v>
      </c>
      <c r="J369" s="94" t="str">
        <f>IFERROR(__xludf.DUMMYFUNCTION("""COMPUTED_VALUE""")," 32044150448892_009")</f>
        <v> 32044150448892_009</v>
      </c>
      <c r="K369" s="94" t="str">
        <f>IFERROR(__xludf.DUMMYFUNCTION("""COMPUTED_VALUE""")," 32044150448892_010")</f>
        <v> 32044150448892_010</v>
      </c>
      <c r="L369" s="94" t="str">
        <f>IFERROR(__xludf.DUMMYFUNCTION("""COMPUTED_VALUE""")," 32044150448892_011")</f>
        <v> 32044150448892_011</v>
      </c>
      <c r="M369" s="94" t="str">
        <f>IFERROR(__xludf.DUMMYFUNCTION("""COMPUTED_VALUE""")," 32044150448892_012")</f>
        <v> 32044150448892_012</v>
      </c>
      <c r="N369" s="94" t="str">
        <f>IFERROR(__xludf.DUMMYFUNCTION("""COMPUTED_VALUE""")," 32044150448892_013")</f>
        <v> 32044150448892_013</v>
      </c>
      <c r="O369" s="94" t="str">
        <f>IFERROR(__xludf.DUMMYFUNCTION("""COMPUTED_VALUE""")," 32044150448892_014")</f>
        <v> 32044150448892_014</v>
      </c>
      <c r="P369" s="94" t="str">
        <f>IFERROR(__xludf.DUMMYFUNCTION("""COMPUTED_VALUE""")," 32044150448892_015")</f>
        <v> 32044150448892_015</v>
      </c>
      <c r="Q369" s="94" t="str">
        <f>IFERROR(__xludf.DUMMYFUNCTION("""COMPUTED_VALUE""")," 32044150448892_016")</f>
        <v> 32044150448892_016</v>
      </c>
      <c r="R369" s="94" t="str">
        <f>IFERROR(__xludf.DUMMYFUNCTION("""COMPUTED_VALUE""")," 32044150448892_017")</f>
        <v> 32044150448892_017</v>
      </c>
      <c r="S369" s="94" t="str">
        <f>IFERROR(__xludf.DUMMYFUNCTION("""COMPUTED_VALUE""")," 32044150448892_018")</f>
        <v> 32044150448892_018</v>
      </c>
      <c r="T369" s="94" t="str">
        <f>IFERROR(__xludf.DUMMYFUNCTION("""COMPUTED_VALUE""")," 32044150448892_019")</f>
        <v> 32044150448892_019</v>
      </c>
      <c r="U369" s="94" t="str">
        <f>IFERROR(__xludf.DUMMYFUNCTION("""COMPUTED_VALUE""")," 32044150448892_020")</f>
        <v> 32044150448892_020</v>
      </c>
      <c r="V369" s="94" t="str">
        <f>IFERROR(__xludf.DUMMYFUNCTION("""COMPUTED_VALUE""")," 32044150448892_021")</f>
        <v> 32044150448892_021</v>
      </c>
      <c r="W369" s="94" t="str">
        <f>IFERROR(__xludf.DUMMYFUNCTION("""COMPUTED_VALUE""")," 32044150448892_022")</f>
        <v> 32044150448892_022</v>
      </c>
      <c r="X369" s="94" t="str">
        <f>IFERROR(__xludf.DUMMYFUNCTION("""COMPUTED_VALUE""")," 32044150448892_023")</f>
        <v> 32044150448892_023</v>
      </c>
      <c r="Y369" s="94" t="str">
        <f>IFERROR(__xludf.DUMMYFUNCTION("""COMPUTED_VALUE""")," 32044150448892_024")</f>
        <v> 32044150448892_024</v>
      </c>
      <c r="Z369" s="94"/>
      <c r="AA369" s="94"/>
      <c r="AB369" s="94"/>
      <c r="AC369" s="94"/>
      <c r="AD369" s="94"/>
      <c r="AE369" s="94"/>
      <c r="AF369" s="94"/>
      <c r="AG369" s="94"/>
    </row>
    <row r="370">
      <c r="A370" s="96" t="s">
        <v>2697</v>
      </c>
      <c r="B370" s="95" t="str">
        <f>IFERROR(__xludf.DUMMYFUNCTION("""COMPUTED_VALUE"""),"32044150448892_025")</f>
        <v>32044150448892_025</v>
      </c>
      <c r="C370" s="94" t="str">
        <f>IFERROR(__xludf.DUMMYFUNCTION("""COMPUTED_VALUE""")," 32044150448892_026")</f>
        <v> 32044150448892_026</v>
      </c>
      <c r="D370" s="94" t="str">
        <f>IFERROR(__xludf.DUMMYFUNCTION("""COMPUTED_VALUE""")," 32044150448892_027")</f>
        <v> 32044150448892_027</v>
      </c>
      <c r="E370" s="94" t="str">
        <f>IFERROR(__xludf.DUMMYFUNCTION("""COMPUTED_VALUE""")," 32044150448892_028")</f>
        <v> 32044150448892_028</v>
      </c>
      <c r="F370" s="94" t="str">
        <f>IFERROR(__xludf.DUMMYFUNCTION("""COMPUTED_VALUE""")," 32044150448892_029")</f>
        <v> 32044150448892_029</v>
      </c>
      <c r="G370" s="94" t="str">
        <f>IFERROR(__xludf.DUMMYFUNCTION("""COMPUTED_VALUE""")," 32044150448892_030")</f>
        <v> 32044150448892_030</v>
      </c>
      <c r="H370" s="94" t="str">
        <f>IFERROR(__xludf.DUMMYFUNCTION("""COMPUTED_VALUE""")," 32044150448892_031")</f>
        <v> 32044150448892_031</v>
      </c>
      <c r="I370" s="94" t="str">
        <f>IFERROR(__xludf.DUMMYFUNCTION("""COMPUTED_VALUE""")," 32044150448892_032")</f>
        <v> 32044150448892_032</v>
      </c>
      <c r="J370" s="94"/>
      <c r="K370" s="94"/>
      <c r="L370" s="94"/>
      <c r="M370" s="94"/>
      <c r="N370" s="94"/>
      <c r="O370" s="94"/>
      <c r="P370" s="94"/>
      <c r="Q370" s="94"/>
      <c r="R370" s="94"/>
      <c r="S370" s="94"/>
      <c r="T370" s="94"/>
      <c r="U370" s="94"/>
      <c r="V370" s="94"/>
      <c r="W370" s="94"/>
      <c r="X370" s="94"/>
      <c r="Y370" s="94"/>
      <c r="Z370" s="94"/>
      <c r="AA370" s="94"/>
      <c r="AB370" s="94"/>
      <c r="AC370" s="94"/>
      <c r="AD370" s="94"/>
      <c r="AE370" s="94"/>
      <c r="AF370" s="94"/>
      <c r="AG370" s="94"/>
    </row>
    <row r="371">
      <c r="A371" s="96" t="s">
        <v>2702</v>
      </c>
      <c r="B371" s="95" t="str">
        <f>IFERROR(__xludf.DUMMYFUNCTION("""COMPUTED_VALUE"""),"32044150448900_001")</f>
        <v>32044150448900_001</v>
      </c>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c r="AD371" s="94"/>
      <c r="AE371" s="94"/>
      <c r="AF371" s="94"/>
      <c r="AG371" s="94"/>
    </row>
    <row r="372">
      <c r="A372" s="96" t="s">
        <v>2707</v>
      </c>
      <c r="B372" s="95" t="str">
        <f>IFERROR(__xludf.DUMMYFUNCTION("""COMPUTED_VALUE"""),"32044150448900_002")</f>
        <v>32044150448900_002</v>
      </c>
      <c r="C372" s="94" t="str">
        <f>IFERROR(__xludf.DUMMYFUNCTION("""COMPUTED_VALUE""")," 32044150448900_003")</f>
        <v> 32044150448900_003</v>
      </c>
      <c r="D372" s="94" t="str">
        <f>IFERROR(__xludf.DUMMYFUNCTION("""COMPUTED_VALUE""")," 32044150448900_004")</f>
        <v> 32044150448900_004</v>
      </c>
      <c r="E372" s="94" t="str">
        <f>IFERROR(__xludf.DUMMYFUNCTION("""COMPUTED_VALUE""")," 32044150448900_005")</f>
        <v> 32044150448900_005</v>
      </c>
      <c r="F372" s="94" t="str">
        <f>IFERROR(__xludf.DUMMYFUNCTION("""COMPUTED_VALUE""")," 32044150448900_006")</f>
        <v> 32044150448900_006</v>
      </c>
      <c r="G372" s="94" t="str">
        <f>IFERROR(__xludf.DUMMYFUNCTION("""COMPUTED_VALUE""")," 32044150448900_007")</f>
        <v> 32044150448900_007</v>
      </c>
      <c r="H372" s="94" t="str">
        <f>IFERROR(__xludf.DUMMYFUNCTION("""COMPUTED_VALUE""")," 32044150448900_008")</f>
        <v> 32044150448900_008</v>
      </c>
      <c r="I372" s="94" t="str">
        <f>IFERROR(__xludf.DUMMYFUNCTION("""COMPUTED_VALUE""")," 32044150448900_009")</f>
        <v> 32044150448900_009</v>
      </c>
      <c r="J372" s="94" t="str">
        <f>IFERROR(__xludf.DUMMYFUNCTION("""COMPUTED_VALUE""")," 32044150448900_010")</f>
        <v> 32044150448900_010</v>
      </c>
      <c r="K372" s="94" t="str">
        <f>IFERROR(__xludf.DUMMYFUNCTION("""COMPUTED_VALUE""")," 32044150448900_011")</f>
        <v> 32044150448900_011</v>
      </c>
      <c r="L372" s="94" t="str">
        <f>IFERROR(__xludf.DUMMYFUNCTION("""COMPUTED_VALUE""")," 32044150448900_012")</f>
        <v> 32044150448900_012</v>
      </c>
      <c r="M372" s="94" t="str">
        <f>IFERROR(__xludf.DUMMYFUNCTION("""COMPUTED_VALUE""")," 32044150448900_013")</f>
        <v> 32044150448900_013</v>
      </c>
      <c r="N372" s="94"/>
      <c r="O372" s="94"/>
      <c r="P372" s="94"/>
      <c r="Q372" s="94"/>
      <c r="R372" s="94"/>
      <c r="S372" s="94"/>
      <c r="T372" s="94"/>
      <c r="U372" s="94"/>
      <c r="V372" s="94"/>
      <c r="W372" s="94"/>
      <c r="X372" s="94"/>
      <c r="Y372" s="94"/>
      <c r="Z372" s="94"/>
      <c r="AA372" s="94"/>
      <c r="AB372" s="94"/>
      <c r="AC372" s="94"/>
      <c r="AD372" s="94"/>
      <c r="AE372" s="94"/>
      <c r="AF372" s="94"/>
      <c r="AG372" s="94"/>
    </row>
    <row r="373">
      <c r="A373" s="96" t="s">
        <v>2715</v>
      </c>
      <c r="B373" s="95" t="str">
        <f>IFERROR(__xludf.DUMMYFUNCTION("""COMPUTED_VALUE"""),"32044150448900_014")</f>
        <v>32044150448900_014</v>
      </c>
      <c r="C373" s="94" t="str">
        <f>IFERROR(__xludf.DUMMYFUNCTION("""COMPUTED_VALUE""")," 32044150448900_015")</f>
        <v> 32044150448900_015</v>
      </c>
      <c r="D373" s="94" t="str">
        <f>IFERROR(__xludf.DUMMYFUNCTION("""COMPUTED_VALUE""")," 32044150448900_016")</f>
        <v> 32044150448900_016</v>
      </c>
      <c r="E373" s="94" t="str">
        <f>IFERROR(__xludf.DUMMYFUNCTION("""COMPUTED_VALUE""")," 32044150448900_017")</f>
        <v> 32044150448900_017</v>
      </c>
      <c r="F373" s="94" t="str">
        <f>IFERROR(__xludf.DUMMYFUNCTION("""COMPUTED_VALUE""")," 32044150448900_018")</f>
        <v> 32044150448900_018</v>
      </c>
      <c r="G373" s="94" t="str">
        <f>IFERROR(__xludf.DUMMYFUNCTION("""COMPUTED_VALUE""")," 32044150448900_019")</f>
        <v> 32044150448900_019</v>
      </c>
      <c r="H373" s="94" t="str">
        <f>IFERROR(__xludf.DUMMYFUNCTION("""COMPUTED_VALUE""")," 32044150448900_020")</f>
        <v> 32044150448900_020</v>
      </c>
      <c r="I373" s="94" t="str">
        <f>IFERROR(__xludf.DUMMYFUNCTION("""COMPUTED_VALUE""")," 32044150448900_021")</f>
        <v> 32044150448900_021</v>
      </c>
      <c r="J373" s="94" t="str">
        <f>IFERROR(__xludf.DUMMYFUNCTION("""COMPUTED_VALUE""")," 32044150448900_022")</f>
        <v> 32044150448900_022</v>
      </c>
      <c r="K373" s="94" t="str">
        <f>IFERROR(__xludf.DUMMYFUNCTION("""COMPUTED_VALUE""")," 32044150448900_023")</f>
        <v> 32044150448900_023</v>
      </c>
      <c r="L373" s="94" t="str">
        <f>IFERROR(__xludf.DUMMYFUNCTION("""COMPUTED_VALUE""")," 32044150448900_024")</f>
        <v> 32044150448900_024</v>
      </c>
      <c r="M373" s="94" t="str">
        <f>IFERROR(__xludf.DUMMYFUNCTION("""COMPUTED_VALUE""")," 32044150448900_025")</f>
        <v> 32044150448900_025</v>
      </c>
      <c r="N373" s="94" t="str">
        <f>IFERROR(__xludf.DUMMYFUNCTION("""COMPUTED_VALUE""")," 32044150448900_026")</f>
        <v> 32044150448900_026</v>
      </c>
      <c r="O373" s="94" t="str">
        <f>IFERROR(__xludf.DUMMYFUNCTION("""COMPUTED_VALUE""")," 32044150448900_027")</f>
        <v> 32044150448900_027</v>
      </c>
      <c r="P373" s="94" t="str">
        <f>IFERROR(__xludf.DUMMYFUNCTION("""COMPUTED_VALUE""")," 32044150448900_028")</f>
        <v> 32044150448900_028</v>
      </c>
      <c r="Q373" s="94" t="str">
        <f>IFERROR(__xludf.DUMMYFUNCTION("""COMPUTED_VALUE""")," 32044150448900_029")</f>
        <v> 32044150448900_029</v>
      </c>
      <c r="R373" s="94" t="str">
        <f>IFERROR(__xludf.DUMMYFUNCTION("""COMPUTED_VALUE""")," 32044150448900_030")</f>
        <v> 32044150448900_030</v>
      </c>
      <c r="S373" s="94" t="str">
        <f>IFERROR(__xludf.DUMMYFUNCTION("""COMPUTED_VALUE""")," 32044150448900_031")</f>
        <v> 32044150448900_031</v>
      </c>
      <c r="T373" s="94" t="str">
        <f>IFERROR(__xludf.DUMMYFUNCTION("""COMPUTED_VALUE""")," 32044150448900_032")</f>
        <v> 32044150448900_032</v>
      </c>
      <c r="U373" s="94" t="str">
        <f>IFERROR(__xludf.DUMMYFUNCTION("""COMPUTED_VALUE""")," 32044150448900_033")</f>
        <v> 32044150448900_033</v>
      </c>
      <c r="V373" s="94"/>
      <c r="W373" s="94"/>
      <c r="X373" s="94"/>
      <c r="Y373" s="94"/>
      <c r="Z373" s="94"/>
      <c r="AA373" s="94"/>
      <c r="AB373" s="94"/>
      <c r="AC373" s="94"/>
      <c r="AD373" s="94"/>
      <c r="AE373" s="94"/>
      <c r="AF373" s="94"/>
      <c r="AG373" s="94"/>
    </row>
    <row r="374">
      <c r="A374" s="96" t="s">
        <v>2722</v>
      </c>
      <c r="B374" s="95" t="str">
        <f>IFERROR(__xludf.DUMMYFUNCTION("""COMPUTED_VALUE"""),"32044150448900_034")</f>
        <v>32044150448900_034</v>
      </c>
      <c r="C374" s="94" t="str">
        <f>IFERROR(__xludf.DUMMYFUNCTION("""COMPUTED_VALUE""")," 32044150448900_035")</f>
        <v> 32044150448900_035</v>
      </c>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c r="AD374" s="94"/>
      <c r="AE374" s="94"/>
      <c r="AF374" s="94"/>
      <c r="AG374" s="94"/>
    </row>
    <row r="375">
      <c r="A375" s="96" t="s">
        <v>2726</v>
      </c>
      <c r="B375" s="95" t="str">
        <f>IFERROR(__xludf.DUMMYFUNCTION("""COMPUTED_VALUE"""),"32044150448900_036")</f>
        <v>32044150448900_036</v>
      </c>
      <c r="C375" s="94" t="str">
        <f>IFERROR(__xludf.DUMMYFUNCTION("""COMPUTED_VALUE""")," 32044150448900_037")</f>
        <v> 32044150448900_037</v>
      </c>
      <c r="D375" s="94" t="str">
        <f>IFERROR(__xludf.DUMMYFUNCTION("""COMPUTED_VALUE""")," 32044150448900_038")</f>
        <v> 32044150448900_038</v>
      </c>
      <c r="E375" s="94" t="str">
        <f>IFERROR(__xludf.DUMMYFUNCTION("""COMPUTED_VALUE""")," 32044150448900_039")</f>
        <v> 32044150448900_039</v>
      </c>
      <c r="F375" s="94" t="str">
        <f>IFERROR(__xludf.DUMMYFUNCTION("""COMPUTED_VALUE""")," 32044150448900_040")</f>
        <v> 32044150448900_040</v>
      </c>
      <c r="G375" s="94" t="str">
        <f>IFERROR(__xludf.DUMMYFUNCTION("""COMPUTED_VALUE""")," 32044150448900_041")</f>
        <v> 32044150448900_041</v>
      </c>
      <c r="H375" s="94" t="str">
        <f>IFERROR(__xludf.DUMMYFUNCTION("""COMPUTED_VALUE""")," 32044150448900_042")</f>
        <v> 32044150448900_042</v>
      </c>
      <c r="I375" s="94" t="str">
        <f>IFERROR(__xludf.DUMMYFUNCTION("""COMPUTED_VALUE""")," 32044150448900_043")</f>
        <v> 32044150448900_043</v>
      </c>
      <c r="J375" s="94"/>
      <c r="K375" s="94"/>
      <c r="L375" s="94"/>
      <c r="M375" s="94"/>
      <c r="N375" s="94"/>
      <c r="O375" s="94"/>
      <c r="P375" s="94"/>
      <c r="Q375" s="94"/>
      <c r="R375" s="94"/>
      <c r="S375" s="94"/>
      <c r="T375" s="94"/>
      <c r="U375" s="94"/>
      <c r="V375" s="94"/>
      <c r="W375" s="94"/>
      <c r="X375" s="94"/>
      <c r="Y375" s="94"/>
      <c r="Z375" s="94"/>
      <c r="AA375" s="94"/>
      <c r="AB375" s="94"/>
      <c r="AC375" s="94"/>
      <c r="AD375" s="94"/>
      <c r="AE375" s="94"/>
      <c r="AF375" s="94"/>
      <c r="AG375" s="94"/>
    </row>
    <row r="376">
      <c r="A376" s="96" t="s">
        <v>2730</v>
      </c>
      <c r="B376" s="95" t="str">
        <f>IFERROR(__xludf.DUMMYFUNCTION("""COMPUTED_VALUE"""),"32044150448900_044")</f>
        <v>32044150448900_044</v>
      </c>
      <c r="C376" s="94" t="str">
        <f>IFERROR(__xludf.DUMMYFUNCTION("""COMPUTED_VALUE""")," 32044150448900_045")</f>
        <v> 32044150448900_045</v>
      </c>
      <c r="D376" s="94" t="str">
        <f>IFERROR(__xludf.DUMMYFUNCTION("""COMPUTED_VALUE""")," 32044150448900_046")</f>
        <v> 32044150448900_046</v>
      </c>
      <c r="E376" s="94" t="str">
        <f>IFERROR(__xludf.DUMMYFUNCTION("""COMPUTED_VALUE""")," 32044150448900_047")</f>
        <v> 32044150448900_047</v>
      </c>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row>
    <row r="377">
      <c r="A377" s="96" t="s">
        <v>2740</v>
      </c>
      <c r="B377" s="95" t="str">
        <f>IFERROR(__xludf.DUMMYFUNCTION("""COMPUTED_VALUE"""),"32044150448793_001")</f>
        <v>32044150448793_001</v>
      </c>
      <c r="C377" s="94" t="str">
        <f>IFERROR(__xludf.DUMMYFUNCTION("""COMPUTED_VALUE""")," 32044150448793_002")</f>
        <v> 32044150448793_002</v>
      </c>
      <c r="D377" s="94" t="str">
        <f>IFERROR(__xludf.DUMMYFUNCTION("""COMPUTED_VALUE""")," 32044150448793_003")</f>
        <v> 32044150448793_003</v>
      </c>
      <c r="E377" s="94" t="str">
        <f>IFERROR(__xludf.DUMMYFUNCTION("""COMPUTED_VALUE""")," 
32044150448793_004")</f>
        <v> 
32044150448793_004</v>
      </c>
      <c r="F377" s="94" t="str">
        <f>IFERROR(__xludf.DUMMYFUNCTION("""COMPUTED_VALUE""")," 32044150448793_005")</f>
        <v> 32044150448793_005</v>
      </c>
      <c r="G377" s="94" t="str">
        <f>IFERROR(__xludf.DUMMYFUNCTION("""COMPUTED_VALUE""")," 32044150448793_006")</f>
        <v> 32044150448793_006</v>
      </c>
      <c r="H377" s="94" t="str">
        <f>IFERROR(__xludf.DUMMYFUNCTION("""COMPUTED_VALUE""")," 32044150448793_007")</f>
        <v> 32044150448793_007</v>
      </c>
      <c r="I377" s="94" t="str">
        <f>IFERROR(__xludf.DUMMYFUNCTION("""COMPUTED_VALUE""")," 32044150448793_008")</f>
        <v> 32044150448793_008</v>
      </c>
      <c r="J377" s="94" t="str">
        <f>IFERROR(__xludf.DUMMYFUNCTION("""COMPUTED_VALUE""")," 32044150448793_009")</f>
        <v> 32044150448793_009</v>
      </c>
      <c r="K377" s="94" t="str">
        <f>IFERROR(__xludf.DUMMYFUNCTION("""COMPUTED_VALUE""")," 32044150448793_010")</f>
        <v> 32044150448793_010</v>
      </c>
      <c r="L377" s="94" t="str">
        <f>IFERROR(__xludf.DUMMYFUNCTION("""COMPUTED_VALUE""")," 32044150448793_011")</f>
        <v> 32044150448793_011</v>
      </c>
      <c r="M377" s="94" t="str">
        <f>IFERROR(__xludf.DUMMYFUNCTION("""COMPUTED_VALUE""")," 32044150448793_012")</f>
        <v> 32044150448793_012</v>
      </c>
      <c r="N377" s="94" t="str">
        <f>IFERROR(__xludf.DUMMYFUNCTION("""COMPUTED_VALUE""")," 32044150448793_013")</f>
        <v> 32044150448793_013</v>
      </c>
      <c r="O377" s="94"/>
      <c r="P377" s="94"/>
      <c r="Q377" s="94"/>
      <c r="R377" s="94"/>
      <c r="S377" s="94"/>
      <c r="T377" s="94"/>
      <c r="U377" s="94"/>
      <c r="V377" s="94"/>
      <c r="W377" s="94"/>
      <c r="X377" s="94"/>
      <c r="Y377" s="94"/>
      <c r="Z377" s="94"/>
      <c r="AA377" s="94"/>
      <c r="AB377" s="94"/>
      <c r="AC377" s="94"/>
      <c r="AD377" s="94"/>
      <c r="AE377" s="94"/>
      <c r="AF377" s="94"/>
      <c r="AG377" s="94"/>
    </row>
    <row r="378">
      <c r="A378" s="96" t="s">
        <v>2749</v>
      </c>
      <c r="B378" s="95" t="str">
        <f>IFERROR(__xludf.DUMMYFUNCTION("""COMPUTED_VALUE"""),"32044150448918_014")</f>
        <v>32044150448918_014</v>
      </c>
      <c r="C378" s="94" t="str">
        <f>IFERROR(__xludf.DUMMYFUNCTION("""COMPUTED_VALUE""")," 32044150448918_015")</f>
        <v> 32044150448918_015</v>
      </c>
      <c r="D378" s="94" t="str">
        <f>IFERROR(__xludf.DUMMYFUNCTION("""COMPUTED_VALUE""")," 32044150448918_016")</f>
        <v> 32044150448918_016</v>
      </c>
      <c r="E378" s="94" t="str">
        <f>IFERROR(__xludf.DUMMYFUNCTION("""COMPUTED_VALUE""")," 32044150448918_017")</f>
        <v> 32044150448918_017</v>
      </c>
      <c r="F378" s="94" t="str">
        <f>IFERROR(__xludf.DUMMYFUNCTION("""COMPUTED_VALUE""")," 32044150448918_018")</f>
        <v> 32044150448918_018</v>
      </c>
      <c r="G378" s="94" t="str">
        <f>IFERROR(__xludf.DUMMYFUNCTION("""COMPUTED_VALUE""")," 32044150448918_019")</f>
        <v> 32044150448918_019</v>
      </c>
      <c r="H378" s="94" t="str">
        <f>IFERROR(__xludf.DUMMYFUNCTION("""COMPUTED_VALUE""")," 32044150448918_020")</f>
        <v> 32044150448918_020</v>
      </c>
      <c r="I378" s="94"/>
      <c r="J378" s="94"/>
      <c r="K378" s="94"/>
      <c r="L378" s="94"/>
      <c r="M378" s="94"/>
      <c r="N378" s="94"/>
      <c r="O378" s="94"/>
      <c r="P378" s="94"/>
      <c r="Q378" s="94"/>
      <c r="R378" s="94"/>
      <c r="S378" s="94"/>
      <c r="T378" s="94"/>
      <c r="U378" s="94"/>
      <c r="V378" s="94"/>
      <c r="W378" s="94"/>
      <c r="X378" s="94"/>
      <c r="Y378" s="94"/>
      <c r="Z378" s="94"/>
      <c r="AA378" s="94"/>
      <c r="AB378" s="94"/>
      <c r="AC378" s="94"/>
      <c r="AD378" s="94"/>
      <c r="AE378" s="94"/>
      <c r="AF378" s="94"/>
      <c r="AG378" s="94"/>
    </row>
    <row r="379">
      <c r="A379" s="96" t="s">
        <v>2759</v>
      </c>
      <c r="B379" s="95" t="str">
        <f>IFERROR(__xludf.DUMMYFUNCTION("""COMPUTED_VALUE"""),"32044150448918_021")</f>
        <v>32044150448918_021</v>
      </c>
      <c r="C379" s="94" t="str">
        <f>IFERROR(__xludf.DUMMYFUNCTION("""COMPUTED_VALUE""")," 32044150448918_022")</f>
        <v> 32044150448918_022</v>
      </c>
      <c r="D379" s="94" t="str">
        <f>IFERROR(__xludf.DUMMYFUNCTION("""COMPUTED_VALUE""")," 32044150448918_023")</f>
        <v> 32044150448918_023</v>
      </c>
      <c r="E379" s="94" t="str">
        <f>IFERROR(__xludf.DUMMYFUNCTION("""COMPUTED_VALUE""")," 32044150448918_024")</f>
        <v> 32044150448918_024</v>
      </c>
      <c r="F379" s="94" t="str">
        <f>IFERROR(__xludf.DUMMYFUNCTION("""COMPUTED_VALUE""")," 32044150448918_025")</f>
        <v> 32044150448918_025</v>
      </c>
      <c r="G379" s="94" t="str">
        <f>IFERROR(__xludf.DUMMYFUNCTION("""COMPUTED_VALUE""")," 32044150448918_026")</f>
        <v> 32044150448918_026</v>
      </c>
      <c r="H379" s="94" t="str">
        <f>IFERROR(__xludf.DUMMYFUNCTION("""COMPUTED_VALUE""")," 32044150448918_027")</f>
        <v> 32044150448918_027</v>
      </c>
      <c r="I379" s="94" t="str">
        <f>IFERROR(__xludf.DUMMYFUNCTION("""COMPUTED_VALUE""")," 32044150448918_028")</f>
        <v> 32044150448918_028</v>
      </c>
      <c r="J379" s="94" t="str">
        <f>IFERROR(__xludf.DUMMYFUNCTION("""COMPUTED_VALUE""")," 32044150448918_029")</f>
        <v> 32044150448918_029</v>
      </c>
      <c r="K379" s="94" t="str">
        <f>IFERROR(__xludf.DUMMYFUNCTION("""COMPUTED_VALUE""")," 32044150448918_030")</f>
        <v> 32044150448918_030</v>
      </c>
      <c r="L379" s="94" t="str">
        <f>IFERROR(__xludf.DUMMYFUNCTION("""COMPUTED_VALUE""")," 32044150448918_031")</f>
        <v> 32044150448918_031</v>
      </c>
      <c r="M379" s="94" t="str">
        <f>IFERROR(__xludf.DUMMYFUNCTION("""COMPUTED_VALUE""")," 32044150448918_032")</f>
        <v> 32044150448918_032</v>
      </c>
      <c r="N379" s="94" t="str">
        <f>IFERROR(__xludf.DUMMYFUNCTION("""COMPUTED_VALUE""")," 32044150448918_033")</f>
        <v> 32044150448918_033</v>
      </c>
      <c r="O379" s="94" t="str">
        <f>IFERROR(__xludf.DUMMYFUNCTION("""COMPUTED_VALUE""")," 32044150448918_034")</f>
        <v> 32044150448918_034</v>
      </c>
      <c r="P379" s="94" t="str">
        <f>IFERROR(__xludf.DUMMYFUNCTION("""COMPUTED_VALUE""")," 32044150448918_035")</f>
        <v> 32044150448918_035</v>
      </c>
      <c r="Q379" s="94" t="str">
        <f>IFERROR(__xludf.DUMMYFUNCTION("""COMPUTED_VALUE""")," 32044150448918_036")</f>
        <v> 32044150448918_036</v>
      </c>
      <c r="R379" s="94" t="str">
        <f>IFERROR(__xludf.DUMMYFUNCTION("""COMPUTED_VALUE""")," 32044150448918_037")</f>
        <v> 32044150448918_037</v>
      </c>
      <c r="S379" s="94" t="str">
        <f>IFERROR(__xludf.DUMMYFUNCTION("""COMPUTED_VALUE""")," 32044150448918_038")</f>
        <v> 32044150448918_038</v>
      </c>
      <c r="T379" s="94" t="str">
        <f>IFERROR(__xludf.DUMMYFUNCTION("""COMPUTED_VALUE""")," 32044150448918_039")</f>
        <v> 32044150448918_039</v>
      </c>
      <c r="U379" s="94"/>
      <c r="V379" s="94"/>
      <c r="W379" s="94"/>
      <c r="X379" s="94"/>
      <c r="Y379" s="94"/>
      <c r="Z379" s="94"/>
      <c r="AA379" s="94"/>
      <c r="AB379" s="94"/>
      <c r="AC379" s="94"/>
      <c r="AD379" s="94"/>
      <c r="AE379" s="94"/>
      <c r="AF379" s="94"/>
      <c r="AG379" s="94"/>
    </row>
    <row r="380">
      <c r="A380" s="96" t="s">
        <v>2769</v>
      </c>
      <c r="B380" s="95" t="str">
        <f>IFERROR(__xludf.DUMMYFUNCTION("""COMPUTED_VALUE"""),"32044150448918_040")</f>
        <v>32044150448918_040</v>
      </c>
      <c r="C380" s="94" t="str">
        <f>IFERROR(__xludf.DUMMYFUNCTION("""COMPUTED_VALUE""")," 32044150448918_041")</f>
        <v> 32044150448918_041</v>
      </c>
      <c r="D380" s="94" t="str">
        <f>IFERROR(__xludf.DUMMYFUNCTION("""COMPUTED_VALUE""")," 32044150448918_042")</f>
        <v> 32044150448918_042</v>
      </c>
      <c r="E380" s="94" t="str">
        <f>IFERROR(__xludf.DUMMYFUNCTION("""COMPUTED_VALUE""")," 32044150448918_043")</f>
        <v> 32044150448918_043</v>
      </c>
      <c r="F380" s="94" t="str">
        <f>IFERROR(__xludf.DUMMYFUNCTION("""COMPUTED_VALUE""")," 32044150448918_044")</f>
        <v> 32044150448918_044</v>
      </c>
      <c r="G380" s="94" t="str">
        <f>IFERROR(__xludf.DUMMYFUNCTION("""COMPUTED_VALUE""")," 32044150448918_045")</f>
        <v> 32044150448918_045</v>
      </c>
      <c r="H380" s="94" t="str">
        <f>IFERROR(__xludf.DUMMYFUNCTION("""COMPUTED_VALUE""")," 32044150448918_046")</f>
        <v> 32044150448918_046</v>
      </c>
      <c r="I380" s="94" t="str">
        <f>IFERROR(__xludf.DUMMYFUNCTION("""COMPUTED_VALUE""")," 32044150448918_047")</f>
        <v> 32044150448918_047</v>
      </c>
      <c r="J380" s="94" t="str">
        <f>IFERROR(__xludf.DUMMYFUNCTION("""COMPUTED_VALUE""")," 32044150448918_048")</f>
        <v> 32044150448918_048</v>
      </c>
      <c r="K380" s="94" t="str">
        <f>IFERROR(__xludf.DUMMYFUNCTION("""COMPUTED_VALUE""")," 32044150448918_049")</f>
        <v> 32044150448918_049</v>
      </c>
      <c r="L380" s="94"/>
      <c r="M380" s="94"/>
      <c r="N380" s="94"/>
      <c r="O380" s="94"/>
      <c r="P380" s="94"/>
      <c r="Q380" s="94"/>
      <c r="R380" s="94"/>
      <c r="S380" s="94"/>
      <c r="T380" s="94"/>
      <c r="U380" s="94"/>
      <c r="V380" s="94"/>
      <c r="W380" s="94"/>
      <c r="X380" s="94"/>
      <c r="Y380" s="94"/>
      <c r="Z380" s="94"/>
      <c r="AA380" s="94"/>
      <c r="AB380" s="94"/>
      <c r="AC380" s="94"/>
      <c r="AD380" s="94"/>
      <c r="AE380" s="94"/>
      <c r="AF380" s="94"/>
      <c r="AG380" s="94"/>
    </row>
    <row r="381">
      <c r="A381" s="96" t="s">
        <v>2780</v>
      </c>
      <c r="B381" s="95" t="str">
        <f>IFERROR(__xludf.DUMMYFUNCTION("""COMPUTED_VALUE"""),"32044150448926_001")</f>
        <v>32044150448926_001</v>
      </c>
      <c r="C381" s="94" t="str">
        <f>IFERROR(__xludf.DUMMYFUNCTION("""COMPUTED_VALUE""")," 32044150448926_002")</f>
        <v> 32044150448926_002</v>
      </c>
      <c r="D381" s="94" t="str">
        <f>IFERROR(__xludf.DUMMYFUNCTION("""COMPUTED_VALUE""")," 32044150448926_003")</f>
        <v> 32044150448926_003</v>
      </c>
      <c r="E381" s="94" t="str">
        <f>IFERROR(__xludf.DUMMYFUNCTION("""COMPUTED_VALUE""")," 32044150448926_004")</f>
        <v> 32044150448926_004</v>
      </c>
      <c r="F381" s="94" t="str">
        <f>IFERROR(__xludf.DUMMYFUNCTION("""COMPUTED_VALUE""")," 32044150448926_005")</f>
        <v> 32044150448926_005</v>
      </c>
      <c r="G381" s="94" t="str">
        <f>IFERROR(__xludf.DUMMYFUNCTION("""COMPUTED_VALUE""")," 32044150448926_006")</f>
        <v> 32044150448926_006</v>
      </c>
      <c r="H381" s="94" t="str">
        <f>IFERROR(__xludf.DUMMYFUNCTION("""COMPUTED_VALUE""")," 32044150448926_007")</f>
        <v> 32044150448926_007</v>
      </c>
      <c r="I381" s="94" t="str">
        <f>IFERROR(__xludf.DUMMYFUNCTION("""COMPUTED_VALUE""")," 32044150448926_008")</f>
        <v> 32044150448926_008</v>
      </c>
      <c r="J381" s="94" t="str">
        <f>IFERROR(__xludf.DUMMYFUNCTION("""COMPUTED_VALUE""")," 32044150448926_009")</f>
        <v> 32044150448926_009</v>
      </c>
      <c r="K381" s="94" t="str">
        <f>IFERROR(__xludf.DUMMYFUNCTION("""COMPUTED_VALUE""")," 32044150448926_010")</f>
        <v> 32044150448926_010</v>
      </c>
      <c r="L381" s="94" t="str">
        <f>IFERROR(__xludf.DUMMYFUNCTION("""COMPUTED_VALUE""")," 32044150448926_011")</f>
        <v> 32044150448926_011</v>
      </c>
      <c r="M381" s="94" t="str">
        <f>IFERROR(__xludf.DUMMYFUNCTION("""COMPUTED_VALUE""")," 32044150448926_012")</f>
        <v> 32044150448926_012</v>
      </c>
      <c r="N381" s="94"/>
      <c r="O381" s="94"/>
      <c r="P381" s="94"/>
      <c r="Q381" s="94"/>
      <c r="R381" s="94"/>
      <c r="S381" s="94"/>
      <c r="T381" s="94"/>
      <c r="U381" s="94"/>
      <c r="V381" s="94"/>
      <c r="W381" s="94"/>
      <c r="X381" s="94"/>
      <c r="Y381" s="94"/>
      <c r="Z381" s="94"/>
      <c r="AA381" s="94"/>
      <c r="AB381" s="94"/>
      <c r="AC381" s="94"/>
      <c r="AD381" s="94"/>
      <c r="AE381" s="94"/>
      <c r="AF381" s="94"/>
      <c r="AG381" s="94"/>
    </row>
    <row r="382">
      <c r="A382" s="96" t="s">
        <v>2790</v>
      </c>
      <c r="B382" s="95" t="str">
        <f>IFERROR(__xludf.DUMMYFUNCTION("""COMPUTED_VALUE"""),"32044150448926_013")</f>
        <v>32044150448926_013</v>
      </c>
      <c r="C382" s="94" t="str">
        <f>IFERROR(__xludf.DUMMYFUNCTION("""COMPUTED_VALUE""")," 32044150448926_014")</f>
        <v> 32044150448926_014</v>
      </c>
      <c r="D382" s="94" t="str">
        <f>IFERROR(__xludf.DUMMYFUNCTION("""COMPUTED_VALUE""")," 32044150448926_015")</f>
        <v> 32044150448926_015</v>
      </c>
      <c r="E382" s="94" t="str">
        <f>IFERROR(__xludf.DUMMYFUNCTION("""COMPUTED_VALUE""")," 32044150448926_016")</f>
        <v> 32044150448926_016</v>
      </c>
      <c r="F382" s="94" t="str">
        <f>IFERROR(__xludf.DUMMYFUNCTION("""COMPUTED_VALUE""")," 32044150448926_017")</f>
        <v> 32044150448926_017</v>
      </c>
      <c r="G382" s="94" t="str">
        <f>IFERROR(__xludf.DUMMYFUNCTION("""COMPUTED_VALUE""")," 32044150448926_018")</f>
        <v> 32044150448926_018</v>
      </c>
      <c r="H382" s="94" t="str">
        <f>IFERROR(__xludf.DUMMYFUNCTION("""COMPUTED_VALUE""")," 32044150448926_019")</f>
        <v> 32044150448926_019</v>
      </c>
      <c r="I382" s="94" t="str">
        <f>IFERROR(__xludf.DUMMYFUNCTION("""COMPUTED_VALUE""")," 32044150448926_020")</f>
        <v> 32044150448926_020</v>
      </c>
      <c r="J382" s="94" t="str">
        <f>IFERROR(__xludf.DUMMYFUNCTION("""COMPUTED_VALUE""")," 32044150448926_021")</f>
        <v> 32044150448926_021</v>
      </c>
      <c r="K382" s="94" t="str">
        <f>IFERROR(__xludf.DUMMYFUNCTION("""COMPUTED_VALUE""")," 32044150448926_022")</f>
        <v> 32044150448926_022</v>
      </c>
      <c r="L382" s="94" t="str">
        <f>IFERROR(__xludf.DUMMYFUNCTION("""COMPUTED_VALUE""")," 32044150448926_023")</f>
        <v> 32044150448926_023</v>
      </c>
      <c r="M382" s="94" t="str">
        <f>IFERROR(__xludf.DUMMYFUNCTION("""COMPUTED_VALUE""")," 32044150448926_024")</f>
        <v> 32044150448926_024</v>
      </c>
      <c r="N382" s="94" t="str">
        <f>IFERROR(__xludf.DUMMYFUNCTION("""COMPUTED_VALUE""")," 32044150448926_025")</f>
        <v> 32044150448926_025</v>
      </c>
      <c r="O382" s="94" t="str">
        <f>IFERROR(__xludf.DUMMYFUNCTION("""COMPUTED_VALUE""")," 32044150448926_026")</f>
        <v> 32044150448926_026</v>
      </c>
      <c r="P382" s="94" t="str">
        <f>IFERROR(__xludf.DUMMYFUNCTION("""COMPUTED_VALUE""")," 32044150448926_027")</f>
        <v> 32044150448926_027</v>
      </c>
      <c r="Q382" s="94" t="str">
        <f>IFERROR(__xludf.DUMMYFUNCTION("""COMPUTED_VALUE""")," 32044150448926_028")</f>
        <v> 32044150448926_028</v>
      </c>
      <c r="R382" s="94" t="str">
        <f>IFERROR(__xludf.DUMMYFUNCTION("""COMPUTED_VALUE""")," 32044150448926_029")</f>
        <v> 32044150448926_029</v>
      </c>
      <c r="S382" s="94" t="str">
        <f>IFERROR(__xludf.DUMMYFUNCTION("""COMPUTED_VALUE""")," 32044150448926_030")</f>
        <v> 32044150448926_030</v>
      </c>
      <c r="T382" s="94" t="str">
        <f>IFERROR(__xludf.DUMMYFUNCTION("""COMPUTED_VALUE""")," 32044150448926_031")</f>
        <v> 32044150448926_031</v>
      </c>
      <c r="U382" s="94" t="str">
        <f>IFERROR(__xludf.DUMMYFUNCTION("""COMPUTED_VALUE""")," 32044150448926_032")</f>
        <v> 32044150448926_032</v>
      </c>
      <c r="V382" s="94" t="str">
        <f>IFERROR(__xludf.DUMMYFUNCTION("""COMPUTED_VALUE""")," 32044150448926_033")</f>
        <v> 32044150448926_033</v>
      </c>
      <c r="W382" s="94" t="str">
        <f>IFERROR(__xludf.DUMMYFUNCTION("""COMPUTED_VALUE""")," 32044150448926_034")</f>
        <v> 32044150448926_034</v>
      </c>
      <c r="X382" s="94" t="str">
        <f>IFERROR(__xludf.DUMMYFUNCTION("""COMPUTED_VALUE""")," 32044150448926_035")</f>
        <v> 32044150448926_035</v>
      </c>
      <c r="Y382" s="94" t="str">
        <f>IFERROR(__xludf.DUMMYFUNCTION("""COMPUTED_VALUE""")," 32044150448926_036")</f>
        <v> 32044150448926_036</v>
      </c>
      <c r="Z382" s="94" t="str">
        <f>IFERROR(__xludf.DUMMYFUNCTION("""COMPUTED_VALUE""")," 32044150448926_037")</f>
        <v> 32044150448926_037</v>
      </c>
      <c r="AA382" s="94" t="str">
        <f>IFERROR(__xludf.DUMMYFUNCTION("""COMPUTED_VALUE""")," 32044150448926_038")</f>
        <v> 32044150448926_038</v>
      </c>
      <c r="AB382" s="94" t="str">
        <f>IFERROR(__xludf.DUMMYFUNCTION("""COMPUTED_VALUE""")," 32044150448926_039")</f>
        <v> 32044150448926_039</v>
      </c>
      <c r="AC382" s="94" t="str">
        <f>IFERROR(__xludf.DUMMYFUNCTION("""COMPUTED_VALUE""")," 32044150448926_040")</f>
        <v> 32044150448926_040</v>
      </c>
      <c r="AD382" s="94" t="str">
        <f>IFERROR(__xludf.DUMMYFUNCTION("""COMPUTED_VALUE""")," 32044150448926_041")</f>
        <v> 32044150448926_041</v>
      </c>
      <c r="AE382" s="94" t="str">
        <f>IFERROR(__xludf.DUMMYFUNCTION("""COMPUTED_VALUE""")," 32044150448926_042")</f>
        <v> 32044150448926_042</v>
      </c>
      <c r="AF382" s="94"/>
      <c r="AG382" s="94"/>
    </row>
    <row r="383">
      <c r="A383" s="96" t="s">
        <v>2798</v>
      </c>
      <c r="B383" s="95" t="str">
        <f>IFERROR(__xludf.DUMMYFUNCTION("""COMPUTED_VALUE"""),"32044150448926_043")</f>
        <v>32044150448926_043</v>
      </c>
      <c r="C383" s="94" t="str">
        <f>IFERROR(__xludf.DUMMYFUNCTION("""COMPUTED_VALUE""")," 32044150448926_044")</f>
        <v> 32044150448926_044</v>
      </c>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c r="AD383" s="94"/>
      <c r="AE383" s="94"/>
      <c r="AF383" s="94"/>
      <c r="AG383" s="94"/>
    </row>
    <row r="384">
      <c r="A384" s="96" t="s">
        <v>2806</v>
      </c>
      <c r="B384" s="95" t="str">
        <f>IFERROR(__xludf.DUMMYFUNCTION("""COMPUTED_VALUE"""),"32044150448926_045")</f>
        <v>32044150448926_045</v>
      </c>
      <c r="C384" s="94" t="str">
        <f>IFERROR(__xludf.DUMMYFUNCTION("""COMPUTED_VALUE""")," 32044150448926_046")</f>
        <v> 32044150448926_046</v>
      </c>
      <c r="D384" s="94" t="str">
        <f>IFERROR(__xludf.DUMMYFUNCTION("""COMPUTED_VALUE""")," 32044150448926_047")</f>
        <v> 32044150448926_047</v>
      </c>
      <c r="E384" s="94" t="str">
        <f>IFERROR(__xludf.DUMMYFUNCTION("""COMPUTED_VALUE""")," 32044150448926_048")</f>
        <v> 32044150448926_048</v>
      </c>
      <c r="F384" s="94" t="str">
        <f>IFERROR(__xludf.DUMMYFUNCTION("""COMPUTED_VALUE""")," 32044150448926_049")</f>
        <v> 32044150448926_049</v>
      </c>
      <c r="G384" s="94" t="str">
        <f>IFERROR(__xludf.DUMMYFUNCTION("""COMPUTED_VALUE""")," 32044150448926_050")</f>
        <v> 32044150448926_050</v>
      </c>
      <c r="H384" s="94" t="str">
        <f>IFERROR(__xludf.DUMMYFUNCTION("""COMPUTED_VALUE""")," 32044150448926_051")</f>
        <v> 32044150448926_051</v>
      </c>
      <c r="I384" s="94" t="str">
        <f>IFERROR(__xludf.DUMMYFUNCTION("""COMPUTED_VALUE""")," 32044150448926_052")</f>
        <v> 32044150448926_052</v>
      </c>
      <c r="J384" s="94" t="str">
        <f>IFERROR(__xludf.DUMMYFUNCTION("""COMPUTED_VALUE""")," 32044150448926_053")</f>
        <v> 32044150448926_053</v>
      </c>
      <c r="K384" s="94" t="str">
        <f>IFERROR(__xludf.DUMMYFUNCTION("""COMPUTED_VALUE""")," 32044150448926_054")</f>
        <v> 32044150448926_054</v>
      </c>
      <c r="L384" s="94" t="str">
        <f>IFERROR(__xludf.DUMMYFUNCTION("""COMPUTED_VALUE""")," 32044150448926_055")</f>
        <v> 32044150448926_055</v>
      </c>
      <c r="M384" s="94" t="str">
        <f>IFERROR(__xludf.DUMMYFUNCTION("""COMPUTED_VALUE""")," 32044150448926_056")</f>
        <v> 32044150448926_056</v>
      </c>
      <c r="N384" s="94" t="str">
        <f>IFERROR(__xludf.DUMMYFUNCTION("""COMPUTED_VALUE""")," 32044150448926_057")</f>
        <v> 32044150448926_057</v>
      </c>
      <c r="O384" s="94" t="str">
        <f>IFERROR(__xludf.DUMMYFUNCTION("""COMPUTED_VALUE""")," 32044150448926_058")</f>
        <v> 32044150448926_058</v>
      </c>
      <c r="P384" s="94" t="str">
        <f>IFERROR(__xludf.DUMMYFUNCTION("""COMPUTED_VALUE""")," 32044150448926_059")</f>
        <v> 32044150448926_059</v>
      </c>
      <c r="Q384" s="94"/>
      <c r="R384" s="94"/>
      <c r="S384" s="94"/>
      <c r="T384" s="94"/>
      <c r="U384" s="94"/>
      <c r="V384" s="94"/>
      <c r="W384" s="94"/>
      <c r="X384" s="94"/>
      <c r="Y384" s="94"/>
      <c r="Z384" s="94"/>
      <c r="AA384" s="94"/>
      <c r="AB384" s="94"/>
      <c r="AC384" s="94"/>
      <c r="AD384" s="94"/>
      <c r="AE384" s="94"/>
      <c r="AF384" s="94"/>
      <c r="AG384" s="94"/>
    </row>
    <row r="385">
      <c r="A385" s="96" t="s">
        <v>2817</v>
      </c>
      <c r="B385" s="95" t="str">
        <f>IFERROR(__xludf.DUMMYFUNCTION("""COMPUTED_VALUE"""),"32044150448934_001")</f>
        <v>32044150448934_001</v>
      </c>
      <c r="C385" s="94" t="str">
        <f>IFERROR(__xludf.DUMMYFUNCTION("""COMPUTED_VALUE""")," 32044150448934_002")</f>
        <v> 32044150448934_002</v>
      </c>
      <c r="D385" s="94" t="str">
        <f>IFERROR(__xludf.DUMMYFUNCTION("""COMPUTED_VALUE""")," 32044150448934_003")</f>
        <v> 32044150448934_003</v>
      </c>
      <c r="E385" s="94" t="str">
        <f>IFERROR(__xludf.DUMMYFUNCTION("""COMPUTED_VALUE""")," 32044150448934_004")</f>
        <v> 32044150448934_004</v>
      </c>
      <c r="F385" s="94" t="str">
        <f>IFERROR(__xludf.DUMMYFUNCTION("""COMPUTED_VALUE""")," 32044150448934_005")</f>
        <v> 32044150448934_005</v>
      </c>
      <c r="G385" s="94" t="str">
        <f>IFERROR(__xludf.DUMMYFUNCTION("""COMPUTED_VALUE""")," 32044150448934_006")</f>
        <v> 32044150448934_006</v>
      </c>
      <c r="H385" s="94" t="str">
        <f>IFERROR(__xludf.DUMMYFUNCTION("""COMPUTED_VALUE""")," 32044150448934_007")</f>
        <v> 32044150448934_007</v>
      </c>
      <c r="I385" s="94" t="str">
        <f>IFERROR(__xludf.DUMMYFUNCTION("""COMPUTED_VALUE""")," 32044150448934_008")</f>
        <v> 32044150448934_008</v>
      </c>
      <c r="J385" s="94" t="str">
        <f>IFERROR(__xludf.DUMMYFUNCTION("""COMPUTED_VALUE""")," 32044150448934_009")</f>
        <v> 32044150448934_009</v>
      </c>
      <c r="K385" s="94" t="str">
        <f>IFERROR(__xludf.DUMMYFUNCTION("""COMPUTED_VALUE""")," 32044150448934_010")</f>
        <v> 32044150448934_010</v>
      </c>
      <c r="L385" s="94"/>
      <c r="M385" s="94"/>
      <c r="N385" s="94"/>
      <c r="O385" s="94"/>
      <c r="P385" s="94"/>
      <c r="Q385" s="94"/>
      <c r="R385" s="94"/>
      <c r="S385" s="94"/>
      <c r="T385" s="94"/>
      <c r="U385" s="94"/>
      <c r="V385" s="94"/>
      <c r="W385" s="94"/>
      <c r="X385" s="94"/>
      <c r="Y385" s="94"/>
      <c r="Z385" s="94"/>
      <c r="AA385" s="94"/>
      <c r="AB385" s="94"/>
      <c r="AC385" s="94"/>
      <c r="AD385" s="94"/>
      <c r="AE385" s="94"/>
      <c r="AF385" s="94"/>
      <c r="AG385" s="94"/>
    </row>
    <row r="386">
      <c r="A386" s="96" t="s">
        <v>2827</v>
      </c>
      <c r="B386" s="95" t="str">
        <f>IFERROR(__xludf.DUMMYFUNCTION("""COMPUTED_VALUE"""),"32044150448934_011")</f>
        <v>32044150448934_011</v>
      </c>
      <c r="C386" s="94" t="str">
        <f>IFERROR(__xludf.DUMMYFUNCTION("""COMPUTED_VALUE""")," 32044150448934_012")</f>
        <v> 32044150448934_012</v>
      </c>
      <c r="D386" s="94" t="str">
        <f>IFERROR(__xludf.DUMMYFUNCTION("""COMPUTED_VALUE""")," 32044150448934_013")</f>
        <v> 32044150448934_013</v>
      </c>
      <c r="E386" s="94" t="str">
        <f>IFERROR(__xludf.DUMMYFUNCTION("""COMPUTED_VALUE""")," 32044150448934_014")</f>
        <v> 32044150448934_014</v>
      </c>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c r="AD386" s="94"/>
      <c r="AE386" s="94"/>
      <c r="AF386" s="94"/>
      <c r="AG386" s="94"/>
    </row>
    <row r="387">
      <c r="A387" s="96" t="s">
        <v>2836</v>
      </c>
      <c r="B387" s="95" t="str">
        <f>IFERROR(__xludf.DUMMYFUNCTION("""COMPUTED_VALUE"""),"32044150448934_015")</f>
        <v>32044150448934_015</v>
      </c>
      <c r="C387" s="94" t="str">
        <f>IFERROR(__xludf.DUMMYFUNCTION("""COMPUTED_VALUE""")," 32044150448934_016")</f>
        <v> 32044150448934_016</v>
      </c>
      <c r="D387" s="94" t="str">
        <f>IFERROR(__xludf.DUMMYFUNCTION("""COMPUTED_VALUE""")," 32044150448934_017")</f>
        <v> 32044150448934_017</v>
      </c>
      <c r="E387" s="94" t="str">
        <f>IFERROR(__xludf.DUMMYFUNCTION("""COMPUTED_VALUE""")," 32044150448934_018")</f>
        <v> 32044150448934_018</v>
      </c>
      <c r="F387" s="94" t="str">
        <f>IFERROR(__xludf.DUMMYFUNCTION("""COMPUTED_VALUE""")," 32044150448934_019")</f>
        <v> 32044150448934_019</v>
      </c>
      <c r="G387" s="94" t="str">
        <f>IFERROR(__xludf.DUMMYFUNCTION("""COMPUTED_VALUE""")," 32044150448934_020")</f>
        <v> 32044150448934_020</v>
      </c>
      <c r="H387" s="94" t="str">
        <f>IFERROR(__xludf.DUMMYFUNCTION("""COMPUTED_VALUE""")," 32044150448934_021")</f>
        <v> 32044150448934_021</v>
      </c>
      <c r="I387" s="94" t="str">
        <f>IFERROR(__xludf.DUMMYFUNCTION("""COMPUTED_VALUE""")," 32044150448934_022")</f>
        <v> 32044150448934_022</v>
      </c>
      <c r="J387" s="94" t="str">
        <f>IFERROR(__xludf.DUMMYFUNCTION("""COMPUTED_VALUE""")," 32044150448934_023")</f>
        <v> 32044150448934_023</v>
      </c>
      <c r="K387" s="94" t="str">
        <f>IFERROR(__xludf.DUMMYFUNCTION("""COMPUTED_VALUE""")," 32044150448934_024")</f>
        <v> 32044150448934_024</v>
      </c>
      <c r="L387" s="94"/>
      <c r="M387" s="94"/>
      <c r="N387" s="94"/>
      <c r="O387" s="94"/>
      <c r="P387" s="94"/>
      <c r="Q387" s="94"/>
      <c r="R387" s="94"/>
      <c r="S387" s="94"/>
      <c r="T387" s="94"/>
      <c r="U387" s="94"/>
      <c r="V387" s="94"/>
      <c r="W387" s="94"/>
      <c r="X387" s="94"/>
      <c r="Y387" s="94"/>
      <c r="Z387" s="94"/>
      <c r="AA387" s="94"/>
      <c r="AB387" s="94"/>
      <c r="AC387" s="94"/>
      <c r="AD387" s="94"/>
      <c r="AE387" s="94"/>
      <c r="AF387" s="94"/>
      <c r="AG387" s="94"/>
    </row>
    <row r="388">
      <c r="A388" s="96" t="s">
        <v>2845</v>
      </c>
      <c r="B388" s="95" t="str">
        <f>IFERROR(__xludf.DUMMYFUNCTION("""COMPUTED_VALUE"""),"32044150448934_025")</f>
        <v>32044150448934_025</v>
      </c>
      <c r="C388" s="94" t="str">
        <f>IFERROR(__xludf.DUMMYFUNCTION("""COMPUTED_VALUE""")," 32044150448934_026")</f>
        <v> 32044150448934_026</v>
      </c>
      <c r="D388" s="94" t="str">
        <f>IFERROR(__xludf.DUMMYFUNCTION("""COMPUTED_VALUE""")," 32044150448934_027")</f>
        <v> 32044150448934_027</v>
      </c>
      <c r="E388" s="94" t="str">
        <f>IFERROR(__xludf.DUMMYFUNCTION("""COMPUTED_VALUE""")," 32044150448934_028")</f>
        <v> 32044150448934_028</v>
      </c>
      <c r="F388" s="94" t="str">
        <f>IFERROR(__xludf.DUMMYFUNCTION("""COMPUTED_VALUE""")," 32044150448934_029")</f>
        <v> 32044150448934_029</v>
      </c>
      <c r="G388" s="94" t="str">
        <f>IFERROR(__xludf.DUMMYFUNCTION("""COMPUTED_VALUE""")," 32044150448934_030")</f>
        <v> 32044150448934_030</v>
      </c>
      <c r="H388" s="94" t="str">
        <f>IFERROR(__xludf.DUMMYFUNCTION("""COMPUTED_VALUE""")," 32044150448934_031")</f>
        <v> 32044150448934_031</v>
      </c>
      <c r="I388" s="94" t="str">
        <f>IFERROR(__xludf.DUMMYFUNCTION("""COMPUTED_VALUE""")," 32044150448934_032")</f>
        <v> 32044150448934_032</v>
      </c>
      <c r="J388" s="94" t="str">
        <f>IFERROR(__xludf.DUMMYFUNCTION("""COMPUTED_VALUE""")," 32044150448934_033")</f>
        <v> 32044150448934_033</v>
      </c>
      <c r="K388" s="94" t="str">
        <f>IFERROR(__xludf.DUMMYFUNCTION("""COMPUTED_VALUE""")," 32044150448934_034")</f>
        <v> 32044150448934_034</v>
      </c>
      <c r="L388" s="94" t="str">
        <f>IFERROR(__xludf.DUMMYFUNCTION("""COMPUTED_VALUE""")," 32044150448934_035")</f>
        <v> 32044150448934_035</v>
      </c>
      <c r="M388" s="94"/>
      <c r="N388" s="94"/>
      <c r="O388" s="94"/>
      <c r="P388" s="94"/>
      <c r="Q388" s="94"/>
      <c r="R388" s="94"/>
      <c r="S388" s="94"/>
      <c r="T388" s="94"/>
      <c r="U388" s="94"/>
      <c r="V388" s="94"/>
      <c r="W388" s="94"/>
      <c r="X388" s="94"/>
      <c r="Y388" s="94"/>
      <c r="Z388" s="94"/>
      <c r="AA388" s="94"/>
      <c r="AB388" s="94"/>
      <c r="AC388" s="94"/>
      <c r="AD388" s="94"/>
      <c r="AE388" s="94"/>
      <c r="AF388" s="94"/>
      <c r="AG388" s="94"/>
    </row>
    <row r="389">
      <c r="A389" s="96" t="s">
        <v>2854</v>
      </c>
      <c r="B389" s="95" t="str">
        <f>IFERROR(__xludf.DUMMYFUNCTION("""COMPUTED_VALUE"""),"32044150448934_036")</f>
        <v>32044150448934_036</v>
      </c>
      <c r="C389" s="94" t="str">
        <f>IFERROR(__xludf.DUMMYFUNCTION("""COMPUTED_VALUE""")," 32044150448934_037")</f>
        <v> 32044150448934_037</v>
      </c>
      <c r="D389" s="94" t="str">
        <f>IFERROR(__xludf.DUMMYFUNCTION("""COMPUTED_VALUE""")," 32044150448934_038")</f>
        <v> 32044150448934_038</v>
      </c>
      <c r="E389" s="94" t="str">
        <f>IFERROR(__xludf.DUMMYFUNCTION("""COMPUTED_VALUE""")," 32044150448934_039")</f>
        <v> 32044150448934_039</v>
      </c>
      <c r="F389" s="94" t="str">
        <f>IFERROR(__xludf.DUMMYFUNCTION("""COMPUTED_VALUE""")," 32044150448934_040")</f>
        <v> 32044150448934_040</v>
      </c>
      <c r="G389" s="94" t="str">
        <f>IFERROR(__xludf.DUMMYFUNCTION("""COMPUTED_VALUE""")," 32044150448934_041")</f>
        <v> 32044150448934_041</v>
      </c>
      <c r="H389" s="94" t="str">
        <f>IFERROR(__xludf.DUMMYFUNCTION("""COMPUTED_VALUE""")," 32044150448934_042")</f>
        <v> 32044150448934_042</v>
      </c>
      <c r="I389" s="94" t="str">
        <f>IFERROR(__xludf.DUMMYFUNCTION("""COMPUTED_VALUE""")," 32044150448934_043")</f>
        <v> 32044150448934_043</v>
      </c>
      <c r="J389" s="94" t="str">
        <f>IFERROR(__xludf.DUMMYFUNCTION("""COMPUTED_VALUE""")," 32044150448934_044")</f>
        <v> 32044150448934_044</v>
      </c>
      <c r="K389" s="94"/>
      <c r="L389" s="94"/>
      <c r="M389" s="94"/>
      <c r="N389" s="94"/>
      <c r="O389" s="94"/>
      <c r="P389" s="94"/>
      <c r="Q389" s="94"/>
      <c r="R389" s="94"/>
      <c r="S389" s="94"/>
      <c r="T389" s="94"/>
      <c r="U389" s="94"/>
      <c r="V389" s="94"/>
      <c r="W389" s="94"/>
      <c r="X389" s="94"/>
      <c r="Y389" s="94"/>
      <c r="Z389" s="94"/>
      <c r="AA389" s="94"/>
      <c r="AB389" s="94"/>
      <c r="AC389" s="94"/>
      <c r="AD389" s="94"/>
      <c r="AE389" s="94"/>
      <c r="AF389" s="94"/>
      <c r="AG389" s="94"/>
    </row>
    <row r="390">
      <c r="A390" s="96" t="s">
        <v>2863</v>
      </c>
      <c r="B390" s="95" t="str">
        <f>IFERROR(__xludf.DUMMYFUNCTION("""COMPUTED_VALUE"""),"32044150448942_001")</f>
        <v>32044150448942_001</v>
      </c>
      <c r="C390" s="94" t="str">
        <f>IFERROR(__xludf.DUMMYFUNCTION("""COMPUTED_VALUE""")," 32044150448942_002")</f>
        <v> 32044150448942_002</v>
      </c>
      <c r="D390" s="94" t="str">
        <f>IFERROR(__xludf.DUMMYFUNCTION("""COMPUTED_VALUE""")," 32044150448942_003")</f>
        <v> 32044150448942_003</v>
      </c>
      <c r="E390" s="94" t="str">
        <f>IFERROR(__xludf.DUMMYFUNCTION("""COMPUTED_VALUE""")," 32044150448942_004")</f>
        <v> 32044150448942_004</v>
      </c>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c r="AD390" s="94"/>
      <c r="AE390" s="94"/>
      <c r="AF390" s="94"/>
      <c r="AG390" s="94"/>
    </row>
    <row r="391">
      <c r="A391" s="96" t="s">
        <v>2872</v>
      </c>
      <c r="B391" s="95" t="str">
        <f>IFERROR(__xludf.DUMMYFUNCTION("""COMPUTED_VALUE"""),"32044150448942_007")</f>
        <v>32044150448942_007</v>
      </c>
      <c r="C391" s="94" t="str">
        <f>IFERROR(__xludf.DUMMYFUNCTION("""COMPUTED_VALUE""")," 32044150448942_008")</f>
        <v> 32044150448942_008</v>
      </c>
      <c r="D391" s="94" t="str">
        <f>IFERROR(__xludf.DUMMYFUNCTION("""COMPUTED_VALUE""")," 32044150448942_009")</f>
        <v> 32044150448942_009</v>
      </c>
      <c r="E391" s="94" t="str">
        <f>IFERROR(__xludf.DUMMYFUNCTION("""COMPUTED_VALUE""")," 32044150448942_010")</f>
        <v> 32044150448942_010</v>
      </c>
      <c r="F391" s="94" t="str">
        <f>IFERROR(__xludf.DUMMYFUNCTION("""COMPUTED_VALUE""")," 32044150448942_011")</f>
        <v> 32044150448942_011</v>
      </c>
      <c r="G391" s="94" t="str">
        <f>IFERROR(__xludf.DUMMYFUNCTION("""COMPUTED_VALUE""")," 32044150448942_012")</f>
        <v> 32044150448942_012</v>
      </c>
      <c r="H391" s="94"/>
      <c r="I391" s="94"/>
      <c r="J391" s="94"/>
      <c r="K391" s="94"/>
      <c r="L391" s="94"/>
      <c r="M391" s="94"/>
      <c r="N391" s="94"/>
      <c r="O391" s="94"/>
      <c r="P391" s="94"/>
      <c r="Q391" s="94"/>
      <c r="R391" s="94"/>
      <c r="S391" s="94"/>
      <c r="T391" s="94"/>
      <c r="U391" s="94"/>
      <c r="V391" s="94"/>
      <c r="W391" s="94"/>
      <c r="X391" s="94"/>
      <c r="Y391" s="94"/>
      <c r="Z391" s="94"/>
      <c r="AA391" s="94"/>
      <c r="AB391" s="94"/>
      <c r="AC391" s="94"/>
      <c r="AD391" s="94"/>
      <c r="AE391" s="94"/>
      <c r="AF391" s="94"/>
      <c r="AG391" s="94"/>
    </row>
    <row r="392">
      <c r="A392" s="96" t="s">
        <v>2884</v>
      </c>
      <c r="B392" s="95" t="str">
        <f>IFERROR(__xludf.DUMMYFUNCTION("""COMPUTED_VALUE"""),"32044150448942_013")</f>
        <v>32044150448942_013</v>
      </c>
      <c r="C392" s="94" t="str">
        <f>IFERROR(__xludf.DUMMYFUNCTION("""COMPUTED_VALUE""")," 32044150448942_014")</f>
        <v> 32044150448942_014</v>
      </c>
      <c r="D392" s="94" t="str">
        <f>IFERROR(__xludf.DUMMYFUNCTION("""COMPUTED_VALUE""")," 32044150448942_015")</f>
        <v> 32044150448942_015</v>
      </c>
      <c r="E392" s="94" t="str">
        <f>IFERROR(__xludf.DUMMYFUNCTION("""COMPUTED_VALUE""")," 32044150448942_016")</f>
        <v> 32044150448942_016</v>
      </c>
      <c r="F392" s="94" t="str">
        <f>IFERROR(__xludf.DUMMYFUNCTION("""COMPUTED_VALUE""")," 32044150448942_017")</f>
        <v> 32044150448942_017</v>
      </c>
      <c r="G392" s="94" t="str">
        <f>IFERROR(__xludf.DUMMYFUNCTION("""COMPUTED_VALUE""")," 32044150448942_018")</f>
        <v> 32044150448942_018</v>
      </c>
      <c r="H392" s="94" t="str">
        <f>IFERROR(__xludf.DUMMYFUNCTION("""COMPUTED_VALUE""")," 32044150448942_019")</f>
        <v> 32044150448942_019</v>
      </c>
      <c r="I392" s="94" t="str">
        <f>IFERROR(__xludf.DUMMYFUNCTION("""COMPUTED_VALUE""")," 32044150448942_020")</f>
        <v> 32044150448942_020</v>
      </c>
      <c r="J392" s="94" t="str">
        <f>IFERROR(__xludf.DUMMYFUNCTION("""COMPUTED_VALUE""")," 32044150448942_021")</f>
        <v> 32044150448942_021</v>
      </c>
      <c r="K392" s="94" t="str">
        <f>IFERROR(__xludf.DUMMYFUNCTION("""COMPUTED_VALUE""")," 32044150448942_022")</f>
        <v> 32044150448942_022</v>
      </c>
      <c r="L392" s="94" t="str">
        <f>IFERROR(__xludf.DUMMYFUNCTION("""COMPUTED_VALUE""")," 32044150448942_023")</f>
        <v> 32044150448942_023</v>
      </c>
      <c r="M392" s="94" t="str">
        <f>IFERROR(__xludf.DUMMYFUNCTION("""COMPUTED_VALUE""")," 32044150448942_024")</f>
        <v> 32044150448942_024</v>
      </c>
      <c r="N392" s="94" t="str">
        <f>IFERROR(__xludf.DUMMYFUNCTION("""COMPUTED_VALUE""")," 32044150448942_025")</f>
        <v> 32044150448942_025</v>
      </c>
      <c r="O392" s="94" t="str">
        <f>IFERROR(__xludf.DUMMYFUNCTION("""COMPUTED_VALUE""")," 32044150448942_026")</f>
        <v> 32044150448942_026</v>
      </c>
      <c r="P392" s="94"/>
      <c r="Q392" s="94"/>
      <c r="R392" s="94"/>
      <c r="S392" s="94"/>
      <c r="T392" s="94"/>
      <c r="U392" s="94"/>
      <c r="V392" s="94"/>
      <c r="W392" s="94"/>
      <c r="X392" s="94"/>
      <c r="Y392" s="94"/>
      <c r="Z392" s="94"/>
      <c r="AA392" s="94"/>
      <c r="AB392" s="94"/>
      <c r="AC392" s="94"/>
      <c r="AD392" s="94"/>
      <c r="AE392" s="94"/>
      <c r="AF392" s="94"/>
      <c r="AG392" s="94"/>
    </row>
    <row r="393">
      <c r="A393" s="96" t="s">
        <v>2893</v>
      </c>
      <c r="B393" s="95" t="str">
        <f>IFERROR(__xludf.DUMMYFUNCTION("""COMPUTED_VALUE"""),"32044150448942_005")</f>
        <v>32044150448942_005</v>
      </c>
      <c r="C393" s="94" t="str">
        <f>IFERROR(__xludf.DUMMYFUNCTION("""COMPUTED_VALUE""")," 32044150448942_006")</f>
        <v> 32044150448942_006</v>
      </c>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c r="AD393" s="94"/>
      <c r="AE393" s="94"/>
      <c r="AF393" s="94"/>
      <c r="AG393" s="94"/>
    </row>
    <row r="394">
      <c r="A394" s="96" t="s">
        <v>2903</v>
      </c>
      <c r="B394" s="95" t="str">
        <f>IFERROR(__xludf.DUMMYFUNCTION("""COMPUTED_VALUE"""),"32044150448959_001")</f>
        <v>32044150448959_001</v>
      </c>
      <c r="C394" s="94" t="str">
        <f>IFERROR(__xludf.DUMMYFUNCTION("""COMPUTED_VALUE""")," 32044150448959_002")</f>
        <v> 32044150448959_002</v>
      </c>
      <c r="D394" s="94" t="str">
        <f>IFERROR(__xludf.DUMMYFUNCTION("""COMPUTED_VALUE""")," 32044150448959_003")</f>
        <v> 32044150448959_003</v>
      </c>
      <c r="E394" s="94" t="str">
        <f>IFERROR(__xludf.DUMMYFUNCTION("""COMPUTED_VALUE""")," 
32044150448959_004")</f>
        <v> 
32044150448959_004</v>
      </c>
      <c r="F394" s="94" t="str">
        <f>IFERROR(__xludf.DUMMYFUNCTION("""COMPUTED_VALUE""")," 32044150448959_005")</f>
        <v> 32044150448959_005</v>
      </c>
      <c r="G394" s="94" t="str">
        <f>IFERROR(__xludf.DUMMYFUNCTION("""COMPUTED_VALUE""")," 32044150448959_006")</f>
        <v> 32044150448959_006</v>
      </c>
      <c r="H394" s="94" t="str">
        <f>IFERROR(__xludf.DUMMYFUNCTION("""COMPUTED_VALUE""")," 
32044150448959_007")</f>
        <v> 
32044150448959_007</v>
      </c>
      <c r="I394" s="94" t="str">
        <f>IFERROR(__xludf.DUMMYFUNCTION("""COMPUTED_VALUE""")," 32044150448959_008")</f>
        <v> 32044150448959_008</v>
      </c>
      <c r="J394" s="94" t="str">
        <f>IFERROR(__xludf.DUMMYFUNCTION("""COMPUTED_VALUE""")," 32044150448959_009")</f>
        <v> 32044150448959_009</v>
      </c>
      <c r="K394" s="94" t="str">
        <f>IFERROR(__xludf.DUMMYFUNCTION("""COMPUTED_VALUE""")," 
32044150448959_010")</f>
        <v> 
32044150448959_010</v>
      </c>
      <c r="L394" s="94" t="str">
        <f>IFERROR(__xludf.DUMMYFUNCTION("""COMPUTED_VALUE""")," 32044150448959_011")</f>
        <v> 32044150448959_011</v>
      </c>
      <c r="M394" s="94" t="str">
        <f>IFERROR(__xludf.DUMMYFUNCTION("""COMPUTED_VALUE""")," 32044150448959_012")</f>
        <v> 32044150448959_012</v>
      </c>
      <c r="N394" s="94"/>
      <c r="O394" s="94"/>
      <c r="P394" s="94"/>
      <c r="Q394" s="94"/>
      <c r="R394" s="94"/>
      <c r="S394" s="94"/>
      <c r="T394" s="94"/>
      <c r="U394" s="94"/>
      <c r="V394" s="94"/>
      <c r="W394" s="94"/>
      <c r="X394" s="94"/>
      <c r="Y394" s="94"/>
      <c r="Z394" s="94"/>
      <c r="AA394" s="94"/>
      <c r="AB394" s="94"/>
      <c r="AC394" s="94"/>
      <c r="AD394" s="94"/>
      <c r="AE394" s="94"/>
      <c r="AF394" s="94"/>
      <c r="AG394" s="94"/>
    </row>
    <row r="395">
      <c r="A395" s="96" t="s">
        <v>2912</v>
      </c>
      <c r="B395" s="95" t="str">
        <f>IFERROR(__xludf.DUMMYFUNCTION("""COMPUTED_VALUE"""),"32044150448959_013")</f>
        <v>32044150448959_013</v>
      </c>
      <c r="C395" s="94" t="str">
        <f>IFERROR(__xludf.DUMMYFUNCTION("""COMPUTED_VALUE""")," 32044150448959_014")</f>
        <v> 32044150448959_014</v>
      </c>
      <c r="D395" s="94" t="str">
        <f>IFERROR(__xludf.DUMMYFUNCTION("""COMPUTED_VALUE""")," 32044150448959_015")</f>
        <v> 32044150448959_015</v>
      </c>
      <c r="E395" s="94" t="str">
        <f>IFERROR(__xludf.DUMMYFUNCTION("""COMPUTED_VALUE""")," 
32044150448959_016")</f>
        <v> 
32044150448959_016</v>
      </c>
      <c r="F395" s="94" t="str">
        <f>IFERROR(__xludf.DUMMYFUNCTION("""COMPUTED_VALUE""")," 32044150448959_017")</f>
        <v> 32044150448959_017</v>
      </c>
      <c r="G395" s="94" t="str">
        <f>IFERROR(__xludf.DUMMYFUNCTION("""COMPUTED_VALUE""")," 32044150448959_018")</f>
        <v> 32044150448959_018</v>
      </c>
      <c r="H395" s="94"/>
      <c r="I395" s="94"/>
      <c r="J395" s="94"/>
      <c r="K395" s="94"/>
      <c r="L395" s="94"/>
      <c r="M395" s="94"/>
      <c r="N395" s="94"/>
      <c r="O395" s="94"/>
      <c r="P395" s="94"/>
      <c r="Q395" s="94"/>
      <c r="R395" s="94"/>
      <c r="S395" s="94"/>
      <c r="T395" s="94"/>
      <c r="U395" s="94"/>
      <c r="V395" s="94"/>
      <c r="W395" s="94"/>
      <c r="X395" s="94"/>
      <c r="Y395" s="94"/>
      <c r="Z395" s="94"/>
      <c r="AA395" s="94"/>
      <c r="AB395" s="94"/>
      <c r="AC395" s="94"/>
      <c r="AD395" s="94"/>
      <c r="AE395" s="94"/>
      <c r="AF395" s="94"/>
      <c r="AG395" s="94"/>
    </row>
    <row r="396">
      <c r="A396" s="96" t="s">
        <v>2919</v>
      </c>
      <c r="B396" s="95" t="str">
        <f>IFERROR(__xludf.DUMMYFUNCTION("""COMPUTED_VALUE"""),"32044150448967_001")</f>
        <v>32044150448967_001</v>
      </c>
      <c r="C396" s="94" t="str">
        <f>IFERROR(__xludf.DUMMYFUNCTION("""COMPUTED_VALUE""")," 32044150448967_002")</f>
        <v> 32044150448967_002</v>
      </c>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c r="AD396" s="94"/>
      <c r="AE396" s="94"/>
      <c r="AF396" s="94"/>
      <c r="AG396" s="94"/>
    </row>
    <row r="397">
      <c r="A397" s="96" t="s">
        <v>2928</v>
      </c>
      <c r="B397" s="95" t="str">
        <f>IFERROR(__xludf.DUMMYFUNCTION("""COMPUTED_VALUE"""),"32044150448967_003")</f>
        <v>32044150448967_003</v>
      </c>
      <c r="C397" s="94" t="str">
        <f>IFERROR(__xludf.DUMMYFUNCTION("""COMPUTED_VALUE""")," 32044150448967_004")</f>
        <v> 32044150448967_004</v>
      </c>
      <c r="D397" s="94" t="str">
        <f>IFERROR(__xludf.DUMMYFUNCTION("""COMPUTED_VALUE""")," 32044150448967_005")</f>
        <v> 32044150448967_005</v>
      </c>
      <c r="E397" s="94" t="str">
        <f>IFERROR(__xludf.DUMMYFUNCTION("""COMPUTED_VALUE""")," 
32044150448967_006")</f>
        <v> 
32044150448967_006</v>
      </c>
      <c r="F397" s="94" t="str">
        <f>IFERROR(__xludf.DUMMYFUNCTION("""COMPUTED_VALUE""")," 32044150448967_007")</f>
        <v> 32044150448967_007</v>
      </c>
      <c r="G397" s="94" t="str">
        <f>IFERROR(__xludf.DUMMYFUNCTION("""COMPUTED_VALUE""")," 32044150448967_008")</f>
        <v> 32044150448967_008</v>
      </c>
      <c r="H397" s="94" t="str">
        <f>IFERROR(__xludf.DUMMYFUNCTION("""COMPUTED_VALUE""")," 
32044150448967_009")</f>
        <v> 
32044150448967_009</v>
      </c>
      <c r="I397" s="94" t="str">
        <f>IFERROR(__xludf.DUMMYFUNCTION("""COMPUTED_VALUE""")," 32044150448967_010")</f>
        <v> 32044150448967_010</v>
      </c>
      <c r="J397" s="94"/>
      <c r="K397" s="94"/>
      <c r="L397" s="94"/>
      <c r="M397" s="94"/>
      <c r="N397" s="94"/>
      <c r="O397" s="94"/>
      <c r="P397" s="94"/>
      <c r="Q397" s="94"/>
      <c r="R397" s="94"/>
      <c r="S397" s="94"/>
      <c r="T397" s="94"/>
      <c r="U397" s="94"/>
      <c r="V397" s="94"/>
      <c r="W397" s="94"/>
      <c r="X397" s="94"/>
      <c r="Y397" s="94"/>
      <c r="Z397" s="94"/>
      <c r="AA397" s="94"/>
      <c r="AB397" s="94"/>
      <c r="AC397" s="94"/>
      <c r="AD397" s="94"/>
      <c r="AE397" s="94"/>
      <c r="AF397" s="94"/>
      <c r="AG397" s="94"/>
    </row>
    <row r="398">
      <c r="A398" s="96" t="s">
        <v>2938</v>
      </c>
      <c r="B398" s="95" t="str">
        <f>IFERROR(__xludf.DUMMYFUNCTION("""COMPUTED_VALUE"""),"32044150448967_011")</f>
        <v>32044150448967_011</v>
      </c>
      <c r="C398" s="94" t="str">
        <f>IFERROR(__xludf.DUMMYFUNCTION("""COMPUTED_VALUE""")," 32044150448967_012")</f>
        <v> 32044150448967_012</v>
      </c>
      <c r="D398" s="94" t="str">
        <f>IFERROR(__xludf.DUMMYFUNCTION("""COMPUTED_VALUE""")," 32044150448967_013")</f>
        <v> 32044150448967_013</v>
      </c>
      <c r="E398" s="94" t="str">
        <f>IFERROR(__xludf.DUMMYFUNCTION("""COMPUTED_VALUE""")," 
32044150448967_014")</f>
        <v> 
32044150448967_014</v>
      </c>
      <c r="F398" s="94" t="str">
        <f>IFERROR(__xludf.DUMMYFUNCTION("""COMPUTED_VALUE""")," 32044150448967_015")</f>
        <v> 32044150448967_015</v>
      </c>
      <c r="G398" s="94" t="str">
        <f>IFERROR(__xludf.DUMMYFUNCTION("""COMPUTED_VALUE""")," 32044150448967_016")</f>
        <v> 32044150448967_016</v>
      </c>
      <c r="H398" s="94" t="str">
        <f>IFERROR(__xludf.DUMMYFUNCTION("""COMPUTED_VALUE""")," 
32044150448967_017")</f>
        <v> 
32044150448967_017</v>
      </c>
      <c r="I398" s="94" t="str">
        <f>IFERROR(__xludf.DUMMYFUNCTION("""COMPUTED_VALUE""")," 32044150448967_018")</f>
        <v> 32044150448967_018</v>
      </c>
      <c r="J398" s="94" t="str">
        <f>IFERROR(__xludf.DUMMYFUNCTION("""COMPUTED_VALUE""")," 32044150448967_019")</f>
        <v> 32044150448967_019</v>
      </c>
      <c r="K398" s="94" t="str">
        <f>IFERROR(__xludf.DUMMYFUNCTION("""COMPUTED_VALUE""")," 
32044150448967_020")</f>
        <v> 
32044150448967_020</v>
      </c>
      <c r="L398" s="94"/>
      <c r="M398" s="94"/>
      <c r="N398" s="94"/>
      <c r="O398" s="94"/>
      <c r="P398" s="94"/>
      <c r="Q398" s="94"/>
      <c r="R398" s="94"/>
      <c r="S398" s="94"/>
      <c r="T398" s="94"/>
      <c r="U398" s="94"/>
      <c r="V398" s="94"/>
      <c r="W398" s="94"/>
      <c r="X398" s="94"/>
      <c r="Y398" s="94"/>
      <c r="Z398" s="94"/>
      <c r="AA398" s="94"/>
      <c r="AB398" s="94"/>
      <c r="AC398" s="94"/>
      <c r="AD398" s="94"/>
      <c r="AE398" s="94"/>
      <c r="AF398" s="94"/>
      <c r="AG398" s="94"/>
    </row>
    <row r="399">
      <c r="A399" s="96" t="s">
        <v>2946</v>
      </c>
      <c r="B399" s="95" t="str">
        <f>IFERROR(__xludf.DUMMYFUNCTION("""COMPUTED_VALUE"""),"32044150448967_021")</f>
        <v>32044150448967_021</v>
      </c>
      <c r="C399" s="94" t="str">
        <f>IFERROR(__xludf.DUMMYFUNCTION("""COMPUTED_VALUE""")," 32044150448967_022")</f>
        <v> 32044150448967_022</v>
      </c>
      <c r="D399" s="94" t="str">
        <f>IFERROR(__xludf.DUMMYFUNCTION("""COMPUTED_VALUE""")," 32044150448967_023")</f>
        <v> 32044150448967_023</v>
      </c>
      <c r="E399" s="94" t="str">
        <f>IFERROR(__xludf.DUMMYFUNCTION("""COMPUTED_VALUE""")," 
32044150448967_024")</f>
        <v> 
32044150448967_024</v>
      </c>
      <c r="F399" s="94" t="str">
        <f>IFERROR(__xludf.DUMMYFUNCTION("""COMPUTED_VALUE""")," 32044150448967_025")</f>
        <v> 32044150448967_025</v>
      </c>
      <c r="G399" s="94" t="str">
        <f>IFERROR(__xludf.DUMMYFUNCTION("""COMPUTED_VALUE""")," 32044150448967_026")</f>
        <v> 32044150448967_026</v>
      </c>
      <c r="H399" s="94" t="str">
        <f>IFERROR(__xludf.DUMMYFUNCTION("""COMPUTED_VALUE""")," 
32044150448967_027")</f>
        <v> 
32044150448967_027</v>
      </c>
      <c r="I399" s="94" t="str">
        <f>IFERROR(__xludf.DUMMYFUNCTION("""COMPUTED_VALUE""")," 32044150448967_028")</f>
        <v> 32044150448967_028</v>
      </c>
      <c r="J399" s="94" t="str">
        <f>IFERROR(__xludf.DUMMYFUNCTION("""COMPUTED_VALUE""")," 32044150448967_029")</f>
        <v> 32044150448967_029</v>
      </c>
      <c r="K399" s="94" t="str">
        <f>IFERROR(__xludf.DUMMYFUNCTION("""COMPUTED_VALUE""")," 
32044150448967_030")</f>
        <v> 
32044150448967_030</v>
      </c>
      <c r="L399" s="94"/>
      <c r="M399" s="94"/>
      <c r="N399" s="94"/>
      <c r="O399" s="94"/>
      <c r="P399" s="94"/>
      <c r="Q399" s="94"/>
      <c r="R399" s="94"/>
      <c r="S399" s="94"/>
      <c r="T399" s="94"/>
      <c r="U399" s="94"/>
      <c r="V399" s="94"/>
      <c r="W399" s="94"/>
      <c r="X399" s="94"/>
      <c r="Y399" s="94"/>
      <c r="Z399" s="94"/>
      <c r="AA399" s="94"/>
      <c r="AB399" s="94"/>
      <c r="AC399" s="94"/>
      <c r="AD399" s="94"/>
      <c r="AE399" s="94"/>
      <c r="AF399" s="94"/>
      <c r="AG399" s="94"/>
    </row>
    <row r="400">
      <c r="A400" s="96" t="s">
        <v>2955</v>
      </c>
      <c r="B400" s="95" t="str">
        <f>IFERROR(__xludf.DUMMYFUNCTION("""COMPUTED_VALUE"""),"32044150448967_031")</f>
        <v>32044150448967_031</v>
      </c>
      <c r="C400" s="94" t="str">
        <f>IFERROR(__xludf.DUMMYFUNCTION("""COMPUTED_VALUE""")," 32044150448967_032")</f>
        <v> 32044150448967_032</v>
      </c>
      <c r="D400" s="94" t="str">
        <f>IFERROR(__xludf.DUMMYFUNCTION("""COMPUTED_VALUE""")," 32044150448967_033")</f>
        <v> 32044150448967_033</v>
      </c>
      <c r="E400" s="94" t="str">
        <f>IFERROR(__xludf.DUMMYFUNCTION("""COMPUTED_VALUE""")," 
32044150448967_034")</f>
        <v> 
32044150448967_034</v>
      </c>
      <c r="F400" s="94" t="str">
        <f>IFERROR(__xludf.DUMMYFUNCTION("""COMPUTED_VALUE""")," 32044150448967_035")</f>
        <v> 32044150448967_035</v>
      </c>
      <c r="G400" s="94" t="str">
        <f>IFERROR(__xludf.DUMMYFUNCTION("""COMPUTED_VALUE""")," 32044150448967_036")</f>
        <v> 32044150448967_036</v>
      </c>
      <c r="H400" s="94" t="str">
        <f>IFERROR(__xludf.DUMMYFUNCTION("""COMPUTED_VALUE""")," 
32044150448967_037")</f>
        <v> 
32044150448967_037</v>
      </c>
      <c r="I400" s="94" t="str">
        <f>IFERROR(__xludf.DUMMYFUNCTION("""COMPUTED_VALUE""")," 32044150448967_038")</f>
        <v> 32044150448967_038</v>
      </c>
      <c r="J400" s="94"/>
      <c r="K400" s="94"/>
      <c r="L400" s="94"/>
      <c r="M400" s="94"/>
      <c r="N400" s="94"/>
      <c r="O400" s="94"/>
      <c r="P400" s="94"/>
      <c r="Q400" s="94"/>
      <c r="R400" s="94"/>
      <c r="S400" s="94"/>
      <c r="T400" s="94"/>
      <c r="U400" s="94"/>
      <c r="V400" s="94"/>
      <c r="W400" s="94"/>
      <c r="X400" s="94"/>
      <c r="Y400" s="94"/>
      <c r="Z400" s="94"/>
      <c r="AA400" s="94"/>
      <c r="AB400" s="94"/>
      <c r="AC400" s="94"/>
      <c r="AD400" s="94"/>
      <c r="AE400" s="94"/>
      <c r="AF400" s="94"/>
      <c r="AG400" s="94"/>
    </row>
    <row r="401">
      <c r="A401" s="96" t="s">
        <v>2965</v>
      </c>
      <c r="B401" s="95" t="str">
        <f>IFERROR(__xludf.DUMMYFUNCTION("""COMPUTED_VALUE"""),"32044150448975_001")</f>
        <v>32044150448975_001</v>
      </c>
      <c r="C401" s="94" t="str">
        <f>IFERROR(__xludf.DUMMYFUNCTION("""COMPUTED_VALUE""")," 32044150448975_002")</f>
        <v> 32044150448975_002</v>
      </c>
      <c r="D401" s="94" t="str">
        <f>IFERROR(__xludf.DUMMYFUNCTION("""COMPUTED_VALUE""")," 32044150448975_003")</f>
        <v> 32044150448975_003</v>
      </c>
      <c r="E401" s="94" t="str">
        <f>IFERROR(__xludf.DUMMYFUNCTION("""COMPUTED_VALUE""")," 
32044150448975_004")</f>
        <v> 
32044150448975_004</v>
      </c>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c r="AD401" s="94"/>
      <c r="AE401" s="94"/>
      <c r="AF401" s="94"/>
      <c r="AG401" s="94"/>
    </row>
    <row r="402">
      <c r="A402" s="96" t="s">
        <v>2970</v>
      </c>
      <c r="B402" s="95" t="str">
        <f>IFERROR(__xludf.DUMMYFUNCTION("""COMPUTED_VALUE"""),"32044150448975_005")</f>
        <v>32044150448975_005</v>
      </c>
      <c r="C402" s="94" t="str">
        <f>IFERROR(__xludf.DUMMYFUNCTION("""COMPUTED_VALUE""")," 32044150448975_006")</f>
        <v> 32044150448975_006</v>
      </c>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c r="AD402" s="94"/>
      <c r="AE402" s="94"/>
      <c r="AF402" s="94"/>
      <c r="AG402" s="94"/>
    </row>
    <row r="403">
      <c r="A403" s="96" t="s">
        <v>2975</v>
      </c>
      <c r="B403" s="95" t="str">
        <f>IFERROR(__xludf.DUMMYFUNCTION("""COMPUTED_VALUE"""),"32044150448975_007")</f>
        <v>32044150448975_007</v>
      </c>
      <c r="C403" s="94" t="str">
        <f>IFERROR(__xludf.DUMMYFUNCTION("""COMPUTED_VALUE""")," 32044150448975_008")</f>
        <v> 32044150448975_008</v>
      </c>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c r="AD403" s="94"/>
      <c r="AE403" s="94"/>
      <c r="AF403" s="94"/>
      <c r="AG403" s="94"/>
    </row>
    <row r="404">
      <c r="A404" s="96" t="s">
        <v>2980</v>
      </c>
      <c r="B404" s="95" t="str">
        <f>IFERROR(__xludf.DUMMYFUNCTION("""COMPUTED_VALUE"""),"32044150448975_009")</f>
        <v>32044150448975_009</v>
      </c>
      <c r="C404" s="94" t="str">
        <f>IFERROR(__xludf.DUMMYFUNCTION("""COMPUTED_VALUE""")," 32044150448975_010")</f>
        <v> 32044150448975_010</v>
      </c>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c r="AD404" s="94"/>
      <c r="AE404" s="94"/>
      <c r="AF404" s="94"/>
      <c r="AG404" s="94"/>
    </row>
    <row r="405">
      <c r="A405" s="96" t="s">
        <v>2985</v>
      </c>
      <c r="B405" s="95" t="str">
        <f>IFERROR(__xludf.DUMMYFUNCTION("""COMPUTED_VALUE"""),"32044150448983_003")</f>
        <v>32044150448983_003</v>
      </c>
      <c r="C405" s="94" t="str">
        <f>IFERROR(__xludf.DUMMYFUNCTION("""COMPUTED_VALUE""")," 32044150448983_004")</f>
        <v> 32044150448983_004</v>
      </c>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c r="AD405" s="94"/>
      <c r="AE405" s="94"/>
      <c r="AF405" s="94"/>
      <c r="AG405" s="94"/>
    </row>
    <row r="406">
      <c r="A406" s="96" t="s">
        <v>2990</v>
      </c>
      <c r="B406" s="95" t="str">
        <f>IFERROR(__xludf.DUMMYFUNCTION("""COMPUTED_VALUE"""),"32044150448983_001")</f>
        <v>32044150448983_001</v>
      </c>
      <c r="C406" s="94" t="str">
        <f>IFERROR(__xludf.DUMMYFUNCTION("""COMPUTED_VALUE""")," 32044150448983_002")</f>
        <v> 32044150448983_002</v>
      </c>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c r="AD406" s="94"/>
      <c r="AE406" s="94"/>
      <c r="AF406" s="94"/>
      <c r="AG406" s="94"/>
    </row>
    <row r="407">
      <c r="A407" s="96" t="s">
        <v>2998</v>
      </c>
      <c r="B407" s="95" t="str">
        <f>IFERROR(__xludf.DUMMYFUNCTION("""COMPUTED_VALUE"""),"32044150448983_005")</f>
        <v>32044150448983_005</v>
      </c>
      <c r="C407" s="94" t="str">
        <f>IFERROR(__xludf.DUMMYFUNCTION("""COMPUTED_VALUE""")," 32044150448983_006")</f>
        <v> 32044150448983_006</v>
      </c>
      <c r="D407" s="94" t="str">
        <f>IFERROR(__xludf.DUMMYFUNCTION("""COMPUTED_VALUE""")," 32044150448983_007")</f>
        <v> 32044150448983_007</v>
      </c>
      <c r="E407" s="94" t="str">
        <f>IFERROR(__xludf.DUMMYFUNCTION("""COMPUTED_VALUE""")," 32044150448983_008")</f>
        <v> 32044150448983_008</v>
      </c>
      <c r="F407" s="94" t="str">
        <f>IFERROR(__xludf.DUMMYFUNCTION("""COMPUTED_VALUE""")," 32044150448983_009")</f>
        <v> 32044150448983_009</v>
      </c>
      <c r="G407" s="94" t="str">
        <f>IFERROR(__xludf.DUMMYFUNCTION("""COMPUTED_VALUE""")," 32044150448983_010")</f>
        <v> 32044150448983_010</v>
      </c>
      <c r="H407" s="94"/>
      <c r="I407" s="94"/>
      <c r="J407" s="94"/>
      <c r="K407" s="94"/>
      <c r="L407" s="94"/>
      <c r="M407" s="94"/>
      <c r="N407" s="94"/>
      <c r="O407" s="94"/>
      <c r="P407" s="94"/>
      <c r="Q407" s="94"/>
      <c r="R407" s="94"/>
      <c r="S407" s="94"/>
      <c r="T407" s="94"/>
      <c r="U407" s="94"/>
      <c r="V407" s="94"/>
      <c r="W407" s="94"/>
      <c r="X407" s="94"/>
      <c r="Y407" s="94"/>
      <c r="Z407" s="94"/>
      <c r="AA407" s="94"/>
      <c r="AB407" s="94"/>
      <c r="AC407" s="94"/>
      <c r="AD407" s="94"/>
      <c r="AE407" s="94"/>
      <c r="AF407" s="94"/>
      <c r="AG407" s="94"/>
    </row>
    <row r="408">
      <c r="A408" s="96" t="s">
        <v>3003</v>
      </c>
      <c r="B408" s="95" t="str">
        <f>IFERROR(__xludf.DUMMYFUNCTION("""COMPUTED_VALUE"""),"32044150448983_011")</f>
        <v>32044150448983_011</v>
      </c>
      <c r="C408" s="94" t="str">
        <f>IFERROR(__xludf.DUMMYFUNCTION("""COMPUTED_VALUE""")," 32044150448983_012")</f>
        <v> 32044150448983_012</v>
      </c>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c r="AD408" s="94"/>
      <c r="AE408" s="94"/>
      <c r="AF408" s="94"/>
      <c r="AG408" s="94"/>
    </row>
    <row r="409">
      <c r="A409" s="96" t="s">
        <v>3011</v>
      </c>
      <c r="B409" s="95" t="str">
        <f>IFERROR(__xludf.DUMMYFUNCTION("""COMPUTED_VALUE"""),"32044150448983_013")</f>
        <v>32044150448983_013</v>
      </c>
      <c r="C409" s="94" t="str">
        <f>IFERROR(__xludf.DUMMYFUNCTION("""COMPUTED_VALUE""")," 32044150448983_014")</f>
        <v> 32044150448983_014</v>
      </c>
      <c r="D409" s="94" t="str">
        <f>IFERROR(__xludf.DUMMYFUNCTION("""COMPUTED_VALUE""")," 32044150448983_015")</f>
        <v> 32044150448983_015</v>
      </c>
      <c r="E409" s="94" t="str">
        <f>IFERROR(__xludf.DUMMYFUNCTION("""COMPUTED_VALUE""")," 32044150448983_016")</f>
        <v> 32044150448983_016</v>
      </c>
      <c r="F409" s="94" t="str">
        <f>IFERROR(__xludf.DUMMYFUNCTION("""COMPUTED_VALUE""")," 32044150448983_017")</f>
        <v> 32044150448983_017</v>
      </c>
      <c r="G409" s="94" t="str">
        <f>IFERROR(__xludf.DUMMYFUNCTION("""COMPUTED_VALUE""")," 32044150448983_018")</f>
        <v> 32044150448983_018</v>
      </c>
      <c r="H409" s="94" t="str">
        <f>IFERROR(__xludf.DUMMYFUNCTION("""COMPUTED_VALUE""")," 32044150448983_019")</f>
        <v> 32044150448983_019</v>
      </c>
      <c r="I409" s="94" t="str">
        <f>IFERROR(__xludf.DUMMYFUNCTION("""COMPUTED_VALUE""")," 32044150448983_020")</f>
        <v> 32044150448983_020</v>
      </c>
      <c r="J409" s="94" t="str">
        <f>IFERROR(__xludf.DUMMYFUNCTION("""COMPUTED_VALUE""")," 32044150448983_021")</f>
        <v> 32044150448983_021</v>
      </c>
      <c r="K409" s="94" t="str">
        <f>IFERROR(__xludf.DUMMYFUNCTION("""COMPUTED_VALUE""")," 32044150448983_022")</f>
        <v> 32044150448983_022</v>
      </c>
      <c r="L409" s="94" t="str">
        <f>IFERROR(__xludf.DUMMYFUNCTION("""COMPUTED_VALUE""")," 32044150448983_023")</f>
        <v> 32044150448983_023</v>
      </c>
      <c r="M409" s="94" t="str">
        <f>IFERROR(__xludf.DUMMYFUNCTION("""COMPUTED_VALUE""")," 32044150448983_024")</f>
        <v> 32044150448983_024</v>
      </c>
      <c r="N409" s="94" t="str">
        <f>IFERROR(__xludf.DUMMYFUNCTION("""COMPUTED_VALUE""")," 32044150448983_025")</f>
        <v> 32044150448983_025</v>
      </c>
      <c r="O409" s="94" t="str">
        <f>IFERROR(__xludf.DUMMYFUNCTION("""COMPUTED_VALUE""")," 32044150448983_026")</f>
        <v> 32044150448983_026</v>
      </c>
      <c r="P409" s="94"/>
      <c r="Q409" s="94"/>
      <c r="R409" s="94"/>
      <c r="S409" s="94"/>
      <c r="T409" s="94"/>
      <c r="U409" s="94"/>
      <c r="V409" s="94"/>
      <c r="W409" s="94"/>
      <c r="X409" s="94"/>
      <c r="Y409" s="94"/>
      <c r="Z409" s="94"/>
      <c r="AA409" s="94"/>
      <c r="AB409" s="94"/>
      <c r="AC409" s="94"/>
      <c r="AD409" s="94"/>
      <c r="AE409" s="94"/>
      <c r="AF409" s="94"/>
      <c r="AG409" s="94"/>
    </row>
    <row r="410">
      <c r="A410" s="96" t="s">
        <v>3018</v>
      </c>
      <c r="B410" s="95" t="str">
        <f>IFERROR(__xludf.DUMMYFUNCTION("""COMPUTED_VALUE"""),"32044150448983_027")</f>
        <v>32044150448983_027</v>
      </c>
      <c r="C410" s="94" t="str">
        <f>IFERROR(__xludf.DUMMYFUNCTION("""COMPUTED_VALUE""")," 32044150448983_028")</f>
        <v> 32044150448983_028</v>
      </c>
      <c r="D410" s="94" t="str">
        <f>IFERROR(__xludf.DUMMYFUNCTION("""COMPUTED_VALUE""")," 32044150448983_029")</f>
        <v> 32044150448983_029</v>
      </c>
      <c r="E410" s="94" t="str">
        <f>IFERROR(__xludf.DUMMYFUNCTION("""COMPUTED_VALUE""")," 32044150448983_030")</f>
        <v> 32044150448983_030</v>
      </c>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c r="AD410" s="94"/>
      <c r="AE410" s="94"/>
      <c r="AF410" s="94"/>
      <c r="AG410" s="94"/>
    </row>
    <row r="411">
      <c r="A411" s="96" t="s">
        <v>3024</v>
      </c>
      <c r="B411" s="95" t="str">
        <f>IFERROR(__xludf.DUMMYFUNCTION("""COMPUTED_VALUE"""),"32044150448991_001")</f>
        <v>32044150448991_001</v>
      </c>
      <c r="C411" s="94" t="str">
        <f>IFERROR(__xludf.DUMMYFUNCTION("""COMPUTED_VALUE""")," 32044150448991_002")</f>
        <v> 32044150448991_002</v>
      </c>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c r="AD411" s="94"/>
      <c r="AE411" s="94"/>
      <c r="AF411" s="94"/>
      <c r="AG411" s="94"/>
    </row>
    <row r="412">
      <c r="A412" s="96" t="s">
        <v>3031</v>
      </c>
      <c r="B412" s="95" t="str">
        <f>IFERROR(__xludf.DUMMYFUNCTION("""COMPUTED_VALUE"""),"32044150448991_003")</f>
        <v>32044150448991_003</v>
      </c>
      <c r="C412" s="94" t="str">
        <f>IFERROR(__xludf.DUMMYFUNCTION("""COMPUTED_VALUE""")," 32044150448991_004")</f>
        <v> 32044150448991_004</v>
      </c>
      <c r="D412" s="94" t="str">
        <f>IFERROR(__xludf.DUMMYFUNCTION("""COMPUTED_VALUE""")," 32044150448991_005")</f>
        <v> 32044150448991_005</v>
      </c>
      <c r="E412" s="94" t="str">
        <f>IFERROR(__xludf.DUMMYFUNCTION("""COMPUTED_VALUE""")," 32044150448991_006")</f>
        <v> 32044150448991_006</v>
      </c>
      <c r="F412" s="94" t="str">
        <f>IFERROR(__xludf.DUMMYFUNCTION("""COMPUTED_VALUE""")," 32044150448991_007")</f>
        <v> 32044150448991_007</v>
      </c>
      <c r="G412" s="94" t="str">
        <f>IFERROR(__xludf.DUMMYFUNCTION("""COMPUTED_VALUE""")," 32044150448991_008")</f>
        <v> 32044150448991_008</v>
      </c>
      <c r="H412" s="94" t="str">
        <f>IFERROR(__xludf.DUMMYFUNCTION("""COMPUTED_VALUE""")," 32044150448991_009")</f>
        <v> 32044150448991_009</v>
      </c>
      <c r="I412" s="94" t="str">
        <f>IFERROR(__xludf.DUMMYFUNCTION("""COMPUTED_VALUE""")," 32044150448991_010")</f>
        <v> 32044150448991_010</v>
      </c>
      <c r="J412" s="94" t="str">
        <f>IFERROR(__xludf.DUMMYFUNCTION("""COMPUTED_VALUE""")," 32044150448991_011")</f>
        <v> 32044150448991_011</v>
      </c>
      <c r="K412" s="94" t="str">
        <f>IFERROR(__xludf.DUMMYFUNCTION("""COMPUTED_VALUE""")," 32044150448991_012")</f>
        <v> 32044150448991_012</v>
      </c>
      <c r="L412" s="94"/>
      <c r="M412" s="94"/>
      <c r="N412" s="94"/>
      <c r="O412" s="94"/>
      <c r="P412" s="94"/>
      <c r="Q412" s="94"/>
      <c r="R412" s="94"/>
      <c r="S412" s="94"/>
      <c r="T412" s="94"/>
      <c r="U412" s="94"/>
      <c r="V412" s="94"/>
      <c r="W412" s="94"/>
      <c r="X412" s="94"/>
      <c r="Y412" s="94"/>
      <c r="Z412" s="94"/>
      <c r="AA412" s="94"/>
      <c r="AB412" s="94"/>
      <c r="AC412" s="94"/>
      <c r="AD412" s="94"/>
      <c r="AE412" s="94"/>
      <c r="AF412" s="94"/>
      <c r="AG412" s="94"/>
    </row>
    <row r="413">
      <c r="A413" s="96" t="s">
        <v>3037</v>
      </c>
      <c r="B413" s="95" t="str">
        <f>IFERROR(__xludf.DUMMYFUNCTION("""COMPUTED_VALUE"""),"32044150448991_013")</f>
        <v>32044150448991_013</v>
      </c>
      <c r="C413" s="94" t="str">
        <f>IFERROR(__xludf.DUMMYFUNCTION("""COMPUTED_VALUE""")," 32044150448991_014")</f>
        <v> 32044150448991_014</v>
      </c>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c r="AD413" s="94"/>
      <c r="AE413" s="94"/>
      <c r="AF413" s="94"/>
      <c r="AG413" s="94"/>
    </row>
    <row r="414">
      <c r="A414" s="96" t="s">
        <v>3045</v>
      </c>
      <c r="B414" s="95" t="str">
        <f>IFERROR(__xludf.DUMMYFUNCTION("""COMPUTED_VALUE"""),"32044150448991_019")</f>
        <v>32044150448991_019</v>
      </c>
      <c r="C414" s="94" t="str">
        <f>IFERROR(__xludf.DUMMYFUNCTION("""COMPUTED_VALUE""")," 32044150448991_020")</f>
        <v> 32044150448991_020</v>
      </c>
      <c r="D414" s="94" t="str">
        <f>IFERROR(__xludf.DUMMYFUNCTION("""COMPUTED_VALUE""")," 32044150448991_021")</f>
        <v> 32044150448991_021</v>
      </c>
      <c r="E414" s="94" t="str">
        <f>IFERROR(__xludf.DUMMYFUNCTION("""COMPUTED_VALUE""")," 32044150448991_022")</f>
        <v> 32044150448991_022</v>
      </c>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c r="AD414" s="94"/>
      <c r="AE414" s="94"/>
      <c r="AF414" s="94"/>
      <c r="AG414" s="94"/>
    </row>
    <row r="415">
      <c r="A415" s="96" t="s">
        <v>3049</v>
      </c>
      <c r="B415" s="95" t="str">
        <f>IFERROR(__xludf.DUMMYFUNCTION("""COMPUTED_VALUE"""),"32044150448991_023")</f>
        <v>32044150448991_023</v>
      </c>
      <c r="C415" s="94" t="str">
        <f>IFERROR(__xludf.DUMMYFUNCTION("""COMPUTED_VALUE""")," 32044150448991_024")</f>
        <v> 32044150448991_024</v>
      </c>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c r="AD415" s="94"/>
      <c r="AE415" s="94"/>
      <c r="AF415" s="94"/>
      <c r="AG415" s="94"/>
    </row>
    <row r="416">
      <c r="A416" s="96" t="s">
        <v>3057</v>
      </c>
      <c r="B416" s="95" t="str">
        <f>IFERROR(__xludf.DUMMYFUNCTION("""COMPUTED_VALUE"""),"32044150448991_015")</f>
        <v>32044150448991_015</v>
      </c>
      <c r="C416" s="94" t="str">
        <f>IFERROR(__xludf.DUMMYFUNCTION("""COMPUTED_VALUE""")," 32044150448991_016")</f>
        <v> 32044150448991_016</v>
      </c>
      <c r="D416" s="94" t="str">
        <f>IFERROR(__xludf.DUMMYFUNCTION("""COMPUTED_VALUE""")," 32044150448991_017")</f>
        <v> 32044150448991_017</v>
      </c>
      <c r="E416" s="94" t="str">
        <f>IFERROR(__xludf.DUMMYFUNCTION("""COMPUTED_VALUE""")," 32044150448991_018")</f>
        <v> 32044150448991_018</v>
      </c>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c r="AD416" s="94"/>
      <c r="AE416" s="94"/>
      <c r="AF416" s="94"/>
      <c r="AG416" s="94"/>
    </row>
    <row r="417">
      <c r="A417" s="96" t="s">
        <v>3062</v>
      </c>
      <c r="B417" s="95" t="str">
        <f>IFERROR(__xludf.DUMMYFUNCTION("""COMPUTED_VALUE"""),"32044150448991_025")</f>
        <v>32044150448991_025</v>
      </c>
      <c r="C417" s="94" t="str">
        <f>IFERROR(__xludf.DUMMYFUNCTION("""COMPUTED_VALUE""")," 32044150448991_026")</f>
        <v> 32044150448991_026</v>
      </c>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c r="AD417" s="94"/>
      <c r="AE417" s="94"/>
      <c r="AF417" s="94"/>
      <c r="AG417" s="94"/>
    </row>
    <row r="418">
      <c r="A418" s="96" t="s">
        <v>3067</v>
      </c>
      <c r="B418" s="95" t="str">
        <f>IFERROR(__xludf.DUMMYFUNCTION("""COMPUTED_VALUE"""),"32044150448991_027")</f>
        <v>32044150448991_027</v>
      </c>
      <c r="C418" s="94" t="str">
        <f>IFERROR(__xludf.DUMMYFUNCTION("""COMPUTED_VALUE""")," 32044150448991_028")</f>
        <v> 32044150448991_028</v>
      </c>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c r="AD418" s="94"/>
      <c r="AE418" s="94"/>
      <c r="AF418" s="94"/>
      <c r="AG418" s="94"/>
    </row>
    <row r="419">
      <c r="A419" s="96" t="s">
        <v>3072</v>
      </c>
      <c r="B419" s="95" t="str">
        <f>IFERROR(__xludf.DUMMYFUNCTION("""COMPUTED_VALUE"""),"32044150448991_029")</f>
        <v>32044150448991_029</v>
      </c>
      <c r="C419" s="94" t="str">
        <f>IFERROR(__xludf.DUMMYFUNCTION("""COMPUTED_VALUE""")," 32044150448991_030")</f>
        <v> 32044150448991_030</v>
      </c>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c r="AD419" s="94"/>
      <c r="AE419" s="94"/>
      <c r="AF419" s="94"/>
      <c r="AG419" s="94"/>
    </row>
    <row r="420">
      <c r="A420" s="96" t="s">
        <v>3082</v>
      </c>
      <c r="B420" s="95" t="str">
        <f>IFERROR(__xludf.DUMMYFUNCTION("""COMPUTED_VALUE"""),"32044150449007_001")</f>
        <v>32044150449007_001</v>
      </c>
      <c r="C420" s="94" t="str">
        <f>IFERROR(__xludf.DUMMYFUNCTION("""COMPUTED_VALUE""")," 32044150449007_002")</f>
        <v> 32044150449007_002</v>
      </c>
      <c r="D420" s="94" t="str">
        <f>IFERROR(__xludf.DUMMYFUNCTION("""COMPUTED_VALUE""")," 32044150449007_003")</f>
        <v> 32044150449007_003</v>
      </c>
      <c r="E420" s="94" t="str">
        <f>IFERROR(__xludf.DUMMYFUNCTION("""COMPUTED_VALUE""")," 32044150449007_004")</f>
        <v> 32044150449007_004</v>
      </c>
      <c r="F420" s="94" t="str">
        <f>IFERROR(__xludf.DUMMYFUNCTION("""COMPUTED_VALUE""")," 32044150449007_005")</f>
        <v> 32044150449007_005</v>
      </c>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c r="AD420" s="94"/>
      <c r="AE420" s="94"/>
      <c r="AF420" s="94"/>
      <c r="AG420" s="94"/>
    </row>
    <row r="421">
      <c r="A421" s="96" t="s">
        <v>3091</v>
      </c>
      <c r="B421" s="95" t="str">
        <f>IFERROR(__xludf.DUMMYFUNCTION("""COMPUTED_VALUE"""),"32044150449007_006")</f>
        <v>32044150449007_006</v>
      </c>
      <c r="C421" s="94" t="str">
        <f>IFERROR(__xludf.DUMMYFUNCTION("""COMPUTED_VALUE""")," 32044150449007_007")</f>
        <v> 32044150449007_007</v>
      </c>
      <c r="D421" s="94" t="str">
        <f>IFERROR(__xludf.DUMMYFUNCTION("""COMPUTED_VALUE""")," 32044150449007_008")</f>
        <v> 32044150449007_008</v>
      </c>
      <c r="E421" s="94" t="str">
        <f>IFERROR(__xludf.DUMMYFUNCTION("""COMPUTED_VALUE""")," 32044150449007_009")</f>
        <v> 32044150449007_009</v>
      </c>
      <c r="F421" s="94" t="str">
        <f>IFERROR(__xludf.DUMMYFUNCTION("""COMPUTED_VALUE""")," 32044150449007_010")</f>
        <v> 32044150449007_010</v>
      </c>
      <c r="G421" s="94" t="str">
        <f>IFERROR(__xludf.DUMMYFUNCTION("""COMPUTED_VALUE""")," 32044150449007_011")</f>
        <v> 32044150449007_011</v>
      </c>
      <c r="H421" s="94" t="str">
        <f>IFERROR(__xludf.DUMMYFUNCTION("""COMPUTED_VALUE""")," 32044150449007_012")</f>
        <v> 32044150449007_012</v>
      </c>
      <c r="I421" s="94" t="str">
        <f>IFERROR(__xludf.DUMMYFUNCTION("""COMPUTED_VALUE""")," 32044150449007_013")</f>
        <v> 32044150449007_013</v>
      </c>
      <c r="J421" s="94"/>
      <c r="K421" s="94"/>
      <c r="L421" s="94"/>
      <c r="M421" s="94"/>
      <c r="N421" s="94"/>
      <c r="O421" s="94"/>
      <c r="P421" s="94"/>
      <c r="Q421" s="94"/>
      <c r="R421" s="94"/>
      <c r="S421" s="94"/>
      <c r="T421" s="94"/>
      <c r="U421" s="94"/>
      <c r="V421" s="94"/>
      <c r="W421" s="94"/>
      <c r="X421" s="94"/>
      <c r="Y421" s="94"/>
      <c r="Z421" s="94"/>
      <c r="AA421" s="94"/>
      <c r="AB421" s="94"/>
      <c r="AC421" s="94"/>
      <c r="AD421" s="94"/>
      <c r="AE421" s="94"/>
      <c r="AF421" s="94"/>
      <c r="AG421" s="94"/>
    </row>
    <row r="422">
      <c r="A422" s="96" t="s">
        <v>3100</v>
      </c>
      <c r="B422" s="95" t="str">
        <f>IFERROR(__xludf.DUMMYFUNCTION("""COMPUTED_VALUE"""),"32044150449007_014")</f>
        <v>32044150449007_014</v>
      </c>
      <c r="C422" s="94" t="str">
        <f>IFERROR(__xludf.DUMMYFUNCTION("""COMPUTED_VALUE""")," 32044150449007_015")</f>
        <v> 32044150449007_015</v>
      </c>
      <c r="D422" s="94" t="str">
        <f>IFERROR(__xludf.DUMMYFUNCTION("""COMPUTED_VALUE""")," 32044150449007_016")</f>
        <v> 32044150449007_016</v>
      </c>
      <c r="E422" s="94" t="str">
        <f>IFERROR(__xludf.DUMMYFUNCTION("""COMPUTED_VALUE""")," 32044150449007_017")</f>
        <v> 32044150449007_017</v>
      </c>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c r="AD422" s="94"/>
      <c r="AE422" s="94"/>
      <c r="AF422" s="94"/>
      <c r="AG422" s="94"/>
    </row>
    <row r="423">
      <c r="A423" s="96" t="s">
        <v>3107</v>
      </c>
      <c r="B423" s="95" t="str">
        <f>IFERROR(__xludf.DUMMYFUNCTION("""COMPUTED_VALUE"""),"32044150449007_018")</f>
        <v>32044150449007_018</v>
      </c>
      <c r="C423" s="94" t="str">
        <f>IFERROR(__xludf.DUMMYFUNCTION("""COMPUTED_VALUE""")," 32044150449007_019")</f>
        <v> 32044150449007_019</v>
      </c>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c r="AF423" s="94"/>
      <c r="AG423" s="94"/>
    </row>
    <row r="424">
      <c r="A424" s="96" t="s">
        <v>3112</v>
      </c>
      <c r="B424" s="95" t="str">
        <f>IFERROR(__xludf.DUMMYFUNCTION("""COMPUTED_VALUE"""),"32044150449007_020")</f>
        <v>32044150449007_020</v>
      </c>
      <c r="C424" s="94" t="str">
        <f>IFERROR(__xludf.DUMMYFUNCTION("""COMPUTED_VALUE""")," 32044150449007_021")</f>
        <v> 32044150449007_021</v>
      </c>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c r="AD424" s="94"/>
      <c r="AE424" s="94"/>
      <c r="AF424" s="94"/>
      <c r="AG424" s="94"/>
    </row>
    <row r="425">
      <c r="A425" s="96" t="s">
        <v>3123</v>
      </c>
      <c r="B425" s="95" t="str">
        <f>IFERROR(__xludf.DUMMYFUNCTION("""COMPUTED_VALUE"""),"32044150449007_022")</f>
        <v>32044150449007_022</v>
      </c>
      <c r="C425" s="94" t="str">
        <f>IFERROR(__xludf.DUMMYFUNCTION("""COMPUTED_VALUE""")," 32044150449007_023")</f>
        <v> 32044150449007_023</v>
      </c>
      <c r="D425" s="94" t="str">
        <f>IFERROR(__xludf.DUMMYFUNCTION("""COMPUTED_VALUE""")," 32044150449007_024")</f>
        <v> 32044150449007_024</v>
      </c>
      <c r="E425" s="94" t="str">
        <f>IFERROR(__xludf.DUMMYFUNCTION("""COMPUTED_VALUE""")," 32044150449007_025")</f>
        <v> 32044150449007_025</v>
      </c>
      <c r="F425" s="94" t="str">
        <f>IFERROR(__xludf.DUMMYFUNCTION("""COMPUTED_VALUE""")," 32044150449007_026")</f>
        <v> 32044150449007_026</v>
      </c>
      <c r="G425" s="94" t="str">
        <f>IFERROR(__xludf.DUMMYFUNCTION("""COMPUTED_VALUE""")," 32044150449007_027")</f>
        <v> 32044150449007_027</v>
      </c>
      <c r="H425" s="94" t="str">
        <f>IFERROR(__xludf.DUMMYFUNCTION("""COMPUTED_VALUE""")," 32044150449007_028")</f>
        <v> 32044150449007_028</v>
      </c>
      <c r="I425" s="94" t="str">
        <f>IFERROR(__xludf.DUMMYFUNCTION("""COMPUTED_VALUE""")," 32044150449007_029")</f>
        <v> 32044150449007_029</v>
      </c>
      <c r="J425" s="94" t="str">
        <f>IFERROR(__xludf.DUMMYFUNCTION("""COMPUTED_VALUE""")," 32044150449007_030")</f>
        <v> 32044150449007_030</v>
      </c>
      <c r="K425" s="94" t="str">
        <f>IFERROR(__xludf.DUMMYFUNCTION("""COMPUTED_VALUE""")," 32044150449007_031")</f>
        <v> 32044150449007_031</v>
      </c>
      <c r="L425" s="94"/>
      <c r="M425" s="94"/>
      <c r="N425" s="94"/>
      <c r="O425" s="94"/>
      <c r="P425" s="94"/>
      <c r="Q425" s="94"/>
      <c r="R425" s="94"/>
      <c r="S425" s="94"/>
      <c r="T425" s="94"/>
      <c r="U425" s="94"/>
      <c r="V425" s="94"/>
      <c r="W425" s="94"/>
      <c r="X425" s="94"/>
      <c r="Y425" s="94"/>
      <c r="Z425" s="94"/>
      <c r="AA425" s="94"/>
      <c r="AB425" s="94"/>
      <c r="AC425" s="94"/>
      <c r="AD425" s="94"/>
      <c r="AE425" s="94"/>
      <c r="AF425" s="94"/>
      <c r="AG425" s="94"/>
    </row>
    <row r="426">
      <c r="A426" s="96" t="s">
        <v>3132</v>
      </c>
      <c r="B426" s="95" t="str">
        <f>IFERROR(__xludf.DUMMYFUNCTION("""COMPUTED_VALUE"""),"32044150449007_032")</f>
        <v>32044150449007_032</v>
      </c>
      <c r="C426" s="94" t="str">
        <f>IFERROR(__xludf.DUMMYFUNCTION("""COMPUTED_VALUE""")," 32044150449007_033")</f>
        <v> 32044150449007_033</v>
      </c>
      <c r="D426" s="94" t="str">
        <f>IFERROR(__xludf.DUMMYFUNCTION("""COMPUTED_VALUE""")," 32044150449007_034")</f>
        <v> 32044150449007_034</v>
      </c>
      <c r="E426" s="94" t="str">
        <f>IFERROR(__xludf.DUMMYFUNCTION("""COMPUTED_VALUE""")," 32044150449007_035")</f>
        <v> 32044150449007_035</v>
      </c>
      <c r="F426" s="94" t="str">
        <f>IFERROR(__xludf.DUMMYFUNCTION("""COMPUTED_VALUE""")," 32044150449007_036")</f>
        <v> 32044150449007_036</v>
      </c>
      <c r="G426" s="94" t="str">
        <f>IFERROR(__xludf.DUMMYFUNCTION("""COMPUTED_VALUE""")," 32044150449007_037")</f>
        <v> 32044150449007_037</v>
      </c>
      <c r="H426" s="94"/>
      <c r="I426" s="94"/>
      <c r="J426" s="94"/>
      <c r="K426" s="94"/>
      <c r="L426" s="94"/>
      <c r="M426" s="94"/>
      <c r="N426" s="94"/>
      <c r="O426" s="94"/>
      <c r="P426" s="94"/>
      <c r="Q426" s="94"/>
      <c r="R426" s="94"/>
      <c r="S426" s="94"/>
      <c r="T426" s="94"/>
      <c r="U426" s="94"/>
      <c r="V426" s="94"/>
      <c r="W426" s="94"/>
      <c r="X426" s="94"/>
      <c r="Y426" s="94"/>
      <c r="Z426" s="94"/>
      <c r="AA426" s="94"/>
      <c r="AB426" s="94"/>
      <c r="AC426" s="94"/>
      <c r="AD426" s="94"/>
      <c r="AE426" s="94"/>
      <c r="AF426" s="94"/>
      <c r="AG426" s="94"/>
    </row>
    <row r="427">
      <c r="A427" s="96" t="s">
        <v>3140</v>
      </c>
      <c r="B427" s="95" t="str">
        <f>IFERROR(__xludf.DUMMYFUNCTION("""COMPUTED_VALUE"""),"32044150449007_038")</f>
        <v>32044150449007_038</v>
      </c>
      <c r="C427" s="94" t="str">
        <f>IFERROR(__xludf.DUMMYFUNCTION("""COMPUTED_VALUE""")," 32044150449007_039")</f>
        <v> 32044150449007_039</v>
      </c>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c r="AD427" s="94"/>
      <c r="AE427" s="94"/>
      <c r="AF427" s="94"/>
      <c r="AG427" s="94"/>
    </row>
    <row r="428">
      <c r="A428" s="96" t="s">
        <v>3149</v>
      </c>
      <c r="B428" s="95" t="str">
        <f>IFERROR(__xludf.DUMMYFUNCTION("""COMPUTED_VALUE"""),"32044150449007_040")</f>
        <v>32044150449007_040</v>
      </c>
      <c r="C428" s="94" t="str">
        <f>IFERROR(__xludf.DUMMYFUNCTION("""COMPUTED_VALUE""")," 32044150449007_041")</f>
        <v> 32044150449007_041</v>
      </c>
      <c r="D428" s="94" t="str">
        <f>IFERROR(__xludf.DUMMYFUNCTION("""COMPUTED_VALUE""")," 32044150449007_042")</f>
        <v> 32044150449007_042</v>
      </c>
      <c r="E428" s="94" t="str">
        <f>IFERROR(__xludf.DUMMYFUNCTION("""COMPUTED_VALUE""")," 32044150449007_043")</f>
        <v> 32044150449007_043</v>
      </c>
      <c r="F428" s="94" t="str">
        <f>IFERROR(__xludf.DUMMYFUNCTION("""COMPUTED_VALUE""")," 32044150449007_044")</f>
        <v> 32044150449007_044</v>
      </c>
      <c r="G428" s="94" t="str">
        <f>IFERROR(__xludf.DUMMYFUNCTION("""COMPUTED_VALUE""")," 32044150449007_045")</f>
        <v> 32044150449007_045</v>
      </c>
      <c r="H428" s="94"/>
      <c r="I428" s="94"/>
      <c r="J428" s="94"/>
      <c r="K428" s="94"/>
      <c r="L428" s="94"/>
      <c r="M428" s="94"/>
      <c r="N428" s="94"/>
      <c r="O428" s="94"/>
      <c r="P428" s="94"/>
      <c r="Q428" s="94"/>
      <c r="R428" s="94"/>
      <c r="S428" s="94"/>
      <c r="T428" s="94"/>
      <c r="U428" s="94"/>
      <c r="V428" s="94"/>
      <c r="W428" s="94"/>
      <c r="X428" s="94"/>
      <c r="Y428" s="94"/>
      <c r="Z428" s="94"/>
      <c r="AA428" s="94"/>
      <c r="AB428" s="94"/>
      <c r="AC428" s="94"/>
      <c r="AD428" s="94"/>
      <c r="AE428" s="94"/>
      <c r="AF428" s="94"/>
      <c r="AG428" s="94"/>
    </row>
    <row r="429">
      <c r="A429" s="96" t="s">
        <v>3157</v>
      </c>
      <c r="B429" s="95" t="str">
        <f>IFERROR(__xludf.DUMMYFUNCTION("""COMPUTED_VALUE"""),"32044150449007_046")</f>
        <v>32044150449007_046</v>
      </c>
      <c r="C429" s="94" t="str">
        <f>IFERROR(__xludf.DUMMYFUNCTION("""COMPUTED_VALUE""")," 32044150449007_047")</f>
        <v> 32044150449007_047</v>
      </c>
      <c r="D429" s="94" t="str">
        <f>IFERROR(__xludf.DUMMYFUNCTION("""COMPUTED_VALUE""")," 32044150449007_048")</f>
        <v> 32044150449007_048</v>
      </c>
      <c r="E429" s="94" t="str">
        <f>IFERROR(__xludf.DUMMYFUNCTION("""COMPUTED_VALUE""")," 32044150449007_049")</f>
        <v> 32044150449007_049</v>
      </c>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c r="AD429" s="94"/>
      <c r="AE429" s="94"/>
      <c r="AF429" s="94"/>
      <c r="AG429" s="94"/>
    </row>
    <row r="430">
      <c r="A430" s="96" t="s">
        <v>3163</v>
      </c>
      <c r="B430" s="95" t="str">
        <f>IFERROR(__xludf.DUMMYFUNCTION("""COMPUTED_VALUE"""),"32044150449007_051")</f>
        <v>32044150449007_051</v>
      </c>
      <c r="C430" s="94" t="str">
        <f>IFERROR(__xludf.DUMMYFUNCTION("""COMPUTED_VALUE""")," 32044150449007_052")</f>
        <v> 32044150449007_052</v>
      </c>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c r="AD430" s="94"/>
      <c r="AE430" s="94"/>
      <c r="AF430" s="94"/>
      <c r="AG430" s="94"/>
    </row>
    <row r="431">
      <c r="A431" s="96" t="s">
        <v>3171</v>
      </c>
      <c r="B431" s="95" t="str">
        <f>IFERROR(__xludf.DUMMYFUNCTION("""COMPUTED_VALUE"""),"32044150449007_050")</f>
        <v>32044150449007_050</v>
      </c>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c r="AD431" s="94"/>
      <c r="AE431" s="94"/>
      <c r="AF431" s="94"/>
      <c r="AG431" s="94"/>
    </row>
    <row r="432">
      <c r="A432" s="96" t="s">
        <v>3180</v>
      </c>
      <c r="B432" s="95" t="str">
        <f>IFERROR(__xludf.DUMMYFUNCTION("""COMPUTED_VALUE"""),"32044150449015_001")</f>
        <v>32044150449015_001</v>
      </c>
      <c r="C432" s="94" t="str">
        <f>IFERROR(__xludf.DUMMYFUNCTION("""COMPUTED_VALUE""")," 32044150449015_002")</f>
        <v> 32044150449015_002</v>
      </c>
      <c r="D432" s="94" t="str">
        <f>IFERROR(__xludf.DUMMYFUNCTION("""COMPUTED_VALUE""")," 32044150449015_003")</f>
        <v> 32044150449015_003</v>
      </c>
      <c r="E432" s="94" t="str">
        <f>IFERROR(__xludf.DUMMYFUNCTION("""COMPUTED_VALUE""")," 32044150449015_004")</f>
        <v> 32044150449015_004</v>
      </c>
      <c r="F432" s="94" t="str">
        <f>IFERROR(__xludf.DUMMYFUNCTION("""COMPUTED_VALUE""")," 32044150449015_005")</f>
        <v> 32044150449015_005</v>
      </c>
      <c r="G432" s="94" t="str">
        <f>IFERROR(__xludf.DUMMYFUNCTION("""COMPUTED_VALUE""")," 32044150449015_006")</f>
        <v> 32044150449015_006</v>
      </c>
      <c r="H432" s="94" t="str">
        <f>IFERROR(__xludf.DUMMYFUNCTION("""COMPUTED_VALUE""")," 32044150449015_007")</f>
        <v> 32044150449015_007</v>
      </c>
      <c r="I432" s="94"/>
      <c r="J432" s="94"/>
      <c r="K432" s="94"/>
      <c r="L432" s="94"/>
      <c r="M432" s="94"/>
      <c r="N432" s="94"/>
      <c r="O432" s="94"/>
      <c r="P432" s="94"/>
      <c r="Q432" s="94"/>
      <c r="R432" s="94"/>
      <c r="S432" s="94"/>
      <c r="T432" s="94"/>
      <c r="U432" s="94"/>
      <c r="V432" s="94"/>
      <c r="W432" s="94"/>
      <c r="X432" s="94"/>
      <c r="Y432" s="94"/>
      <c r="Z432" s="94"/>
      <c r="AA432" s="94"/>
      <c r="AB432" s="94"/>
      <c r="AC432" s="94"/>
      <c r="AD432" s="94"/>
      <c r="AE432" s="94"/>
      <c r="AF432" s="94"/>
      <c r="AG432" s="94"/>
    </row>
    <row r="433">
      <c r="A433" s="96" t="s">
        <v>3187</v>
      </c>
      <c r="B433" s="95" t="str">
        <f>IFERROR(__xludf.DUMMYFUNCTION("""COMPUTED_VALUE"""),"32044150449015_008")</f>
        <v>32044150449015_008</v>
      </c>
      <c r="C433" s="94" t="str">
        <f>IFERROR(__xludf.DUMMYFUNCTION("""COMPUTED_VALUE""")," 32044150449015_009")</f>
        <v> 32044150449015_009</v>
      </c>
      <c r="D433" s="94" t="str">
        <f>IFERROR(__xludf.DUMMYFUNCTION("""COMPUTED_VALUE""")," 32044150449015_010")</f>
        <v> 32044150449015_010</v>
      </c>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c r="AD433" s="94"/>
      <c r="AE433" s="94"/>
      <c r="AF433" s="94"/>
      <c r="AG433" s="94"/>
    </row>
    <row r="434">
      <c r="A434" s="96" t="s">
        <v>3195</v>
      </c>
      <c r="B434" s="95" t="str">
        <f>IFERROR(__xludf.DUMMYFUNCTION("""COMPUTED_VALUE"""),"32044150449023_001")</f>
        <v>32044150449023_001</v>
      </c>
      <c r="C434" s="94" t="str">
        <f>IFERROR(__xludf.DUMMYFUNCTION("""COMPUTED_VALUE""")," 32044150449023_002")</f>
        <v> 32044150449023_002</v>
      </c>
      <c r="D434" s="94" t="str">
        <f>IFERROR(__xludf.DUMMYFUNCTION("""COMPUTED_VALUE""")," 32044150449023_003")</f>
        <v> 32044150449023_003</v>
      </c>
      <c r="E434" s="94" t="str">
        <f>IFERROR(__xludf.DUMMYFUNCTION("""COMPUTED_VALUE""")," 32044150449023_004")</f>
        <v> 32044150449023_004</v>
      </c>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c r="AD434" s="94"/>
      <c r="AE434" s="94"/>
      <c r="AF434" s="94"/>
      <c r="AG434" s="94"/>
    </row>
    <row r="435">
      <c r="A435" s="96" t="s">
        <v>3203</v>
      </c>
      <c r="B435" s="95" t="str">
        <f>IFERROR(__xludf.DUMMYFUNCTION("""COMPUTED_VALUE"""),"32044150449023_005")</f>
        <v>32044150449023_005</v>
      </c>
      <c r="C435" s="94" t="str">
        <f>IFERROR(__xludf.DUMMYFUNCTION("""COMPUTED_VALUE""")," 32044150449023_006")</f>
        <v> 32044150449023_006</v>
      </c>
      <c r="D435" s="94" t="str">
        <f>IFERROR(__xludf.DUMMYFUNCTION("""COMPUTED_VALUE""")," 32044150449023_007")</f>
        <v> 32044150449023_007</v>
      </c>
      <c r="E435" s="94" t="str">
        <f>IFERROR(__xludf.DUMMYFUNCTION("""COMPUTED_VALUE""")," 
32044150449023_008")</f>
        <v> 
32044150449023_008</v>
      </c>
      <c r="F435" s="94" t="str">
        <f>IFERROR(__xludf.DUMMYFUNCTION("""COMPUTED_VALUE""")," 32044150449023_009")</f>
        <v> 32044150449023_009</v>
      </c>
      <c r="G435" s="94" t="str">
        <f>IFERROR(__xludf.DUMMYFUNCTION("""COMPUTED_VALUE""")," 32044150449023_010")</f>
        <v> 32044150449023_010</v>
      </c>
      <c r="H435" s="94" t="str">
        <f>IFERROR(__xludf.DUMMYFUNCTION("""COMPUTED_VALUE""")," 32044150449023_011")</f>
        <v> 32044150449023_011</v>
      </c>
      <c r="I435" s="94" t="str">
        <f>IFERROR(__xludf.DUMMYFUNCTION("""COMPUTED_VALUE""")," 32044150449023_012")</f>
        <v> 32044150449023_012</v>
      </c>
      <c r="J435" s="94"/>
      <c r="K435" s="94"/>
      <c r="L435" s="94"/>
      <c r="M435" s="94"/>
      <c r="N435" s="94"/>
      <c r="O435" s="94"/>
      <c r="P435" s="94"/>
      <c r="Q435" s="94"/>
      <c r="R435" s="94"/>
      <c r="S435" s="94"/>
      <c r="T435" s="94"/>
      <c r="U435" s="94"/>
      <c r="V435" s="94"/>
      <c r="W435" s="94"/>
      <c r="X435" s="94"/>
      <c r="Y435" s="94"/>
      <c r="Z435" s="94"/>
      <c r="AA435" s="94"/>
      <c r="AB435" s="94"/>
      <c r="AC435" s="94"/>
      <c r="AD435" s="94"/>
      <c r="AE435" s="94"/>
      <c r="AF435" s="94"/>
      <c r="AG435" s="94"/>
    </row>
    <row r="436">
      <c r="A436" s="96" t="s">
        <v>3211</v>
      </c>
      <c r="B436" s="95" t="str">
        <f>IFERROR(__xludf.DUMMYFUNCTION("""COMPUTED_VALUE"""),"32044150449031_001")</f>
        <v>32044150449031_001</v>
      </c>
      <c r="C436" s="94" t="str">
        <f>IFERROR(__xludf.DUMMYFUNCTION("""COMPUTED_VALUE""")," 32044150449031_002")</f>
        <v> 32044150449031_002</v>
      </c>
      <c r="D436" s="94" t="str">
        <f>IFERROR(__xludf.DUMMYFUNCTION("""COMPUTED_VALUE""")," 32044150449031_003")</f>
        <v> 32044150449031_003</v>
      </c>
      <c r="E436" s="94" t="str">
        <f>IFERROR(__xludf.DUMMYFUNCTION("""COMPUTED_VALUE""")," 32044150449031_004")</f>
        <v> 32044150449031_004</v>
      </c>
      <c r="F436" s="94" t="str">
        <f>IFERROR(__xludf.DUMMYFUNCTION("""COMPUTED_VALUE""")," 32044150449031_005")</f>
        <v> 32044150449031_005</v>
      </c>
      <c r="G436" s="94" t="str">
        <f>IFERROR(__xludf.DUMMYFUNCTION("""COMPUTED_VALUE""")," 32044150449031_006")</f>
        <v> 32044150449031_006</v>
      </c>
      <c r="H436" s="94" t="str">
        <f>IFERROR(__xludf.DUMMYFUNCTION("""COMPUTED_VALUE""")," 32044150449031_007")</f>
        <v> 32044150449031_007</v>
      </c>
      <c r="I436" s="94" t="str">
        <f>IFERROR(__xludf.DUMMYFUNCTION("""COMPUTED_VALUE""")," 32044150449031_008")</f>
        <v> 32044150449031_008</v>
      </c>
      <c r="J436" s="94" t="str">
        <f>IFERROR(__xludf.DUMMYFUNCTION("""COMPUTED_VALUE""")," 32044150449031_009")</f>
        <v> 32044150449031_009</v>
      </c>
      <c r="K436" s="94" t="str">
        <f>IFERROR(__xludf.DUMMYFUNCTION("""COMPUTED_VALUE""")," 32044150449031_010")</f>
        <v> 32044150449031_010</v>
      </c>
      <c r="L436" s="94" t="str">
        <f>IFERROR(__xludf.DUMMYFUNCTION("""COMPUTED_VALUE""")," 32044150449031_011")</f>
        <v> 32044150449031_011</v>
      </c>
      <c r="M436" s="94" t="str">
        <f>IFERROR(__xludf.DUMMYFUNCTION("""COMPUTED_VALUE""")," 32044150449031_012")</f>
        <v> 32044150449031_012</v>
      </c>
      <c r="N436" s="94" t="str">
        <f>IFERROR(__xludf.DUMMYFUNCTION("""COMPUTED_VALUE""")," 32044150449031_013")</f>
        <v> 32044150449031_013</v>
      </c>
      <c r="O436" s="94" t="str">
        <f>IFERROR(__xludf.DUMMYFUNCTION("""COMPUTED_VALUE""")," 32044150449031_014")</f>
        <v> 32044150449031_014</v>
      </c>
      <c r="P436" s="94"/>
      <c r="Q436" s="94"/>
      <c r="R436" s="94"/>
      <c r="S436" s="94"/>
      <c r="T436" s="94"/>
      <c r="U436" s="94"/>
      <c r="V436" s="94"/>
      <c r="W436" s="94"/>
      <c r="X436" s="94"/>
      <c r="Y436" s="94"/>
      <c r="Z436" s="94"/>
      <c r="AA436" s="94"/>
      <c r="AB436" s="94"/>
      <c r="AC436" s="94"/>
      <c r="AD436" s="94"/>
      <c r="AE436" s="94"/>
      <c r="AF436" s="94"/>
      <c r="AG436" s="94"/>
    </row>
    <row r="437">
      <c r="A437" s="96" t="s">
        <v>3220</v>
      </c>
      <c r="B437" s="95" t="str">
        <f>IFERROR(__xludf.DUMMYFUNCTION("""COMPUTED_VALUE"""),"32044150449031_015")</f>
        <v>32044150449031_015</v>
      </c>
      <c r="C437" s="94" t="str">
        <f>IFERROR(__xludf.DUMMYFUNCTION("""COMPUTED_VALUE""")," 32044150449031_016")</f>
        <v> 32044150449031_016</v>
      </c>
      <c r="D437" s="94" t="str">
        <f>IFERROR(__xludf.DUMMYFUNCTION("""COMPUTED_VALUE""")," 32044150449031_017")</f>
        <v> 32044150449031_017</v>
      </c>
      <c r="E437" s="94" t="str">
        <f>IFERROR(__xludf.DUMMYFUNCTION("""COMPUTED_VALUE""")," 32044150449031_018")</f>
        <v> 32044150449031_018</v>
      </c>
      <c r="F437" s="94" t="str">
        <f>IFERROR(__xludf.DUMMYFUNCTION("""COMPUTED_VALUE""")," 32044150449031_019")</f>
        <v> 32044150449031_019</v>
      </c>
      <c r="G437" s="94" t="str">
        <f>IFERROR(__xludf.DUMMYFUNCTION("""COMPUTED_VALUE""")," 32044150449031_020")</f>
        <v> 32044150449031_020</v>
      </c>
      <c r="H437" s="94" t="str">
        <f>IFERROR(__xludf.DUMMYFUNCTION("""COMPUTED_VALUE""")," 32044150449031_021")</f>
        <v> 32044150449031_021</v>
      </c>
      <c r="I437" s="94" t="str">
        <f>IFERROR(__xludf.DUMMYFUNCTION("""COMPUTED_VALUE""")," 32044150449031_022")</f>
        <v> 32044150449031_022</v>
      </c>
      <c r="J437" s="94"/>
      <c r="K437" s="94"/>
      <c r="L437" s="94"/>
      <c r="M437" s="94"/>
      <c r="N437" s="94"/>
      <c r="O437" s="94"/>
      <c r="P437" s="94"/>
      <c r="Q437" s="94"/>
      <c r="R437" s="94"/>
      <c r="S437" s="94"/>
      <c r="T437" s="94"/>
      <c r="U437" s="94"/>
      <c r="V437" s="94"/>
      <c r="W437" s="94"/>
      <c r="X437" s="94"/>
      <c r="Y437" s="94"/>
      <c r="Z437" s="94"/>
      <c r="AA437" s="94"/>
      <c r="AB437" s="94"/>
      <c r="AC437" s="94"/>
      <c r="AD437" s="94"/>
      <c r="AE437" s="94"/>
      <c r="AF437" s="94"/>
      <c r="AG437" s="94"/>
    </row>
    <row r="438">
      <c r="A438" s="96" t="s">
        <v>3225</v>
      </c>
      <c r="B438" s="95" t="str">
        <f>IFERROR(__xludf.DUMMYFUNCTION("""COMPUTED_VALUE"""),"32044150449031_023")</f>
        <v>32044150449031_023</v>
      </c>
      <c r="C438" s="94" t="str">
        <f>IFERROR(__xludf.DUMMYFUNCTION("""COMPUTED_VALUE""")," 32044150449031_024")</f>
        <v> 32044150449031_024</v>
      </c>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c r="AD438" s="94"/>
      <c r="AE438" s="94"/>
      <c r="AF438" s="94"/>
      <c r="AG438" s="94"/>
    </row>
    <row r="439">
      <c r="A439" s="96" t="s">
        <v>3238</v>
      </c>
      <c r="B439" s="95" t="str">
        <f>IFERROR(__xludf.DUMMYFUNCTION("""COMPUTED_VALUE"""),"32044150449031_025")</f>
        <v>32044150449031_025</v>
      </c>
      <c r="C439" s="94" t="str">
        <f>IFERROR(__xludf.DUMMYFUNCTION("""COMPUTED_VALUE""")," 32044150449031_026")</f>
        <v> 32044150449031_026</v>
      </c>
      <c r="D439" s="94" t="str">
        <f>IFERROR(__xludf.DUMMYFUNCTION("""COMPUTED_VALUE""")," 32044150449031_027")</f>
        <v> 32044150449031_027</v>
      </c>
      <c r="E439" s="94" t="str">
        <f>IFERROR(__xludf.DUMMYFUNCTION("""COMPUTED_VALUE""")," 32044150449031_028")</f>
        <v> 32044150449031_028</v>
      </c>
      <c r="F439" s="94" t="str">
        <f>IFERROR(__xludf.DUMMYFUNCTION("""COMPUTED_VALUE""")," 32044150449031_029")</f>
        <v> 32044150449031_029</v>
      </c>
      <c r="G439" s="94" t="str">
        <f>IFERROR(__xludf.DUMMYFUNCTION("""COMPUTED_VALUE""")," 32044150449031_030")</f>
        <v> 32044150449031_030</v>
      </c>
      <c r="H439" s="94" t="str">
        <f>IFERROR(__xludf.DUMMYFUNCTION("""COMPUTED_VALUE""")," 32044150449031_031")</f>
        <v> 32044150449031_031</v>
      </c>
      <c r="I439" s="94" t="str">
        <f>IFERROR(__xludf.DUMMYFUNCTION("""COMPUTED_VALUE""")," 32044150449031_032")</f>
        <v> 32044150449031_032</v>
      </c>
      <c r="J439" s="94" t="str">
        <f>IFERROR(__xludf.DUMMYFUNCTION("""COMPUTED_VALUE""")," 32044150449031_033")</f>
        <v> 32044150449031_033</v>
      </c>
      <c r="K439" s="94" t="str">
        <f>IFERROR(__xludf.DUMMYFUNCTION("""COMPUTED_VALUE""")," 32044150449031_034")</f>
        <v> 32044150449031_034</v>
      </c>
      <c r="L439" s="94" t="str">
        <f>IFERROR(__xludf.DUMMYFUNCTION("""COMPUTED_VALUE""")," 32044150449031_035")</f>
        <v> 32044150449031_035</v>
      </c>
      <c r="M439" s="94" t="str">
        <f>IFERROR(__xludf.DUMMYFUNCTION("""COMPUTED_VALUE""")," 32044150449031_036")</f>
        <v> 32044150449031_036</v>
      </c>
      <c r="N439" s="94" t="str">
        <f>IFERROR(__xludf.DUMMYFUNCTION("""COMPUTED_VALUE""")," 32044150449031_037")</f>
        <v> 32044150449031_037</v>
      </c>
      <c r="O439" s="94" t="str">
        <f>IFERROR(__xludf.DUMMYFUNCTION("""COMPUTED_VALUE""")," 32044150449031_038")</f>
        <v> 32044150449031_038</v>
      </c>
      <c r="P439" s="94" t="str">
        <f>IFERROR(__xludf.DUMMYFUNCTION("""COMPUTED_VALUE""")," 32044150449031_039")</f>
        <v> 32044150449031_039</v>
      </c>
      <c r="Q439" s="94" t="str">
        <f>IFERROR(__xludf.DUMMYFUNCTION("""COMPUTED_VALUE""")," 32044150449031_040")</f>
        <v> 32044150449031_040</v>
      </c>
      <c r="R439" s="94" t="str">
        <f>IFERROR(__xludf.DUMMYFUNCTION("""COMPUTED_VALUE""")," 32044150449031_041")</f>
        <v> 32044150449031_041</v>
      </c>
      <c r="S439" s="94" t="str">
        <f>IFERROR(__xludf.DUMMYFUNCTION("""COMPUTED_VALUE""")," 32044150449031_042")</f>
        <v> 32044150449031_042</v>
      </c>
      <c r="T439" s="94" t="str">
        <f>IFERROR(__xludf.DUMMYFUNCTION("""COMPUTED_VALUE""")," 32044150449031_043")</f>
        <v> 32044150449031_043</v>
      </c>
      <c r="U439" s="94" t="str">
        <f>IFERROR(__xludf.DUMMYFUNCTION("""COMPUTED_VALUE""")," 32044150449031_044")</f>
        <v> 32044150449031_044</v>
      </c>
      <c r="V439" s="94" t="str">
        <f>IFERROR(__xludf.DUMMYFUNCTION("""COMPUTED_VALUE""")," 32044150449031_045")</f>
        <v> 32044150449031_045</v>
      </c>
      <c r="W439" s="94" t="str">
        <f>IFERROR(__xludf.DUMMYFUNCTION("""COMPUTED_VALUE""")," 32044150449031_046")</f>
        <v> 32044150449031_046</v>
      </c>
      <c r="X439" s="94" t="str">
        <f>IFERROR(__xludf.DUMMYFUNCTION("""COMPUTED_VALUE""")," 32044150449031_047")</f>
        <v> 32044150449031_047</v>
      </c>
      <c r="Y439" s="94" t="str">
        <f>IFERROR(__xludf.DUMMYFUNCTION("""COMPUTED_VALUE""")," 32044150449031_048")</f>
        <v> 32044150449031_048</v>
      </c>
      <c r="Z439" s="94" t="str">
        <f>IFERROR(__xludf.DUMMYFUNCTION("""COMPUTED_VALUE""")," 
32044150449031_049 ")</f>
        <v> 
32044150449031_049 </v>
      </c>
      <c r="AA439" s="94"/>
      <c r="AB439" s="94"/>
      <c r="AC439" s="94"/>
      <c r="AD439" s="94"/>
      <c r="AE439" s="94"/>
      <c r="AF439" s="94"/>
      <c r="AG439" s="94"/>
    </row>
    <row r="440">
      <c r="A440" s="96" t="s">
        <v>3248</v>
      </c>
      <c r="B440" s="95" t="str">
        <f>IFERROR(__xludf.DUMMYFUNCTION("""COMPUTED_VALUE"""),"32044150449049_001")</f>
        <v>32044150449049_001</v>
      </c>
      <c r="C440" s="94" t="str">
        <f>IFERROR(__xludf.DUMMYFUNCTION("""COMPUTED_VALUE""")," 32044150449049_002")</f>
        <v> 32044150449049_002</v>
      </c>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c r="AD440" s="94"/>
      <c r="AE440" s="94"/>
      <c r="AF440" s="94"/>
      <c r="AG440" s="94"/>
    </row>
    <row r="441">
      <c r="A441" s="96" t="s">
        <v>3258</v>
      </c>
      <c r="B441" s="95" t="str">
        <f>IFERROR(__xludf.DUMMYFUNCTION("""COMPUTED_VALUE"""),"32044150449049_003")</f>
        <v>32044150449049_003</v>
      </c>
      <c r="C441" s="94" t="str">
        <f>IFERROR(__xludf.DUMMYFUNCTION("""COMPUTED_VALUE""")," 32044150449049_004")</f>
        <v> 32044150449049_004</v>
      </c>
      <c r="D441" s="94" t="str">
        <f>IFERROR(__xludf.DUMMYFUNCTION("""COMPUTED_VALUE""")," 32044150449049_005")</f>
        <v> 32044150449049_005</v>
      </c>
      <c r="E441" s="94" t="str">
        <f>IFERROR(__xludf.DUMMYFUNCTION("""COMPUTED_VALUE""")," 32044150449049_006")</f>
        <v> 32044150449049_006</v>
      </c>
      <c r="F441" s="94" t="str">
        <f>IFERROR(__xludf.DUMMYFUNCTION("""COMPUTED_VALUE""")," 32044150449049_007")</f>
        <v> 32044150449049_007</v>
      </c>
      <c r="G441" s="94" t="str">
        <f>IFERROR(__xludf.DUMMYFUNCTION("""COMPUTED_VALUE""")," 32044150449049_008")</f>
        <v> 32044150449049_008</v>
      </c>
      <c r="H441" s="94"/>
      <c r="I441" s="94"/>
      <c r="J441" s="94"/>
      <c r="K441" s="94"/>
      <c r="L441" s="94"/>
      <c r="M441" s="94"/>
      <c r="N441" s="94"/>
      <c r="O441" s="94"/>
      <c r="P441" s="94"/>
      <c r="Q441" s="94"/>
      <c r="R441" s="94"/>
      <c r="S441" s="94"/>
      <c r="T441" s="94"/>
      <c r="U441" s="94"/>
      <c r="V441" s="94"/>
      <c r="W441" s="94"/>
      <c r="X441" s="94"/>
      <c r="Y441" s="94"/>
      <c r="Z441" s="94"/>
      <c r="AA441" s="94"/>
      <c r="AB441" s="94"/>
      <c r="AC441" s="94"/>
      <c r="AD441" s="94"/>
      <c r="AE441" s="94"/>
      <c r="AF441" s="94"/>
      <c r="AG441" s="94"/>
    </row>
    <row r="442">
      <c r="A442" s="96" t="s">
        <v>3267</v>
      </c>
      <c r="B442" s="95" t="str">
        <f>IFERROR(__xludf.DUMMYFUNCTION("""COMPUTED_VALUE"""),"32044150449049_009")</f>
        <v>32044150449049_009</v>
      </c>
      <c r="C442" s="94" t="str">
        <f>IFERROR(__xludf.DUMMYFUNCTION("""COMPUTED_VALUE""")," 32044150449049_010")</f>
        <v> 32044150449049_010</v>
      </c>
      <c r="D442" s="94" t="str">
        <f>IFERROR(__xludf.DUMMYFUNCTION("""COMPUTED_VALUE""")," 32044150449049_011")</f>
        <v> 32044150449049_011</v>
      </c>
      <c r="E442" s="94" t="str">
        <f>IFERROR(__xludf.DUMMYFUNCTION("""COMPUTED_VALUE""")," 32044150449049_012")</f>
        <v> 32044150449049_012</v>
      </c>
      <c r="F442" s="94" t="str">
        <f>IFERROR(__xludf.DUMMYFUNCTION("""COMPUTED_VALUE""")," 32044150449049_013")</f>
        <v> 32044150449049_013</v>
      </c>
      <c r="G442" s="94" t="str">
        <f>IFERROR(__xludf.DUMMYFUNCTION("""COMPUTED_VALUE""")," 32044150449049_014")</f>
        <v> 32044150449049_014</v>
      </c>
      <c r="H442" s="94" t="str">
        <f>IFERROR(__xludf.DUMMYFUNCTION("""COMPUTED_VALUE""")," 32044150449049_015")</f>
        <v> 32044150449049_015</v>
      </c>
      <c r="I442" s="94" t="str">
        <f>IFERROR(__xludf.DUMMYFUNCTION("""COMPUTED_VALUE""")," 32044150449049_016")</f>
        <v> 32044150449049_016</v>
      </c>
      <c r="J442" s="94" t="str">
        <f>IFERROR(__xludf.DUMMYFUNCTION("""COMPUTED_VALUE""")," 32044150449049_017")</f>
        <v> 32044150449049_017</v>
      </c>
      <c r="K442" s="94" t="str">
        <f>IFERROR(__xludf.DUMMYFUNCTION("""COMPUTED_VALUE""")," 32044150449049_018")</f>
        <v> 32044150449049_018</v>
      </c>
      <c r="L442" s="94" t="str">
        <f>IFERROR(__xludf.DUMMYFUNCTION("""COMPUTED_VALUE""")," 32044150449049_019")</f>
        <v> 32044150449049_019</v>
      </c>
      <c r="M442" s="94" t="str">
        <f>IFERROR(__xludf.DUMMYFUNCTION("""COMPUTED_VALUE""")," 32044150449049_020")</f>
        <v> 32044150449049_020</v>
      </c>
      <c r="N442" s="94" t="str">
        <f>IFERROR(__xludf.DUMMYFUNCTION("""COMPUTED_VALUE""")," 32044150449049_021")</f>
        <v> 32044150449049_021</v>
      </c>
      <c r="O442" s="94" t="str">
        <f>IFERROR(__xludf.DUMMYFUNCTION("""COMPUTED_VALUE""")," 32044150449049_022")</f>
        <v> 32044150449049_022</v>
      </c>
      <c r="P442" s="94" t="str">
        <f>IFERROR(__xludf.DUMMYFUNCTION("""COMPUTED_VALUE""")," 32044150449049_023")</f>
        <v> 32044150449049_023</v>
      </c>
      <c r="Q442" s="94" t="str">
        <f>IFERROR(__xludf.DUMMYFUNCTION("""COMPUTED_VALUE""")," 32044150449049_024")</f>
        <v> 32044150449049_024</v>
      </c>
      <c r="R442" s="94"/>
      <c r="S442" s="94"/>
      <c r="T442" s="94"/>
      <c r="U442" s="94"/>
      <c r="V442" s="94"/>
      <c r="W442" s="94"/>
      <c r="X442" s="94"/>
      <c r="Y442" s="94"/>
      <c r="Z442" s="94"/>
      <c r="AA442" s="94"/>
      <c r="AB442" s="94"/>
      <c r="AC442" s="94"/>
      <c r="AD442" s="94"/>
      <c r="AE442" s="94"/>
      <c r="AF442" s="94"/>
      <c r="AG442" s="94"/>
    </row>
    <row r="443">
      <c r="A443" s="96" t="s">
        <v>3277</v>
      </c>
      <c r="B443" s="95" t="str">
        <f>IFERROR(__xludf.DUMMYFUNCTION("""COMPUTED_VALUE"""),"32044150449049_025")</f>
        <v>32044150449049_025</v>
      </c>
      <c r="C443" s="94" t="str">
        <f>IFERROR(__xludf.DUMMYFUNCTION("""COMPUTED_VALUE""")," 32044150449049_026")</f>
        <v> 32044150449049_026</v>
      </c>
      <c r="D443" s="94" t="str">
        <f>IFERROR(__xludf.DUMMYFUNCTION("""COMPUTED_VALUE""")," 32044150449049_027")</f>
        <v> 32044150449049_027</v>
      </c>
      <c r="E443" s="94" t="str">
        <f>IFERROR(__xludf.DUMMYFUNCTION("""COMPUTED_VALUE""")," 32044150449049_028")</f>
        <v> 32044150449049_028</v>
      </c>
      <c r="F443" s="94" t="str">
        <f>IFERROR(__xludf.DUMMYFUNCTION("""COMPUTED_VALUE""")," 32044150449049_029")</f>
        <v> 32044150449049_029</v>
      </c>
      <c r="G443" s="94" t="str">
        <f>IFERROR(__xludf.DUMMYFUNCTION("""COMPUTED_VALUE""")," 32044150449049_030")</f>
        <v> 32044150449049_030</v>
      </c>
      <c r="H443" s="94"/>
      <c r="I443" s="94"/>
      <c r="J443" s="94"/>
      <c r="K443" s="94"/>
      <c r="L443" s="94"/>
      <c r="M443" s="94"/>
      <c r="N443" s="94"/>
      <c r="O443" s="94"/>
      <c r="P443" s="94"/>
      <c r="Q443" s="94"/>
      <c r="R443" s="94"/>
      <c r="S443" s="94"/>
      <c r="T443" s="94"/>
      <c r="U443" s="94"/>
      <c r="V443" s="94"/>
      <c r="W443" s="94"/>
      <c r="X443" s="94"/>
      <c r="Y443" s="94"/>
      <c r="Z443" s="94"/>
      <c r="AA443" s="94"/>
      <c r="AB443" s="94"/>
      <c r="AC443" s="94"/>
      <c r="AD443" s="94"/>
      <c r="AE443" s="94"/>
      <c r="AF443" s="94"/>
      <c r="AG443" s="94"/>
    </row>
    <row r="444">
      <c r="A444" s="96" t="s">
        <v>3286</v>
      </c>
      <c r="B444" s="95" t="str">
        <f>IFERROR(__xludf.DUMMYFUNCTION("""COMPUTED_VALUE"""),"32044150449049_031")</f>
        <v>32044150449049_031</v>
      </c>
      <c r="C444" s="94" t="str">
        <f>IFERROR(__xludf.DUMMYFUNCTION("""COMPUTED_VALUE""")," 32044150449049_032")</f>
        <v> 32044150449049_032</v>
      </c>
      <c r="D444" s="94" t="str">
        <f>IFERROR(__xludf.DUMMYFUNCTION("""COMPUTED_VALUE""")," 32044150449049_033")</f>
        <v> 32044150449049_033</v>
      </c>
      <c r="E444" s="94" t="str">
        <f>IFERROR(__xludf.DUMMYFUNCTION("""COMPUTED_VALUE""")," 32044150449049_034")</f>
        <v> 32044150449049_034</v>
      </c>
      <c r="F444" s="94" t="str">
        <f>IFERROR(__xludf.DUMMYFUNCTION("""COMPUTED_VALUE""")," 32044150449049_035")</f>
        <v> 32044150449049_035</v>
      </c>
      <c r="G444" s="94" t="str">
        <f>IFERROR(__xludf.DUMMYFUNCTION("""COMPUTED_VALUE""")," 32044150449049_036")</f>
        <v> 32044150449049_036</v>
      </c>
      <c r="H444" s="94" t="str">
        <f>IFERROR(__xludf.DUMMYFUNCTION("""COMPUTED_VALUE""")," 32044150449049_037")</f>
        <v> 32044150449049_037</v>
      </c>
      <c r="I444" s="94" t="str">
        <f>IFERROR(__xludf.DUMMYFUNCTION("""COMPUTED_VALUE""")," 32044150449049_038")</f>
        <v> 32044150449049_038</v>
      </c>
      <c r="J444" s="94" t="str">
        <f>IFERROR(__xludf.DUMMYFUNCTION("""COMPUTED_VALUE""")," 32044150449049_039")</f>
        <v> 32044150449049_039</v>
      </c>
      <c r="K444" s="94" t="str">
        <f>IFERROR(__xludf.DUMMYFUNCTION("""COMPUTED_VALUE""")," 32044150449049_040")</f>
        <v> 32044150449049_040</v>
      </c>
      <c r="L444" s="94" t="str">
        <f>IFERROR(__xludf.DUMMYFUNCTION("""COMPUTED_VALUE""")," 32044150449049_041")</f>
        <v> 32044150449049_041</v>
      </c>
      <c r="M444" s="94" t="str">
        <f>IFERROR(__xludf.DUMMYFUNCTION("""COMPUTED_VALUE""")," 32044150449049_042")</f>
        <v> 32044150449049_042</v>
      </c>
      <c r="N444" s="94" t="str">
        <f>IFERROR(__xludf.DUMMYFUNCTION("""COMPUTED_VALUE""")," 32044150449049_043")</f>
        <v> 32044150449049_043</v>
      </c>
      <c r="O444" s="94" t="str">
        <f>IFERROR(__xludf.DUMMYFUNCTION("""COMPUTED_VALUE""")," 32044150449049_044")</f>
        <v> 32044150449049_044</v>
      </c>
      <c r="P444" s="94" t="str">
        <f>IFERROR(__xludf.DUMMYFUNCTION("""COMPUTED_VALUE""")," 32044150449049_045")</f>
        <v> 32044150449049_045</v>
      </c>
      <c r="Q444" s="94" t="str">
        <f>IFERROR(__xludf.DUMMYFUNCTION("""COMPUTED_VALUE""")," 32044150449049_046")</f>
        <v> 32044150449049_046</v>
      </c>
      <c r="R444" s="94" t="str">
        <f>IFERROR(__xludf.DUMMYFUNCTION("""COMPUTED_VALUE""")," 32044150449049_047")</f>
        <v> 32044150449049_047</v>
      </c>
      <c r="S444" s="94"/>
      <c r="T444" s="94"/>
      <c r="U444" s="94"/>
      <c r="V444" s="94"/>
      <c r="W444" s="94"/>
      <c r="X444" s="94"/>
      <c r="Y444" s="94"/>
      <c r="Z444" s="94"/>
      <c r="AA444" s="94"/>
      <c r="AB444" s="94"/>
      <c r="AC444" s="94"/>
      <c r="AD444" s="94"/>
      <c r="AE444" s="94"/>
      <c r="AF444" s="94"/>
      <c r="AG444" s="94"/>
    </row>
    <row r="445">
      <c r="A445" s="96" t="s">
        <v>3295</v>
      </c>
      <c r="B445" s="95" t="str">
        <f>IFERROR(__xludf.DUMMYFUNCTION("""COMPUTED_VALUE"""),"32044150449056_001")</f>
        <v>32044150449056_001</v>
      </c>
      <c r="C445" s="94" t="str">
        <f>IFERROR(__xludf.DUMMYFUNCTION("""COMPUTED_VALUE""")," 32044150449056_002")</f>
        <v> 32044150449056_002</v>
      </c>
      <c r="D445" s="94" t="str">
        <f>IFERROR(__xludf.DUMMYFUNCTION("""COMPUTED_VALUE""")," 32044150449056_003")</f>
        <v> 32044150449056_003</v>
      </c>
      <c r="E445" s="94" t="str">
        <f>IFERROR(__xludf.DUMMYFUNCTION("""COMPUTED_VALUE""")," 32044150449056_004")</f>
        <v> 32044150449056_004</v>
      </c>
      <c r="F445" s="94" t="str">
        <f>IFERROR(__xludf.DUMMYFUNCTION("""COMPUTED_VALUE""")," 32044150449056_005")</f>
        <v> 32044150449056_005</v>
      </c>
      <c r="G445" s="94" t="str">
        <f>IFERROR(__xludf.DUMMYFUNCTION("""COMPUTED_VALUE""")," 32044150449056_006")</f>
        <v> 32044150449056_006</v>
      </c>
      <c r="H445" s="94" t="str">
        <f>IFERROR(__xludf.DUMMYFUNCTION("""COMPUTED_VALUE""")," 32044150449056_007")</f>
        <v> 32044150449056_007</v>
      </c>
      <c r="I445" s="94" t="str">
        <f>IFERROR(__xludf.DUMMYFUNCTION("""COMPUTED_VALUE""")," 32044150449056_008")</f>
        <v> 32044150449056_008</v>
      </c>
      <c r="J445" s="94" t="str">
        <f>IFERROR(__xludf.DUMMYFUNCTION("""COMPUTED_VALUE""")," 32044150449056_009")</f>
        <v> 32044150449056_009</v>
      </c>
      <c r="K445" s="94" t="str">
        <f>IFERROR(__xludf.DUMMYFUNCTION("""COMPUTED_VALUE""")," 32044150449056_010")</f>
        <v> 32044150449056_010</v>
      </c>
      <c r="L445" s="94" t="str">
        <f>IFERROR(__xludf.DUMMYFUNCTION("""COMPUTED_VALUE""")," 32044150449056_011")</f>
        <v> 32044150449056_011</v>
      </c>
      <c r="M445" s="94" t="str">
        <f>IFERROR(__xludf.DUMMYFUNCTION("""COMPUTED_VALUE""")," 32044150449056_012")</f>
        <v> 32044150449056_012</v>
      </c>
      <c r="N445" s="94" t="str">
        <f>IFERROR(__xludf.DUMMYFUNCTION("""COMPUTED_VALUE""")," 32044150449056_013")</f>
        <v> 32044150449056_013</v>
      </c>
      <c r="O445" s="94"/>
      <c r="P445" s="94"/>
      <c r="Q445" s="94"/>
      <c r="R445" s="94"/>
      <c r="S445" s="94"/>
      <c r="T445" s="94"/>
      <c r="U445" s="94"/>
      <c r="V445" s="94"/>
      <c r="W445" s="94"/>
      <c r="X445" s="94"/>
      <c r="Y445" s="94"/>
      <c r="Z445" s="94"/>
      <c r="AA445" s="94"/>
      <c r="AB445" s="94"/>
      <c r="AC445" s="94"/>
      <c r="AD445" s="94"/>
      <c r="AE445" s="94"/>
      <c r="AF445" s="94"/>
      <c r="AG445" s="94"/>
    </row>
    <row r="446">
      <c r="A446" s="96" t="s">
        <v>3305</v>
      </c>
      <c r="B446" s="95" t="str">
        <f>IFERROR(__xludf.DUMMYFUNCTION("""COMPUTED_VALUE"""),"32044150449056_014")</f>
        <v>32044150449056_014</v>
      </c>
      <c r="C446" s="94" t="str">
        <f>IFERROR(__xludf.DUMMYFUNCTION("""COMPUTED_VALUE""")," 32044150449056_015")</f>
        <v> 32044150449056_015</v>
      </c>
      <c r="D446" s="94" t="str">
        <f>IFERROR(__xludf.DUMMYFUNCTION("""COMPUTED_VALUE""")," 32044150449056_016")</f>
        <v> 32044150449056_016</v>
      </c>
      <c r="E446" s="94" t="str">
        <f>IFERROR(__xludf.DUMMYFUNCTION("""COMPUTED_VALUE""")," 32044150449056_017")</f>
        <v> 32044150449056_017</v>
      </c>
      <c r="F446" s="94" t="str">
        <f>IFERROR(__xludf.DUMMYFUNCTION("""COMPUTED_VALUE""")," 32044150449056_018")</f>
        <v> 32044150449056_018</v>
      </c>
      <c r="G446" s="94" t="str">
        <f>IFERROR(__xludf.DUMMYFUNCTION("""COMPUTED_VALUE""")," 32044150449056_019")</f>
        <v> 32044150449056_019</v>
      </c>
      <c r="H446" s="94" t="str">
        <f>IFERROR(__xludf.DUMMYFUNCTION("""COMPUTED_VALUE""")," 32044150449056_020")</f>
        <v> 32044150449056_020</v>
      </c>
      <c r="I446" s="94" t="str">
        <f>IFERROR(__xludf.DUMMYFUNCTION("""COMPUTED_VALUE""")," 32044150449056_021")</f>
        <v> 32044150449056_021</v>
      </c>
      <c r="J446" s="94" t="str">
        <f>IFERROR(__xludf.DUMMYFUNCTION("""COMPUTED_VALUE""")," 32044150449056_022")</f>
        <v> 32044150449056_022</v>
      </c>
      <c r="K446" s="94" t="str">
        <f>IFERROR(__xludf.DUMMYFUNCTION("""COMPUTED_VALUE""")," 32044150449056_023")</f>
        <v> 32044150449056_023</v>
      </c>
      <c r="L446" s="94"/>
      <c r="M446" s="94"/>
      <c r="N446" s="94"/>
      <c r="O446" s="94"/>
      <c r="P446" s="94"/>
      <c r="Q446" s="94"/>
      <c r="R446" s="94"/>
      <c r="S446" s="94"/>
      <c r="T446" s="94"/>
      <c r="U446" s="94"/>
      <c r="V446" s="94"/>
      <c r="W446" s="94"/>
      <c r="X446" s="94"/>
      <c r="Y446" s="94"/>
      <c r="Z446" s="94"/>
      <c r="AA446" s="94"/>
      <c r="AB446" s="94"/>
      <c r="AC446" s="94"/>
      <c r="AD446" s="94"/>
      <c r="AE446" s="94"/>
      <c r="AF446" s="94"/>
      <c r="AG446" s="94"/>
    </row>
    <row r="447">
      <c r="A447" s="96" t="s">
        <v>3314</v>
      </c>
      <c r="B447" s="95" t="str">
        <f>IFERROR(__xludf.DUMMYFUNCTION("""COMPUTED_VALUE"""),"32044150449056_024")</f>
        <v>32044150449056_024</v>
      </c>
      <c r="C447" s="94" t="str">
        <f>IFERROR(__xludf.DUMMYFUNCTION("""COMPUTED_VALUE""")," 32044150449056_025")</f>
        <v> 32044150449056_025</v>
      </c>
      <c r="D447" s="94" t="str">
        <f>IFERROR(__xludf.DUMMYFUNCTION("""COMPUTED_VALUE""")," 32044150449056_026")</f>
        <v> 32044150449056_026</v>
      </c>
      <c r="E447" s="94" t="str">
        <f>IFERROR(__xludf.DUMMYFUNCTION("""COMPUTED_VALUE""")," 32044150449056_027")</f>
        <v> 32044150449056_027</v>
      </c>
      <c r="F447" s="94" t="str">
        <f>IFERROR(__xludf.DUMMYFUNCTION("""COMPUTED_VALUE""")," 32044150449056_028")</f>
        <v> 32044150449056_028</v>
      </c>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c r="AD447" s="94"/>
      <c r="AE447" s="94"/>
      <c r="AF447" s="94"/>
      <c r="AG447" s="94"/>
    </row>
    <row r="448">
      <c r="A448" s="96" t="s">
        <v>3325</v>
      </c>
      <c r="B448" s="95" t="str">
        <f>IFERROR(__xludf.DUMMYFUNCTION("""COMPUTED_VALUE"""),"32044150449056_029")</f>
        <v>32044150449056_029</v>
      </c>
      <c r="C448" s="94" t="str">
        <f>IFERROR(__xludf.DUMMYFUNCTION("""COMPUTED_VALUE""")," 32044150449056_030")</f>
        <v> 32044150449056_030</v>
      </c>
      <c r="D448" s="94" t="str">
        <f>IFERROR(__xludf.DUMMYFUNCTION("""COMPUTED_VALUE""")," 32044150449056_031")</f>
        <v> 32044150449056_031</v>
      </c>
      <c r="E448" s="94" t="str">
        <f>IFERROR(__xludf.DUMMYFUNCTION("""COMPUTED_VALUE""")," 32044150449056_032")</f>
        <v> 32044150449056_032</v>
      </c>
      <c r="F448" s="94" t="str">
        <f>IFERROR(__xludf.DUMMYFUNCTION("""COMPUTED_VALUE""")," 32044150449056_033")</f>
        <v> 32044150449056_033</v>
      </c>
      <c r="G448" s="94" t="str">
        <f>IFERROR(__xludf.DUMMYFUNCTION("""COMPUTED_VALUE""")," 32044150449056_034")</f>
        <v> 32044150449056_034</v>
      </c>
      <c r="H448" s="94" t="str">
        <f>IFERROR(__xludf.DUMMYFUNCTION("""COMPUTED_VALUE""")," 32044150449056_035")</f>
        <v> 32044150449056_035</v>
      </c>
      <c r="I448" s="94" t="str">
        <f>IFERROR(__xludf.DUMMYFUNCTION("""COMPUTED_VALUE""")," 32044150449056_036")</f>
        <v> 32044150449056_036</v>
      </c>
      <c r="J448" s="94" t="str">
        <f>IFERROR(__xludf.DUMMYFUNCTION("""COMPUTED_VALUE""")," 32044150449056_037")</f>
        <v> 32044150449056_037</v>
      </c>
      <c r="K448" s="94" t="str">
        <f>IFERROR(__xludf.DUMMYFUNCTION("""COMPUTED_VALUE""")," 32044150449056_038")</f>
        <v> 32044150449056_038</v>
      </c>
      <c r="L448" s="94" t="str">
        <f>IFERROR(__xludf.DUMMYFUNCTION("""COMPUTED_VALUE""")," 32044150449056_039")</f>
        <v> 32044150449056_039</v>
      </c>
      <c r="M448" s="94" t="str">
        <f>IFERROR(__xludf.DUMMYFUNCTION("""COMPUTED_VALUE""")," 32044150449056_040")</f>
        <v> 32044150449056_040</v>
      </c>
      <c r="N448" s="94" t="str">
        <f>IFERROR(__xludf.DUMMYFUNCTION("""COMPUTED_VALUE""")," 32044150449056_041")</f>
        <v> 32044150449056_041</v>
      </c>
      <c r="O448" s="94" t="str">
        <f>IFERROR(__xludf.DUMMYFUNCTION("""COMPUTED_VALUE""")," 32044150449056_042")</f>
        <v> 32044150449056_042</v>
      </c>
      <c r="P448" s="94" t="str">
        <f>IFERROR(__xludf.DUMMYFUNCTION("""COMPUTED_VALUE""")," 32044150449056_043")</f>
        <v> 32044150449056_043</v>
      </c>
      <c r="Q448" s="94" t="str">
        <f>IFERROR(__xludf.DUMMYFUNCTION("""COMPUTED_VALUE""")," 32044150449056_044")</f>
        <v> 32044150449056_044</v>
      </c>
      <c r="R448" s="94"/>
      <c r="S448" s="94"/>
      <c r="T448" s="94"/>
      <c r="U448" s="94"/>
      <c r="V448" s="94"/>
      <c r="W448" s="94"/>
      <c r="X448" s="94"/>
      <c r="Y448" s="94"/>
      <c r="Z448" s="94"/>
      <c r="AA448" s="94"/>
      <c r="AB448" s="94"/>
      <c r="AC448" s="94"/>
      <c r="AD448" s="94"/>
      <c r="AE448" s="94"/>
      <c r="AF448" s="94"/>
      <c r="AG448" s="94"/>
    </row>
    <row r="449">
      <c r="A449" s="96" t="s">
        <v>3333</v>
      </c>
      <c r="B449" s="95" t="str">
        <f>IFERROR(__xludf.DUMMYFUNCTION("""COMPUTED_VALUE"""),"32044150449056_047")</f>
        <v>32044150449056_047</v>
      </c>
      <c r="C449" s="94" t="str">
        <f>IFERROR(__xludf.DUMMYFUNCTION("""COMPUTED_VALUE""")," 32044150449056_048")</f>
        <v> 32044150449056_048</v>
      </c>
      <c r="D449" s="94" t="str">
        <f>IFERROR(__xludf.DUMMYFUNCTION("""COMPUTED_VALUE""")," 32044150449056_049")</f>
        <v> 32044150449056_049</v>
      </c>
      <c r="E449" s="94" t="str">
        <f>IFERROR(__xludf.DUMMYFUNCTION("""COMPUTED_VALUE""")," 32044150449056_050")</f>
        <v> 32044150449056_050</v>
      </c>
      <c r="F449" s="94" t="str">
        <f>IFERROR(__xludf.DUMMYFUNCTION("""COMPUTED_VALUE""")," 32044150449056_051")</f>
        <v> 32044150449056_051</v>
      </c>
      <c r="G449" s="94" t="str">
        <f>IFERROR(__xludf.DUMMYFUNCTION("""COMPUTED_VALUE""")," 32044150449056_052")</f>
        <v> 32044150449056_052</v>
      </c>
      <c r="H449" s="94"/>
      <c r="I449" s="94"/>
      <c r="J449" s="94"/>
      <c r="K449" s="94"/>
      <c r="L449" s="94"/>
      <c r="M449" s="94"/>
      <c r="N449" s="94"/>
      <c r="O449" s="94"/>
      <c r="P449" s="94"/>
      <c r="Q449" s="94"/>
      <c r="R449" s="94"/>
      <c r="S449" s="94"/>
      <c r="T449" s="94"/>
      <c r="U449" s="94"/>
      <c r="V449" s="94"/>
      <c r="W449" s="94"/>
      <c r="X449" s="94"/>
      <c r="Y449" s="94"/>
      <c r="Z449" s="94"/>
      <c r="AA449" s="94"/>
      <c r="AB449" s="94"/>
      <c r="AC449" s="94"/>
      <c r="AD449" s="94"/>
      <c r="AE449" s="94"/>
      <c r="AF449" s="94"/>
      <c r="AG449" s="94"/>
    </row>
    <row r="450">
      <c r="A450" s="96" t="s">
        <v>3340</v>
      </c>
      <c r="B450" s="95" t="str">
        <f>IFERROR(__xludf.DUMMYFUNCTION("""COMPUTED_VALUE"""),"32044150449056_053")</f>
        <v>32044150449056_053</v>
      </c>
      <c r="C450" s="94" t="str">
        <f>IFERROR(__xludf.DUMMYFUNCTION("""COMPUTED_VALUE""")," 32044150449056_054")</f>
        <v> 32044150449056_054</v>
      </c>
      <c r="D450" s="94" t="str">
        <f>IFERROR(__xludf.DUMMYFUNCTION("""COMPUTED_VALUE""")," 32044150449056_055")</f>
        <v> 32044150449056_055</v>
      </c>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c r="AD450" s="94"/>
      <c r="AE450" s="94"/>
      <c r="AF450" s="94"/>
      <c r="AG450" s="94"/>
    </row>
    <row r="451">
      <c r="A451" s="96" t="s">
        <v>3346</v>
      </c>
      <c r="B451" s="95" t="str">
        <f>IFERROR(__xludf.DUMMYFUNCTION("""COMPUTED_VALUE"""),"32044150449056_056")</f>
        <v>32044150449056_056</v>
      </c>
      <c r="C451" s="94" t="str">
        <f>IFERROR(__xludf.DUMMYFUNCTION("""COMPUTED_VALUE""")," 32044150449056_057")</f>
        <v> 32044150449056_057</v>
      </c>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c r="AD451" s="94"/>
      <c r="AE451" s="94"/>
      <c r="AF451" s="94"/>
      <c r="AG451" s="94"/>
    </row>
    <row r="452">
      <c r="A452" s="96" t="s">
        <v>3352</v>
      </c>
      <c r="B452" s="95" t="str">
        <f>IFERROR(__xludf.DUMMYFUNCTION("""COMPUTED_VALUE"""),"32044150449056_058")</f>
        <v>32044150449056_058</v>
      </c>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c r="AD452" s="94"/>
      <c r="AE452" s="94"/>
      <c r="AF452" s="94"/>
      <c r="AG452" s="94"/>
    </row>
    <row r="453">
      <c r="A453" s="96" t="s">
        <v>3357</v>
      </c>
      <c r="B453" s="95" t="str">
        <f>IFERROR(__xludf.DUMMYFUNCTION("""COMPUTED_VALUE"""),"32044150449056_045")</f>
        <v>32044150449056_045</v>
      </c>
      <c r="C453" s="94" t="str">
        <f>IFERROR(__xludf.DUMMYFUNCTION("""COMPUTED_VALUE""")," 32044150449056_046")</f>
        <v> 32044150449056_046</v>
      </c>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c r="AD453" s="94"/>
      <c r="AE453" s="94"/>
      <c r="AF453" s="94"/>
      <c r="AG453" s="94"/>
    </row>
    <row r="454">
      <c r="A454" s="96" t="s">
        <v>3366</v>
      </c>
      <c r="B454" s="95" t="str">
        <f>IFERROR(__xludf.DUMMYFUNCTION("""COMPUTED_VALUE"""),"3204450449064_001")</f>
        <v>3204450449064_001</v>
      </c>
      <c r="C454" s="94" t="str">
        <f>IFERROR(__xludf.DUMMYFUNCTION("""COMPUTED_VALUE""")," 3204450449064_002")</f>
        <v> 3204450449064_002</v>
      </c>
      <c r="D454" s="94" t="str">
        <f>IFERROR(__xludf.DUMMYFUNCTION("""COMPUTED_VALUE""")," 32044150449064_003")</f>
        <v> 32044150449064_003</v>
      </c>
      <c r="E454" s="94" t="str">
        <f>IFERROR(__xludf.DUMMYFUNCTION("""COMPUTED_VALUE""")," 32044150449064_004")</f>
        <v> 32044150449064_004</v>
      </c>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c r="AD454" s="94"/>
      <c r="AE454" s="94"/>
      <c r="AF454" s="94"/>
      <c r="AG454" s="94"/>
    </row>
    <row r="455">
      <c r="A455" s="96" t="s">
        <v>3375</v>
      </c>
      <c r="B455" s="95" t="str">
        <f>IFERROR(__xludf.DUMMYFUNCTION("""COMPUTED_VALUE"""),"32044150449064_005")</f>
        <v>32044150449064_005</v>
      </c>
      <c r="C455" s="94" t="str">
        <f>IFERROR(__xludf.DUMMYFUNCTION("""COMPUTED_VALUE""")," 32044150449064_006")</f>
        <v> 32044150449064_006</v>
      </c>
      <c r="D455" s="94" t="str">
        <f>IFERROR(__xludf.DUMMYFUNCTION("""COMPUTED_VALUE""")," 32044150449064_007")</f>
        <v> 32044150449064_007</v>
      </c>
      <c r="E455" s="94" t="str">
        <f>IFERROR(__xludf.DUMMYFUNCTION("""COMPUTED_VALUE""")," 32044150449064_008")</f>
        <v> 32044150449064_008</v>
      </c>
      <c r="F455" s="94" t="str">
        <f>IFERROR(__xludf.DUMMYFUNCTION("""COMPUTED_VALUE""")," 32044150449064_009")</f>
        <v> 32044150449064_009</v>
      </c>
      <c r="G455" s="94" t="str">
        <f>IFERROR(__xludf.DUMMYFUNCTION("""COMPUTED_VALUE""")," 32044150449064_010")</f>
        <v> 32044150449064_010</v>
      </c>
      <c r="H455" s="94"/>
      <c r="I455" s="94"/>
      <c r="J455" s="94"/>
      <c r="K455" s="94"/>
      <c r="L455" s="94"/>
      <c r="M455" s="94"/>
      <c r="N455" s="94"/>
      <c r="O455" s="94"/>
      <c r="P455" s="94"/>
      <c r="Q455" s="94"/>
      <c r="R455" s="94"/>
      <c r="S455" s="94"/>
      <c r="T455" s="94"/>
      <c r="U455" s="94"/>
      <c r="V455" s="94"/>
      <c r="W455" s="94"/>
      <c r="X455" s="94"/>
      <c r="Y455" s="94"/>
      <c r="Z455" s="94"/>
      <c r="AA455" s="94"/>
      <c r="AB455" s="94"/>
      <c r="AC455" s="94"/>
      <c r="AD455" s="94"/>
      <c r="AE455" s="94"/>
      <c r="AF455" s="94"/>
      <c r="AG455" s="94"/>
    </row>
    <row r="456">
      <c r="A456" s="96" t="s">
        <v>3382</v>
      </c>
      <c r="B456" s="95" t="str">
        <f>IFERROR(__xludf.DUMMYFUNCTION("""COMPUTED_VALUE"""),"32044150449064_011")</f>
        <v>32044150449064_011</v>
      </c>
      <c r="C456" s="94" t="str">
        <f>IFERROR(__xludf.DUMMYFUNCTION("""COMPUTED_VALUE""")," 32044150449064_012")</f>
        <v> 32044150449064_012</v>
      </c>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c r="AD456" s="94"/>
      <c r="AE456" s="94"/>
      <c r="AF456" s="94"/>
      <c r="AG456" s="94"/>
    </row>
    <row r="457">
      <c r="A457" s="96" t="s">
        <v>3391</v>
      </c>
      <c r="B457" s="95" t="str">
        <f>IFERROR(__xludf.DUMMYFUNCTION("""COMPUTED_VALUE"""),"32044150449064_013")</f>
        <v>32044150449064_013</v>
      </c>
      <c r="C457" s="94" t="str">
        <f>IFERROR(__xludf.DUMMYFUNCTION("""COMPUTED_VALUE""")," 32044150449064_014")</f>
        <v> 32044150449064_014</v>
      </c>
      <c r="D457" s="94" t="str">
        <f>IFERROR(__xludf.DUMMYFUNCTION("""COMPUTED_VALUE""")," 32044150449064_015")</f>
        <v> 32044150449064_015</v>
      </c>
      <c r="E457" s="94" t="str">
        <f>IFERROR(__xludf.DUMMYFUNCTION("""COMPUTED_VALUE""")," 32044150449064_016")</f>
        <v> 32044150449064_016</v>
      </c>
      <c r="F457" s="94" t="str">
        <f>IFERROR(__xludf.DUMMYFUNCTION("""COMPUTED_VALUE""")," 32044150449064_017")</f>
        <v> 32044150449064_017</v>
      </c>
      <c r="G457" s="94" t="str">
        <f>IFERROR(__xludf.DUMMYFUNCTION("""COMPUTED_VALUE""")," 32044150449064_018")</f>
        <v> 32044150449064_018</v>
      </c>
      <c r="H457" s="94" t="str">
        <f>IFERROR(__xludf.DUMMYFUNCTION("""COMPUTED_VALUE""")," 32044150449064_019")</f>
        <v> 32044150449064_019</v>
      </c>
      <c r="I457" s="94" t="str">
        <f>IFERROR(__xludf.DUMMYFUNCTION("""COMPUTED_VALUE""")," 32044150449064_020")</f>
        <v> 32044150449064_020</v>
      </c>
      <c r="J457" s="94" t="str">
        <f>IFERROR(__xludf.DUMMYFUNCTION("""COMPUTED_VALUE""")," 32044150449064_021")</f>
        <v> 32044150449064_021</v>
      </c>
      <c r="K457" s="94" t="str">
        <f>IFERROR(__xludf.DUMMYFUNCTION("""COMPUTED_VALUE""")," 32044150449064_022")</f>
        <v> 32044150449064_022</v>
      </c>
      <c r="L457" s="94" t="str">
        <f>IFERROR(__xludf.DUMMYFUNCTION("""COMPUTED_VALUE""")," 32044150449064_023")</f>
        <v> 32044150449064_023</v>
      </c>
      <c r="M457" s="94" t="str">
        <f>IFERROR(__xludf.DUMMYFUNCTION("""COMPUTED_VALUE""")," 32044150449064_024")</f>
        <v> 32044150449064_024</v>
      </c>
      <c r="N457" s="94"/>
      <c r="O457" s="94"/>
      <c r="P457" s="94"/>
      <c r="Q457" s="94"/>
      <c r="R457" s="94"/>
      <c r="S457" s="94"/>
      <c r="T457" s="94"/>
      <c r="U457" s="94"/>
      <c r="V457" s="94"/>
      <c r="W457" s="94"/>
      <c r="X457" s="94"/>
      <c r="Y457" s="94"/>
      <c r="Z457" s="94"/>
      <c r="AA457" s="94"/>
      <c r="AB457" s="94"/>
      <c r="AC457" s="94"/>
      <c r="AD457" s="94"/>
      <c r="AE457" s="94"/>
      <c r="AF457" s="94"/>
      <c r="AG457" s="94"/>
    </row>
    <row r="458">
      <c r="A458" s="96" t="s">
        <v>3400</v>
      </c>
      <c r="B458" s="95" t="str">
        <f>IFERROR(__xludf.DUMMYFUNCTION("""COMPUTED_VALUE"""),"32044150449064_025")</f>
        <v>32044150449064_025</v>
      </c>
      <c r="C458" s="94" t="str">
        <f>IFERROR(__xludf.DUMMYFUNCTION("""COMPUTED_VALUE""")," 32044150449064_026")</f>
        <v> 32044150449064_026</v>
      </c>
      <c r="D458" s="94" t="str">
        <f>IFERROR(__xludf.DUMMYFUNCTION("""COMPUTED_VALUE""")," 32044150449064_027")</f>
        <v> 32044150449064_027</v>
      </c>
      <c r="E458" s="94" t="str">
        <f>IFERROR(__xludf.DUMMYFUNCTION("""COMPUTED_VALUE""")," 32044150449064_028")</f>
        <v> 32044150449064_028</v>
      </c>
      <c r="F458" s="94" t="str">
        <f>IFERROR(__xludf.DUMMYFUNCTION("""COMPUTED_VALUE""")," 32044150449064_029")</f>
        <v> 32044150449064_029</v>
      </c>
      <c r="G458" s="94" t="str">
        <f>IFERROR(__xludf.DUMMYFUNCTION("""COMPUTED_VALUE""")," 32044150449064_030")</f>
        <v> 32044150449064_030</v>
      </c>
      <c r="H458" s="94" t="str">
        <f>IFERROR(__xludf.DUMMYFUNCTION("""COMPUTED_VALUE""")," 32044150449064_031")</f>
        <v> 32044150449064_031</v>
      </c>
      <c r="I458" s="94" t="str">
        <f>IFERROR(__xludf.DUMMYFUNCTION("""COMPUTED_VALUE""")," 32044150449064_032")</f>
        <v> 32044150449064_032</v>
      </c>
      <c r="J458" s="94" t="str">
        <f>IFERROR(__xludf.DUMMYFUNCTION("""COMPUTED_VALUE""")," 32044150449064_033")</f>
        <v> 32044150449064_033</v>
      </c>
      <c r="K458" s="94" t="str">
        <f>IFERROR(__xludf.DUMMYFUNCTION("""COMPUTED_VALUE""")," 32044150449064_034")</f>
        <v> 32044150449064_034</v>
      </c>
      <c r="L458" s="94" t="str">
        <f>IFERROR(__xludf.DUMMYFUNCTION("""COMPUTED_VALUE""")," 32044150449064_035")</f>
        <v> 32044150449064_035</v>
      </c>
      <c r="M458" s="94" t="str">
        <f>IFERROR(__xludf.DUMMYFUNCTION("""COMPUTED_VALUE""")," 32044150449064_036")</f>
        <v> 32044150449064_036</v>
      </c>
      <c r="N458" s="94" t="str">
        <f>IFERROR(__xludf.DUMMYFUNCTION("""COMPUTED_VALUE""")," 32044150449064_037")</f>
        <v> 32044150449064_037</v>
      </c>
      <c r="O458" s="94" t="str">
        <f>IFERROR(__xludf.DUMMYFUNCTION("""COMPUTED_VALUE""")," 32044150449064_038")</f>
        <v> 32044150449064_038</v>
      </c>
      <c r="P458" s="94" t="str">
        <f>IFERROR(__xludf.DUMMYFUNCTION("""COMPUTED_VALUE""")," 32044150449064_039")</f>
        <v> 32044150449064_039</v>
      </c>
      <c r="Q458" s="94" t="str">
        <f>IFERROR(__xludf.DUMMYFUNCTION("""COMPUTED_VALUE""")," 32044150449064_040")</f>
        <v> 32044150449064_040</v>
      </c>
      <c r="R458" s="94"/>
      <c r="S458" s="94"/>
      <c r="T458" s="94"/>
      <c r="U458" s="94"/>
      <c r="V458" s="94"/>
      <c r="W458" s="94"/>
      <c r="X458" s="94"/>
      <c r="Y458" s="94"/>
      <c r="Z458" s="94"/>
      <c r="AA458" s="94"/>
      <c r="AB458" s="94"/>
      <c r="AC458" s="94"/>
      <c r="AD458" s="94"/>
      <c r="AE458" s="94"/>
      <c r="AF458" s="94"/>
      <c r="AG458" s="94"/>
    </row>
    <row r="459">
      <c r="A459" s="96" t="s">
        <v>3407</v>
      </c>
      <c r="B459" s="95" t="str">
        <f>IFERROR(__xludf.DUMMYFUNCTION("""COMPUTED_VALUE"""),"32044150449072_001")</f>
        <v>32044150449072_001</v>
      </c>
      <c r="C459" s="94" t="str">
        <f>IFERROR(__xludf.DUMMYFUNCTION("""COMPUTED_VALUE""")," 32044150449072_002")</f>
        <v> 32044150449072_002</v>
      </c>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c r="AD459" s="94"/>
      <c r="AE459" s="94"/>
      <c r="AF459" s="94"/>
      <c r="AG459" s="94"/>
    </row>
    <row r="460">
      <c r="A460" s="96" t="s">
        <v>3415</v>
      </c>
      <c r="B460" s="95" t="str">
        <f>IFERROR(__xludf.DUMMYFUNCTION("""COMPUTED_VALUE"""),"32044150449072_003")</f>
        <v>32044150449072_003</v>
      </c>
      <c r="C460" s="94" t="str">
        <f>IFERROR(__xludf.DUMMYFUNCTION("""COMPUTED_VALUE""")," 32044150449072_004")</f>
        <v> 32044150449072_004</v>
      </c>
      <c r="D460" s="94" t="str">
        <f>IFERROR(__xludf.DUMMYFUNCTION("""COMPUTED_VALUE""")," 32044150449072_005")</f>
        <v> 32044150449072_005</v>
      </c>
      <c r="E460" s="94" t="str">
        <f>IFERROR(__xludf.DUMMYFUNCTION("""COMPUTED_VALUE""")," 32044150449072_006")</f>
        <v> 32044150449072_006</v>
      </c>
      <c r="F460" s="94" t="str">
        <f>IFERROR(__xludf.DUMMYFUNCTION("""COMPUTED_VALUE""")," 32044150449072_007")</f>
        <v> 32044150449072_007</v>
      </c>
      <c r="G460" s="94" t="str">
        <f>IFERROR(__xludf.DUMMYFUNCTION("""COMPUTED_VALUE""")," 32044150449072_008")</f>
        <v> 32044150449072_008</v>
      </c>
      <c r="H460" s="94"/>
      <c r="I460" s="94"/>
      <c r="J460" s="94"/>
      <c r="K460" s="94"/>
      <c r="L460" s="94"/>
      <c r="M460" s="94"/>
      <c r="N460" s="94"/>
      <c r="O460" s="94"/>
      <c r="P460" s="94"/>
      <c r="Q460" s="94"/>
      <c r="R460" s="94"/>
      <c r="S460" s="94"/>
      <c r="T460" s="94"/>
      <c r="U460" s="94"/>
      <c r="V460" s="94"/>
      <c r="W460" s="94"/>
      <c r="X460" s="94"/>
      <c r="Y460" s="94"/>
      <c r="Z460" s="94"/>
      <c r="AA460" s="94"/>
      <c r="AB460" s="94"/>
      <c r="AC460" s="94"/>
      <c r="AD460" s="94"/>
      <c r="AE460" s="94"/>
      <c r="AF460" s="94"/>
      <c r="AG460" s="94"/>
    </row>
    <row r="461">
      <c r="A461" s="96" t="s">
        <v>3425</v>
      </c>
      <c r="B461" s="95" t="str">
        <f>IFERROR(__xludf.DUMMYFUNCTION("""COMPUTED_VALUE"""),"32044150449072_009")</f>
        <v>32044150449072_009</v>
      </c>
      <c r="C461" s="94" t="str">
        <f>IFERROR(__xludf.DUMMYFUNCTION("""COMPUTED_VALUE""")," 32044150449072_010")</f>
        <v> 32044150449072_010</v>
      </c>
      <c r="D461" s="94" t="str">
        <f>IFERROR(__xludf.DUMMYFUNCTION("""COMPUTED_VALUE""")," 32044150449072_011")</f>
        <v> 32044150449072_011</v>
      </c>
      <c r="E461" s="94" t="str">
        <f>IFERROR(__xludf.DUMMYFUNCTION("""COMPUTED_VALUE""")," 32044150449072_012")</f>
        <v> 32044150449072_012</v>
      </c>
      <c r="F461" s="94" t="str">
        <f>IFERROR(__xludf.DUMMYFUNCTION("""COMPUTED_VALUE""")," 32044150449072_013")</f>
        <v> 32044150449072_013</v>
      </c>
      <c r="G461" s="94" t="str">
        <f>IFERROR(__xludf.DUMMYFUNCTION("""COMPUTED_VALUE""")," 32044150449072_014")</f>
        <v> 32044150449072_014</v>
      </c>
      <c r="H461" s="94" t="str">
        <f>IFERROR(__xludf.DUMMYFUNCTION("""COMPUTED_VALUE""")," 32044150449072_015")</f>
        <v> 32044150449072_015</v>
      </c>
      <c r="I461" s="94" t="str">
        <f>IFERROR(__xludf.DUMMYFUNCTION("""COMPUTED_VALUE""")," 32044150449072_016")</f>
        <v> 32044150449072_016</v>
      </c>
      <c r="J461" s="94" t="str">
        <f>IFERROR(__xludf.DUMMYFUNCTION("""COMPUTED_VALUE""")," 32044150449072_017")</f>
        <v> 32044150449072_017</v>
      </c>
      <c r="K461" s="94" t="str">
        <f>IFERROR(__xludf.DUMMYFUNCTION("""COMPUTED_VALUE""")," 32044150449072_018")</f>
        <v> 32044150449072_018</v>
      </c>
      <c r="L461" s="94"/>
      <c r="M461" s="94"/>
      <c r="N461" s="94"/>
      <c r="O461" s="94"/>
      <c r="P461" s="94"/>
      <c r="Q461" s="94"/>
      <c r="R461" s="94"/>
      <c r="S461" s="94"/>
      <c r="T461" s="94"/>
      <c r="U461" s="94"/>
      <c r="V461" s="94"/>
      <c r="W461" s="94"/>
      <c r="X461" s="94"/>
      <c r="Y461" s="94"/>
      <c r="Z461" s="94"/>
      <c r="AA461" s="94"/>
      <c r="AB461" s="94"/>
      <c r="AC461" s="94"/>
      <c r="AD461" s="94"/>
      <c r="AE461" s="94"/>
      <c r="AF461" s="94"/>
      <c r="AG461" s="94"/>
    </row>
    <row r="462">
      <c r="A462" s="96" t="s">
        <v>3433</v>
      </c>
      <c r="B462" s="95" t="str">
        <f>IFERROR(__xludf.DUMMYFUNCTION("""COMPUTED_VALUE"""),"32044150449080_001")</f>
        <v>32044150449080_001</v>
      </c>
      <c r="C462" s="94" t="str">
        <f>IFERROR(__xludf.DUMMYFUNCTION("""COMPUTED_VALUE""")," 32044150449080_002")</f>
        <v> 32044150449080_002</v>
      </c>
      <c r="D462" s="94" t="str">
        <f>IFERROR(__xludf.DUMMYFUNCTION("""COMPUTED_VALUE""")," 32044150449080_003")</f>
        <v> 32044150449080_003</v>
      </c>
      <c r="E462" s="94" t="str">
        <f>IFERROR(__xludf.DUMMYFUNCTION("""COMPUTED_VALUE""")," 32044150449080_004")</f>
        <v> 32044150449080_004</v>
      </c>
      <c r="F462" s="94" t="str">
        <f>IFERROR(__xludf.DUMMYFUNCTION("""COMPUTED_VALUE""")," 32044150449080_005")</f>
        <v> 32044150449080_005</v>
      </c>
      <c r="G462" s="94" t="str">
        <f>IFERROR(__xludf.DUMMYFUNCTION("""COMPUTED_VALUE""")," 32044150449080_006")</f>
        <v> 32044150449080_006</v>
      </c>
      <c r="H462" s="94" t="str">
        <f>IFERROR(__xludf.DUMMYFUNCTION("""COMPUTED_VALUE""")," 32044150449080_007")</f>
        <v> 32044150449080_007</v>
      </c>
      <c r="I462" s="94"/>
      <c r="J462" s="94"/>
      <c r="K462" s="94"/>
      <c r="L462" s="94"/>
      <c r="M462" s="94"/>
      <c r="N462" s="94"/>
      <c r="O462" s="94"/>
      <c r="P462" s="94"/>
      <c r="Q462" s="94"/>
      <c r="R462" s="94"/>
      <c r="S462" s="94"/>
      <c r="T462" s="94"/>
      <c r="U462" s="94"/>
      <c r="V462" s="94"/>
      <c r="W462" s="94"/>
      <c r="X462" s="94"/>
      <c r="Y462" s="94"/>
      <c r="Z462" s="94"/>
      <c r="AA462" s="94"/>
      <c r="AB462" s="94"/>
      <c r="AC462" s="94"/>
      <c r="AD462" s="94"/>
      <c r="AE462" s="94"/>
      <c r="AF462" s="94"/>
      <c r="AG462" s="94"/>
    </row>
    <row r="463">
      <c r="A463" s="96" t="s">
        <v>3438</v>
      </c>
      <c r="B463" s="95" t="str">
        <f>IFERROR(__xludf.DUMMYFUNCTION("""COMPUTED_VALUE"""),"32044150449080_008")</f>
        <v>32044150449080_008</v>
      </c>
      <c r="C463" s="94" t="str">
        <f>IFERROR(__xludf.DUMMYFUNCTION("""COMPUTED_VALUE""")," 32044150449080_009")</f>
        <v> 32044150449080_009</v>
      </c>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c r="AD463" s="94"/>
      <c r="AE463" s="94"/>
      <c r="AF463" s="94"/>
      <c r="AG463" s="94"/>
    </row>
    <row r="464">
      <c r="A464" s="96" t="s">
        <v>3447</v>
      </c>
      <c r="B464" s="95" t="str">
        <f>IFERROR(__xludf.DUMMYFUNCTION("""COMPUTED_VALUE"""),"32044150449080_010")</f>
        <v>32044150449080_010</v>
      </c>
      <c r="C464" s="94" t="str">
        <f>IFERROR(__xludf.DUMMYFUNCTION("""COMPUTED_VALUE""")," 32044150449080_011")</f>
        <v> 32044150449080_011</v>
      </c>
      <c r="D464" s="94" t="str">
        <f>IFERROR(__xludf.DUMMYFUNCTION("""COMPUTED_VALUE""")," 32044150449080_012")</f>
        <v> 32044150449080_012</v>
      </c>
      <c r="E464" s="94" t="str">
        <f>IFERROR(__xludf.DUMMYFUNCTION("""COMPUTED_VALUE""")," 32044150449080_013")</f>
        <v> 32044150449080_013</v>
      </c>
      <c r="F464" s="94" t="str">
        <f>IFERROR(__xludf.DUMMYFUNCTION("""COMPUTED_VALUE""")," 32044150449080_014")</f>
        <v> 32044150449080_014</v>
      </c>
      <c r="G464" s="94" t="str">
        <f>IFERROR(__xludf.DUMMYFUNCTION("""COMPUTED_VALUE""")," 32044150449080_015")</f>
        <v> 32044150449080_015</v>
      </c>
      <c r="H464" s="94"/>
      <c r="I464" s="94"/>
      <c r="J464" s="94"/>
      <c r="K464" s="94"/>
      <c r="L464" s="94"/>
      <c r="M464" s="94"/>
      <c r="N464" s="94"/>
      <c r="O464" s="94"/>
      <c r="P464" s="94"/>
      <c r="Q464" s="94"/>
      <c r="R464" s="94"/>
      <c r="S464" s="94"/>
      <c r="T464" s="94"/>
      <c r="U464" s="94"/>
      <c r="V464" s="94"/>
      <c r="W464" s="94"/>
      <c r="X464" s="94"/>
      <c r="Y464" s="94"/>
      <c r="Z464" s="94"/>
      <c r="AA464" s="94"/>
      <c r="AB464" s="94"/>
      <c r="AC464" s="94"/>
      <c r="AD464" s="94"/>
      <c r="AE464" s="94"/>
      <c r="AF464" s="94"/>
      <c r="AG464" s="94"/>
    </row>
    <row r="465">
      <c r="A465" s="96" t="s">
        <v>3456</v>
      </c>
      <c r="B465" s="95" t="str">
        <f>IFERROR(__xludf.DUMMYFUNCTION("""COMPUTED_VALUE"""),"32044150449080_016")</f>
        <v>32044150449080_016</v>
      </c>
      <c r="C465" s="94" t="str">
        <f>IFERROR(__xludf.DUMMYFUNCTION("""COMPUTED_VALUE""")," 32044150449080_017")</f>
        <v> 32044150449080_017</v>
      </c>
      <c r="D465" s="94" t="str">
        <f>IFERROR(__xludf.DUMMYFUNCTION("""COMPUTED_VALUE""")," 32044150449080_018")</f>
        <v> 32044150449080_018</v>
      </c>
      <c r="E465" s="94" t="str">
        <f>IFERROR(__xludf.DUMMYFUNCTION("""COMPUTED_VALUE""")," 32044150449080_019")</f>
        <v> 32044150449080_019</v>
      </c>
      <c r="F465" s="94" t="str">
        <f>IFERROR(__xludf.DUMMYFUNCTION("""COMPUTED_VALUE""")," 32044150449080_020")</f>
        <v> 32044150449080_020</v>
      </c>
      <c r="G465" s="94" t="str">
        <f>IFERROR(__xludf.DUMMYFUNCTION("""COMPUTED_VALUE""")," 32044150449080_021")</f>
        <v> 32044150449080_021</v>
      </c>
      <c r="H465" s="94"/>
      <c r="I465" s="94"/>
      <c r="J465" s="94"/>
      <c r="K465" s="94"/>
      <c r="L465" s="94"/>
      <c r="M465" s="94"/>
      <c r="N465" s="94"/>
      <c r="O465" s="94"/>
      <c r="P465" s="94"/>
      <c r="Q465" s="94"/>
      <c r="R465" s="94"/>
      <c r="S465" s="94"/>
      <c r="T465" s="94"/>
      <c r="U465" s="94"/>
      <c r="V465" s="94"/>
      <c r="W465" s="94"/>
      <c r="X465" s="94"/>
      <c r="Y465" s="94"/>
      <c r="Z465" s="94"/>
      <c r="AA465" s="94"/>
      <c r="AB465" s="94"/>
      <c r="AC465" s="94"/>
      <c r="AD465" s="94"/>
      <c r="AE465" s="94"/>
      <c r="AF465" s="94"/>
      <c r="AG465" s="94"/>
    </row>
    <row r="466">
      <c r="A466" s="96" t="s">
        <v>3465</v>
      </c>
      <c r="B466" s="95" t="str">
        <f>IFERROR(__xludf.DUMMYFUNCTION("""COMPUTED_VALUE"""),"32044150449080_022")</f>
        <v>32044150449080_022</v>
      </c>
      <c r="C466" s="94" t="str">
        <f>IFERROR(__xludf.DUMMYFUNCTION("""COMPUTED_VALUE""")," 32044150449080_023")</f>
        <v> 32044150449080_023</v>
      </c>
      <c r="D466" s="94" t="str">
        <f>IFERROR(__xludf.DUMMYFUNCTION("""COMPUTED_VALUE""")," 32044150449080_024")</f>
        <v> 32044150449080_024</v>
      </c>
      <c r="E466" s="94" t="str">
        <f>IFERROR(__xludf.DUMMYFUNCTION("""COMPUTED_VALUE""")," 32044150449080_025")</f>
        <v> 32044150449080_025</v>
      </c>
      <c r="F466" s="94" t="str">
        <f>IFERROR(__xludf.DUMMYFUNCTION("""COMPUTED_VALUE""")," 32044150449080_026")</f>
        <v> 32044150449080_026</v>
      </c>
      <c r="G466" s="94" t="str">
        <f>IFERROR(__xludf.DUMMYFUNCTION("""COMPUTED_VALUE""")," 32044150449080_027")</f>
        <v> 32044150449080_027</v>
      </c>
      <c r="H466" s="94" t="str">
        <f>IFERROR(__xludf.DUMMYFUNCTION("""COMPUTED_VALUE""")," 32044150449080_028")</f>
        <v> 32044150449080_028</v>
      </c>
      <c r="I466" s="94" t="str">
        <f>IFERROR(__xludf.DUMMYFUNCTION("""COMPUTED_VALUE""")," 32044150449080_029")</f>
        <v> 32044150449080_029</v>
      </c>
      <c r="J466" s="94" t="str">
        <f>IFERROR(__xludf.DUMMYFUNCTION("""COMPUTED_VALUE""")," 32044150449080_030")</f>
        <v> 32044150449080_030</v>
      </c>
      <c r="K466" s="94" t="str">
        <f>IFERROR(__xludf.DUMMYFUNCTION("""COMPUTED_VALUE""")," 32044150449080_031")</f>
        <v> 32044150449080_031</v>
      </c>
      <c r="L466" s="94"/>
      <c r="M466" s="94"/>
      <c r="N466" s="94"/>
      <c r="O466" s="94"/>
      <c r="P466" s="94"/>
      <c r="Q466" s="94"/>
      <c r="R466" s="94"/>
      <c r="S466" s="94"/>
      <c r="T466" s="94"/>
      <c r="U466" s="94"/>
      <c r="V466" s="94"/>
      <c r="W466" s="94"/>
      <c r="X466" s="94"/>
      <c r="Y466" s="94"/>
      <c r="Z466" s="94"/>
      <c r="AA466" s="94"/>
      <c r="AB466" s="94"/>
      <c r="AC466" s="94"/>
      <c r="AD466" s="94"/>
      <c r="AE466" s="94"/>
      <c r="AF466" s="94"/>
      <c r="AG466" s="94"/>
    </row>
    <row r="467">
      <c r="A467" s="96" t="s">
        <v>3474</v>
      </c>
      <c r="B467" s="95" t="str">
        <f>IFERROR(__xludf.DUMMYFUNCTION("""COMPUTED_VALUE"""),"32044150449098_001")</f>
        <v>32044150449098_001</v>
      </c>
      <c r="C467" s="94" t="str">
        <f>IFERROR(__xludf.DUMMYFUNCTION("""COMPUTED_VALUE""")," 32044150449098_002")</f>
        <v> 32044150449098_002</v>
      </c>
      <c r="D467" s="94" t="str">
        <f>IFERROR(__xludf.DUMMYFUNCTION("""COMPUTED_VALUE""")," 32044150449098_003")</f>
        <v> 32044150449098_003</v>
      </c>
      <c r="E467" s="94" t="str">
        <f>IFERROR(__xludf.DUMMYFUNCTION("""COMPUTED_VALUE""")," 32044150449098_004")</f>
        <v> 32044150449098_004</v>
      </c>
      <c r="F467" s="94" t="str">
        <f>IFERROR(__xludf.DUMMYFUNCTION("""COMPUTED_VALUE""")," 32044150449098_005")</f>
        <v> 32044150449098_005</v>
      </c>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c r="AD467" s="94"/>
      <c r="AE467" s="94"/>
      <c r="AF467" s="94"/>
      <c r="AG467" s="94"/>
    </row>
    <row r="468">
      <c r="A468" s="96" t="s">
        <v>3481</v>
      </c>
      <c r="B468" s="95" t="str">
        <f>IFERROR(__xludf.DUMMYFUNCTION("""COMPUTED_VALUE"""),"32044150449098_006")</f>
        <v>32044150449098_006</v>
      </c>
      <c r="C468" s="94" t="str">
        <f>IFERROR(__xludf.DUMMYFUNCTION("""COMPUTED_VALUE""")," 32044150449098_007")</f>
        <v> 32044150449098_007</v>
      </c>
      <c r="D468" s="94" t="str">
        <f>IFERROR(__xludf.DUMMYFUNCTION("""COMPUTED_VALUE""")," 32044150449098_008")</f>
        <v> 32044150449098_008</v>
      </c>
      <c r="E468" s="94" t="str">
        <f>IFERROR(__xludf.DUMMYFUNCTION("""COMPUTED_VALUE""")," 32044150449098_009")</f>
        <v> 32044150449098_009</v>
      </c>
      <c r="F468" s="94" t="str">
        <f>IFERROR(__xludf.DUMMYFUNCTION("""COMPUTED_VALUE""")," 32044150449098_010")</f>
        <v> 32044150449098_010</v>
      </c>
      <c r="G468" s="94" t="str">
        <f>IFERROR(__xludf.DUMMYFUNCTION("""COMPUTED_VALUE""")," 32044150449098_011")</f>
        <v> 32044150449098_011</v>
      </c>
      <c r="H468" s="94" t="str">
        <f>IFERROR(__xludf.DUMMYFUNCTION("""COMPUTED_VALUE""")," 32044150449098_012")</f>
        <v> 32044150449098_012</v>
      </c>
      <c r="I468" s="94" t="str">
        <f>IFERROR(__xludf.DUMMYFUNCTION("""COMPUTED_VALUE""")," 32044150449098_013")</f>
        <v> 32044150449098_013</v>
      </c>
      <c r="J468" s="94"/>
      <c r="K468" s="94"/>
      <c r="L468" s="94"/>
      <c r="M468" s="94"/>
      <c r="N468" s="94"/>
      <c r="O468" s="94"/>
      <c r="P468" s="94"/>
      <c r="Q468" s="94"/>
      <c r="R468" s="94"/>
      <c r="S468" s="94"/>
      <c r="T468" s="94"/>
      <c r="U468" s="94"/>
      <c r="V468" s="94"/>
      <c r="W468" s="94"/>
      <c r="X468" s="94"/>
      <c r="Y468" s="94"/>
      <c r="Z468" s="94"/>
      <c r="AA468" s="94"/>
      <c r="AB468" s="94"/>
      <c r="AC468" s="94"/>
      <c r="AD468" s="94"/>
      <c r="AE468" s="94"/>
      <c r="AF468" s="94"/>
      <c r="AG468" s="94"/>
    </row>
    <row r="469">
      <c r="A469" s="96" t="s">
        <v>3488</v>
      </c>
      <c r="B469" s="95" t="str">
        <f>IFERROR(__xludf.DUMMYFUNCTION("""COMPUTED_VALUE"""),"32044150449098_014")</f>
        <v>32044150449098_014</v>
      </c>
      <c r="C469" s="94" t="str">
        <f>IFERROR(__xludf.DUMMYFUNCTION("""COMPUTED_VALUE""")," 32044150449098_015")</f>
        <v> 32044150449098_015</v>
      </c>
      <c r="D469" s="94" t="str">
        <f>IFERROR(__xludf.DUMMYFUNCTION("""COMPUTED_VALUE""")," 32044150449098_016")</f>
        <v> 32044150449098_016</v>
      </c>
      <c r="E469" s="94" t="str">
        <f>IFERROR(__xludf.DUMMYFUNCTION("""COMPUTED_VALUE""")," 32044150449098_017")</f>
        <v> 32044150449098_017</v>
      </c>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c r="AD469" s="94"/>
      <c r="AE469" s="94"/>
      <c r="AF469" s="94"/>
      <c r="AG469" s="94"/>
    </row>
    <row r="470">
      <c r="A470" s="96" t="s">
        <v>3496</v>
      </c>
      <c r="B470" s="95" t="str">
        <f>IFERROR(__xludf.DUMMYFUNCTION("""COMPUTED_VALUE"""),"32044150449098_018")</f>
        <v>32044150449098_018</v>
      </c>
      <c r="C470" s="94" t="str">
        <f>IFERROR(__xludf.DUMMYFUNCTION("""COMPUTED_VALUE""")," 32044150449098_019")</f>
        <v> 32044150449098_019</v>
      </c>
      <c r="D470" s="94" t="str">
        <f>IFERROR(__xludf.DUMMYFUNCTION("""COMPUTED_VALUE""")," 32044150449098_020")</f>
        <v> 32044150449098_020</v>
      </c>
      <c r="E470" s="94" t="str">
        <f>IFERROR(__xludf.DUMMYFUNCTION("""COMPUTED_VALUE""")," 32044150449098_021")</f>
        <v> 32044150449098_021</v>
      </c>
      <c r="F470" s="94" t="str">
        <f>IFERROR(__xludf.DUMMYFUNCTION("""COMPUTED_VALUE""")," 32044150449098_022")</f>
        <v> 32044150449098_022</v>
      </c>
      <c r="G470" s="94" t="str">
        <f>IFERROR(__xludf.DUMMYFUNCTION("""COMPUTED_VALUE""")," 32044150449098_023")</f>
        <v> 32044150449098_023</v>
      </c>
      <c r="H470" s="94" t="str">
        <f>IFERROR(__xludf.DUMMYFUNCTION("""COMPUTED_VALUE""")," 32044150449098_024")</f>
        <v> 32044150449098_024</v>
      </c>
      <c r="I470" s="94" t="str">
        <f>IFERROR(__xludf.DUMMYFUNCTION("""COMPUTED_VALUE""")," 32044150449098_025")</f>
        <v> 32044150449098_025</v>
      </c>
      <c r="J470" s="94"/>
      <c r="K470" s="94"/>
      <c r="L470" s="94"/>
      <c r="M470" s="94"/>
      <c r="N470" s="94"/>
      <c r="O470" s="94"/>
      <c r="P470" s="94"/>
      <c r="Q470" s="94"/>
      <c r="R470" s="94"/>
      <c r="S470" s="94"/>
      <c r="T470" s="94"/>
      <c r="U470" s="94"/>
      <c r="V470" s="94"/>
      <c r="W470" s="94"/>
      <c r="X470" s="94"/>
      <c r="Y470" s="94"/>
      <c r="Z470" s="94"/>
      <c r="AA470" s="94"/>
      <c r="AB470" s="94"/>
      <c r="AC470" s="94"/>
      <c r="AD470" s="94"/>
      <c r="AE470" s="94"/>
      <c r="AF470" s="94"/>
      <c r="AG470" s="94"/>
    </row>
    <row r="471">
      <c r="A471" s="96" t="s">
        <v>3503</v>
      </c>
      <c r="B471" s="95" t="str">
        <f>IFERROR(__xludf.DUMMYFUNCTION("""COMPUTED_VALUE"""),"32044150449106_006")</f>
        <v>32044150449106_006</v>
      </c>
      <c r="C471" s="94" t="str">
        <f>IFERROR(__xludf.DUMMYFUNCTION("""COMPUTED_VALUE""")," 32044150449106_007")</f>
        <v> 32044150449106_007</v>
      </c>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c r="AD471" s="94"/>
      <c r="AE471" s="94"/>
      <c r="AF471" s="94"/>
      <c r="AG471" s="94"/>
    </row>
    <row r="472">
      <c r="A472" s="96" t="s">
        <v>3511</v>
      </c>
      <c r="B472" s="95" t="str">
        <f>IFERROR(__xludf.DUMMYFUNCTION("""COMPUTED_VALUE"""),"32044150449106_008")</f>
        <v>32044150449106_008</v>
      </c>
      <c r="C472" s="94" t="str">
        <f>IFERROR(__xludf.DUMMYFUNCTION("""COMPUTED_VALUE""")," 32044150449106_009")</f>
        <v> 32044150449106_009</v>
      </c>
      <c r="D472" s="94" t="str">
        <f>IFERROR(__xludf.DUMMYFUNCTION("""COMPUTED_VALUE""")," 32044150449106_010")</f>
        <v> 32044150449106_010</v>
      </c>
      <c r="E472" s="94" t="str">
        <f>IFERROR(__xludf.DUMMYFUNCTION("""COMPUTED_VALUE""")," 32044150449106_011")</f>
        <v> 32044150449106_011</v>
      </c>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c r="AD472" s="94"/>
      <c r="AE472" s="94"/>
      <c r="AF472" s="94"/>
      <c r="AG472" s="94"/>
    </row>
    <row r="473">
      <c r="A473" s="96" t="s">
        <v>3518</v>
      </c>
      <c r="B473" s="95" t="str">
        <f>IFERROR(__xludf.DUMMYFUNCTION("""COMPUTED_VALUE"""),"32044150449106_012")</f>
        <v>32044150449106_012</v>
      </c>
      <c r="C473" s="94" t="str">
        <f>IFERROR(__xludf.DUMMYFUNCTION("""COMPUTED_VALUE""")," 32044150449106_013")</f>
        <v> 32044150449106_013</v>
      </c>
      <c r="D473" s="94" t="str">
        <f>IFERROR(__xludf.DUMMYFUNCTION("""COMPUTED_VALUE""")," 32044150449106_014")</f>
        <v> 32044150449106_014</v>
      </c>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c r="AD473" s="94"/>
      <c r="AE473" s="94"/>
      <c r="AF473" s="94"/>
      <c r="AG473" s="94"/>
    </row>
    <row r="474">
      <c r="A474" s="96" t="s">
        <v>3524</v>
      </c>
      <c r="B474" s="95" t="str">
        <f>IFERROR(__xludf.DUMMYFUNCTION("""COMPUTED_VALUE"""),"32044150449106_015")</f>
        <v>32044150449106_015</v>
      </c>
      <c r="C474" s="94" t="str">
        <f>IFERROR(__xludf.DUMMYFUNCTION("""COMPUTED_VALUE""")," 32044150449106_016")</f>
        <v> 32044150449106_016</v>
      </c>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c r="AD474" s="94"/>
      <c r="AE474" s="94"/>
      <c r="AF474" s="94"/>
      <c r="AG474" s="94"/>
    </row>
    <row r="475">
      <c r="A475" s="96" t="s">
        <v>3533</v>
      </c>
      <c r="B475" s="95" t="str">
        <f>IFERROR(__xludf.DUMMYFUNCTION("""COMPUTED_VALUE"""),"32044150449106_017")</f>
        <v>32044150449106_017</v>
      </c>
      <c r="C475" s="94" t="str">
        <f>IFERROR(__xludf.DUMMYFUNCTION("""COMPUTED_VALUE""")," 32044150449106_018")</f>
        <v> 32044150449106_018</v>
      </c>
      <c r="D475" s="94" t="str">
        <f>IFERROR(__xludf.DUMMYFUNCTION("""COMPUTED_VALUE""")," 32044150449106_019")</f>
        <v> 32044150449106_019</v>
      </c>
      <c r="E475" s="94" t="str">
        <f>IFERROR(__xludf.DUMMYFUNCTION("""COMPUTED_VALUE""")," 32044150449106_020")</f>
        <v> 32044150449106_020</v>
      </c>
      <c r="F475" s="94" t="str">
        <f>IFERROR(__xludf.DUMMYFUNCTION("""COMPUTED_VALUE""")," 32044150449106_021")</f>
        <v> 32044150449106_021</v>
      </c>
      <c r="G475" s="94" t="str">
        <f>IFERROR(__xludf.DUMMYFUNCTION("""COMPUTED_VALUE""")," 32044150449106_022")</f>
        <v> 32044150449106_022</v>
      </c>
      <c r="H475" s="94" t="str">
        <f>IFERROR(__xludf.DUMMYFUNCTION("""COMPUTED_VALUE""")," 32044150449106_023")</f>
        <v> 32044150449106_023</v>
      </c>
      <c r="I475" s="94" t="str">
        <f>IFERROR(__xludf.DUMMYFUNCTION("""COMPUTED_VALUE""")," 32044150449106_024")</f>
        <v> 32044150449106_024</v>
      </c>
      <c r="J475" s="94" t="str">
        <f>IFERROR(__xludf.DUMMYFUNCTION("""COMPUTED_VALUE""")," 32044150449106_025")</f>
        <v> 32044150449106_025</v>
      </c>
      <c r="K475" s="94" t="str">
        <f>IFERROR(__xludf.DUMMYFUNCTION("""COMPUTED_VALUE""")," 32044150449106_026")</f>
        <v> 32044150449106_026</v>
      </c>
      <c r="L475" s="94"/>
      <c r="M475" s="94"/>
      <c r="N475" s="94"/>
      <c r="O475" s="94"/>
      <c r="P475" s="94"/>
      <c r="Q475" s="94"/>
      <c r="R475" s="94"/>
      <c r="S475" s="94"/>
      <c r="T475" s="94"/>
      <c r="U475" s="94"/>
      <c r="V475" s="94"/>
      <c r="W475" s="94"/>
      <c r="X475" s="94"/>
      <c r="Y475" s="94"/>
      <c r="Z475" s="94"/>
      <c r="AA475" s="94"/>
      <c r="AB475" s="94"/>
      <c r="AC475" s="94"/>
      <c r="AD475" s="94"/>
      <c r="AE475" s="94"/>
      <c r="AF475" s="94"/>
      <c r="AG475" s="94"/>
    </row>
    <row r="476">
      <c r="A476" s="96" t="s">
        <v>3541</v>
      </c>
      <c r="B476" s="95" t="str">
        <f>IFERROR(__xludf.DUMMYFUNCTION("""COMPUTED_VALUE"""),"32044150449106_027")</f>
        <v>32044150449106_027</v>
      </c>
      <c r="C476" s="94" t="str">
        <f>IFERROR(__xludf.DUMMYFUNCTION("""COMPUTED_VALUE""")," 32044150449106_028")</f>
        <v> 32044150449106_028</v>
      </c>
      <c r="D476" s="94" t="str">
        <f>IFERROR(__xludf.DUMMYFUNCTION("""COMPUTED_VALUE""")," 32044150449106_029")</f>
        <v> 32044150449106_029</v>
      </c>
      <c r="E476" s="94" t="str">
        <f>IFERROR(__xludf.DUMMYFUNCTION("""COMPUTED_VALUE""")," 32044150449106_030")</f>
        <v> 32044150449106_030</v>
      </c>
      <c r="F476" s="94" t="str">
        <f>IFERROR(__xludf.DUMMYFUNCTION("""COMPUTED_VALUE""")," 32044150449106_031")</f>
        <v> 32044150449106_031</v>
      </c>
      <c r="G476" s="94" t="str">
        <f>IFERROR(__xludf.DUMMYFUNCTION("""COMPUTED_VALUE""")," 32044150449106_032")</f>
        <v> 32044150449106_032</v>
      </c>
      <c r="H476" s="94" t="str">
        <f>IFERROR(__xludf.DUMMYFUNCTION("""COMPUTED_VALUE""")," 32044150449106_033")</f>
        <v> 32044150449106_033</v>
      </c>
      <c r="I476" s="94" t="str">
        <f>IFERROR(__xludf.DUMMYFUNCTION("""COMPUTED_VALUE""")," 32044150449106_034")</f>
        <v> 32044150449106_034</v>
      </c>
      <c r="J476" s="94" t="str">
        <f>IFERROR(__xludf.DUMMYFUNCTION("""COMPUTED_VALUE""")," 32044150449106_035")</f>
        <v> 32044150449106_035</v>
      </c>
      <c r="K476" s="94" t="str">
        <f>IFERROR(__xludf.DUMMYFUNCTION("""COMPUTED_VALUE""")," 32044150449106_036")</f>
        <v> 32044150449106_036</v>
      </c>
      <c r="L476" s="94" t="str">
        <f>IFERROR(__xludf.DUMMYFUNCTION("""COMPUTED_VALUE""")," 32044150449106_037")</f>
        <v> 32044150449106_037</v>
      </c>
      <c r="M476" s="94" t="str">
        <f>IFERROR(__xludf.DUMMYFUNCTION("""COMPUTED_VALUE""")," 32044150449106_038")</f>
        <v> 32044150449106_038</v>
      </c>
      <c r="N476" s="94" t="str">
        <f>IFERROR(__xludf.DUMMYFUNCTION("""COMPUTED_VALUE""")," 32044150449106_039")</f>
        <v> 32044150449106_039</v>
      </c>
      <c r="O476" s="94" t="str">
        <f>IFERROR(__xludf.DUMMYFUNCTION("""COMPUTED_VALUE""")," 32044150449106_040")</f>
        <v> 32044150449106_040</v>
      </c>
      <c r="P476" s="94" t="str">
        <f>IFERROR(__xludf.DUMMYFUNCTION("""COMPUTED_VALUE""")," 32044150449106_041")</f>
        <v> 32044150449106_041</v>
      </c>
      <c r="Q476" s="94" t="str">
        <f>IFERROR(__xludf.DUMMYFUNCTION("""COMPUTED_VALUE""")," 32044150449106_042")</f>
        <v> 32044150449106_042</v>
      </c>
      <c r="R476" s="94"/>
      <c r="S476" s="94"/>
      <c r="T476" s="94"/>
      <c r="U476" s="94"/>
      <c r="V476" s="94"/>
      <c r="W476" s="94"/>
      <c r="X476" s="94"/>
      <c r="Y476" s="94"/>
      <c r="Z476" s="94"/>
      <c r="AA476" s="94"/>
      <c r="AB476" s="94"/>
      <c r="AC476" s="94"/>
      <c r="AD476" s="94"/>
      <c r="AE476" s="94"/>
      <c r="AF476" s="94"/>
      <c r="AG476" s="94"/>
    </row>
    <row r="477">
      <c r="A477" s="96" t="s">
        <v>3548</v>
      </c>
      <c r="B477" s="95" t="str">
        <f>IFERROR(__xludf.DUMMYFUNCTION("""COMPUTED_VALUE"""),"32044150449106_001")</f>
        <v>32044150449106_001</v>
      </c>
      <c r="C477" s="94" t="str">
        <f>IFERROR(__xludf.DUMMYFUNCTION("""COMPUTED_VALUE""")," 32044150449106_002")</f>
        <v> 32044150449106_002</v>
      </c>
      <c r="D477" s="94" t="str">
        <f>IFERROR(__xludf.DUMMYFUNCTION("""COMPUTED_VALUE""")," 32044150449106_003")</f>
        <v> 32044150449106_003</v>
      </c>
      <c r="E477" s="94" t="str">
        <f>IFERROR(__xludf.DUMMYFUNCTION("""COMPUTED_VALUE""")," 32044150449106_004")</f>
        <v> 32044150449106_004</v>
      </c>
      <c r="F477" s="94" t="str">
        <f>IFERROR(__xludf.DUMMYFUNCTION("""COMPUTED_VALUE""")," 32044150449106_005")</f>
        <v> 32044150449106_005</v>
      </c>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c r="AD477" s="94"/>
      <c r="AE477" s="94"/>
      <c r="AF477" s="94"/>
      <c r="AG477" s="94"/>
    </row>
    <row r="478">
      <c r="A478" s="96" t="s">
        <v>3555</v>
      </c>
      <c r="B478" s="95" t="str">
        <f>IFERROR(__xludf.DUMMYFUNCTION("""COMPUTED_VALUE"""),"32044150449114_001")</f>
        <v>32044150449114_001</v>
      </c>
      <c r="C478" s="94" t="str">
        <f>IFERROR(__xludf.DUMMYFUNCTION("""COMPUTED_VALUE""")," 32044150449114_002")</f>
        <v> 32044150449114_002</v>
      </c>
      <c r="D478" s="94" t="str">
        <f>IFERROR(__xludf.DUMMYFUNCTION("""COMPUTED_VALUE""")," 32044150449114_003")</f>
        <v> 32044150449114_003</v>
      </c>
      <c r="E478" s="94" t="str">
        <f>IFERROR(__xludf.DUMMYFUNCTION("""COMPUTED_VALUE""")," 32044150449114_004")</f>
        <v> 32044150449114_004</v>
      </c>
      <c r="F478" s="94" t="str">
        <f>IFERROR(__xludf.DUMMYFUNCTION("""COMPUTED_VALUE""")," 32044150449114_005")</f>
        <v> 32044150449114_005</v>
      </c>
      <c r="G478" s="94" t="str">
        <f>IFERROR(__xludf.DUMMYFUNCTION("""COMPUTED_VALUE""")," 32044150449114_006")</f>
        <v> 32044150449114_006</v>
      </c>
      <c r="H478" s="94"/>
      <c r="I478" s="94"/>
      <c r="J478" s="94"/>
      <c r="K478" s="94"/>
      <c r="L478" s="94"/>
      <c r="M478" s="94"/>
      <c r="N478" s="94"/>
      <c r="O478" s="94"/>
      <c r="P478" s="94"/>
      <c r="Q478" s="94"/>
      <c r="R478" s="94"/>
      <c r="S478" s="94"/>
      <c r="T478" s="94"/>
      <c r="U478" s="94"/>
      <c r="V478" s="94"/>
      <c r="W478" s="94"/>
      <c r="X478" s="94"/>
      <c r="Y478" s="94"/>
      <c r="Z478" s="94"/>
      <c r="AA478" s="94"/>
      <c r="AB478" s="94"/>
      <c r="AC478" s="94"/>
      <c r="AD478" s="94"/>
      <c r="AE478" s="94"/>
      <c r="AF478" s="94"/>
      <c r="AG478" s="94"/>
    </row>
    <row r="479">
      <c r="A479" s="96" t="s">
        <v>3563</v>
      </c>
      <c r="B479" s="95" t="str">
        <f>IFERROR(__xludf.DUMMYFUNCTION("""COMPUTED_VALUE"""),"32044150449114_007")</f>
        <v>32044150449114_007</v>
      </c>
      <c r="C479" s="94" t="str">
        <f>IFERROR(__xludf.DUMMYFUNCTION("""COMPUTED_VALUE""")," 32044150449114_008")</f>
        <v> 32044150449114_008</v>
      </c>
      <c r="D479" s="94" t="str">
        <f>IFERROR(__xludf.DUMMYFUNCTION("""COMPUTED_VALUE""")," 32044150449114_009")</f>
        <v> 32044150449114_009</v>
      </c>
      <c r="E479" s="94" t="str">
        <f>IFERROR(__xludf.DUMMYFUNCTION("""COMPUTED_VALUE""")," 32044150449114_010")</f>
        <v> 32044150449114_010</v>
      </c>
      <c r="F479" s="94" t="str">
        <f>IFERROR(__xludf.DUMMYFUNCTION("""COMPUTED_VALUE""")," 32044150449114_011")</f>
        <v> 32044150449114_011</v>
      </c>
      <c r="G479" s="94" t="str">
        <f>IFERROR(__xludf.DUMMYFUNCTION("""COMPUTED_VALUE""")," 32044150449114_012")</f>
        <v> 32044150449114_012</v>
      </c>
      <c r="H479" s="94" t="str">
        <f>IFERROR(__xludf.DUMMYFUNCTION("""COMPUTED_VALUE""")," 32044150449114_013")</f>
        <v> 32044150449114_013</v>
      </c>
      <c r="I479" s="94" t="str">
        <f>IFERROR(__xludf.DUMMYFUNCTION("""COMPUTED_VALUE""")," 32044150449114_014")</f>
        <v> 32044150449114_014</v>
      </c>
      <c r="J479" s="94"/>
      <c r="K479" s="94"/>
      <c r="L479" s="94"/>
      <c r="M479" s="94"/>
      <c r="N479" s="94"/>
      <c r="O479" s="94"/>
      <c r="P479" s="94"/>
      <c r="Q479" s="94"/>
      <c r="R479" s="94"/>
      <c r="S479" s="94"/>
      <c r="T479" s="94"/>
      <c r="U479" s="94"/>
      <c r="V479" s="94"/>
      <c r="W479" s="94"/>
      <c r="X479" s="94"/>
      <c r="Y479" s="94"/>
      <c r="Z479" s="94"/>
      <c r="AA479" s="94"/>
      <c r="AB479" s="94"/>
      <c r="AC479" s="94"/>
      <c r="AD479" s="94"/>
      <c r="AE479" s="94"/>
      <c r="AF479" s="94"/>
      <c r="AG479" s="94"/>
    </row>
    <row r="480">
      <c r="A480" s="96" t="s">
        <v>3571</v>
      </c>
      <c r="B480" s="95" t="str">
        <f>IFERROR(__xludf.DUMMYFUNCTION("""COMPUTED_VALUE"""),"32044150449114_015")</f>
        <v>32044150449114_015</v>
      </c>
      <c r="C480" s="94" t="str">
        <f>IFERROR(__xludf.DUMMYFUNCTION("""COMPUTED_VALUE""")," 32044150449114_016")</f>
        <v> 32044150449114_016</v>
      </c>
      <c r="D480" s="94" t="str">
        <f>IFERROR(__xludf.DUMMYFUNCTION("""COMPUTED_VALUE""")," 32044150449114_017")</f>
        <v> 32044150449114_017</v>
      </c>
      <c r="E480" s="94" t="str">
        <f>IFERROR(__xludf.DUMMYFUNCTION("""COMPUTED_VALUE""")," 32044150449114_018")</f>
        <v> 32044150449114_018</v>
      </c>
      <c r="F480" s="94" t="str">
        <f>IFERROR(__xludf.DUMMYFUNCTION("""COMPUTED_VALUE""")," 32044150449114_019")</f>
        <v> 32044150449114_019</v>
      </c>
      <c r="G480" s="94" t="str">
        <f>IFERROR(__xludf.DUMMYFUNCTION("""COMPUTED_VALUE""")," 32044150449114_020")</f>
        <v> 32044150449114_020</v>
      </c>
      <c r="H480" s="94" t="str">
        <f>IFERROR(__xludf.DUMMYFUNCTION("""COMPUTED_VALUE""")," 32044150449114_021")</f>
        <v> 32044150449114_021</v>
      </c>
      <c r="I480" s="94" t="str">
        <f>IFERROR(__xludf.DUMMYFUNCTION("""COMPUTED_VALUE""")," 32044150449114_022")</f>
        <v> 32044150449114_022</v>
      </c>
      <c r="J480" s="94" t="str">
        <f>IFERROR(__xludf.DUMMYFUNCTION("""COMPUTED_VALUE""")," 32044150449114_023")</f>
        <v> 32044150449114_023</v>
      </c>
      <c r="K480" s="94" t="str">
        <f>IFERROR(__xludf.DUMMYFUNCTION("""COMPUTED_VALUE""")," 32044150449114_024")</f>
        <v> 32044150449114_024</v>
      </c>
      <c r="L480" s="94" t="str">
        <f>IFERROR(__xludf.DUMMYFUNCTION("""COMPUTED_VALUE""")," 32044150449114_025")</f>
        <v> 32044150449114_025</v>
      </c>
      <c r="M480" s="94" t="str">
        <f>IFERROR(__xludf.DUMMYFUNCTION("""COMPUTED_VALUE""")," 32044150449114_026")</f>
        <v> 32044150449114_026</v>
      </c>
      <c r="N480" s="94" t="str">
        <f>IFERROR(__xludf.DUMMYFUNCTION("""COMPUTED_VALUE""")," 32044150449114_027")</f>
        <v> 32044150449114_027</v>
      </c>
      <c r="O480" s="94" t="str">
        <f>IFERROR(__xludf.DUMMYFUNCTION("""COMPUTED_VALUE""")," 32044150449114_028")</f>
        <v> 32044150449114_028</v>
      </c>
      <c r="P480" s="94" t="str">
        <f>IFERROR(__xludf.DUMMYFUNCTION("""COMPUTED_VALUE""")," 32044150449114_029")</f>
        <v> 32044150449114_029</v>
      </c>
      <c r="Q480" s="94" t="str">
        <f>IFERROR(__xludf.DUMMYFUNCTION("""COMPUTED_VALUE""")," 32044150449114_030")</f>
        <v> 32044150449114_030</v>
      </c>
      <c r="R480" s="94" t="str">
        <f>IFERROR(__xludf.DUMMYFUNCTION("""COMPUTED_VALUE""")," 32044150449114_031")</f>
        <v> 32044150449114_031</v>
      </c>
      <c r="S480" s="94" t="str">
        <f>IFERROR(__xludf.DUMMYFUNCTION("""COMPUTED_VALUE""")," 32044150449114_032")</f>
        <v> 32044150449114_032</v>
      </c>
      <c r="T480" s="94" t="str">
        <f>IFERROR(__xludf.DUMMYFUNCTION("""COMPUTED_VALUE""")," 32044150449114_033")</f>
        <v> 32044150449114_033</v>
      </c>
      <c r="U480" s="94" t="str">
        <f>IFERROR(__xludf.DUMMYFUNCTION("""COMPUTED_VALUE""")," 32044150449114_034")</f>
        <v> 32044150449114_034</v>
      </c>
      <c r="V480" s="94"/>
      <c r="W480" s="94"/>
      <c r="X480" s="94"/>
      <c r="Y480" s="94"/>
      <c r="Z480" s="94"/>
      <c r="AA480" s="94"/>
      <c r="AB480" s="94"/>
      <c r="AC480" s="94"/>
      <c r="AD480" s="94"/>
      <c r="AE480" s="94"/>
      <c r="AF480" s="94"/>
      <c r="AG480" s="94"/>
    </row>
    <row r="481">
      <c r="A481" s="96" t="s">
        <v>3580</v>
      </c>
      <c r="B481" s="95" t="str">
        <f>IFERROR(__xludf.DUMMYFUNCTION("""COMPUTED_VALUE"""),"32044150449114_035")</f>
        <v>32044150449114_035</v>
      </c>
      <c r="C481" s="94" t="str">
        <f>IFERROR(__xludf.DUMMYFUNCTION("""COMPUTED_VALUE""")," 32044150449114_036")</f>
        <v> 32044150449114_036</v>
      </c>
      <c r="D481" s="94" t="str">
        <f>IFERROR(__xludf.DUMMYFUNCTION("""COMPUTED_VALUE""")," 32044150449114_037")</f>
        <v> 32044150449114_037</v>
      </c>
      <c r="E481" s="94" t="str">
        <f>IFERROR(__xludf.DUMMYFUNCTION("""COMPUTED_VALUE""")," 32044150449114_038")</f>
        <v> 32044150449114_038</v>
      </c>
      <c r="F481" s="94" t="str">
        <f>IFERROR(__xludf.DUMMYFUNCTION("""COMPUTED_VALUE""")," 32044150449114_039")</f>
        <v> 32044150449114_039</v>
      </c>
      <c r="G481" s="94" t="str">
        <f>IFERROR(__xludf.DUMMYFUNCTION("""COMPUTED_VALUE""")," 32044150449114_040")</f>
        <v> 32044150449114_040</v>
      </c>
      <c r="H481" s="94" t="str">
        <f>IFERROR(__xludf.DUMMYFUNCTION("""COMPUTED_VALUE""")," 32044150449114_041")</f>
        <v> 32044150449114_041</v>
      </c>
      <c r="I481" s="94" t="str">
        <f>IFERROR(__xludf.DUMMYFUNCTION("""COMPUTED_VALUE""")," 32044150449114_042")</f>
        <v> 32044150449114_042</v>
      </c>
      <c r="J481" s="94" t="str">
        <f>IFERROR(__xludf.DUMMYFUNCTION("""COMPUTED_VALUE""")," 32044150449114_043")</f>
        <v> 32044150449114_043</v>
      </c>
      <c r="K481" s="94" t="str">
        <f>IFERROR(__xludf.DUMMYFUNCTION("""COMPUTED_VALUE""")," 32044150449114_044")</f>
        <v> 32044150449114_044</v>
      </c>
      <c r="L481" s="94" t="str">
        <f>IFERROR(__xludf.DUMMYFUNCTION("""COMPUTED_VALUE""")," 32044150449114_045")</f>
        <v> 32044150449114_045</v>
      </c>
      <c r="M481" s="94" t="str">
        <f>IFERROR(__xludf.DUMMYFUNCTION("""COMPUTED_VALUE""")," 32044150449114_046")</f>
        <v> 32044150449114_046</v>
      </c>
      <c r="N481" s="94" t="str">
        <f>IFERROR(__xludf.DUMMYFUNCTION("""COMPUTED_VALUE""")," 32044150449114_047")</f>
        <v> 32044150449114_047</v>
      </c>
      <c r="O481" s="94" t="str">
        <f>IFERROR(__xludf.DUMMYFUNCTION("""COMPUTED_VALUE""")," 32044150449114_048")</f>
        <v> 32044150449114_048</v>
      </c>
      <c r="P481" s="94" t="str">
        <f>IFERROR(__xludf.DUMMYFUNCTION("""COMPUTED_VALUE""")," 32044150449114_049")</f>
        <v> 32044150449114_049</v>
      </c>
      <c r="Q481" s="94" t="str">
        <f>IFERROR(__xludf.DUMMYFUNCTION("""COMPUTED_VALUE""")," 32044150449114_050")</f>
        <v> 32044150449114_050</v>
      </c>
      <c r="R481" s="94" t="str">
        <f>IFERROR(__xludf.DUMMYFUNCTION("""COMPUTED_VALUE""")," 32044150449114_051")</f>
        <v> 32044150449114_051</v>
      </c>
      <c r="S481" s="94" t="str">
        <f>IFERROR(__xludf.DUMMYFUNCTION("""COMPUTED_VALUE""")," 32044150449114_052")</f>
        <v> 32044150449114_052</v>
      </c>
      <c r="T481" s="94" t="str">
        <f>IFERROR(__xludf.DUMMYFUNCTION("""COMPUTED_VALUE""")," 32044150449114_053")</f>
        <v> 32044150449114_053</v>
      </c>
      <c r="U481" s="94"/>
      <c r="V481" s="94"/>
      <c r="W481" s="94"/>
      <c r="X481" s="94"/>
      <c r="Y481" s="94"/>
      <c r="Z481" s="94"/>
      <c r="AA481" s="94"/>
      <c r="AB481" s="94"/>
      <c r="AC481" s="94"/>
      <c r="AD481" s="94"/>
      <c r="AE481" s="94"/>
      <c r="AF481" s="94"/>
      <c r="AG481" s="94"/>
    </row>
    <row r="482">
      <c r="A482" s="96" t="s">
        <v>3587</v>
      </c>
      <c r="B482" s="95" t="str">
        <f>IFERROR(__xludf.DUMMYFUNCTION("""COMPUTED_VALUE"""),"32044150449114_055")</f>
        <v>32044150449114_055</v>
      </c>
      <c r="C482" s="94" t="str">
        <f>IFERROR(__xludf.DUMMYFUNCTION("""COMPUTED_VALUE""")," 32044150449114_056")</f>
        <v> 32044150449114_056</v>
      </c>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c r="AD482" s="94"/>
      <c r="AE482" s="94"/>
      <c r="AF482" s="94"/>
      <c r="AG482" s="94"/>
    </row>
    <row r="483">
      <c r="A483" s="96" t="s">
        <v>3595</v>
      </c>
      <c r="B483" s="95" t="str">
        <f>IFERROR(__xludf.DUMMYFUNCTION("""COMPUTED_VALUE"""),"32044150449114_057")</f>
        <v>32044150449114_057</v>
      </c>
      <c r="C483" s="94" t="str">
        <f>IFERROR(__xludf.DUMMYFUNCTION("""COMPUTED_VALUE""")," 32044150449114_058")</f>
        <v> 32044150449114_058</v>
      </c>
      <c r="D483" s="94" t="str">
        <f>IFERROR(__xludf.DUMMYFUNCTION("""COMPUTED_VALUE""")," 32044150449114_059")</f>
        <v> 32044150449114_059</v>
      </c>
      <c r="E483" s="94" t="str">
        <f>IFERROR(__xludf.DUMMYFUNCTION("""COMPUTED_VALUE""")," 32044150449114_060")</f>
        <v> 32044150449114_060</v>
      </c>
      <c r="F483" s="94" t="str">
        <f>IFERROR(__xludf.DUMMYFUNCTION("""COMPUTED_VALUE""")," 32044150449114_061")</f>
        <v> 32044150449114_061</v>
      </c>
      <c r="G483" s="94" t="str">
        <f>IFERROR(__xludf.DUMMYFUNCTION("""COMPUTED_VALUE""")," 32044150449114_062")</f>
        <v> 32044150449114_062</v>
      </c>
      <c r="H483" s="94" t="str">
        <f>IFERROR(__xludf.DUMMYFUNCTION("""COMPUTED_VALUE""")," 32044150449114_063")</f>
        <v> 32044150449114_063</v>
      </c>
      <c r="I483" s="94" t="str">
        <f>IFERROR(__xludf.DUMMYFUNCTION("""COMPUTED_VALUE""")," 32044150449114_064")</f>
        <v> 32044150449114_064</v>
      </c>
      <c r="J483" s="94" t="str">
        <f>IFERROR(__xludf.DUMMYFUNCTION("""COMPUTED_VALUE""")," 32044150449114_065")</f>
        <v> 32044150449114_065</v>
      </c>
      <c r="K483" s="94" t="str">
        <f>IFERROR(__xludf.DUMMYFUNCTION("""COMPUTED_VALUE""")," 32044150449114_066")</f>
        <v> 32044150449114_066</v>
      </c>
      <c r="L483" s="94" t="str">
        <f>IFERROR(__xludf.DUMMYFUNCTION("""COMPUTED_VALUE""")," 32044150449114_067")</f>
        <v> 32044150449114_067</v>
      </c>
      <c r="M483" s="94" t="str">
        <f>IFERROR(__xludf.DUMMYFUNCTION("""COMPUTED_VALUE""")," 32044150449114_068")</f>
        <v> 32044150449114_068</v>
      </c>
      <c r="N483" s="94" t="str">
        <f>IFERROR(__xludf.DUMMYFUNCTION("""COMPUTED_VALUE""")," 32044150449114_069")</f>
        <v> 32044150449114_069</v>
      </c>
      <c r="O483" s="94" t="str">
        <f>IFERROR(__xludf.DUMMYFUNCTION("""COMPUTED_VALUE""")," 32044150449114_070")</f>
        <v> 32044150449114_070</v>
      </c>
      <c r="P483" s="94" t="str">
        <f>IFERROR(__xludf.DUMMYFUNCTION("""COMPUTED_VALUE""")," 32044150449114_071")</f>
        <v> 32044150449114_071</v>
      </c>
      <c r="Q483" s="94" t="str">
        <f>IFERROR(__xludf.DUMMYFUNCTION("""COMPUTED_VALUE""")," 32044150449114_072")</f>
        <v> 32044150449114_072</v>
      </c>
      <c r="R483" s="94"/>
      <c r="S483" s="94"/>
      <c r="T483" s="94"/>
      <c r="U483" s="94"/>
      <c r="V483" s="94"/>
      <c r="W483" s="94"/>
      <c r="X483" s="94"/>
      <c r="Y483" s="94"/>
      <c r="Z483" s="94"/>
      <c r="AA483" s="94"/>
      <c r="AB483" s="94"/>
      <c r="AC483" s="94"/>
      <c r="AD483" s="94"/>
      <c r="AE483" s="94"/>
      <c r="AF483" s="94"/>
      <c r="AG483" s="94"/>
    </row>
    <row r="484">
      <c r="A484" s="96" t="s">
        <v>3604</v>
      </c>
      <c r="B484" s="95" t="str">
        <f>IFERROR(__xludf.DUMMYFUNCTION("""COMPUTED_VALUE"""),"32044150449114_073")</f>
        <v>32044150449114_073</v>
      </c>
      <c r="C484" s="94" t="str">
        <f>IFERROR(__xludf.DUMMYFUNCTION("""COMPUTED_VALUE""")," 32044150449114_074")</f>
        <v> 32044150449114_074</v>
      </c>
      <c r="D484" s="94" t="str">
        <f>IFERROR(__xludf.DUMMYFUNCTION("""COMPUTED_VALUE""")," 32044150449114_075")</f>
        <v> 32044150449114_075</v>
      </c>
      <c r="E484" s="94" t="str">
        <f>IFERROR(__xludf.DUMMYFUNCTION("""COMPUTED_VALUE""")," 32044150449114_076")</f>
        <v> 32044150449114_076</v>
      </c>
      <c r="F484" s="94" t="str">
        <f>IFERROR(__xludf.DUMMYFUNCTION("""COMPUTED_VALUE""")," 32044150449114_077")</f>
        <v> 32044150449114_077</v>
      </c>
      <c r="G484" s="94" t="str">
        <f>IFERROR(__xludf.DUMMYFUNCTION("""COMPUTED_VALUE""")," 32044150449114_078")</f>
        <v> 32044150449114_078</v>
      </c>
      <c r="H484" s="94" t="str">
        <f>IFERROR(__xludf.DUMMYFUNCTION("""COMPUTED_VALUE""")," 32044150449114_079")</f>
        <v> 32044150449114_079</v>
      </c>
      <c r="I484" s="94" t="str">
        <f>IFERROR(__xludf.DUMMYFUNCTION("""COMPUTED_VALUE""")," 32044150449114_080")</f>
        <v> 32044150449114_080</v>
      </c>
      <c r="J484" s="94" t="str">
        <f>IFERROR(__xludf.DUMMYFUNCTION("""COMPUTED_VALUE""")," 32044150449114_081")</f>
        <v> 32044150449114_081</v>
      </c>
      <c r="K484" s="94" t="str">
        <f>IFERROR(__xludf.DUMMYFUNCTION("""COMPUTED_VALUE""")," 32044150449114_082")</f>
        <v> 32044150449114_082</v>
      </c>
      <c r="L484" s="94" t="str">
        <f>IFERROR(__xludf.DUMMYFUNCTION("""COMPUTED_VALUE""")," 32044150449114_083")</f>
        <v> 32044150449114_083</v>
      </c>
      <c r="M484" s="94"/>
      <c r="N484" s="94"/>
      <c r="O484" s="94"/>
      <c r="P484" s="94"/>
      <c r="Q484" s="94"/>
      <c r="R484" s="94"/>
      <c r="S484" s="94"/>
      <c r="T484" s="94"/>
      <c r="U484" s="94"/>
      <c r="V484" s="94"/>
      <c r="W484" s="94"/>
      <c r="X484" s="94"/>
      <c r="Y484" s="94"/>
      <c r="Z484" s="94"/>
      <c r="AA484" s="94"/>
      <c r="AB484" s="94"/>
      <c r="AC484" s="94"/>
      <c r="AD484" s="94"/>
      <c r="AE484" s="94"/>
      <c r="AF484" s="94"/>
      <c r="AG484" s="94"/>
    </row>
    <row r="485">
      <c r="A485" s="96" t="s">
        <v>3611</v>
      </c>
      <c r="B485" s="95" t="str">
        <f>IFERROR(__xludf.DUMMYFUNCTION("""COMPUTED_VALUE"""),"32044150449114_084")</f>
        <v>32044150449114_084</v>
      </c>
      <c r="C485" s="94" t="str">
        <f>IFERROR(__xludf.DUMMYFUNCTION("""COMPUTED_VALUE""")," 32044150449114_085")</f>
        <v> 32044150449114_085</v>
      </c>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c r="AD485" s="94"/>
      <c r="AE485" s="94"/>
      <c r="AF485" s="94"/>
      <c r="AG485" s="94"/>
    </row>
    <row r="486">
      <c r="A486" s="96" t="s">
        <v>3616</v>
      </c>
      <c r="B486" s="95" t="str">
        <f>IFERROR(__xludf.DUMMYFUNCTION("""COMPUTED_VALUE"""),"32044150449114_086")</f>
        <v>32044150449114_086</v>
      </c>
      <c r="C486" s="94" t="str">
        <f>IFERROR(__xludf.DUMMYFUNCTION("""COMPUTED_VALUE""")," 32044150449114_087")</f>
        <v> 32044150449114_087</v>
      </c>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c r="AD486" s="94"/>
      <c r="AE486" s="94"/>
      <c r="AF486" s="94"/>
      <c r="AG486" s="94"/>
    </row>
    <row r="487">
      <c r="A487" s="96" t="s">
        <v>3621</v>
      </c>
      <c r="B487" s="95" t="str">
        <f>IFERROR(__xludf.DUMMYFUNCTION("""COMPUTED_VALUE"""),"32044150449122_001")</f>
        <v>32044150449122_001</v>
      </c>
      <c r="C487" s="94" t="str">
        <f>IFERROR(__xludf.DUMMYFUNCTION("""COMPUTED_VALUE""")," 32044150449122_002")</f>
        <v> 32044150449122_002</v>
      </c>
      <c r="D487" s="94" t="str">
        <f>IFERROR(__xludf.DUMMYFUNCTION("""COMPUTED_VALUE""")," 32044150449122_003")</f>
        <v> 32044150449122_003</v>
      </c>
      <c r="E487" s="94" t="str">
        <f>IFERROR(__xludf.DUMMYFUNCTION("""COMPUTED_VALUE""")," 32044150449122_004")</f>
        <v> 32044150449122_004</v>
      </c>
      <c r="F487" s="94" t="str">
        <f>IFERROR(__xludf.DUMMYFUNCTION("""COMPUTED_VALUE""")," 32044150449122_005")</f>
        <v> 32044150449122_005</v>
      </c>
      <c r="G487" s="94" t="str">
        <f>IFERROR(__xludf.DUMMYFUNCTION("""COMPUTED_VALUE""")," 32044150449122_006")</f>
        <v> 32044150449122_006</v>
      </c>
      <c r="H487" s="94" t="str">
        <f>IFERROR(__xludf.DUMMYFUNCTION("""COMPUTED_VALUE""")," 32044150449122_007")</f>
        <v> 32044150449122_007</v>
      </c>
      <c r="I487" s="94" t="str">
        <f>IFERROR(__xludf.DUMMYFUNCTION("""COMPUTED_VALUE""")," 32044150449122_008")</f>
        <v> 32044150449122_008</v>
      </c>
      <c r="J487" s="94"/>
      <c r="K487" s="94"/>
      <c r="L487" s="94"/>
      <c r="M487" s="94"/>
      <c r="N487" s="94"/>
      <c r="O487" s="94"/>
      <c r="P487" s="94"/>
      <c r="Q487" s="94"/>
      <c r="R487" s="94"/>
      <c r="S487" s="94"/>
      <c r="T487" s="94"/>
      <c r="U487" s="94"/>
      <c r="V487" s="94"/>
      <c r="W487" s="94"/>
      <c r="X487" s="94"/>
      <c r="Y487" s="94"/>
      <c r="Z487" s="94"/>
      <c r="AA487" s="94"/>
      <c r="AB487" s="94"/>
      <c r="AC487" s="94"/>
      <c r="AD487" s="94"/>
      <c r="AE487" s="94"/>
      <c r="AF487" s="94"/>
      <c r="AG487" s="94"/>
    </row>
    <row r="488">
      <c r="A488" s="96" t="s">
        <v>3625</v>
      </c>
      <c r="B488" s="95" t="str">
        <f>IFERROR(__xludf.DUMMYFUNCTION("""COMPUTED_VALUE"""),"32044150449122_009")</f>
        <v>32044150449122_009</v>
      </c>
      <c r="C488" s="94" t="str">
        <f>IFERROR(__xludf.DUMMYFUNCTION("""COMPUTED_VALUE""")," 32044150449122_010")</f>
        <v> 32044150449122_010</v>
      </c>
      <c r="D488" s="94" t="str">
        <f>IFERROR(__xludf.DUMMYFUNCTION("""COMPUTED_VALUE""")," 32044150449122_011")</f>
        <v> 32044150449122_011</v>
      </c>
      <c r="E488" s="94" t="str">
        <f>IFERROR(__xludf.DUMMYFUNCTION("""COMPUTED_VALUE""")," 32044150449122_012")</f>
        <v> 32044150449122_012</v>
      </c>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c r="AD488" s="94"/>
      <c r="AE488" s="94"/>
      <c r="AF488" s="94"/>
      <c r="AG488" s="94"/>
    </row>
    <row r="489">
      <c r="A489" s="96" t="s">
        <v>3631</v>
      </c>
      <c r="B489" s="95" t="str">
        <f>IFERROR(__xludf.DUMMYFUNCTION("""COMPUTED_VALUE"""),"32044150449122_013")</f>
        <v>32044150449122_013</v>
      </c>
      <c r="C489" s="94" t="str">
        <f>IFERROR(__xludf.DUMMYFUNCTION("""COMPUTED_VALUE""")," 32044150449122_014")</f>
        <v> 32044150449122_014</v>
      </c>
      <c r="D489" s="94" t="str">
        <f>IFERROR(__xludf.DUMMYFUNCTION("""COMPUTED_VALUE""")," 32044150449122_015")</f>
        <v> 32044150449122_015</v>
      </c>
      <c r="E489" s="94" t="str">
        <f>IFERROR(__xludf.DUMMYFUNCTION("""COMPUTED_VALUE""")," 32044150449122_016")</f>
        <v> 32044150449122_016</v>
      </c>
      <c r="F489" s="94" t="str">
        <f>IFERROR(__xludf.DUMMYFUNCTION("""COMPUTED_VALUE""")," 32044150449122_017")</f>
        <v> 32044150449122_017</v>
      </c>
      <c r="G489" s="94" t="str">
        <f>IFERROR(__xludf.DUMMYFUNCTION("""COMPUTED_VALUE""")," 32044150449122_018")</f>
        <v> 32044150449122_018</v>
      </c>
      <c r="H489" s="94" t="str">
        <f>IFERROR(__xludf.DUMMYFUNCTION("""COMPUTED_VALUE""")," 32044150449122_019")</f>
        <v> 32044150449122_019</v>
      </c>
      <c r="I489" s="94" t="str">
        <f>IFERROR(__xludf.DUMMYFUNCTION("""COMPUTED_VALUE""")," 32044150449122_020")</f>
        <v> 32044150449122_020</v>
      </c>
      <c r="J489" s="94" t="str">
        <f>IFERROR(__xludf.DUMMYFUNCTION("""COMPUTED_VALUE""")," 32044150449122_021")</f>
        <v> 32044150449122_021</v>
      </c>
      <c r="K489" s="94" t="str">
        <f>IFERROR(__xludf.DUMMYFUNCTION("""COMPUTED_VALUE""")," 32044150449122_022")</f>
        <v> 32044150449122_022</v>
      </c>
      <c r="L489" s="94" t="str">
        <f>IFERROR(__xludf.DUMMYFUNCTION("""COMPUTED_VALUE""")," 32044150449122_023")</f>
        <v> 32044150449122_023</v>
      </c>
      <c r="M489" s="94" t="str">
        <f>IFERROR(__xludf.DUMMYFUNCTION("""COMPUTED_VALUE""")," 32044150449122_024")</f>
        <v> 32044150449122_024</v>
      </c>
      <c r="N489" s="94" t="str">
        <f>IFERROR(__xludf.DUMMYFUNCTION("""COMPUTED_VALUE""")," 32044150449122_025")</f>
        <v> 32044150449122_025</v>
      </c>
      <c r="O489" s="94" t="str">
        <f>IFERROR(__xludf.DUMMYFUNCTION("""COMPUTED_VALUE""")," 32044150449122_026")</f>
        <v> 32044150449122_026</v>
      </c>
      <c r="P489" s="94" t="str">
        <f>IFERROR(__xludf.DUMMYFUNCTION("""COMPUTED_VALUE""")," 32044150449122_027")</f>
        <v> 32044150449122_027</v>
      </c>
      <c r="Q489" s="94" t="str">
        <f>IFERROR(__xludf.DUMMYFUNCTION("""COMPUTED_VALUE""")," 32044150449122_028")</f>
        <v> 32044150449122_028</v>
      </c>
      <c r="R489" s="94" t="str">
        <f>IFERROR(__xludf.DUMMYFUNCTION("""COMPUTED_VALUE""")," 32044150449122_029")</f>
        <v> 32044150449122_029</v>
      </c>
      <c r="S489" s="94" t="str">
        <f>IFERROR(__xludf.DUMMYFUNCTION("""COMPUTED_VALUE""")," 32044150449122_030")</f>
        <v> 32044150449122_030</v>
      </c>
      <c r="T489" s="94" t="str">
        <f>IFERROR(__xludf.DUMMYFUNCTION("""COMPUTED_VALUE""")," 32044150449122_031")</f>
        <v> 32044150449122_031</v>
      </c>
      <c r="U489" s="94" t="str">
        <f>IFERROR(__xludf.DUMMYFUNCTION("""COMPUTED_VALUE""")," 32044150449122_032")</f>
        <v> 32044150449122_032</v>
      </c>
      <c r="V489" s="94" t="str">
        <f>IFERROR(__xludf.DUMMYFUNCTION("""COMPUTED_VALUE""")," 32044150449122_033")</f>
        <v> 32044150449122_033</v>
      </c>
      <c r="W489" s="94" t="str">
        <f>IFERROR(__xludf.DUMMYFUNCTION("""COMPUTED_VALUE""")," 32044150449122_034")</f>
        <v> 32044150449122_034</v>
      </c>
      <c r="X489" s="94" t="str">
        <f>IFERROR(__xludf.DUMMYFUNCTION("""COMPUTED_VALUE""")," 32044150449122_035")</f>
        <v> 32044150449122_035</v>
      </c>
      <c r="Y489" s="94" t="str">
        <f>IFERROR(__xludf.DUMMYFUNCTION("""COMPUTED_VALUE""")," 32044150449122_036")</f>
        <v> 32044150449122_036</v>
      </c>
      <c r="Z489" s="94" t="str">
        <f>IFERROR(__xludf.DUMMYFUNCTION("""COMPUTED_VALUE""")," 32044150449122_037")</f>
        <v> 32044150449122_037</v>
      </c>
      <c r="AA489" s="94" t="str">
        <f>IFERROR(__xludf.DUMMYFUNCTION("""COMPUTED_VALUE""")," 32044150449122_038")</f>
        <v> 32044150449122_038</v>
      </c>
      <c r="AB489" s="94" t="str">
        <f>IFERROR(__xludf.DUMMYFUNCTION("""COMPUTED_VALUE""")," 32044150449122_039")</f>
        <v> 32044150449122_039</v>
      </c>
      <c r="AC489" s="94" t="str">
        <f>IFERROR(__xludf.DUMMYFUNCTION("""COMPUTED_VALUE""")," 32044150449122_040")</f>
        <v> 32044150449122_040</v>
      </c>
      <c r="AD489" s="94" t="str">
        <f>IFERROR(__xludf.DUMMYFUNCTION("""COMPUTED_VALUE""")," 32044150449122_041")</f>
        <v> 32044150449122_041</v>
      </c>
      <c r="AE489" s="94" t="str">
        <f>IFERROR(__xludf.DUMMYFUNCTION("""COMPUTED_VALUE""")," 32044150449122_042")</f>
        <v> 32044150449122_042</v>
      </c>
      <c r="AF489" s="94" t="str">
        <f>IFERROR(__xludf.DUMMYFUNCTION("""COMPUTED_VALUE""")," 32044150449122_043")</f>
        <v> 32044150449122_043</v>
      </c>
      <c r="AG489" s="94"/>
    </row>
    <row r="490">
      <c r="A490" s="96" t="s">
        <v>3636</v>
      </c>
      <c r="B490" s="95" t="str">
        <f>IFERROR(__xludf.DUMMYFUNCTION("""COMPUTED_VALUE"""),"32044150449130_001")</f>
        <v>32044150449130_001</v>
      </c>
      <c r="C490" s="94" t="str">
        <f>IFERROR(__xludf.DUMMYFUNCTION("""COMPUTED_VALUE""")," 32044150449130_002")</f>
        <v> 32044150449130_002</v>
      </c>
      <c r="D490" s="94" t="str">
        <f>IFERROR(__xludf.DUMMYFUNCTION("""COMPUTED_VALUE""")," 32044150449130_003")</f>
        <v> 32044150449130_003</v>
      </c>
      <c r="E490" s="94" t="str">
        <f>IFERROR(__xludf.DUMMYFUNCTION("""COMPUTED_VALUE"""),"32044150449130_004")</f>
        <v>32044150449130_004</v>
      </c>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c r="AD490" s="94"/>
      <c r="AE490" s="94"/>
      <c r="AF490" s="94"/>
      <c r="AG490" s="94"/>
    </row>
    <row r="491">
      <c r="A491" s="96" t="s">
        <v>3644</v>
      </c>
      <c r="B491" s="95" t="str">
        <f>IFERROR(__xludf.DUMMYFUNCTION("""COMPUTED_VALUE"""),"32044150449130_007")</f>
        <v>32044150449130_007</v>
      </c>
      <c r="C491" s="94" t="str">
        <f>IFERROR(__xludf.DUMMYFUNCTION("""COMPUTED_VALUE""")," 32044150449130_008")</f>
        <v> 32044150449130_008</v>
      </c>
      <c r="D491" s="94" t="str">
        <f>IFERROR(__xludf.DUMMYFUNCTION("""COMPUTED_VALUE""")," 32044150449130_009")</f>
        <v> 32044150449130_009</v>
      </c>
      <c r="E491" s="94" t="str">
        <f>IFERROR(__xludf.DUMMYFUNCTION("""COMPUTED_VALUE""")," 32044150449130_0010")</f>
        <v> 32044150449130_0010</v>
      </c>
      <c r="F491" s="94" t="str">
        <f>IFERROR(__xludf.DUMMYFUNCTION("""COMPUTED_VALUE""")," 32044150449130_011")</f>
        <v> 32044150449130_011</v>
      </c>
      <c r="G491" s="94" t="str">
        <f>IFERROR(__xludf.DUMMYFUNCTION("""COMPUTED_VALUE""")," 32044150449130_012")</f>
        <v> 32044150449130_012</v>
      </c>
      <c r="H491" s="94" t="str">
        <f>IFERROR(__xludf.DUMMYFUNCTION("""COMPUTED_VALUE""")," 32044150449130_013")</f>
        <v> 32044150449130_013</v>
      </c>
      <c r="I491" s="94" t="str">
        <f>IFERROR(__xludf.DUMMYFUNCTION("""COMPUTED_VALUE""")," 32044150449130_014")</f>
        <v> 32044150449130_014</v>
      </c>
      <c r="J491" s="94" t="str">
        <f>IFERROR(__xludf.DUMMYFUNCTION("""COMPUTED_VALUE""")," 32044150449130_015")</f>
        <v> 32044150449130_015</v>
      </c>
      <c r="K491" s="94" t="str">
        <f>IFERROR(__xludf.DUMMYFUNCTION("""COMPUTED_VALUE""")," 32044150449130_016")</f>
        <v> 32044150449130_016</v>
      </c>
      <c r="L491" s="94" t="str">
        <f>IFERROR(__xludf.DUMMYFUNCTION("""COMPUTED_VALUE""")," 32044150449130_017")</f>
        <v> 32044150449130_017</v>
      </c>
      <c r="M491" s="94" t="str">
        <f>IFERROR(__xludf.DUMMYFUNCTION("""COMPUTED_VALUE""")," 32044150449130_018")</f>
        <v> 32044150449130_018</v>
      </c>
      <c r="N491" s="94" t="str">
        <f>IFERROR(__xludf.DUMMYFUNCTION("""COMPUTED_VALUE""")," 32044150449130_019")</f>
        <v> 32044150449130_019</v>
      </c>
      <c r="O491" s="94" t="str">
        <f>IFERROR(__xludf.DUMMYFUNCTION("""COMPUTED_VALUE""")," 32044150449130_020")</f>
        <v> 32044150449130_020</v>
      </c>
      <c r="P491" s="94" t="str">
        <f>IFERROR(__xludf.DUMMYFUNCTION("""COMPUTED_VALUE""")," 32044150449130_021")</f>
        <v> 32044150449130_021</v>
      </c>
      <c r="Q491" s="94" t="str">
        <f>IFERROR(__xludf.DUMMYFUNCTION("""COMPUTED_VALUE""")," 32044150449130_022")</f>
        <v> 32044150449130_022</v>
      </c>
      <c r="R491" s="94" t="str">
        <f>IFERROR(__xludf.DUMMYFUNCTION("""COMPUTED_VALUE""")," 32044150449130_023")</f>
        <v> 32044150449130_023</v>
      </c>
      <c r="S491" s="94" t="str">
        <f>IFERROR(__xludf.DUMMYFUNCTION("""COMPUTED_VALUE""")," 32044150449130_024")</f>
        <v> 32044150449130_024</v>
      </c>
      <c r="T491" s="94" t="str">
        <f>IFERROR(__xludf.DUMMYFUNCTION("""COMPUTED_VALUE""")," 32044150449130_025")</f>
        <v> 32044150449130_025</v>
      </c>
      <c r="U491" s="94" t="str">
        <f>IFERROR(__xludf.DUMMYFUNCTION("""COMPUTED_VALUE""")," 32044150449130_026")</f>
        <v> 32044150449130_026</v>
      </c>
      <c r="V491" s="94" t="str">
        <f>IFERROR(__xludf.DUMMYFUNCTION("""COMPUTED_VALUE""")," 32044150449130_027")</f>
        <v> 32044150449130_027</v>
      </c>
      <c r="W491" s="94" t="str">
        <f>IFERROR(__xludf.DUMMYFUNCTION("""COMPUTED_VALUE""")," 32044150449130_028")</f>
        <v> 32044150449130_028</v>
      </c>
      <c r="X491" s="94" t="str">
        <f>IFERROR(__xludf.DUMMYFUNCTION("""COMPUTED_VALUE""")," 32044150449130_029")</f>
        <v> 32044150449130_029</v>
      </c>
      <c r="Y491" s="94" t="str">
        <f>IFERROR(__xludf.DUMMYFUNCTION("""COMPUTED_VALUE""")," 32044150449130_030")</f>
        <v> 32044150449130_030</v>
      </c>
      <c r="Z491" s="94" t="str">
        <f>IFERROR(__xludf.DUMMYFUNCTION("""COMPUTED_VALUE""")," 32044150449130_031")</f>
        <v> 32044150449130_031</v>
      </c>
      <c r="AA491" s="94" t="str">
        <f>IFERROR(__xludf.DUMMYFUNCTION("""COMPUTED_VALUE""")," 32044150449130_032")</f>
        <v> 32044150449130_032</v>
      </c>
      <c r="AB491" s="94" t="str">
        <f>IFERROR(__xludf.DUMMYFUNCTION("""COMPUTED_VALUE""")," 32044150449130_033")</f>
        <v> 32044150449130_033</v>
      </c>
      <c r="AC491" s="94" t="str">
        <f>IFERROR(__xludf.DUMMYFUNCTION("""COMPUTED_VALUE""")," 32044150449130_034")</f>
        <v> 32044150449130_034</v>
      </c>
      <c r="AD491" s="94" t="str">
        <f>IFERROR(__xludf.DUMMYFUNCTION("""COMPUTED_VALUE""")," 32044150449130_035")</f>
        <v> 32044150449130_035</v>
      </c>
      <c r="AE491" s="94" t="str">
        <f>IFERROR(__xludf.DUMMYFUNCTION("""COMPUTED_VALUE""")," 32044150449130_036")</f>
        <v> 32044150449130_036</v>
      </c>
      <c r="AF491" s="94"/>
      <c r="AG491" s="94"/>
    </row>
    <row r="492">
      <c r="A492" s="96" t="s">
        <v>3648</v>
      </c>
      <c r="B492" s="95" t="str">
        <f>IFERROR(__xludf.DUMMYFUNCTION("""COMPUTED_VALUE"""),"32044150449130_005")</f>
        <v>32044150449130_005</v>
      </c>
      <c r="C492" s="94" t="str">
        <f>IFERROR(__xludf.DUMMYFUNCTION("""COMPUTED_VALUE""")," 32044150449130_006")</f>
        <v> 32044150449130_006</v>
      </c>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c r="AD492" s="94"/>
      <c r="AE492" s="94"/>
      <c r="AF492" s="94"/>
      <c r="AG492" s="94"/>
    </row>
    <row r="493">
      <c r="A493" s="96" t="s">
        <v>3654</v>
      </c>
      <c r="B493" s="95" t="str">
        <f>IFERROR(__xludf.DUMMYFUNCTION("""COMPUTED_VALUE"""),"32044150449130_037")</f>
        <v>32044150449130_037</v>
      </c>
      <c r="C493" s="94" t="str">
        <f>IFERROR(__xludf.DUMMYFUNCTION("""COMPUTED_VALUE""")," 32044150449130_038")</f>
        <v> 32044150449130_038</v>
      </c>
      <c r="D493" s="94" t="str">
        <f>IFERROR(__xludf.DUMMYFUNCTION("""COMPUTED_VALUE""")," 32044150449130_039")</f>
        <v> 32044150449130_039</v>
      </c>
      <c r="E493" s="94" t="str">
        <f>IFERROR(__xludf.DUMMYFUNCTION("""COMPUTED_VALUE""")," 32044150449130_040")</f>
        <v> 32044150449130_040</v>
      </c>
      <c r="F493" s="94" t="str">
        <f>IFERROR(__xludf.DUMMYFUNCTION("""COMPUTED_VALUE""")," 32044150449130_041")</f>
        <v> 32044150449130_041</v>
      </c>
      <c r="G493" s="94" t="str">
        <f>IFERROR(__xludf.DUMMYFUNCTION("""COMPUTED_VALUE""")," 32044150449130_042")</f>
        <v> 32044150449130_042</v>
      </c>
      <c r="H493" s="94" t="str">
        <f>IFERROR(__xludf.DUMMYFUNCTION("""COMPUTED_VALUE""")," 32044150449130_043")</f>
        <v> 32044150449130_043</v>
      </c>
      <c r="I493" s="94" t="str">
        <f>IFERROR(__xludf.DUMMYFUNCTION("""COMPUTED_VALUE""")," 32044150449130_044")</f>
        <v> 32044150449130_044</v>
      </c>
      <c r="J493" s="94" t="str">
        <f>IFERROR(__xludf.DUMMYFUNCTION("""COMPUTED_VALUE""")," 32044150449130_045")</f>
        <v> 32044150449130_045</v>
      </c>
      <c r="K493" s="94" t="str">
        <f>IFERROR(__xludf.DUMMYFUNCTION("""COMPUTED_VALUE""")," 32044150449130_046")</f>
        <v> 32044150449130_046</v>
      </c>
      <c r="L493" s="94" t="str">
        <f>IFERROR(__xludf.DUMMYFUNCTION("""COMPUTED_VALUE""")," 32044150449130_047")</f>
        <v> 32044150449130_047</v>
      </c>
      <c r="M493" s="94" t="str">
        <f>IFERROR(__xludf.DUMMYFUNCTION("""COMPUTED_VALUE""")," 32044150449130_048")</f>
        <v> 32044150449130_048</v>
      </c>
      <c r="N493" s="94" t="str">
        <f>IFERROR(__xludf.DUMMYFUNCTION("""COMPUTED_VALUE""")," 32044150449130_049")</f>
        <v> 32044150449130_049</v>
      </c>
      <c r="O493" s="94"/>
      <c r="P493" s="94"/>
      <c r="Q493" s="94"/>
      <c r="R493" s="94"/>
      <c r="S493" s="94"/>
      <c r="T493" s="94"/>
      <c r="U493" s="94"/>
      <c r="V493" s="94"/>
      <c r="W493" s="94"/>
      <c r="X493" s="94"/>
      <c r="Y493" s="94"/>
      <c r="Z493" s="94"/>
      <c r="AA493" s="94"/>
      <c r="AB493" s="94"/>
      <c r="AC493" s="94"/>
      <c r="AD493" s="94"/>
      <c r="AE493" s="94"/>
      <c r="AF493" s="94"/>
      <c r="AG493" s="94"/>
    </row>
    <row r="494">
      <c r="A494" s="96" t="s">
        <v>3659</v>
      </c>
      <c r="B494" s="95" t="str">
        <f>IFERROR(__xludf.DUMMYFUNCTION("""COMPUTED_VALUE"""),"32044150449148_001")</f>
        <v>32044150449148_001</v>
      </c>
      <c r="C494" s="94" t="str">
        <f>IFERROR(__xludf.DUMMYFUNCTION("""COMPUTED_VALUE""")," 32044150449148_002")</f>
        <v> 32044150449148_002</v>
      </c>
      <c r="D494" s="94" t="str">
        <f>IFERROR(__xludf.DUMMYFUNCTION("""COMPUTED_VALUE""")," 32044150449148_003")</f>
        <v> 32044150449148_003</v>
      </c>
      <c r="E494" s="94" t="str">
        <f>IFERROR(__xludf.DUMMYFUNCTION("""COMPUTED_VALUE""")," 32044150449148_004")</f>
        <v> 32044150449148_004</v>
      </c>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c r="AD494" s="94"/>
      <c r="AE494" s="94"/>
      <c r="AF494" s="94"/>
      <c r="AG494" s="94"/>
    </row>
    <row r="495">
      <c r="A495" s="96" t="s">
        <v>3664</v>
      </c>
      <c r="B495" s="95" t="str">
        <f>IFERROR(__xludf.DUMMYFUNCTION("""COMPUTED_VALUE"""),"32044150449148_005")</f>
        <v>32044150449148_005</v>
      </c>
      <c r="C495" s="94" t="str">
        <f>IFERROR(__xludf.DUMMYFUNCTION("""COMPUTED_VALUE""")," 32044150449148_006")</f>
        <v> 32044150449148_006</v>
      </c>
      <c r="D495" s="94" t="str">
        <f>IFERROR(__xludf.DUMMYFUNCTION("""COMPUTED_VALUE""")," 32044150449148_007")</f>
        <v> 32044150449148_007</v>
      </c>
      <c r="E495" s="94" t="str">
        <f>IFERROR(__xludf.DUMMYFUNCTION("""COMPUTED_VALUE""")," 32044150449148_008")</f>
        <v> 32044150449148_008</v>
      </c>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c r="AD495" s="94"/>
      <c r="AE495" s="94"/>
      <c r="AF495" s="94"/>
      <c r="AG495" s="94"/>
    </row>
    <row r="496">
      <c r="A496" s="96" t="s">
        <v>3669</v>
      </c>
      <c r="B496" s="95" t="str">
        <f>IFERROR(__xludf.DUMMYFUNCTION("""COMPUTED_VALUE"""),"32044150449148_009")</f>
        <v>32044150449148_009</v>
      </c>
      <c r="C496" s="94" t="str">
        <f>IFERROR(__xludf.DUMMYFUNCTION("""COMPUTED_VALUE""")," 32044150449148_010")</f>
        <v> 32044150449148_010</v>
      </c>
      <c r="D496" s="94" t="str">
        <f>IFERROR(__xludf.DUMMYFUNCTION("""COMPUTED_VALUE""")," 32044150449148_011")</f>
        <v> 32044150449148_011</v>
      </c>
      <c r="E496" s="94" t="str">
        <f>IFERROR(__xludf.DUMMYFUNCTION("""COMPUTED_VALUE""")," 32044150449148_012")</f>
        <v> 32044150449148_012</v>
      </c>
      <c r="F496" s="94" t="str">
        <f>IFERROR(__xludf.DUMMYFUNCTION("""COMPUTED_VALUE""")," 32044150449148_013")</f>
        <v> 32044150449148_013</v>
      </c>
      <c r="G496" s="94" t="str">
        <f>IFERROR(__xludf.DUMMYFUNCTION("""COMPUTED_VALUE""")," 32044150449148_014")</f>
        <v> 32044150449148_014</v>
      </c>
      <c r="H496" s="94" t="str">
        <f>IFERROR(__xludf.DUMMYFUNCTION("""COMPUTED_VALUE""")," 32044150449148_015")</f>
        <v> 32044150449148_015</v>
      </c>
      <c r="I496" s="94" t="str">
        <f>IFERROR(__xludf.DUMMYFUNCTION("""COMPUTED_VALUE""")," 32044150449148_016")</f>
        <v> 32044150449148_016</v>
      </c>
      <c r="J496" s="94"/>
      <c r="K496" s="94"/>
      <c r="L496" s="94"/>
      <c r="M496" s="94"/>
      <c r="N496" s="94"/>
      <c r="O496" s="94"/>
      <c r="P496" s="94"/>
      <c r="Q496" s="94"/>
      <c r="R496" s="94"/>
      <c r="S496" s="94"/>
      <c r="T496" s="94"/>
      <c r="U496" s="94"/>
      <c r="V496" s="94"/>
      <c r="W496" s="94"/>
      <c r="X496" s="94"/>
      <c r="Y496" s="94"/>
      <c r="Z496" s="94"/>
      <c r="AA496" s="94"/>
      <c r="AB496" s="94"/>
      <c r="AC496" s="94"/>
      <c r="AD496" s="94"/>
      <c r="AE496" s="94"/>
      <c r="AF496" s="94"/>
      <c r="AG496" s="94"/>
    </row>
    <row r="497">
      <c r="A497" s="96" t="s">
        <v>3677</v>
      </c>
      <c r="B497" s="95" t="str">
        <f>IFERROR(__xludf.DUMMYFUNCTION("""COMPUTED_VALUE"""),"32044150449148_017")</f>
        <v>32044150449148_017</v>
      </c>
      <c r="C497" s="94" t="str">
        <f>IFERROR(__xludf.DUMMYFUNCTION("""COMPUTED_VALUE""")," 32044150449148_018")</f>
        <v> 32044150449148_018</v>
      </c>
      <c r="D497" s="94" t="str">
        <f>IFERROR(__xludf.DUMMYFUNCTION("""COMPUTED_VALUE""")," 32044150449148_019")</f>
        <v> 32044150449148_019</v>
      </c>
      <c r="E497" s="94" t="str">
        <f>IFERROR(__xludf.DUMMYFUNCTION("""COMPUTED_VALUE""")," 32044150449148_020")</f>
        <v> 32044150449148_020</v>
      </c>
      <c r="F497" s="94" t="str">
        <f>IFERROR(__xludf.DUMMYFUNCTION("""COMPUTED_VALUE""")," 32044150449148_021")</f>
        <v> 32044150449148_021</v>
      </c>
      <c r="G497" s="94" t="str">
        <f>IFERROR(__xludf.DUMMYFUNCTION("""COMPUTED_VALUE""")," 32044150449148_022")</f>
        <v> 32044150449148_022</v>
      </c>
      <c r="H497" s="94" t="str">
        <f>IFERROR(__xludf.DUMMYFUNCTION("""COMPUTED_VALUE""")," 32044150449148_023")</f>
        <v> 32044150449148_023</v>
      </c>
      <c r="I497" s="94" t="str">
        <f>IFERROR(__xludf.DUMMYFUNCTION("""COMPUTED_VALUE""")," 32044150449148_024")</f>
        <v> 32044150449148_024</v>
      </c>
      <c r="J497" s="94" t="str">
        <f>IFERROR(__xludf.DUMMYFUNCTION("""COMPUTED_VALUE""")," 32044150449148_025")</f>
        <v> 32044150449148_025</v>
      </c>
      <c r="K497" s="94" t="str">
        <f>IFERROR(__xludf.DUMMYFUNCTION("""COMPUTED_VALUE""")," 32044150449148_026")</f>
        <v> 32044150449148_026</v>
      </c>
      <c r="L497" s="94" t="str">
        <f>IFERROR(__xludf.DUMMYFUNCTION("""COMPUTED_VALUE""")," 32044150449148_027")</f>
        <v> 32044150449148_027</v>
      </c>
      <c r="M497" s="94" t="str">
        <f>IFERROR(__xludf.DUMMYFUNCTION("""COMPUTED_VALUE""")," 32044150449148_028")</f>
        <v> 32044150449148_028</v>
      </c>
      <c r="N497" s="94" t="str">
        <f>IFERROR(__xludf.DUMMYFUNCTION("""COMPUTED_VALUE""")," 32044150449148_029")</f>
        <v> 32044150449148_029</v>
      </c>
      <c r="O497" s="94" t="str">
        <f>IFERROR(__xludf.DUMMYFUNCTION("""COMPUTED_VALUE""")," 32044150449148_030")</f>
        <v> 32044150449148_030</v>
      </c>
      <c r="P497" s="94"/>
      <c r="Q497" s="94"/>
      <c r="R497" s="94"/>
      <c r="S497" s="94"/>
      <c r="T497" s="94"/>
      <c r="U497" s="94"/>
      <c r="V497" s="94"/>
      <c r="W497" s="94"/>
      <c r="X497" s="94"/>
      <c r="Y497" s="94"/>
      <c r="Z497" s="94"/>
      <c r="AA497" s="94"/>
      <c r="AB497" s="94"/>
      <c r="AC497" s="94"/>
      <c r="AD497" s="94"/>
      <c r="AE497" s="94"/>
      <c r="AF497" s="94"/>
      <c r="AG497" s="94"/>
    </row>
    <row r="498">
      <c r="A498" s="96" t="s">
        <v>3682</v>
      </c>
      <c r="B498" s="95" t="str">
        <f>IFERROR(__xludf.DUMMYFUNCTION("""COMPUTED_VALUE"""),"32044150449148_031")</f>
        <v>32044150449148_031</v>
      </c>
      <c r="C498" s="94" t="str">
        <f>IFERROR(__xludf.DUMMYFUNCTION("""COMPUTED_VALUE""")," 32044150449148_032")</f>
        <v> 32044150449148_032</v>
      </c>
      <c r="D498" s="94" t="str">
        <f>IFERROR(__xludf.DUMMYFUNCTION("""COMPUTED_VALUE""")," 32044150449148_033")</f>
        <v> 32044150449148_033</v>
      </c>
      <c r="E498" s="94" t="str">
        <f>IFERROR(__xludf.DUMMYFUNCTION("""COMPUTED_VALUE""")," 32044150449148_034")</f>
        <v> 32044150449148_034</v>
      </c>
      <c r="F498" s="94" t="str">
        <f>IFERROR(__xludf.DUMMYFUNCTION("""COMPUTED_VALUE""")," 32044150449148_035")</f>
        <v> 32044150449148_035</v>
      </c>
      <c r="G498" s="94" t="str">
        <f>IFERROR(__xludf.DUMMYFUNCTION("""COMPUTED_VALUE""")," 32044150449148_036")</f>
        <v> 32044150449148_036</v>
      </c>
      <c r="H498" s="94" t="str">
        <f>IFERROR(__xludf.DUMMYFUNCTION("""COMPUTED_VALUE""")," 32044150449148_037")</f>
        <v> 32044150449148_037</v>
      </c>
      <c r="I498" s="94" t="str">
        <f>IFERROR(__xludf.DUMMYFUNCTION("""COMPUTED_VALUE""")," 32044150449148_038")</f>
        <v> 32044150449148_038</v>
      </c>
      <c r="J498" s="94" t="str">
        <f>IFERROR(__xludf.DUMMYFUNCTION("""COMPUTED_VALUE""")," 32044150449148_039")</f>
        <v> 32044150449148_039</v>
      </c>
      <c r="K498" s="94" t="str">
        <f>IFERROR(__xludf.DUMMYFUNCTION("""COMPUTED_VALUE""")," 32044150449148_040")</f>
        <v> 32044150449148_040</v>
      </c>
      <c r="L498" s="94" t="str">
        <f>IFERROR(__xludf.DUMMYFUNCTION("""COMPUTED_VALUE""")," 32044150449148_041")</f>
        <v> 32044150449148_041</v>
      </c>
      <c r="M498" s="94" t="str">
        <f>IFERROR(__xludf.DUMMYFUNCTION("""COMPUTED_VALUE""")," 32044150449148_042")</f>
        <v> 32044150449148_042</v>
      </c>
      <c r="N498" s="94" t="str">
        <f>IFERROR(__xludf.DUMMYFUNCTION("""COMPUTED_VALUE""")," 32044150449148_043")</f>
        <v> 32044150449148_043</v>
      </c>
      <c r="O498" s="94" t="str">
        <f>IFERROR(__xludf.DUMMYFUNCTION("""COMPUTED_VALUE""")," 32044150449148_044")</f>
        <v> 32044150449148_044</v>
      </c>
      <c r="P498" s="94" t="str">
        <f>IFERROR(__xludf.DUMMYFUNCTION("""COMPUTED_VALUE""")," 32044150449148_045")</f>
        <v> 32044150449148_045</v>
      </c>
      <c r="Q498" s="94" t="str">
        <f>IFERROR(__xludf.DUMMYFUNCTION("""COMPUTED_VALUE""")," 32044150449148_046")</f>
        <v> 32044150449148_046</v>
      </c>
      <c r="R498" s="94" t="str">
        <f>IFERROR(__xludf.DUMMYFUNCTION("""COMPUTED_VALUE""")," 32044150449148_047")</f>
        <v> 32044150449148_047</v>
      </c>
      <c r="S498" s="94"/>
      <c r="T498" s="94"/>
      <c r="U498" s="94"/>
      <c r="V498" s="94"/>
      <c r="W498" s="94"/>
      <c r="X498" s="94"/>
      <c r="Y498" s="94"/>
      <c r="Z498" s="94"/>
      <c r="AA498" s="94"/>
      <c r="AB498" s="94"/>
      <c r="AC498" s="94"/>
      <c r="AD498" s="94"/>
      <c r="AE498" s="94"/>
      <c r="AF498" s="94"/>
      <c r="AG498" s="94"/>
    </row>
    <row r="499">
      <c r="A499" s="96" t="s">
        <v>3687</v>
      </c>
      <c r="B499" s="95" t="str">
        <f>IFERROR(__xludf.DUMMYFUNCTION("""COMPUTED_VALUE"""),"32044150449148_048")</f>
        <v>32044150449148_048</v>
      </c>
      <c r="C499" s="94" t="str">
        <f>IFERROR(__xludf.DUMMYFUNCTION("""COMPUTED_VALUE""")," 32044150449148_049")</f>
        <v> 32044150449148_049</v>
      </c>
      <c r="D499" s="94" t="str">
        <f>IFERROR(__xludf.DUMMYFUNCTION("""COMPUTED_VALUE""")," 32044150449148_050")</f>
        <v> 32044150449148_050</v>
      </c>
      <c r="E499" s="94" t="str">
        <f>IFERROR(__xludf.DUMMYFUNCTION("""COMPUTED_VALUE""")," 32044150449148_051")</f>
        <v> 32044150449148_051</v>
      </c>
      <c r="F499" s="94" t="str">
        <f>IFERROR(__xludf.DUMMYFUNCTION("""COMPUTED_VALUE""")," 32044150449148_052")</f>
        <v> 32044150449148_052</v>
      </c>
      <c r="G499" s="94" t="str">
        <f>IFERROR(__xludf.DUMMYFUNCTION("""COMPUTED_VALUE""")," 32044150449148_053")</f>
        <v> 32044150449148_053</v>
      </c>
      <c r="H499" s="94" t="str">
        <f>IFERROR(__xludf.DUMMYFUNCTION("""COMPUTED_VALUE""")," 32044150449148_054")</f>
        <v> 32044150449148_054</v>
      </c>
      <c r="I499" s="94" t="str">
        <f>IFERROR(__xludf.DUMMYFUNCTION("""COMPUTED_VALUE""")," 32044150449148_055")</f>
        <v> 32044150449148_055</v>
      </c>
      <c r="J499" s="94" t="str">
        <f>IFERROR(__xludf.DUMMYFUNCTION("""COMPUTED_VALUE""")," 32044150449148_056")</f>
        <v> 32044150449148_056</v>
      </c>
      <c r="K499" s="94" t="str">
        <f>IFERROR(__xludf.DUMMYFUNCTION("""COMPUTED_VALUE""")," 32044150449148_057")</f>
        <v> 32044150449148_057</v>
      </c>
      <c r="L499" s="94" t="str">
        <f>IFERROR(__xludf.DUMMYFUNCTION("""COMPUTED_VALUE""")," 32044150449148_058")</f>
        <v> 32044150449148_058</v>
      </c>
      <c r="M499" s="94" t="str">
        <f>IFERROR(__xludf.DUMMYFUNCTION("""COMPUTED_VALUE""")," 32044150449148_059")</f>
        <v> 32044150449148_059</v>
      </c>
      <c r="N499" s="94" t="str">
        <f>IFERROR(__xludf.DUMMYFUNCTION("""COMPUTED_VALUE""")," 32044150449148_060")</f>
        <v> 32044150449148_060</v>
      </c>
      <c r="O499" s="94" t="str">
        <f>IFERROR(__xludf.DUMMYFUNCTION("""COMPUTED_VALUE""")," 32044150449148_061")</f>
        <v> 32044150449148_061</v>
      </c>
      <c r="P499" s="94" t="str">
        <f>IFERROR(__xludf.DUMMYFUNCTION("""COMPUTED_VALUE""")," 32044150449148_062")</f>
        <v> 32044150449148_062</v>
      </c>
      <c r="Q499" s="94" t="str">
        <f>IFERROR(__xludf.DUMMYFUNCTION("""COMPUTED_VALUE""")," 32044150449148_063")</f>
        <v> 32044150449148_063</v>
      </c>
      <c r="R499" s="94" t="str">
        <f>IFERROR(__xludf.DUMMYFUNCTION("""COMPUTED_VALUE""")," 32044150449148_064")</f>
        <v> 32044150449148_064</v>
      </c>
      <c r="S499" s="94" t="str">
        <f>IFERROR(__xludf.DUMMYFUNCTION("""COMPUTED_VALUE""")," 32044150449148_065")</f>
        <v> 32044150449148_065</v>
      </c>
      <c r="T499" s="94"/>
      <c r="U499" s="94"/>
      <c r="V499" s="94"/>
      <c r="W499" s="94"/>
      <c r="X499" s="94"/>
      <c r="Y499" s="94"/>
      <c r="Z499" s="94"/>
      <c r="AA499" s="94"/>
      <c r="AB499" s="94"/>
      <c r="AC499" s="94"/>
      <c r="AD499" s="94"/>
      <c r="AE499" s="94"/>
      <c r="AF499" s="94"/>
      <c r="AG499" s="94"/>
    </row>
    <row r="500">
      <c r="A500" s="96" t="s">
        <v>3694</v>
      </c>
      <c r="B500" s="95" t="str">
        <f>IFERROR(__xludf.DUMMYFUNCTION("""COMPUTED_VALUE"""),"32044150449148_066")</f>
        <v>32044150449148_066</v>
      </c>
      <c r="C500" s="94" t="str">
        <f>IFERROR(__xludf.DUMMYFUNCTION("""COMPUTED_VALUE""")," 32044150449148_067")</f>
        <v> 32044150449148_067</v>
      </c>
      <c r="D500" s="94" t="str">
        <f>IFERROR(__xludf.DUMMYFUNCTION("""COMPUTED_VALUE""")," 32044150449148_068")</f>
        <v> 32044150449148_068</v>
      </c>
      <c r="E500" s="94" t="str">
        <f>IFERROR(__xludf.DUMMYFUNCTION("""COMPUTED_VALUE""")," 32044150449148_069")</f>
        <v> 32044150449148_069</v>
      </c>
      <c r="F500" s="94" t="str">
        <f>IFERROR(__xludf.DUMMYFUNCTION("""COMPUTED_VALUE""")," 32044150449148_070")</f>
        <v> 32044150449148_070</v>
      </c>
      <c r="G500" s="94" t="str">
        <f>IFERROR(__xludf.DUMMYFUNCTION("""COMPUTED_VALUE""")," 32044150449148_071")</f>
        <v> 32044150449148_071</v>
      </c>
      <c r="H500" s="94"/>
      <c r="I500" s="94"/>
      <c r="J500" s="94"/>
      <c r="K500" s="94"/>
      <c r="L500" s="94"/>
      <c r="M500" s="94"/>
      <c r="N500" s="94"/>
      <c r="O500" s="94"/>
      <c r="P500" s="94"/>
      <c r="Q500" s="94"/>
      <c r="R500" s="94"/>
      <c r="S500" s="94"/>
      <c r="T500" s="94"/>
      <c r="U500" s="94"/>
      <c r="V500" s="94"/>
      <c r="W500" s="94"/>
      <c r="X500" s="94"/>
      <c r="Y500" s="94"/>
      <c r="Z500" s="94"/>
      <c r="AA500" s="94"/>
      <c r="AB500" s="94"/>
      <c r="AC500" s="94"/>
      <c r="AD500" s="94"/>
      <c r="AE500" s="94"/>
      <c r="AF500" s="94"/>
      <c r="AG500" s="94"/>
    </row>
    <row r="501">
      <c r="A501" s="96" t="s">
        <v>3703</v>
      </c>
      <c r="B501" s="95" t="str">
        <f>IFERROR(__xludf.DUMMYFUNCTION("""COMPUTED_VALUE"""),"32044150449155_019")</f>
        <v>32044150449155_019</v>
      </c>
      <c r="C501" s="94" t="str">
        <f>IFERROR(__xludf.DUMMYFUNCTION("""COMPUTED_VALUE""")," 32044150449155_020")</f>
        <v> 32044150449155_020</v>
      </c>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c r="AD501" s="94"/>
      <c r="AE501" s="94"/>
      <c r="AF501" s="94"/>
      <c r="AG501" s="94"/>
    </row>
    <row r="502">
      <c r="A502" s="96" t="s">
        <v>3710</v>
      </c>
      <c r="B502" s="95" t="str">
        <f>IFERROR(__xludf.DUMMYFUNCTION("""COMPUTED_VALUE"""),"32044150449155_001")</f>
        <v>32044150449155_001</v>
      </c>
      <c r="C502" s="94" t="str">
        <f>IFERROR(__xludf.DUMMYFUNCTION("""COMPUTED_VALUE""")," 32044150449155_002")</f>
        <v> 32044150449155_002</v>
      </c>
      <c r="D502" s="94" t="str">
        <f>IFERROR(__xludf.DUMMYFUNCTION("""COMPUTED_VALUE""")," 32044150449155_003")</f>
        <v> 32044150449155_003</v>
      </c>
      <c r="E502" s="94" t="str">
        <f>IFERROR(__xludf.DUMMYFUNCTION("""COMPUTED_VALUE""")," 32044150449155_004")</f>
        <v> 32044150449155_004</v>
      </c>
      <c r="F502" s="94" t="str">
        <f>IFERROR(__xludf.DUMMYFUNCTION("""COMPUTED_VALUE""")," 32044150449155_005")</f>
        <v> 32044150449155_005</v>
      </c>
      <c r="G502" s="94" t="str">
        <f>IFERROR(__xludf.DUMMYFUNCTION("""COMPUTED_VALUE""")," 32044150449155_006")</f>
        <v> 32044150449155_006</v>
      </c>
      <c r="H502" s="94" t="str">
        <f>IFERROR(__xludf.DUMMYFUNCTION("""COMPUTED_VALUE""")," 32044150449155_007")</f>
        <v> 32044150449155_007</v>
      </c>
      <c r="I502" s="94" t="str">
        <f>IFERROR(__xludf.DUMMYFUNCTION("""COMPUTED_VALUE""")," 32044150449155_008")</f>
        <v> 32044150449155_008</v>
      </c>
      <c r="J502" s="94" t="str">
        <f>IFERROR(__xludf.DUMMYFUNCTION("""COMPUTED_VALUE""")," 32044150449155_009")</f>
        <v> 32044150449155_009</v>
      </c>
      <c r="K502" s="94" t="str">
        <f>IFERROR(__xludf.DUMMYFUNCTION("""COMPUTED_VALUE""")," 32044150449155_010")</f>
        <v> 32044150449155_010</v>
      </c>
      <c r="L502" s="94" t="str">
        <f>IFERROR(__xludf.DUMMYFUNCTION("""COMPUTED_VALUE""")," 32044150449155_011")</f>
        <v> 32044150449155_011</v>
      </c>
      <c r="M502" s="94" t="str">
        <f>IFERROR(__xludf.DUMMYFUNCTION("""COMPUTED_VALUE""")," 32044150449155_012")</f>
        <v> 32044150449155_012</v>
      </c>
      <c r="N502" s="94" t="str">
        <f>IFERROR(__xludf.DUMMYFUNCTION("""COMPUTED_VALUE""")," 32044150449155_013")</f>
        <v> 32044150449155_013</v>
      </c>
      <c r="O502" s="94" t="str">
        <f>IFERROR(__xludf.DUMMYFUNCTION("""COMPUTED_VALUE""")," 32044150449155_014")</f>
        <v> 32044150449155_014</v>
      </c>
      <c r="P502" s="94" t="str">
        <f>IFERROR(__xludf.DUMMYFUNCTION("""COMPUTED_VALUE""")," 32044150449155_015")</f>
        <v> 32044150449155_015</v>
      </c>
      <c r="Q502" s="94" t="str">
        <f>IFERROR(__xludf.DUMMYFUNCTION("""COMPUTED_VALUE""")," 32044150449155_016")</f>
        <v> 32044150449155_016</v>
      </c>
      <c r="R502" s="94" t="str">
        <f>IFERROR(__xludf.DUMMYFUNCTION("""COMPUTED_VALUE""")," 32044150449155_017")</f>
        <v> 32044150449155_017</v>
      </c>
      <c r="S502" s="94" t="str">
        <f>IFERROR(__xludf.DUMMYFUNCTION("""COMPUTED_VALUE""")," 32044150449155_018")</f>
        <v> 32044150449155_018</v>
      </c>
      <c r="T502" s="94"/>
      <c r="U502" s="94"/>
      <c r="V502" s="94"/>
      <c r="W502" s="94"/>
      <c r="X502" s="94"/>
      <c r="Y502" s="94"/>
      <c r="Z502" s="94"/>
      <c r="AA502" s="94"/>
      <c r="AB502" s="94"/>
      <c r="AC502" s="94"/>
      <c r="AD502" s="94"/>
      <c r="AE502" s="94"/>
      <c r="AF502" s="94"/>
      <c r="AG502" s="94"/>
    </row>
    <row r="503">
      <c r="A503" s="96" t="s">
        <v>3716</v>
      </c>
      <c r="B503" s="95" t="str">
        <f>IFERROR(__xludf.DUMMYFUNCTION("""COMPUTED_VALUE"""),"32044150449155_021")</f>
        <v>32044150449155_021</v>
      </c>
      <c r="C503" s="94" t="str">
        <f>IFERROR(__xludf.DUMMYFUNCTION("""COMPUTED_VALUE""")," 32044150449155_022")</f>
        <v> 32044150449155_022</v>
      </c>
      <c r="D503" s="94" t="str">
        <f>IFERROR(__xludf.DUMMYFUNCTION("""COMPUTED_VALUE""")," 32044150449155_023")</f>
        <v> 32044150449155_023</v>
      </c>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c r="AD503" s="94"/>
      <c r="AE503" s="94"/>
      <c r="AF503" s="94"/>
      <c r="AG503" s="94"/>
    </row>
    <row r="504">
      <c r="A504" s="96" t="s">
        <v>3722</v>
      </c>
      <c r="B504" s="95" t="str">
        <f>IFERROR(__xludf.DUMMYFUNCTION("""COMPUTED_VALUE"""),"32044150449163_001")</f>
        <v>32044150449163_001</v>
      </c>
      <c r="C504" s="94" t="str">
        <f>IFERROR(__xludf.DUMMYFUNCTION("""COMPUTED_VALUE""")," 32044150449163_002")</f>
        <v> 32044150449163_002</v>
      </c>
      <c r="D504" s="94" t="str">
        <f>IFERROR(__xludf.DUMMYFUNCTION("""COMPUTED_VALUE""")," 32044150449163_003")</f>
        <v> 32044150449163_003</v>
      </c>
      <c r="E504" s="94" t="str">
        <f>IFERROR(__xludf.DUMMYFUNCTION("""COMPUTED_VALUE""")," 32044150449163_004")</f>
        <v> 32044150449163_004</v>
      </c>
      <c r="F504" s="94" t="str">
        <f>IFERROR(__xludf.DUMMYFUNCTION("""COMPUTED_VALUE""")," 32044150449163_005")</f>
        <v> 32044150449163_005</v>
      </c>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c r="AD504" s="94"/>
      <c r="AE504" s="94"/>
      <c r="AF504" s="94"/>
      <c r="AG504" s="94"/>
    </row>
    <row r="505">
      <c r="A505" s="96" t="s">
        <v>3729</v>
      </c>
      <c r="B505" s="95" t="str">
        <f>IFERROR(__xludf.DUMMYFUNCTION("""COMPUTED_VALUE"""),"32044150449163_006")</f>
        <v>32044150449163_006</v>
      </c>
      <c r="C505" s="94" t="str">
        <f>IFERROR(__xludf.DUMMYFUNCTION("""COMPUTED_VALUE""")," 32044150449163_007")</f>
        <v> 32044150449163_007</v>
      </c>
      <c r="D505" s="94" t="str">
        <f>IFERROR(__xludf.DUMMYFUNCTION("""COMPUTED_VALUE""")," 32044150449163_008")</f>
        <v> 32044150449163_008</v>
      </c>
      <c r="E505" s="94" t="str">
        <f>IFERROR(__xludf.DUMMYFUNCTION("""COMPUTED_VALUE""")," 32044150449163_009")</f>
        <v> 32044150449163_009</v>
      </c>
      <c r="F505" s="94" t="str">
        <f>IFERROR(__xludf.DUMMYFUNCTION("""COMPUTED_VALUE""")," 32044150449163_010")</f>
        <v> 32044150449163_010</v>
      </c>
      <c r="G505" s="94" t="str">
        <f>IFERROR(__xludf.DUMMYFUNCTION("""COMPUTED_VALUE""")," 32044150449163_011")</f>
        <v> 32044150449163_011</v>
      </c>
      <c r="H505" s="94" t="str">
        <f>IFERROR(__xludf.DUMMYFUNCTION("""COMPUTED_VALUE""")," 32044150449163_012")</f>
        <v> 32044150449163_012</v>
      </c>
      <c r="I505" s="94"/>
      <c r="J505" s="94"/>
      <c r="K505" s="94"/>
      <c r="L505" s="94"/>
      <c r="M505" s="94"/>
      <c r="N505" s="94"/>
      <c r="O505" s="94"/>
      <c r="P505" s="94"/>
      <c r="Q505" s="94"/>
      <c r="R505" s="94"/>
      <c r="S505" s="94"/>
      <c r="T505" s="94"/>
      <c r="U505" s="94"/>
      <c r="V505" s="94"/>
      <c r="W505" s="94"/>
      <c r="X505" s="94"/>
      <c r="Y505" s="94"/>
      <c r="Z505" s="94"/>
      <c r="AA505" s="94"/>
      <c r="AB505" s="94"/>
      <c r="AC505" s="94"/>
      <c r="AD505" s="94"/>
      <c r="AE505" s="94"/>
      <c r="AF505" s="94"/>
      <c r="AG505" s="94"/>
    </row>
    <row r="506">
      <c r="A506" s="96" t="s">
        <v>3738</v>
      </c>
      <c r="B506" s="95" t="str">
        <f>IFERROR(__xludf.DUMMYFUNCTION("""COMPUTED_VALUE"""),"32044150449171_001")</f>
        <v>32044150449171_001</v>
      </c>
      <c r="C506" s="94" t="str">
        <f>IFERROR(__xludf.DUMMYFUNCTION("""COMPUTED_VALUE""")," 32044150449171_002")</f>
        <v> 32044150449171_002</v>
      </c>
      <c r="D506" s="94" t="str">
        <f>IFERROR(__xludf.DUMMYFUNCTION("""COMPUTED_VALUE""")," 32044150449171_003")</f>
        <v> 32044150449171_003</v>
      </c>
      <c r="E506" s="94" t="str">
        <f>IFERROR(__xludf.DUMMYFUNCTION("""COMPUTED_VALUE""")," 32044150449171_004")</f>
        <v> 32044150449171_004</v>
      </c>
      <c r="F506" s="94" t="str">
        <f>IFERROR(__xludf.DUMMYFUNCTION("""COMPUTED_VALUE""")," 32044150449171_005")</f>
        <v> 32044150449171_005</v>
      </c>
      <c r="G506" s="94" t="str">
        <f>IFERROR(__xludf.DUMMYFUNCTION("""COMPUTED_VALUE""")," 32044150449171_006")</f>
        <v> 32044150449171_006</v>
      </c>
      <c r="H506" s="94" t="str">
        <f>IFERROR(__xludf.DUMMYFUNCTION("""COMPUTED_VALUE""")," 32044150449171_007")</f>
        <v> 32044150449171_007</v>
      </c>
      <c r="I506" s="94" t="str">
        <f>IFERROR(__xludf.DUMMYFUNCTION("""COMPUTED_VALUE""")," 32044150449171_008")</f>
        <v> 32044150449171_008</v>
      </c>
      <c r="J506" s="94"/>
      <c r="K506" s="94"/>
      <c r="L506" s="94"/>
      <c r="M506" s="94"/>
      <c r="N506" s="94"/>
      <c r="O506" s="94"/>
      <c r="P506" s="94"/>
      <c r="Q506" s="94"/>
      <c r="R506" s="94"/>
      <c r="S506" s="94"/>
      <c r="T506" s="94"/>
      <c r="U506" s="94"/>
      <c r="V506" s="94"/>
      <c r="W506" s="94"/>
      <c r="X506" s="94"/>
      <c r="Y506" s="94"/>
      <c r="Z506" s="94"/>
      <c r="AA506" s="94"/>
      <c r="AB506" s="94"/>
      <c r="AC506" s="94"/>
      <c r="AD506" s="94"/>
      <c r="AE506" s="94"/>
      <c r="AF506" s="94"/>
      <c r="AG506" s="94"/>
    </row>
    <row r="507">
      <c r="A507" s="96" t="s">
        <v>3747</v>
      </c>
      <c r="B507" s="95" t="str">
        <f>IFERROR(__xludf.DUMMYFUNCTION("""COMPUTED_VALUE"""),"32044150449171_009")</f>
        <v>32044150449171_009</v>
      </c>
      <c r="C507" s="94" t="str">
        <f>IFERROR(__xludf.DUMMYFUNCTION("""COMPUTED_VALUE""")," 32044150449171_010")</f>
        <v> 32044150449171_010</v>
      </c>
      <c r="D507" s="94" t="str">
        <f>IFERROR(__xludf.DUMMYFUNCTION("""COMPUTED_VALUE""")," 32044150449171_011")</f>
        <v> 32044150449171_011</v>
      </c>
      <c r="E507" s="94" t="str">
        <f>IFERROR(__xludf.DUMMYFUNCTION("""COMPUTED_VALUE""")," 32044150449171_012")</f>
        <v> 32044150449171_012</v>
      </c>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c r="AD507" s="94"/>
      <c r="AE507" s="94"/>
      <c r="AF507" s="94"/>
      <c r="AG507" s="94"/>
    </row>
    <row r="508">
      <c r="A508" s="96" t="s">
        <v>3754</v>
      </c>
      <c r="B508" s="95" t="str">
        <f>IFERROR(__xludf.DUMMYFUNCTION("""COMPUTED_VALUE"""),"32044150449171_013")</f>
        <v>32044150449171_013</v>
      </c>
      <c r="C508" s="94" t="str">
        <f>IFERROR(__xludf.DUMMYFUNCTION("""COMPUTED_VALUE""")," 32044150449171_014")</f>
        <v> 32044150449171_014</v>
      </c>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c r="AD508" s="94"/>
      <c r="AE508" s="94"/>
      <c r="AF508" s="94"/>
      <c r="AG508" s="94"/>
    </row>
    <row r="509">
      <c r="A509" s="96" t="s">
        <v>3762</v>
      </c>
      <c r="B509" s="95" t="str">
        <f>IFERROR(__xludf.DUMMYFUNCTION("""COMPUTED_VALUE"""),"32044150449171_015")</f>
        <v>32044150449171_015</v>
      </c>
      <c r="C509" s="94" t="str">
        <f>IFERROR(__xludf.DUMMYFUNCTION("""COMPUTED_VALUE""")," 32044150449171_016")</f>
        <v> 32044150449171_016</v>
      </c>
      <c r="D509" s="94" t="str">
        <f>IFERROR(__xludf.DUMMYFUNCTION("""COMPUTED_VALUE""")," 32044150449171_017")</f>
        <v> 32044150449171_017</v>
      </c>
      <c r="E509" s="94" t="str">
        <f>IFERROR(__xludf.DUMMYFUNCTION("""COMPUTED_VALUE""")," 32044150449171_018")</f>
        <v> 32044150449171_018</v>
      </c>
      <c r="F509" s="94" t="str">
        <f>IFERROR(__xludf.DUMMYFUNCTION("""COMPUTED_VALUE""")," 32044150449171_019")</f>
        <v> 32044150449171_019</v>
      </c>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c r="AD509" s="94"/>
      <c r="AE509" s="94"/>
      <c r="AF509" s="94"/>
      <c r="AG509" s="94"/>
    </row>
    <row r="510">
      <c r="A510" s="96" t="s">
        <v>3768</v>
      </c>
      <c r="B510" s="95" t="str">
        <f>IFERROR(__xludf.DUMMYFUNCTION("""COMPUTED_VALUE"""),"32044150449171_020")</f>
        <v>32044150449171_020</v>
      </c>
      <c r="C510" s="94" t="str">
        <f>IFERROR(__xludf.DUMMYFUNCTION("""COMPUTED_VALUE""")," 32044150449171_021")</f>
        <v> 32044150449171_021</v>
      </c>
      <c r="D510" s="94" t="str">
        <f>IFERROR(__xludf.DUMMYFUNCTION("""COMPUTED_VALUE""")," 32044150449171_022")</f>
        <v> 32044150449171_022</v>
      </c>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c r="AD510" s="94"/>
      <c r="AE510" s="94"/>
      <c r="AF510" s="94"/>
      <c r="AG510" s="94"/>
    </row>
    <row r="511">
      <c r="A511" s="96" t="s">
        <v>3776</v>
      </c>
      <c r="B511" s="95" t="str">
        <f>IFERROR(__xludf.DUMMYFUNCTION("""COMPUTED_VALUE"""),"32044150449189_001")</f>
        <v>32044150449189_001</v>
      </c>
      <c r="C511" s="94" t="str">
        <f>IFERROR(__xludf.DUMMYFUNCTION("""COMPUTED_VALUE""")," 32044150449189_002")</f>
        <v> 32044150449189_002</v>
      </c>
      <c r="D511" s="94" t="str">
        <f>IFERROR(__xludf.DUMMYFUNCTION("""COMPUTED_VALUE""")," 32044150449189_002")</f>
        <v> 32044150449189_002</v>
      </c>
      <c r="E511" s="94" t="str">
        <f>IFERROR(__xludf.DUMMYFUNCTION("""COMPUTED_VALUE""")," 32044150449189_003")</f>
        <v> 32044150449189_003</v>
      </c>
      <c r="F511" s="94" t="str">
        <f>IFERROR(__xludf.DUMMYFUNCTION("""COMPUTED_VALUE""")," 32044150449189_004")</f>
        <v> 32044150449189_004</v>
      </c>
      <c r="G511" s="94" t="str">
        <f>IFERROR(__xludf.DUMMYFUNCTION("""COMPUTED_VALUE""")," 32044150449189_005")</f>
        <v> 32044150449189_005</v>
      </c>
      <c r="H511" s="94" t="str">
        <f>IFERROR(__xludf.DUMMYFUNCTION("""COMPUTED_VALUE""")," 32044150449189_006")</f>
        <v> 32044150449189_006</v>
      </c>
      <c r="I511" s="94"/>
      <c r="J511" s="94"/>
      <c r="K511" s="94"/>
      <c r="L511" s="94"/>
      <c r="M511" s="94"/>
      <c r="N511" s="94"/>
      <c r="O511" s="94"/>
      <c r="P511" s="94"/>
      <c r="Q511" s="94"/>
      <c r="R511" s="94"/>
      <c r="S511" s="94"/>
      <c r="T511" s="94"/>
      <c r="U511" s="94"/>
      <c r="V511" s="94"/>
      <c r="W511" s="94"/>
      <c r="X511" s="94"/>
      <c r="Y511" s="94"/>
      <c r="Z511" s="94"/>
      <c r="AA511" s="94"/>
      <c r="AB511" s="94"/>
      <c r="AC511" s="94"/>
      <c r="AD511" s="94"/>
      <c r="AE511" s="94"/>
      <c r="AF511" s="94"/>
      <c r="AG511" s="94"/>
    </row>
    <row r="512">
      <c r="A512" s="96" t="s">
        <v>3783</v>
      </c>
      <c r="B512" s="95" t="str">
        <f>IFERROR(__xludf.DUMMYFUNCTION("""COMPUTED_VALUE"""),"32044150449189_007")</f>
        <v>32044150449189_007</v>
      </c>
      <c r="C512" s="94" t="str">
        <f>IFERROR(__xludf.DUMMYFUNCTION("""COMPUTED_VALUE""")," 32044150449189_008")</f>
        <v> 32044150449189_008</v>
      </c>
      <c r="D512" s="94" t="str">
        <f>IFERROR(__xludf.DUMMYFUNCTION("""COMPUTED_VALUE""")," 32044150449189_009")</f>
        <v> 32044150449189_009</v>
      </c>
      <c r="E512" s="94" t="str">
        <f>IFERROR(__xludf.DUMMYFUNCTION("""COMPUTED_VALUE""")," 32044150449189_010")</f>
        <v> 32044150449189_010</v>
      </c>
      <c r="F512" s="94" t="str">
        <f>IFERROR(__xludf.DUMMYFUNCTION("""COMPUTED_VALUE""")," 32044150449189_011")</f>
        <v> 32044150449189_011</v>
      </c>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c r="AD512" s="94"/>
      <c r="AE512" s="94"/>
      <c r="AF512" s="94"/>
      <c r="AG512" s="94"/>
    </row>
    <row r="513">
      <c r="A513" s="96" t="s">
        <v>3789</v>
      </c>
      <c r="B513" s="95" t="str">
        <f>IFERROR(__xludf.DUMMYFUNCTION("""COMPUTED_VALUE"""),"32044150449189_012")</f>
        <v>32044150449189_012</v>
      </c>
      <c r="C513" s="94" t="str">
        <f>IFERROR(__xludf.DUMMYFUNCTION("""COMPUTED_VALUE""")," 32044150449189_013")</f>
        <v> 32044150449189_013</v>
      </c>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c r="AD513" s="94"/>
      <c r="AE513" s="94"/>
      <c r="AF513" s="94"/>
      <c r="AG513" s="94"/>
    </row>
    <row r="514">
      <c r="A514" s="96" t="s">
        <v>3795</v>
      </c>
      <c r="B514" s="95" t="str">
        <f>IFERROR(__xludf.DUMMYFUNCTION("""COMPUTED_VALUE"""),"32044150449189_014")</f>
        <v>32044150449189_014</v>
      </c>
      <c r="C514" s="94" t="str">
        <f>IFERROR(__xludf.DUMMYFUNCTION("""COMPUTED_VALUE""")," 32044150449189_015")</f>
        <v> 32044150449189_015</v>
      </c>
      <c r="D514" s="94" t="str">
        <f>IFERROR(__xludf.DUMMYFUNCTION("""COMPUTED_VALUE""")," 32044150449189_016")</f>
        <v> 32044150449189_016</v>
      </c>
      <c r="E514" s="94" t="str">
        <f>IFERROR(__xludf.DUMMYFUNCTION("""COMPUTED_VALUE""")," 32044150449189_017")</f>
        <v> 32044150449189_017</v>
      </c>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c r="AD514" s="94"/>
      <c r="AE514" s="94"/>
      <c r="AF514" s="94"/>
      <c r="AG514" s="94"/>
    </row>
    <row r="515">
      <c r="A515" s="96" t="s">
        <v>3801</v>
      </c>
      <c r="B515" s="95" t="str">
        <f>IFERROR(__xludf.DUMMYFUNCTION("""COMPUTED_VALUE"""),"32044150449189_018")</f>
        <v>32044150449189_018</v>
      </c>
      <c r="C515" s="94" t="str">
        <f>IFERROR(__xludf.DUMMYFUNCTION("""COMPUTED_VALUE""")," 32044150449189_019")</f>
        <v> 32044150449189_019</v>
      </c>
      <c r="D515" s="94" t="str">
        <f>IFERROR(__xludf.DUMMYFUNCTION("""COMPUTED_VALUE""")," 32044150449189_020")</f>
        <v> 32044150449189_020</v>
      </c>
      <c r="E515" s="94" t="str">
        <f>IFERROR(__xludf.DUMMYFUNCTION("""COMPUTED_VALUE""")," 32044150449189_021")</f>
        <v> 32044150449189_021</v>
      </c>
      <c r="F515" s="94" t="str">
        <f>IFERROR(__xludf.DUMMYFUNCTION("""COMPUTED_VALUE""")," 32044150449189_022")</f>
        <v> 32044150449189_022</v>
      </c>
      <c r="G515" s="94" t="str">
        <f>IFERROR(__xludf.DUMMYFUNCTION("""COMPUTED_VALUE""")," 32044150449189_023")</f>
        <v> 32044150449189_023</v>
      </c>
      <c r="H515" s="94"/>
      <c r="I515" s="94"/>
      <c r="J515" s="94"/>
      <c r="K515" s="94"/>
      <c r="L515" s="94"/>
      <c r="M515" s="94"/>
      <c r="N515" s="94"/>
      <c r="O515" s="94"/>
      <c r="P515" s="94"/>
      <c r="Q515" s="94"/>
      <c r="R515" s="94"/>
      <c r="S515" s="94"/>
      <c r="T515" s="94"/>
      <c r="U515" s="94"/>
      <c r="V515" s="94"/>
      <c r="W515" s="94"/>
      <c r="X515" s="94"/>
      <c r="Y515" s="94"/>
      <c r="Z515" s="94"/>
      <c r="AA515" s="94"/>
      <c r="AB515" s="94"/>
      <c r="AC515" s="94"/>
      <c r="AD515" s="94"/>
      <c r="AE515" s="94"/>
      <c r="AF515" s="94"/>
      <c r="AG515" s="94"/>
    </row>
    <row r="516">
      <c r="A516" s="96" t="s">
        <v>3806</v>
      </c>
      <c r="B516" s="95" t="str">
        <f>IFERROR(__xludf.DUMMYFUNCTION("""COMPUTED_VALUE"""),"32044150449205_001")</f>
        <v>32044150449205_001</v>
      </c>
      <c r="C516" s="94" t="str">
        <f>IFERROR(__xludf.DUMMYFUNCTION("""COMPUTED_VALUE""")," 32044150449205_002")</f>
        <v> 32044150449205_002</v>
      </c>
      <c r="D516" s="94" t="str">
        <f>IFERROR(__xludf.DUMMYFUNCTION("""COMPUTED_VALUE""")," 32044150449205_003")</f>
        <v> 32044150449205_003</v>
      </c>
      <c r="E516" s="94" t="str">
        <f>IFERROR(__xludf.DUMMYFUNCTION("""COMPUTED_VALUE""")," 32044150449205_004 ")</f>
        <v> 32044150449205_004 </v>
      </c>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c r="AD516" s="94"/>
      <c r="AE516" s="94"/>
      <c r="AF516" s="94"/>
      <c r="AG516" s="94"/>
    </row>
    <row r="517">
      <c r="A517" s="96" t="s">
        <v>3812</v>
      </c>
      <c r="B517" s="95" t="str">
        <f>IFERROR(__xludf.DUMMYFUNCTION("""COMPUTED_VALUE"""),"32044150449205_005")</f>
        <v>32044150449205_005</v>
      </c>
      <c r="C517" s="94" t="str">
        <f>IFERROR(__xludf.DUMMYFUNCTION("""COMPUTED_VALUE""")," 32044150449205_006")</f>
        <v> 32044150449205_006</v>
      </c>
      <c r="D517" s="94" t="str">
        <f>IFERROR(__xludf.DUMMYFUNCTION("""COMPUTED_VALUE""")," 32044150449205_007")</f>
        <v> 32044150449205_007</v>
      </c>
      <c r="E517" s="94" t="str">
        <f>IFERROR(__xludf.DUMMYFUNCTION("""COMPUTED_VALUE""")," 32044150449205_008")</f>
        <v> 32044150449205_008</v>
      </c>
      <c r="F517" s="94" t="str">
        <f>IFERROR(__xludf.DUMMYFUNCTION("""COMPUTED_VALUE""")," 32044150449205_009")</f>
        <v> 32044150449205_009</v>
      </c>
      <c r="G517" s="94" t="str">
        <f>IFERROR(__xludf.DUMMYFUNCTION("""COMPUTED_VALUE""")," 32044150449205_010")</f>
        <v> 32044150449205_010</v>
      </c>
      <c r="H517" s="94"/>
      <c r="I517" s="94"/>
      <c r="J517" s="94"/>
      <c r="K517" s="94"/>
      <c r="L517" s="94"/>
      <c r="M517" s="94"/>
      <c r="N517" s="94"/>
      <c r="O517" s="94"/>
      <c r="P517" s="94"/>
      <c r="Q517" s="94"/>
      <c r="R517" s="94"/>
      <c r="S517" s="94"/>
      <c r="T517" s="94"/>
      <c r="U517" s="94"/>
      <c r="V517" s="94"/>
      <c r="W517" s="94"/>
      <c r="X517" s="94"/>
      <c r="Y517" s="94"/>
      <c r="Z517" s="94"/>
      <c r="AA517" s="94"/>
      <c r="AB517" s="94"/>
      <c r="AC517" s="94"/>
      <c r="AD517" s="94"/>
      <c r="AE517" s="94"/>
      <c r="AF517" s="94"/>
      <c r="AG517" s="94"/>
    </row>
    <row r="518">
      <c r="A518" s="96" t="s">
        <v>3816</v>
      </c>
      <c r="B518" s="95" t="str">
        <f>IFERROR(__xludf.DUMMYFUNCTION("""COMPUTED_VALUE"""),"32044150449205_015")</f>
        <v>32044150449205_015</v>
      </c>
      <c r="C518" s="94" t="str">
        <f>IFERROR(__xludf.DUMMYFUNCTION("""COMPUTED_VALUE""")," 32044150449205_016")</f>
        <v> 32044150449205_016</v>
      </c>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c r="AD518" s="94"/>
      <c r="AE518" s="94"/>
      <c r="AF518" s="94"/>
      <c r="AG518" s="94"/>
    </row>
    <row r="519">
      <c r="A519" s="96" t="s">
        <v>3821</v>
      </c>
      <c r="B519" s="95" t="str">
        <f>IFERROR(__xludf.DUMMYFUNCTION("""COMPUTED_VALUE"""),"32044150449205_011")</f>
        <v>32044150449205_011</v>
      </c>
      <c r="C519" s="94" t="str">
        <f>IFERROR(__xludf.DUMMYFUNCTION("""COMPUTED_VALUE""")," 32044150449205_012")</f>
        <v> 32044150449205_012</v>
      </c>
      <c r="D519" s="94" t="str">
        <f>IFERROR(__xludf.DUMMYFUNCTION("""COMPUTED_VALUE""")," 32044150449205_013")</f>
        <v> 32044150449205_013</v>
      </c>
      <c r="E519" s="94" t="str">
        <f>IFERROR(__xludf.DUMMYFUNCTION("""COMPUTED_VALUE""")," 32044150449205_014")</f>
        <v> 32044150449205_014</v>
      </c>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c r="AD519" s="94"/>
      <c r="AE519" s="94"/>
      <c r="AF519" s="94"/>
      <c r="AG519" s="94"/>
    </row>
    <row r="520">
      <c r="A520" s="96" t="s">
        <v>3828</v>
      </c>
      <c r="B520" s="95" t="str">
        <f>IFERROR(__xludf.DUMMYFUNCTION("""COMPUTED_VALUE"""),"32044150449205_017")</f>
        <v>32044150449205_017</v>
      </c>
      <c r="C520" s="94" t="str">
        <f>IFERROR(__xludf.DUMMYFUNCTION("""COMPUTED_VALUE""")," 32044150449205_018")</f>
        <v> 32044150449205_018</v>
      </c>
      <c r="D520" s="94" t="str">
        <f>IFERROR(__xludf.DUMMYFUNCTION("""COMPUTED_VALUE""")," 32044150449205_019")</f>
        <v> 32044150449205_019</v>
      </c>
      <c r="E520" s="94" t="str">
        <f>IFERROR(__xludf.DUMMYFUNCTION("""COMPUTED_VALUE""")," 32044150449205_020")</f>
        <v> 32044150449205_020</v>
      </c>
      <c r="F520" s="94" t="str">
        <f>IFERROR(__xludf.DUMMYFUNCTION("""COMPUTED_VALUE""")," 32044150449205_021")</f>
        <v> 32044150449205_021</v>
      </c>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c r="AD520" s="94"/>
      <c r="AE520" s="94"/>
      <c r="AF520" s="94"/>
      <c r="AG520" s="94"/>
    </row>
    <row r="521">
      <c r="A521" s="96" t="s">
        <v>3831</v>
      </c>
      <c r="B521" s="95" t="str">
        <f>IFERROR(__xludf.DUMMYFUNCTION("""COMPUTED_VALUE"""),"32044150449205_022")</f>
        <v>32044150449205_022</v>
      </c>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c r="AD521" s="94"/>
      <c r="AE521" s="94"/>
      <c r="AF521" s="94"/>
      <c r="AG521" s="94"/>
    </row>
    <row r="522">
      <c r="A522" s="96" t="s">
        <v>3841</v>
      </c>
      <c r="B522" s="95" t="str">
        <f>IFERROR(__xludf.DUMMYFUNCTION("""COMPUTED_VALUE"""),"32044150449213_001")</f>
        <v>32044150449213_001</v>
      </c>
      <c r="C522" s="94" t="str">
        <f>IFERROR(__xludf.DUMMYFUNCTION("""COMPUTED_VALUE""")," 32044150449213_002")</f>
        <v> 32044150449213_002</v>
      </c>
      <c r="D522" s="94" t="str">
        <f>IFERROR(__xludf.DUMMYFUNCTION("""COMPUTED_VALUE""")," 32044150449213_003")</f>
        <v> 32044150449213_003</v>
      </c>
      <c r="E522" s="94" t="str">
        <f>IFERROR(__xludf.DUMMYFUNCTION("""COMPUTED_VALUE""")," 32044150449213_004")</f>
        <v> 32044150449213_004</v>
      </c>
      <c r="F522" s="94" t="str">
        <f>IFERROR(__xludf.DUMMYFUNCTION("""COMPUTED_VALUE""")," 32044150449213_005")</f>
        <v> 32044150449213_005</v>
      </c>
      <c r="G522" s="94" t="str">
        <f>IFERROR(__xludf.DUMMYFUNCTION("""COMPUTED_VALUE""")," 32044150449213_006")</f>
        <v> 32044150449213_006</v>
      </c>
      <c r="H522" s="94" t="str">
        <f>IFERROR(__xludf.DUMMYFUNCTION("""COMPUTED_VALUE""")," 32044150449213_007")</f>
        <v> 32044150449213_007</v>
      </c>
      <c r="I522" s="94" t="str">
        <f>IFERROR(__xludf.DUMMYFUNCTION("""COMPUTED_VALUE""")," 32044150449213_008")</f>
        <v> 32044150449213_008</v>
      </c>
      <c r="J522" s="94" t="str">
        <f>IFERROR(__xludf.DUMMYFUNCTION("""COMPUTED_VALUE""")," 32044150449213_009")</f>
        <v> 32044150449213_009</v>
      </c>
      <c r="K522" s="94" t="str">
        <f>IFERROR(__xludf.DUMMYFUNCTION("""COMPUTED_VALUE""")," 32044150449213_010.       ")</f>
        <v> 32044150449213_010.       </v>
      </c>
      <c r="L522" s="94"/>
      <c r="M522" s="94"/>
      <c r="N522" s="94"/>
      <c r="O522" s="94"/>
      <c r="P522" s="94"/>
      <c r="Q522" s="94"/>
      <c r="R522" s="94"/>
      <c r="S522" s="94"/>
      <c r="T522" s="94"/>
      <c r="U522" s="94"/>
      <c r="V522" s="94"/>
      <c r="W522" s="94"/>
      <c r="X522" s="94"/>
      <c r="Y522" s="94"/>
      <c r="Z522" s="94"/>
      <c r="AA522" s="94"/>
      <c r="AB522" s="94"/>
      <c r="AC522" s="94"/>
      <c r="AD522" s="94"/>
      <c r="AE522" s="94"/>
      <c r="AF522" s="94"/>
      <c r="AG522" s="94"/>
    </row>
    <row r="523">
      <c r="A523" s="96" t="s">
        <v>3849</v>
      </c>
      <c r="B523" s="95" t="str">
        <f>IFERROR(__xludf.DUMMYFUNCTION("""COMPUTED_VALUE"""),"32044150449213_011")</f>
        <v>32044150449213_011</v>
      </c>
      <c r="C523" s="94" t="str">
        <f>IFERROR(__xludf.DUMMYFUNCTION("""COMPUTED_VALUE""")," 32044150449213_012")</f>
        <v> 32044150449213_012</v>
      </c>
      <c r="D523" s="94" t="str">
        <f>IFERROR(__xludf.DUMMYFUNCTION("""COMPUTED_VALUE""")," 32044150449213_013")</f>
        <v> 32044150449213_013</v>
      </c>
      <c r="E523" s="94" t="str">
        <f>IFERROR(__xludf.DUMMYFUNCTION("""COMPUTED_VALUE""")," 32044150449213_014")</f>
        <v> 32044150449213_014</v>
      </c>
      <c r="F523" s="94" t="str">
        <f>IFERROR(__xludf.DUMMYFUNCTION("""COMPUTED_VALUE""")," 32044150449213_015")</f>
        <v> 32044150449213_015</v>
      </c>
      <c r="G523" s="94" t="str">
        <f>IFERROR(__xludf.DUMMYFUNCTION("""COMPUTED_VALUE""")," 32044150449213_016")</f>
        <v> 32044150449213_016</v>
      </c>
      <c r="H523" s="94" t="str">
        <f>IFERROR(__xludf.DUMMYFUNCTION("""COMPUTED_VALUE""")," 32044150449213_017")</f>
        <v> 32044150449213_017</v>
      </c>
      <c r="I523" s="94" t="str">
        <f>IFERROR(__xludf.DUMMYFUNCTION("""COMPUTED_VALUE""")," 32044150449213_018")</f>
        <v> 32044150449213_018</v>
      </c>
      <c r="J523" s="94"/>
      <c r="K523" s="94"/>
      <c r="L523" s="94"/>
      <c r="M523" s="94"/>
      <c r="N523" s="94"/>
      <c r="O523" s="94"/>
      <c r="P523" s="94"/>
      <c r="Q523" s="94"/>
      <c r="R523" s="94"/>
      <c r="S523" s="94"/>
      <c r="T523" s="94"/>
      <c r="U523" s="94"/>
      <c r="V523" s="94"/>
      <c r="W523" s="94"/>
      <c r="X523" s="94"/>
      <c r="Y523" s="94"/>
      <c r="Z523" s="94"/>
      <c r="AA523" s="94"/>
      <c r="AB523" s="94"/>
      <c r="AC523" s="94"/>
      <c r="AD523" s="94"/>
      <c r="AE523" s="94"/>
      <c r="AF523" s="94"/>
      <c r="AG523" s="94"/>
    </row>
    <row r="524">
      <c r="A524" s="96" t="s">
        <v>3859</v>
      </c>
      <c r="B524" s="95" t="str">
        <f>IFERROR(__xludf.DUMMYFUNCTION("""COMPUTED_VALUE"""),"32044150449213_019")</f>
        <v>32044150449213_019</v>
      </c>
      <c r="C524" s="94" t="str">
        <f>IFERROR(__xludf.DUMMYFUNCTION("""COMPUTED_VALUE""")," 32044150449213_020")</f>
        <v> 32044150449213_020</v>
      </c>
      <c r="D524" s="94" t="str">
        <f>IFERROR(__xludf.DUMMYFUNCTION("""COMPUTED_VALUE""")," 32044150449213_021")</f>
        <v> 32044150449213_021</v>
      </c>
      <c r="E524" s="94" t="str">
        <f>IFERROR(__xludf.DUMMYFUNCTION("""COMPUTED_VALUE""")," 32044150449213_022")</f>
        <v> 32044150449213_022</v>
      </c>
      <c r="F524" s="94" t="str">
        <f>IFERROR(__xludf.DUMMYFUNCTION("""COMPUTED_VALUE""")," 32044150449213_023")</f>
        <v> 32044150449213_023</v>
      </c>
      <c r="G524" s="94" t="str">
        <f>IFERROR(__xludf.DUMMYFUNCTION("""COMPUTED_VALUE""")," 32044150449213_024")</f>
        <v> 32044150449213_024</v>
      </c>
      <c r="H524" s="94" t="str">
        <f>IFERROR(__xludf.DUMMYFUNCTION("""COMPUTED_VALUE""")," 32044150449213_025")</f>
        <v> 32044150449213_025</v>
      </c>
      <c r="I524" s="94" t="str">
        <f>IFERROR(__xludf.DUMMYFUNCTION("""COMPUTED_VALUE""")," 32044150449213_026")</f>
        <v> 32044150449213_026</v>
      </c>
      <c r="J524" s="94" t="str">
        <f>IFERROR(__xludf.DUMMYFUNCTION("""COMPUTED_VALUE""")," 32044150449213_027")</f>
        <v> 32044150449213_027</v>
      </c>
      <c r="K524" s="94" t="str">
        <f>IFERROR(__xludf.DUMMYFUNCTION("""COMPUTED_VALUE""")," 32044150449213_028")</f>
        <v> 32044150449213_028</v>
      </c>
      <c r="L524" s="94" t="str">
        <f>IFERROR(__xludf.DUMMYFUNCTION("""COMPUTED_VALUE""")," 32044150449213_029")</f>
        <v> 32044150449213_029</v>
      </c>
      <c r="M524" s="94" t="str">
        <f>IFERROR(__xludf.DUMMYFUNCTION("""COMPUTED_VALUE""")," 32044150449213_030")</f>
        <v> 32044150449213_030</v>
      </c>
      <c r="N524" s="94" t="str">
        <f>IFERROR(__xludf.DUMMYFUNCTION("""COMPUTED_VALUE""")," 32044150449213_031")</f>
        <v> 32044150449213_031</v>
      </c>
      <c r="O524" s="94"/>
      <c r="P524" s="94"/>
      <c r="Q524" s="94"/>
      <c r="R524" s="94"/>
      <c r="S524" s="94"/>
      <c r="T524" s="94"/>
      <c r="U524" s="94"/>
      <c r="V524" s="94"/>
      <c r="W524" s="94"/>
      <c r="X524" s="94"/>
      <c r="Y524" s="94"/>
      <c r="Z524" s="94"/>
      <c r="AA524" s="94"/>
      <c r="AB524" s="94"/>
      <c r="AC524" s="94"/>
      <c r="AD524" s="94"/>
      <c r="AE524" s="94"/>
      <c r="AF524" s="94"/>
      <c r="AG524" s="94"/>
    </row>
    <row r="525">
      <c r="A525" s="96" t="s">
        <v>3865</v>
      </c>
      <c r="B525" s="95" t="str">
        <f>IFERROR(__xludf.DUMMYFUNCTION("""COMPUTED_VALUE"""),"32044150449213_032")</f>
        <v>32044150449213_032</v>
      </c>
      <c r="C525" s="94" t="str">
        <f>IFERROR(__xludf.DUMMYFUNCTION("""COMPUTED_VALUE""")," 32044150449213_033")</f>
        <v> 32044150449213_033</v>
      </c>
      <c r="D525" s="94" t="str">
        <f>IFERROR(__xludf.DUMMYFUNCTION("""COMPUTED_VALUE""")," 
32044150449213_034")</f>
        <v> 
32044150449213_034</v>
      </c>
      <c r="E525" s="94" t="str">
        <f>IFERROR(__xludf.DUMMYFUNCTION("""COMPUTED_VALUE""")," 32044150449213_035")</f>
        <v> 32044150449213_035</v>
      </c>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c r="AD525" s="94"/>
      <c r="AE525" s="94"/>
      <c r="AF525" s="94"/>
      <c r="AG525" s="94"/>
    </row>
    <row r="526">
      <c r="A526" s="96" t="s">
        <v>3871</v>
      </c>
      <c r="B526" s="95" t="str">
        <f>IFERROR(__xludf.DUMMYFUNCTION("""COMPUTED_VALUE"""),"32044150449213_036")</f>
        <v>32044150449213_036</v>
      </c>
      <c r="C526" s="94" t="str">
        <f>IFERROR(__xludf.DUMMYFUNCTION("""COMPUTED_VALUE""")," 32044150449213_037")</f>
        <v> 32044150449213_037</v>
      </c>
      <c r="D526" s="94" t="str">
        <f>IFERROR(__xludf.DUMMYFUNCTION("""COMPUTED_VALUE""")," 32044150449213_038")</f>
        <v> 32044150449213_038</v>
      </c>
      <c r="E526" s="94" t="str">
        <f>IFERROR(__xludf.DUMMYFUNCTION("""COMPUTED_VALUE""")," 32044150449213_039")</f>
        <v> 32044150449213_039</v>
      </c>
      <c r="F526" s="94" t="str">
        <f>IFERROR(__xludf.DUMMYFUNCTION("""COMPUTED_VALUE""")," 32044150449213_040")</f>
        <v> 32044150449213_040</v>
      </c>
      <c r="G526" s="94" t="str">
        <f>IFERROR(__xludf.DUMMYFUNCTION("""COMPUTED_VALUE""")," 32044150449213_041")</f>
        <v> 32044150449213_041</v>
      </c>
      <c r="H526" s="94" t="str">
        <f>IFERROR(__xludf.DUMMYFUNCTION("""COMPUTED_VALUE""")," 32044150449213_042")</f>
        <v> 32044150449213_042</v>
      </c>
      <c r="I526" s="94" t="str">
        <f>IFERROR(__xludf.DUMMYFUNCTION("""COMPUTED_VALUE""")," 32044150449213_043")</f>
        <v> 32044150449213_043</v>
      </c>
      <c r="J526" s="94" t="str">
        <f>IFERROR(__xludf.DUMMYFUNCTION("""COMPUTED_VALUE""")," 32044150449213_044")</f>
        <v> 32044150449213_044</v>
      </c>
      <c r="K526" s="94"/>
      <c r="L526" s="94"/>
      <c r="M526" s="94"/>
      <c r="N526" s="94"/>
      <c r="O526" s="94"/>
      <c r="P526" s="94"/>
      <c r="Q526" s="94"/>
      <c r="R526" s="94"/>
      <c r="S526" s="94"/>
      <c r="T526" s="94"/>
      <c r="U526" s="94"/>
      <c r="V526" s="94"/>
      <c r="W526" s="94"/>
      <c r="X526" s="94"/>
      <c r="Y526" s="94"/>
      <c r="Z526" s="94"/>
      <c r="AA526" s="94"/>
      <c r="AB526" s="94"/>
      <c r="AC526" s="94"/>
      <c r="AD526" s="94"/>
      <c r="AE526" s="94"/>
      <c r="AF526" s="94"/>
      <c r="AG526" s="94"/>
    </row>
    <row r="527">
      <c r="A527" s="96" t="s">
        <v>3877</v>
      </c>
      <c r="B527" s="95" t="str">
        <f>IFERROR(__xludf.DUMMYFUNCTION("""COMPUTED_VALUE"""),"32044150449221_001")</f>
        <v>32044150449221_001</v>
      </c>
      <c r="C527" s="94" t="str">
        <f>IFERROR(__xludf.DUMMYFUNCTION("""COMPUTED_VALUE""")," 32044150449221_002")</f>
        <v> 32044150449221_002</v>
      </c>
      <c r="D527" s="94" t="str">
        <f>IFERROR(__xludf.DUMMYFUNCTION("""COMPUTED_VALUE""")," 32044150449221_003")</f>
        <v> 32044150449221_003</v>
      </c>
      <c r="E527" s="94" t="str">
        <f>IFERROR(__xludf.DUMMYFUNCTION("""COMPUTED_VALUE""")," 32044150449221_004")</f>
        <v> 32044150449221_004</v>
      </c>
      <c r="F527" s="94" t="str">
        <f>IFERROR(__xludf.DUMMYFUNCTION("""COMPUTED_VALUE""")," 32044150449221_005")</f>
        <v> 32044150449221_005</v>
      </c>
      <c r="G527" s="94" t="str">
        <f>IFERROR(__xludf.DUMMYFUNCTION("""COMPUTED_VALUE""")," 32044150449221_006")</f>
        <v> 32044150449221_006</v>
      </c>
      <c r="H527" s="94"/>
      <c r="I527" s="94"/>
      <c r="J527" s="94"/>
      <c r="K527" s="94"/>
      <c r="L527" s="94"/>
      <c r="M527" s="94"/>
      <c r="N527" s="94"/>
      <c r="O527" s="94"/>
      <c r="P527" s="94"/>
      <c r="Q527" s="94"/>
      <c r="R527" s="94"/>
      <c r="S527" s="94"/>
      <c r="T527" s="94"/>
      <c r="U527" s="94"/>
      <c r="V527" s="94"/>
      <c r="W527" s="94"/>
      <c r="X527" s="94"/>
      <c r="Y527" s="94"/>
      <c r="Z527" s="94"/>
      <c r="AA527" s="94"/>
      <c r="AB527" s="94"/>
      <c r="AC527" s="94"/>
      <c r="AD527" s="94"/>
      <c r="AE527" s="94"/>
      <c r="AF527" s="94"/>
      <c r="AG527" s="94"/>
    </row>
    <row r="528">
      <c r="A528" s="96" t="s">
        <v>3882</v>
      </c>
      <c r="B528" s="95" t="str">
        <f>IFERROR(__xludf.DUMMYFUNCTION("""COMPUTED_VALUE"""),"32044150449221_007")</f>
        <v>32044150449221_007</v>
      </c>
      <c r="C528" s="94" t="str">
        <f>IFERROR(__xludf.DUMMYFUNCTION("""COMPUTED_VALUE""")," 32044150449221_008")</f>
        <v> 32044150449221_008</v>
      </c>
      <c r="D528" s="94" t="str">
        <f>IFERROR(__xludf.DUMMYFUNCTION("""COMPUTED_VALUE""")," 32044150449221_009")</f>
        <v> 32044150449221_009</v>
      </c>
      <c r="E528" s="94" t="str">
        <f>IFERROR(__xludf.DUMMYFUNCTION("""COMPUTED_VALUE""")," 32044150449221_010")</f>
        <v> 32044150449221_010</v>
      </c>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c r="AD528" s="94"/>
      <c r="AE528" s="94"/>
      <c r="AF528" s="94"/>
      <c r="AG528" s="94"/>
    </row>
    <row r="529">
      <c r="A529" s="96" t="s">
        <v>3887</v>
      </c>
      <c r="B529" s="95" t="str">
        <f>IFERROR(__xludf.DUMMYFUNCTION("""COMPUTED_VALUE"""),"32044150449221_011")</f>
        <v>32044150449221_011</v>
      </c>
      <c r="C529" s="94" t="str">
        <f>IFERROR(__xludf.DUMMYFUNCTION("""COMPUTED_VALUE""")," 32044150449221_012")</f>
        <v> 32044150449221_012</v>
      </c>
      <c r="D529" s="94" t="str">
        <f>IFERROR(__xludf.DUMMYFUNCTION("""COMPUTED_VALUE""")," 32044150449221_013")</f>
        <v> 32044150449221_013</v>
      </c>
      <c r="E529" s="94" t="str">
        <f>IFERROR(__xludf.DUMMYFUNCTION("""COMPUTED_VALUE""")," 32044150449221_014")</f>
        <v> 32044150449221_014</v>
      </c>
      <c r="F529" s="94" t="str">
        <f>IFERROR(__xludf.DUMMYFUNCTION("""COMPUTED_VALUE""")," 32044150449221_015")</f>
        <v> 32044150449221_015</v>
      </c>
      <c r="G529" s="94" t="str">
        <f>IFERROR(__xludf.DUMMYFUNCTION("""COMPUTED_VALUE""")," 32044150449221_016")</f>
        <v> 32044150449221_016</v>
      </c>
      <c r="H529" s="94" t="str">
        <f>IFERROR(__xludf.DUMMYFUNCTION("""COMPUTED_VALUE""")," 32044150449221_017")</f>
        <v> 32044150449221_017</v>
      </c>
      <c r="I529" s="94" t="str">
        <f>IFERROR(__xludf.DUMMYFUNCTION("""COMPUTED_VALUE""")," 32044150449221_018")</f>
        <v> 32044150449221_018</v>
      </c>
      <c r="J529" s="94" t="str">
        <f>IFERROR(__xludf.DUMMYFUNCTION("""COMPUTED_VALUE""")," 32044150449221_019")</f>
        <v> 32044150449221_019</v>
      </c>
      <c r="K529" s="94" t="str">
        <f>IFERROR(__xludf.DUMMYFUNCTION("""COMPUTED_VALUE""")," 32044150449221_020")</f>
        <v> 32044150449221_020</v>
      </c>
      <c r="L529" s="94" t="str">
        <f>IFERROR(__xludf.DUMMYFUNCTION("""COMPUTED_VALUE""")," 32044150449221_021")</f>
        <v> 32044150449221_021</v>
      </c>
      <c r="M529" s="94"/>
      <c r="N529" s="94"/>
      <c r="O529" s="94"/>
      <c r="P529" s="94"/>
      <c r="Q529" s="94"/>
      <c r="R529" s="94"/>
      <c r="S529" s="94"/>
      <c r="T529" s="94"/>
      <c r="U529" s="94"/>
      <c r="V529" s="94"/>
      <c r="W529" s="94"/>
      <c r="X529" s="94"/>
      <c r="Y529" s="94"/>
      <c r="Z529" s="94"/>
      <c r="AA529" s="94"/>
      <c r="AB529" s="94"/>
      <c r="AC529" s="94"/>
      <c r="AD529" s="94"/>
      <c r="AE529" s="94"/>
      <c r="AF529" s="94"/>
      <c r="AG529" s="94"/>
    </row>
    <row r="530">
      <c r="A530" s="96" t="s">
        <v>3891</v>
      </c>
      <c r="B530" s="95" t="str">
        <f>IFERROR(__xludf.DUMMYFUNCTION("""COMPUTED_VALUE"""),"32044150449221_023")</f>
        <v>32044150449221_023</v>
      </c>
      <c r="C530" s="94" t="str">
        <f>IFERROR(__xludf.DUMMYFUNCTION("""COMPUTED_VALUE""")," 32044150449221_024")</f>
        <v> 32044150449221_024</v>
      </c>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c r="AD530" s="94"/>
      <c r="AE530" s="94"/>
      <c r="AF530" s="94"/>
      <c r="AG530" s="94"/>
    </row>
    <row r="531">
      <c r="A531" s="96" t="s">
        <v>3897</v>
      </c>
      <c r="B531" s="95" t="str">
        <f>IFERROR(__xludf.DUMMYFUNCTION("""COMPUTED_VALUE"""),"32044150449239_001")</f>
        <v>32044150449239_001</v>
      </c>
      <c r="C531" s="94" t="str">
        <f>IFERROR(__xludf.DUMMYFUNCTION("""COMPUTED_VALUE""")," 32044150449239_002")</f>
        <v> 32044150449239_002</v>
      </c>
      <c r="D531" s="94" t="str">
        <f>IFERROR(__xludf.DUMMYFUNCTION("""COMPUTED_VALUE""")," 32044150449239_003")</f>
        <v> 32044150449239_003</v>
      </c>
      <c r="E531" s="94" t="str">
        <f>IFERROR(__xludf.DUMMYFUNCTION("""COMPUTED_VALUE""")," 32044150449239_004")</f>
        <v> 32044150449239_004</v>
      </c>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c r="AD531" s="94"/>
      <c r="AE531" s="94"/>
      <c r="AF531" s="94"/>
      <c r="AG531" s="94"/>
    </row>
    <row r="532">
      <c r="A532" s="96" t="s">
        <v>3902</v>
      </c>
      <c r="B532" s="95" t="str">
        <f>IFERROR(__xludf.DUMMYFUNCTION("""COMPUTED_VALUE"""),"32044150449239_005")</f>
        <v>32044150449239_005</v>
      </c>
      <c r="C532" s="94" t="str">
        <f>IFERROR(__xludf.DUMMYFUNCTION("""COMPUTED_VALUE""")," 32044150449239_006")</f>
        <v> 32044150449239_006</v>
      </c>
      <c r="D532" s="94" t="str">
        <f>IFERROR(__xludf.DUMMYFUNCTION("""COMPUTED_VALUE""")," 32044150449239_007")</f>
        <v> 32044150449239_007</v>
      </c>
      <c r="E532" s="94" t="str">
        <f>IFERROR(__xludf.DUMMYFUNCTION("""COMPUTED_VALUE""")," 32044150449239_008")</f>
        <v> 32044150449239_008</v>
      </c>
      <c r="F532" s="94" t="str">
        <f>IFERROR(__xludf.DUMMYFUNCTION("""COMPUTED_VALUE""")," 32044150449239_009")</f>
        <v> 32044150449239_009</v>
      </c>
      <c r="G532" s="94" t="str">
        <f>IFERROR(__xludf.DUMMYFUNCTION("""COMPUTED_VALUE""")," 32044150449239_010")</f>
        <v> 32044150449239_010</v>
      </c>
      <c r="H532" s="94" t="str">
        <f>IFERROR(__xludf.DUMMYFUNCTION("""COMPUTED_VALUE""")," 32044150449239_011")</f>
        <v> 32044150449239_011</v>
      </c>
      <c r="I532" s="94"/>
      <c r="J532" s="94"/>
      <c r="K532" s="94"/>
      <c r="L532" s="94"/>
      <c r="M532" s="94"/>
      <c r="N532" s="94"/>
      <c r="O532" s="94"/>
      <c r="P532" s="94"/>
      <c r="Q532" s="94"/>
      <c r="R532" s="94"/>
      <c r="S532" s="94"/>
      <c r="T532" s="94"/>
      <c r="U532" s="94"/>
      <c r="V532" s="94"/>
      <c r="W532" s="94"/>
      <c r="X532" s="94"/>
      <c r="Y532" s="94"/>
      <c r="Z532" s="94"/>
      <c r="AA532" s="94"/>
      <c r="AB532" s="94"/>
      <c r="AC532" s="94"/>
      <c r="AD532" s="94"/>
      <c r="AE532" s="94"/>
      <c r="AF532" s="94"/>
      <c r="AG532" s="94"/>
    </row>
    <row r="533">
      <c r="A533" s="96" t="s">
        <v>3908</v>
      </c>
      <c r="B533" s="95" t="str">
        <f>IFERROR(__xludf.DUMMYFUNCTION("""COMPUTED_VALUE"""),"32044150449239_012")</f>
        <v>32044150449239_012</v>
      </c>
      <c r="C533" s="94" t="str">
        <f>IFERROR(__xludf.DUMMYFUNCTION("""COMPUTED_VALUE""")," 32044150449239_013")</f>
        <v> 32044150449239_013</v>
      </c>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c r="AD533" s="94"/>
      <c r="AE533" s="94"/>
      <c r="AF533" s="94"/>
      <c r="AG533" s="94"/>
    </row>
    <row r="534">
      <c r="A534" s="96" t="s">
        <v>3912</v>
      </c>
      <c r="B534" s="95" t="str">
        <f>IFERROR(__xludf.DUMMYFUNCTION("""COMPUTED_VALUE"""),"32044150449239_014")</f>
        <v>32044150449239_014</v>
      </c>
      <c r="C534" s="94" t="str">
        <f>IFERROR(__xludf.DUMMYFUNCTION("""COMPUTED_VALUE""")," 32044150449239_015")</f>
        <v> 32044150449239_015</v>
      </c>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c r="AD534" s="94"/>
      <c r="AE534" s="94"/>
      <c r="AF534" s="94"/>
      <c r="AG534" s="94"/>
    </row>
    <row r="535">
      <c r="A535" s="96" t="s">
        <v>3917</v>
      </c>
      <c r="B535" s="95" t="str">
        <f>IFERROR(__xludf.DUMMYFUNCTION("""COMPUTED_VALUE"""),"32044150449239_016")</f>
        <v>32044150449239_016</v>
      </c>
      <c r="C535" s="94" t="str">
        <f>IFERROR(__xludf.DUMMYFUNCTION("""COMPUTED_VALUE""")," 32044150449239_017")</f>
        <v> 32044150449239_017</v>
      </c>
      <c r="D535" s="94" t="str">
        <f>IFERROR(__xludf.DUMMYFUNCTION("""COMPUTED_VALUE""")," 32044150449239_018")</f>
        <v> 32044150449239_018</v>
      </c>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c r="AD535" s="94"/>
      <c r="AE535" s="94"/>
      <c r="AF535" s="94"/>
      <c r="AG535" s="94"/>
    </row>
    <row r="536">
      <c r="A536" s="96" t="s">
        <v>3921</v>
      </c>
      <c r="B536" s="95" t="str">
        <f>IFERROR(__xludf.DUMMYFUNCTION("""COMPUTED_VALUE"""),"32044150449239_019")</f>
        <v>32044150449239_019</v>
      </c>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c r="AD536" s="94"/>
      <c r="AE536" s="94"/>
      <c r="AF536" s="94"/>
      <c r="AG536" s="94"/>
    </row>
    <row r="537">
      <c r="A537" s="96" t="s">
        <v>3926</v>
      </c>
      <c r="B537" s="95" t="str">
        <f>IFERROR(__xludf.DUMMYFUNCTION("""COMPUTED_VALUE"""),"32044150449247_001")</f>
        <v>32044150449247_001</v>
      </c>
      <c r="C537" s="94" t="str">
        <f>IFERROR(__xludf.DUMMYFUNCTION("""COMPUTED_VALUE""")," 32044150449247_002")</f>
        <v> 32044150449247_002</v>
      </c>
      <c r="D537" s="94" t="str">
        <f>IFERROR(__xludf.DUMMYFUNCTION("""COMPUTED_VALUE""")," 32044150449247_003")</f>
        <v> 32044150449247_003</v>
      </c>
      <c r="E537" s="94" t="str">
        <f>IFERROR(__xludf.DUMMYFUNCTION("""COMPUTED_VALUE""")," 32044150449247_004")</f>
        <v> 32044150449247_004</v>
      </c>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c r="AD537" s="94"/>
      <c r="AE537" s="94"/>
      <c r="AF537" s="94"/>
      <c r="AG537" s="94"/>
    </row>
    <row r="538">
      <c r="A538" s="96" t="s">
        <v>3934</v>
      </c>
      <c r="B538" s="95" t="str">
        <f>IFERROR(__xludf.DUMMYFUNCTION("""COMPUTED_VALUE"""),"32044150449247_005")</f>
        <v>32044150449247_005</v>
      </c>
      <c r="C538" s="94" t="str">
        <f>IFERROR(__xludf.DUMMYFUNCTION("""COMPUTED_VALUE""")," 32044150449247_006")</f>
        <v> 32044150449247_006</v>
      </c>
      <c r="D538" s="94" t="str">
        <f>IFERROR(__xludf.DUMMYFUNCTION("""COMPUTED_VALUE""")," 32044150449247_007")</f>
        <v> 32044150449247_007</v>
      </c>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c r="AD538" s="94"/>
      <c r="AE538" s="94"/>
      <c r="AF538" s="94"/>
      <c r="AG538" s="94"/>
    </row>
    <row r="539">
      <c r="A539" s="96" t="s">
        <v>3941</v>
      </c>
      <c r="B539" s="95" t="str">
        <f>IFERROR(__xludf.DUMMYFUNCTION("""COMPUTED_VALUE"""),"32044150449247_008")</f>
        <v>32044150449247_008</v>
      </c>
      <c r="C539" s="94" t="str">
        <f>IFERROR(__xludf.DUMMYFUNCTION("""COMPUTED_VALUE""")," 32044150449247_009")</f>
        <v> 32044150449247_009</v>
      </c>
      <c r="D539" s="94" t="str">
        <f>IFERROR(__xludf.DUMMYFUNCTION("""COMPUTED_VALUE""")," 32044150449247_010")</f>
        <v> 32044150449247_010</v>
      </c>
      <c r="E539" s="94" t="str">
        <f>IFERROR(__xludf.DUMMYFUNCTION("""COMPUTED_VALUE""")," 32044150449247_011")</f>
        <v> 32044150449247_011</v>
      </c>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c r="AD539" s="94"/>
      <c r="AE539" s="94"/>
      <c r="AF539" s="94"/>
      <c r="AG539" s="94"/>
    </row>
    <row r="540">
      <c r="A540" s="96" t="s">
        <v>3946</v>
      </c>
      <c r="B540" s="95" t="str">
        <f>IFERROR(__xludf.DUMMYFUNCTION("""COMPUTED_VALUE"""),"32044150449247_012")</f>
        <v>32044150449247_012</v>
      </c>
      <c r="C540" s="94" t="str">
        <f>IFERROR(__xludf.DUMMYFUNCTION("""COMPUTED_VALUE""")," 32044150449247_013")</f>
        <v> 32044150449247_013</v>
      </c>
      <c r="D540" s="94" t="str">
        <f>IFERROR(__xludf.DUMMYFUNCTION("""COMPUTED_VALUE""")," 32044150449247_014")</f>
        <v> 32044150449247_014</v>
      </c>
      <c r="E540" s="94" t="str">
        <f>IFERROR(__xludf.DUMMYFUNCTION("""COMPUTED_VALUE""")," 32044150449247_015")</f>
        <v> 32044150449247_015</v>
      </c>
      <c r="F540" s="94" t="str">
        <f>IFERROR(__xludf.DUMMYFUNCTION("""COMPUTED_VALUE""")," 32044150449247_016")</f>
        <v> 32044150449247_016</v>
      </c>
      <c r="G540" s="94" t="str">
        <f>IFERROR(__xludf.DUMMYFUNCTION("""COMPUTED_VALUE""")," 32044150449247_017")</f>
        <v> 32044150449247_017</v>
      </c>
      <c r="H540" s="94"/>
      <c r="I540" s="94"/>
      <c r="J540" s="94"/>
      <c r="K540" s="94"/>
      <c r="L540" s="94"/>
      <c r="M540" s="94"/>
      <c r="N540" s="94"/>
      <c r="O540" s="94"/>
      <c r="P540" s="94"/>
      <c r="Q540" s="94"/>
      <c r="R540" s="94"/>
      <c r="S540" s="94"/>
      <c r="T540" s="94"/>
      <c r="U540" s="94"/>
      <c r="V540" s="94"/>
      <c r="W540" s="94"/>
      <c r="X540" s="94"/>
      <c r="Y540" s="94"/>
      <c r="Z540" s="94"/>
      <c r="AA540" s="94"/>
      <c r="AB540" s="94"/>
      <c r="AC540" s="94"/>
      <c r="AD540" s="94"/>
      <c r="AE540" s="94"/>
      <c r="AF540" s="94"/>
      <c r="AG540" s="94"/>
    </row>
    <row r="541">
      <c r="A541" s="96" t="s">
        <v>3952</v>
      </c>
      <c r="B541" s="95" t="str">
        <f>IFERROR(__xludf.DUMMYFUNCTION("""COMPUTED_VALUE"""),"32044150449247_018")</f>
        <v>32044150449247_018</v>
      </c>
      <c r="C541" s="94" t="str">
        <f>IFERROR(__xludf.DUMMYFUNCTION("""COMPUTED_VALUE""")," 32044150449247_019")</f>
        <v> 32044150449247_019</v>
      </c>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c r="AD541" s="94"/>
      <c r="AE541" s="94"/>
      <c r="AF541" s="94"/>
      <c r="AG541" s="94"/>
    </row>
    <row r="542">
      <c r="A542" s="96" t="s">
        <v>3957</v>
      </c>
      <c r="B542" s="95" t="str">
        <f>IFERROR(__xludf.DUMMYFUNCTION("""COMPUTED_VALUE"""),"32044150449247_020")</f>
        <v>32044150449247_020</v>
      </c>
      <c r="C542" s="94" t="str">
        <f>IFERROR(__xludf.DUMMYFUNCTION("""COMPUTED_VALUE""")," 32044150449247_021")</f>
        <v> 32044150449247_021</v>
      </c>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c r="AD542" s="94"/>
      <c r="AE542" s="94"/>
      <c r="AF542" s="94"/>
      <c r="AG542" s="94"/>
    </row>
    <row r="543">
      <c r="A543" s="96" t="s">
        <v>3962</v>
      </c>
      <c r="B543" s="95" t="str">
        <f>IFERROR(__xludf.DUMMYFUNCTION("""COMPUTED_VALUE"""),"32044150449247_022")</f>
        <v>32044150449247_022</v>
      </c>
      <c r="C543" s="94" t="str">
        <f>IFERROR(__xludf.DUMMYFUNCTION("""COMPUTED_VALUE""")," 32044150449247_023")</f>
        <v> 32044150449247_023</v>
      </c>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c r="AD543" s="94"/>
      <c r="AE543" s="94"/>
      <c r="AF543" s="94"/>
      <c r="AG543" s="94"/>
    </row>
    <row r="544">
      <c r="A544" s="96" t="s">
        <v>3968</v>
      </c>
      <c r="B544" s="95" t="str">
        <f>IFERROR(__xludf.DUMMYFUNCTION("""COMPUTED_VALUE"""),"32044150449247_024")</f>
        <v>32044150449247_024</v>
      </c>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c r="AD544" s="94"/>
      <c r="AE544" s="94"/>
      <c r="AF544" s="94"/>
      <c r="AG544" s="94"/>
    </row>
    <row r="545">
      <c r="A545" s="96" t="s">
        <v>3974</v>
      </c>
      <c r="B545" s="95" t="str">
        <f>IFERROR(__xludf.DUMMYFUNCTION("""COMPUTED_VALUE"""),"32044150449254_007")</f>
        <v>32044150449254_007</v>
      </c>
      <c r="C545" s="94" t="str">
        <f>IFERROR(__xludf.DUMMYFUNCTION("""COMPUTED_VALUE""")," 32044150449254_008")</f>
        <v> 32044150449254_008</v>
      </c>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c r="AD545" s="94"/>
      <c r="AE545" s="94"/>
      <c r="AF545" s="94"/>
      <c r="AG545" s="94"/>
    </row>
    <row r="546">
      <c r="A546" s="96" t="s">
        <v>3980</v>
      </c>
      <c r="B546" s="95" t="str">
        <f>IFERROR(__xludf.DUMMYFUNCTION("""COMPUTED_VALUE"""),"32044150449254_015")</f>
        <v>32044150449254_015</v>
      </c>
      <c r="C546" s="94" t="str">
        <f>IFERROR(__xludf.DUMMYFUNCTION("""COMPUTED_VALUE""")," 32044150449254_016")</f>
        <v> 32044150449254_016</v>
      </c>
      <c r="D546" s="94" t="str">
        <f>IFERROR(__xludf.DUMMYFUNCTION("""COMPUTED_VALUE""")," 32044150449254_017")</f>
        <v> 32044150449254_017</v>
      </c>
      <c r="E546" s="94" t="str">
        <f>IFERROR(__xludf.DUMMYFUNCTION("""COMPUTED_VALUE""")," 32044150449254_018")</f>
        <v> 32044150449254_018</v>
      </c>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c r="AD546" s="94"/>
      <c r="AE546" s="94"/>
      <c r="AF546" s="94"/>
      <c r="AG546" s="94"/>
    </row>
    <row r="547">
      <c r="A547" s="96" t="s">
        <v>3987</v>
      </c>
      <c r="B547" s="95" t="str">
        <f>IFERROR(__xludf.DUMMYFUNCTION("""COMPUTED_VALUE"""),"32044150449254_019")</f>
        <v>32044150449254_019</v>
      </c>
      <c r="C547" s="94" t="str">
        <f>IFERROR(__xludf.DUMMYFUNCTION("""COMPUTED_VALUE""")," 32044150449254_020")</f>
        <v> 32044150449254_020</v>
      </c>
      <c r="D547" s="94" t="str">
        <f>IFERROR(__xludf.DUMMYFUNCTION("""COMPUTED_VALUE""")," 32044150449254_021")</f>
        <v> 32044150449254_021</v>
      </c>
      <c r="E547" s="94" t="str">
        <f>IFERROR(__xludf.DUMMYFUNCTION("""COMPUTED_VALUE""")," 32044150449254_022")</f>
        <v> 32044150449254_022</v>
      </c>
      <c r="F547" s="94" t="str">
        <f>IFERROR(__xludf.DUMMYFUNCTION("""COMPUTED_VALUE""")," 32044150449254_023")</f>
        <v> 32044150449254_023</v>
      </c>
      <c r="G547" s="94" t="str">
        <f>IFERROR(__xludf.DUMMYFUNCTION("""COMPUTED_VALUE""")," 32044150449254_024")</f>
        <v> 32044150449254_024</v>
      </c>
      <c r="H547" s="94" t="str">
        <f>IFERROR(__xludf.DUMMYFUNCTION("""COMPUTED_VALUE""")," 32044150449254_025")</f>
        <v> 32044150449254_025</v>
      </c>
      <c r="I547" s="94" t="str">
        <f>IFERROR(__xludf.DUMMYFUNCTION("""COMPUTED_VALUE""")," 32044150449254_026")</f>
        <v> 32044150449254_026</v>
      </c>
      <c r="J547" s="94" t="str">
        <f>IFERROR(__xludf.DUMMYFUNCTION("""COMPUTED_VALUE""")," 32044150449254_027")</f>
        <v> 32044150449254_027</v>
      </c>
      <c r="K547" s="94" t="str">
        <f>IFERROR(__xludf.DUMMYFUNCTION("""COMPUTED_VALUE""")," 32044150449254_028")</f>
        <v> 32044150449254_028</v>
      </c>
      <c r="L547" s="94" t="str">
        <f>IFERROR(__xludf.DUMMYFUNCTION("""COMPUTED_VALUE""")," 32044150449254_029")</f>
        <v> 32044150449254_029</v>
      </c>
      <c r="M547" s="94" t="str">
        <f>IFERROR(__xludf.DUMMYFUNCTION("""COMPUTED_VALUE""")," 32044150449254_030")</f>
        <v> 32044150449254_030</v>
      </c>
      <c r="N547" s="94" t="str">
        <f>IFERROR(__xludf.DUMMYFUNCTION("""COMPUTED_VALUE""")," 32044150449254_031")</f>
        <v> 32044150449254_031</v>
      </c>
      <c r="O547" s="94"/>
      <c r="P547" s="94"/>
      <c r="Q547" s="94"/>
      <c r="R547" s="94"/>
      <c r="S547" s="94"/>
      <c r="T547" s="94"/>
      <c r="U547" s="94"/>
      <c r="V547" s="94"/>
      <c r="W547" s="94"/>
      <c r="X547" s="94"/>
      <c r="Y547" s="94"/>
      <c r="Z547" s="94"/>
      <c r="AA547" s="94"/>
      <c r="AB547" s="94"/>
      <c r="AC547" s="94"/>
      <c r="AD547" s="94"/>
      <c r="AE547" s="94"/>
      <c r="AF547" s="94"/>
      <c r="AG547" s="94"/>
    </row>
    <row r="548">
      <c r="A548" s="96" t="s">
        <v>3993</v>
      </c>
      <c r="B548" s="95" t="str">
        <f>IFERROR(__xludf.DUMMYFUNCTION("""COMPUTED_VALUE"""),"32044150449254_001")</f>
        <v>32044150449254_001</v>
      </c>
      <c r="C548" s="94" t="str">
        <f>IFERROR(__xludf.DUMMYFUNCTION("""COMPUTED_VALUE""")," 32044150449254_002")</f>
        <v> 32044150449254_002</v>
      </c>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c r="AD548" s="94"/>
      <c r="AE548" s="94"/>
      <c r="AF548" s="94"/>
      <c r="AG548" s="94"/>
    </row>
    <row r="549">
      <c r="A549" s="96" t="s">
        <v>3998</v>
      </c>
      <c r="B549" s="95" t="str">
        <f>IFERROR(__xludf.DUMMYFUNCTION("""COMPUTED_VALUE"""),"32044150449254_003")</f>
        <v>32044150449254_003</v>
      </c>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c r="AD549" s="94"/>
      <c r="AE549" s="94"/>
      <c r="AF549" s="94"/>
      <c r="AG549" s="94"/>
    </row>
    <row r="550">
      <c r="A550" s="96" t="s">
        <v>4003</v>
      </c>
      <c r="B550" s="95" t="str">
        <f>IFERROR(__xludf.DUMMYFUNCTION("""COMPUTED_VALUE"""),"32044150449254_005")</f>
        <v>32044150449254_005</v>
      </c>
      <c r="C550" s="94" t="str">
        <f>IFERROR(__xludf.DUMMYFUNCTION("""COMPUTED_VALUE""")," 32044150449254_006")</f>
        <v> 32044150449254_006</v>
      </c>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c r="AD550" s="94"/>
      <c r="AE550" s="94"/>
      <c r="AF550" s="94"/>
      <c r="AG550" s="94"/>
    </row>
    <row r="551">
      <c r="A551" s="96" t="s">
        <v>4007</v>
      </c>
      <c r="B551" s="95" t="str">
        <f>IFERROR(__xludf.DUMMYFUNCTION("""COMPUTED_VALUE"""),"32044150449254_009")</f>
        <v>32044150449254_009</v>
      </c>
      <c r="C551" s="94" t="str">
        <f>IFERROR(__xludf.DUMMYFUNCTION("""COMPUTED_VALUE""")," 32044150449254_010")</f>
        <v> 32044150449254_010</v>
      </c>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c r="AD551" s="94"/>
      <c r="AE551" s="94"/>
      <c r="AF551" s="94"/>
      <c r="AG551" s="94"/>
    </row>
    <row r="552">
      <c r="A552" s="96" t="s">
        <v>4014</v>
      </c>
      <c r="B552" s="95" t="str">
        <f>IFERROR(__xludf.DUMMYFUNCTION("""COMPUTED_VALUE"""),"32044150449254_011")</f>
        <v>32044150449254_011</v>
      </c>
      <c r="C552" s="94" t="str">
        <f>IFERROR(__xludf.DUMMYFUNCTION("""COMPUTED_VALUE""")," 32044150449254_012")</f>
        <v> 32044150449254_012</v>
      </c>
      <c r="D552" s="94" t="str">
        <f>IFERROR(__xludf.DUMMYFUNCTION("""COMPUTED_VALUE""")," 32044150449254_013")</f>
        <v> 32044150449254_013</v>
      </c>
      <c r="E552" s="94" t="str">
        <f>IFERROR(__xludf.DUMMYFUNCTION("""COMPUTED_VALUE""")," 32044150449254_014")</f>
        <v> 32044150449254_014</v>
      </c>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c r="AD552" s="94"/>
      <c r="AE552" s="94"/>
      <c r="AF552" s="94"/>
      <c r="AG552" s="94"/>
    </row>
    <row r="553">
      <c r="A553" s="96" t="s">
        <v>4019</v>
      </c>
      <c r="B553" s="95" t="str">
        <f>IFERROR(__xludf.DUMMYFUNCTION("""COMPUTED_VALUE"""),"32044150449262_001")</f>
        <v>32044150449262_001</v>
      </c>
      <c r="C553" s="94" t="str">
        <f>IFERROR(__xludf.DUMMYFUNCTION("""COMPUTED_VALUE""")," 32044150449262_002")</f>
        <v> 32044150449262_002</v>
      </c>
      <c r="D553" s="94" t="str">
        <f>IFERROR(__xludf.DUMMYFUNCTION("""COMPUTED_VALUE""")," 32044150449262_003")</f>
        <v> 32044150449262_003</v>
      </c>
      <c r="E553" s="94" t="str">
        <f>IFERROR(__xludf.DUMMYFUNCTION("""COMPUTED_VALUE""")," 32044150449262_004")</f>
        <v> 32044150449262_004</v>
      </c>
      <c r="F553" s="94" t="str">
        <f>IFERROR(__xludf.DUMMYFUNCTION("""COMPUTED_VALUE""")," 32044150449262_005")</f>
        <v> 32044150449262_005</v>
      </c>
      <c r="G553" s="94" t="str">
        <f>IFERROR(__xludf.DUMMYFUNCTION("""COMPUTED_VALUE""")," 32044150449262_006")</f>
        <v> 32044150449262_006</v>
      </c>
      <c r="H553" s="94" t="str">
        <f>IFERROR(__xludf.DUMMYFUNCTION("""COMPUTED_VALUE""")," 32044150449262_007")</f>
        <v> 32044150449262_007</v>
      </c>
      <c r="I553" s="94" t="str">
        <f>IFERROR(__xludf.DUMMYFUNCTION("""COMPUTED_VALUE""")," 32044150449262_008")</f>
        <v> 32044150449262_008</v>
      </c>
      <c r="J553" s="94" t="str">
        <f>IFERROR(__xludf.DUMMYFUNCTION("""COMPUTED_VALUE""")," 32044150449262_009")</f>
        <v> 32044150449262_009</v>
      </c>
      <c r="K553" s="94" t="str">
        <f>IFERROR(__xludf.DUMMYFUNCTION("""COMPUTED_VALUE""")," 32044150449262_010")</f>
        <v> 32044150449262_010</v>
      </c>
      <c r="L553" s="94" t="str">
        <f>IFERROR(__xludf.DUMMYFUNCTION("""COMPUTED_VALUE""")," 32044150449262_011")</f>
        <v> 32044150449262_011</v>
      </c>
      <c r="M553" s="94" t="str">
        <f>IFERROR(__xludf.DUMMYFUNCTION("""COMPUTED_VALUE""")," 32044150449262_012")</f>
        <v> 32044150449262_012</v>
      </c>
      <c r="N553" s="94" t="str">
        <f>IFERROR(__xludf.DUMMYFUNCTION("""COMPUTED_VALUE""")," 32044150449262_013")</f>
        <v> 32044150449262_013</v>
      </c>
      <c r="O553" s="94" t="str">
        <f>IFERROR(__xludf.DUMMYFUNCTION("""COMPUTED_VALUE""")," 32044150449262_014")</f>
        <v> 32044150449262_014</v>
      </c>
      <c r="P553" s="94"/>
      <c r="Q553" s="94"/>
      <c r="R553" s="94"/>
      <c r="S553" s="94"/>
      <c r="T553" s="94"/>
      <c r="U553" s="94"/>
      <c r="V553" s="94"/>
      <c r="W553" s="94"/>
      <c r="X553" s="94"/>
      <c r="Y553" s="94"/>
      <c r="Z553" s="94"/>
      <c r="AA553" s="94"/>
      <c r="AB553" s="94"/>
      <c r="AC553" s="94"/>
      <c r="AD553" s="94"/>
      <c r="AE553" s="94"/>
      <c r="AF553" s="94"/>
      <c r="AG553" s="94"/>
    </row>
    <row r="554">
      <c r="A554" s="96" t="s">
        <v>4027</v>
      </c>
      <c r="B554" s="95" t="str">
        <f>IFERROR(__xludf.DUMMYFUNCTION("""COMPUTED_VALUE"""),"32044150449262_015")</f>
        <v>32044150449262_015</v>
      </c>
      <c r="C554" s="94" t="str">
        <f>IFERROR(__xludf.DUMMYFUNCTION("""COMPUTED_VALUE""")," 32044150449262_016")</f>
        <v> 32044150449262_016</v>
      </c>
      <c r="D554" s="94" t="str">
        <f>IFERROR(__xludf.DUMMYFUNCTION("""COMPUTED_VALUE""")," 32044150449262_017")</f>
        <v> 32044150449262_017</v>
      </c>
      <c r="E554" s="94" t="str">
        <f>IFERROR(__xludf.DUMMYFUNCTION("""COMPUTED_VALUE""")," 32044150449262_018")</f>
        <v> 32044150449262_018</v>
      </c>
      <c r="F554" s="94" t="str">
        <f>IFERROR(__xludf.DUMMYFUNCTION("""COMPUTED_VALUE""")," 32044150449262_019")</f>
        <v> 32044150449262_019</v>
      </c>
      <c r="G554" s="94" t="str">
        <f>IFERROR(__xludf.DUMMYFUNCTION("""COMPUTED_VALUE""")," 32044150449262_020")</f>
        <v> 32044150449262_020</v>
      </c>
      <c r="H554" s="94" t="str">
        <f>IFERROR(__xludf.DUMMYFUNCTION("""COMPUTED_VALUE""")," 32044150449262_021")</f>
        <v> 32044150449262_021</v>
      </c>
      <c r="I554" s="94" t="str">
        <f>IFERROR(__xludf.DUMMYFUNCTION("""COMPUTED_VALUE""")," 32044150449262_022")</f>
        <v> 32044150449262_022</v>
      </c>
      <c r="J554" s="94" t="str">
        <f>IFERROR(__xludf.DUMMYFUNCTION("""COMPUTED_VALUE""")," 32044150449262_023")</f>
        <v> 32044150449262_023</v>
      </c>
      <c r="K554" s="94" t="str">
        <f>IFERROR(__xludf.DUMMYFUNCTION("""COMPUTED_VALUE""")," 32044150449262_024")</f>
        <v> 32044150449262_024</v>
      </c>
      <c r="L554" s="94" t="str">
        <f>IFERROR(__xludf.DUMMYFUNCTION("""COMPUTED_VALUE""")," 32044150449262_025")</f>
        <v> 32044150449262_025</v>
      </c>
      <c r="M554" s="94" t="str">
        <f>IFERROR(__xludf.DUMMYFUNCTION("""COMPUTED_VALUE""")," 32044150449262_026")</f>
        <v> 32044150449262_026</v>
      </c>
      <c r="N554" s="94" t="str">
        <f>IFERROR(__xludf.DUMMYFUNCTION("""COMPUTED_VALUE""")," 32044150449262_027")</f>
        <v> 32044150449262_027</v>
      </c>
      <c r="O554" s="94" t="str">
        <f>IFERROR(__xludf.DUMMYFUNCTION("""COMPUTED_VALUE""")," 32044150449262_028")</f>
        <v> 32044150449262_028</v>
      </c>
      <c r="P554" s="94"/>
      <c r="Q554" s="94"/>
      <c r="R554" s="94"/>
      <c r="S554" s="94"/>
      <c r="T554" s="94"/>
      <c r="U554" s="94"/>
      <c r="V554" s="94"/>
      <c r="W554" s="94"/>
      <c r="X554" s="94"/>
      <c r="Y554" s="94"/>
      <c r="Z554" s="94"/>
      <c r="AA554" s="94"/>
      <c r="AB554" s="94"/>
      <c r="AC554" s="94"/>
      <c r="AD554" s="94"/>
      <c r="AE554" s="94"/>
      <c r="AF554" s="94"/>
      <c r="AG554" s="94"/>
    </row>
    <row r="555">
      <c r="A555" s="96" t="s">
        <v>4031</v>
      </c>
      <c r="B555" s="95" t="str">
        <f>IFERROR(__xludf.DUMMYFUNCTION("""COMPUTED_VALUE"""),"32044150449262_029")</f>
        <v>32044150449262_029</v>
      </c>
      <c r="C555" s="94" t="str">
        <f>IFERROR(__xludf.DUMMYFUNCTION("""COMPUTED_VALUE""")," 32044150449262_030")</f>
        <v> 32044150449262_030</v>
      </c>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c r="AD555" s="94"/>
      <c r="AE555" s="94"/>
      <c r="AF555" s="94"/>
      <c r="AG555" s="94"/>
    </row>
    <row r="556">
      <c r="A556" s="96" t="s">
        <v>4036</v>
      </c>
      <c r="B556" s="95" t="str">
        <f>IFERROR(__xludf.DUMMYFUNCTION("""COMPUTED_VALUE"""),"32044150449262_031")</f>
        <v>32044150449262_031</v>
      </c>
      <c r="C556" s="94" t="str">
        <f>IFERROR(__xludf.DUMMYFUNCTION("""COMPUTED_VALUE""")," 32044150449262_032")</f>
        <v> 32044150449262_032</v>
      </c>
      <c r="D556" s="94" t="str">
        <f>IFERROR(__xludf.DUMMYFUNCTION("""COMPUTED_VALUE""")," 32044150449262_033")</f>
        <v> 32044150449262_033</v>
      </c>
      <c r="E556" s="94" t="str">
        <f>IFERROR(__xludf.DUMMYFUNCTION("""COMPUTED_VALUE""")," 32044150449262_034")</f>
        <v> 32044150449262_034</v>
      </c>
      <c r="F556" s="94" t="str">
        <f>IFERROR(__xludf.DUMMYFUNCTION("""COMPUTED_VALUE""")," 32044150449262_035")</f>
        <v> 32044150449262_035</v>
      </c>
      <c r="G556" s="94" t="str">
        <f>IFERROR(__xludf.DUMMYFUNCTION("""COMPUTED_VALUE""")," 32044150449262_036")</f>
        <v> 32044150449262_036</v>
      </c>
      <c r="H556" s="94" t="str">
        <f>IFERROR(__xludf.DUMMYFUNCTION("""COMPUTED_VALUE""")," 32044150449262_037")</f>
        <v> 32044150449262_037</v>
      </c>
      <c r="I556" s="94" t="str">
        <f>IFERROR(__xludf.DUMMYFUNCTION("""COMPUTED_VALUE""")," 32044150449262_038")</f>
        <v> 32044150449262_038</v>
      </c>
      <c r="J556" s="94" t="str">
        <f>IFERROR(__xludf.DUMMYFUNCTION("""COMPUTED_VALUE""")," 32044150449262_039")</f>
        <v> 32044150449262_039</v>
      </c>
      <c r="K556" s="94" t="str">
        <f>IFERROR(__xludf.DUMMYFUNCTION("""COMPUTED_VALUE""")," 32044150449262_040")</f>
        <v> 32044150449262_040</v>
      </c>
      <c r="L556" s="94" t="str">
        <f>IFERROR(__xludf.DUMMYFUNCTION("""COMPUTED_VALUE""")," 32044150449262_041")</f>
        <v> 32044150449262_041</v>
      </c>
      <c r="M556" s="94"/>
      <c r="N556" s="94"/>
      <c r="O556" s="94"/>
      <c r="P556" s="94"/>
      <c r="Q556" s="94"/>
      <c r="R556" s="94"/>
      <c r="S556" s="94"/>
      <c r="T556" s="94"/>
      <c r="U556" s="94"/>
      <c r="V556" s="94"/>
      <c r="W556" s="94"/>
      <c r="X556" s="94"/>
      <c r="Y556" s="94"/>
      <c r="Z556" s="94"/>
      <c r="AA556" s="94"/>
      <c r="AB556" s="94"/>
      <c r="AC556" s="94"/>
      <c r="AD556" s="94"/>
      <c r="AE556" s="94"/>
      <c r="AF556" s="94"/>
      <c r="AG556" s="94"/>
    </row>
    <row r="557">
      <c r="A557" s="96" t="s">
        <v>4041</v>
      </c>
      <c r="B557" s="95" t="str">
        <f>IFERROR(__xludf.DUMMYFUNCTION("""COMPUTED_VALUE"""),"32044150449262_042")</f>
        <v>32044150449262_042</v>
      </c>
      <c r="C557" s="94" t="str">
        <f>IFERROR(__xludf.DUMMYFUNCTION("""COMPUTED_VALUE""")," 32044150449262_043")</f>
        <v> 32044150449262_043</v>
      </c>
      <c r="D557" s="94" t="str">
        <f>IFERROR(__xludf.DUMMYFUNCTION("""COMPUTED_VALUE""")," 32044150449262_044")</f>
        <v> 32044150449262_044</v>
      </c>
      <c r="E557" s="94" t="str">
        <f>IFERROR(__xludf.DUMMYFUNCTION("""COMPUTED_VALUE""")," 32044150449262_045")</f>
        <v> 32044150449262_045</v>
      </c>
      <c r="F557" s="94" t="str">
        <f>IFERROR(__xludf.DUMMYFUNCTION("""COMPUTED_VALUE""")," 32044150449262_046")</f>
        <v> 32044150449262_046</v>
      </c>
      <c r="G557" s="94" t="str">
        <f>IFERROR(__xludf.DUMMYFUNCTION("""COMPUTED_VALUE""")," 32044150449262_047")</f>
        <v> 32044150449262_047</v>
      </c>
      <c r="H557" s="94" t="str">
        <f>IFERROR(__xludf.DUMMYFUNCTION("""COMPUTED_VALUE""")," 32044150449262_048")</f>
        <v> 32044150449262_048</v>
      </c>
      <c r="I557" s="94"/>
      <c r="J557" s="94"/>
      <c r="K557" s="94"/>
      <c r="L557" s="94"/>
      <c r="M557" s="94"/>
      <c r="N557" s="94"/>
      <c r="O557" s="94"/>
      <c r="P557" s="94"/>
      <c r="Q557" s="94"/>
      <c r="R557" s="94"/>
      <c r="S557" s="94"/>
      <c r="T557" s="94"/>
      <c r="U557" s="94"/>
      <c r="V557" s="94"/>
      <c r="W557" s="94"/>
      <c r="X557" s="94"/>
      <c r="Y557" s="94"/>
      <c r="Z557" s="94"/>
      <c r="AA557" s="94"/>
      <c r="AB557" s="94"/>
      <c r="AC557" s="94"/>
      <c r="AD557" s="94"/>
      <c r="AE557" s="94"/>
      <c r="AF557" s="94"/>
      <c r="AG557" s="94"/>
    </row>
    <row r="558">
      <c r="A558" s="96" t="s">
        <v>4046</v>
      </c>
      <c r="B558" s="95" t="str">
        <f>IFERROR(__xludf.DUMMYFUNCTION("""COMPUTED_VALUE"""),"32044150449262_049")</f>
        <v>32044150449262_049</v>
      </c>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c r="AD558" s="94"/>
      <c r="AE558" s="94"/>
      <c r="AF558" s="94"/>
      <c r="AG558" s="94"/>
    </row>
    <row r="559">
      <c r="A559" s="96" t="s">
        <v>4051</v>
      </c>
      <c r="B559" s="95" t="str">
        <f>IFERROR(__xludf.DUMMYFUNCTION("""COMPUTED_VALUE"""),"32044150449270_001")</f>
        <v>32044150449270_001</v>
      </c>
      <c r="C559" s="94" t="str">
        <f>IFERROR(__xludf.DUMMYFUNCTION("""COMPUTED_VALUE""")," 32044150449270_002")</f>
        <v> 32044150449270_002</v>
      </c>
      <c r="D559" s="94" t="str">
        <f>IFERROR(__xludf.DUMMYFUNCTION("""COMPUTED_VALUE""")," 32044150449270_003")</f>
        <v> 32044150449270_003</v>
      </c>
      <c r="E559" s="94" t="str">
        <f>IFERROR(__xludf.DUMMYFUNCTION("""COMPUTED_VALUE""")," 32044150449270_004")</f>
        <v> 32044150449270_004</v>
      </c>
      <c r="F559" s="94" t="str">
        <f>IFERROR(__xludf.DUMMYFUNCTION("""COMPUTED_VALUE""")," 32044150449270_005")</f>
        <v> 32044150449270_005</v>
      </c>
      <c r="G559" s="94" t="str">
        <f>IFERROR(__xludf.DUMMYFUNCTION("""COMPUTED_VALUE""")," 32044150449270_006")</f>
        <v> 32044150449270_006</v>
      </c>
      <c r="H559" s="94" t="str">
        <f>IFERROR(__xludf.DUMMYFUNCTION("""COMPUTED_VALUE""")," 32044150449270_007")</f>
        <v> 32044150449270_007</v>
      </c>
      <c r="I559" s="94" t="str">
        <f>IFERROR(__xludf.DUMMYFUNCTION("""COMPUTED_VALUE""")," 32044150449270_008")</f>
        <v> 32044150449270_008</v>
      </c>
      <c r="J559" s="94" t="str">
        <f>IFERROR(__xludf.DUMMYFUNCTION("""COMPUTED_VALUE""")," 32044150449270_009")</f>
        <v> 32044150449270_009</v>
      </c>
      <c r="K559" s="94"/>
      <c r="L559" s="94"/>
      <c r="M559" s="94"/>
      <c r="N559" s="94"/>
      <c r="O559" s="94"/>
      <c r="P559" s="94"/>
      <c r="Q559" s="94"/>
      <c r="R559" s="94"/>
      <c r="S559" s="94"/>
      <c r="T559" s="94"/>
      <c r="U559" s="94"/>
      <c r="V559" s="94"/>
      <c r="W559" s="94"/>
      <c r="X559" s="94"/>
      <c r="Y559" s="94"/>
      <c r="Z559" s="94"/>
      <c r="AA559" s="94"/>
      <c r="AB559" s="94"/>
      <c r="AC559" s="94"/>
      <c r="AD559" s="94"/>
      <c r="AE559" s="94"/>
      <c r="AF559" s="94"/>
      <c r="AG559" s="94"/>
    </row>
    <row r="560">
      <c r="A560" s="96" t="s">
        <v>4055</v>
      </c>
      <c r="B560" s="95" t="str">
        <f>IFERROR(__xludf.DUMMYFUNCTION("""COMPUTED_VALUE"""),"32044150449270_010")</f>
        <v>32044150449270_010</v>
      </c>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c r="AD560" s="94"/>
      <c r="AE560" s="94"/>
      <c r="AF560" s="94"/>
      <c r="AG560" s="94"/>
    </row>
    <row r="561">
      <c r="A561" s="96" t="s">
        <v>4061</v>
      </c>
      <c r="B561" s="95" t="str">
        <f>IFERROR(__xludf.DUMMYFUNCTION("""COMPUTED_VALUE"""),"32044150449270_011")</f>
        <v>32044150449270_011</v>
      </c>
      <c r="C561" s="94" t="str">
        <f>IFERROR(__xludf.DUMMYFUNCTION("""COMPUTED_VALUE""")," 32044150449270_012")</f>
        <v> 32044150449270_012</v>
      </c>
      <c r="D561" s="94" t="str">
        <f>IFERROR(__xludf.DUMMYFUNCTION("""COMPUTED_VALUE""")," 32044150449270_013")</f>
        <v> 32044150449270_013</v>
      </c>
      <c r="E561" s="94" t="str">
        <f>IFERROR(__xludf.DUMMYFUNCTION("""COMPUTED_VALUE""")," 32044150449270_014")</f>
        <v> 32044150449270_014</v>
      </c>
      <c r="F561" s="94" t="str">
        <f>IFERROR(__xludf.DUMMYFUNCTION("""COMPUTED_VALUE""")," 32044150449270_015")</f>
        <v> 32044150449270_015</v>
      </c>
      <c r="G561" s="94" t="str">
        <f>IFERROR(__xludf.DUMMYFUNCTION("""COMPUTED_VALUE""")," 32044150449270_016")</f>
        <v> 32044150449270_016</v>
      </c>
      <c r="H561" s="94" t="str">
        <f>IFERROR(__xludf.DUMMYFUNCTION("""COMPUTED_VALUE""")," 32044150449270_017")</f>
        <v> 32044150449270_017</v>
      </c>
      <c r="I561" s="94" t="str">
        <f>IFERROR(__xludf.DUMMYFUNCTION("""COMPUTED_VALUE""")," 32044150449270_018")</f>
        <v> 32044150449270_018</v>
      </c>
      <c r="J561" s="94" t="str">
        <f>IFERROR(__xludf.DUMMYFUNCTION("""COMPUTED_VALUE""")," 32044150449270_019")</f>
        <v> 32044150449270_019</v>
      </c>
      <c r="K561" s="94" t="str">
        <f>IFERROR(__xludf.DUMMYFUNCTION("""COMPUTED_VALUE""")," 32044150449270_020")</f>
        <v> 32044150449270_020</v>
      </c>
      <c r="L561" s="94" t="str">
        <f>IFERROR(__xludf.DUMMYFUNCTION("""COMPUTED_VALUE""")," 32044150449270_021")</f>
        <v> 32044150449270_021</v>
      </c>
      <c r="M561" s="94"/>
      <c r="N561" s="94"/>
      <c r="O561" s="94"/>
      <c r="P561" s="94"/>
      <c r="Q561" s="94"/>
      <c r="R561" s="94"/>
      <c r="S561" s="94"/>
      <c r="T561" s="94"/>
      <c r="U561" s="94"/>
      <c r="V561" s="94"/>
      <c r="W561" s="94"/>
      <c r="X561" s="94"/>
      <c r="Y561" s="94"/>
      <c r="Z561" s="94"/>
      <c r="AA561" s="94"/>
      <c r="AB561" s="94"/>
      <c r="AC561" s="94"/>
      <c r="AD561" s="94"/>
      <c r="AE561" s="94"/>
      <c r="AF561" s="94"/>
      <c r="AG561" s="94"/>
    </row>
    <row r="562">
      <c r="A562" s="96" t="s">
        <v>4066</v>
      </c>
      <c r="B562" s="95" t="str">
        <f>IFERROR(__xludf.DUMMYFUNCTION("""COMPUTED_VALUE"""),"32044150449270_022")</f>
        <v>32044150449270_022</v>
      </c>
      <c r="C562" s="94" t="str">
        <f>IFERROR(__xludf.DUMMYFUNCTION("""COMPUTED_VALUE""")," 32044150449270_023")</f>
        <v> 32044150449270_023</v>
      </c>
      <c r="D562" s="94" t="str">
        <f>IFERROR(__xludf.DUMMYFUNCTION("""COMPUTED_VALUE""")," 32044150449270_024")</f>
        <v> 32044150449270_024</v>
      </c>
      <c r="E562" s="94" t="str">
        <f>IFERROR(__xludf.DUMMYFUNCTION("""COMPUTED_VALUE""")," 32044150449270_025")</f>
        <v> 32044150449270_025</v>
      </c>
      <c r="F562" s="94" t="str">
        <f>IFERROR(__xludf.DUMMYFUNCTION("""COMPUTED_VALUE""")," 32044150449270_026")</f>
        <v> 32044150449270_026</v>
      </c>
      <c r="G562" s="94" t="str">
        <f>IFERROR(__xludf.DUMMYFUNCTION("""COMPUTED_VALUE""")," 32044150449270_027")</f>
        <v> 32044150449270_027</v>
      </c>
      <c r="H562" s="94"/>
      <c r="I562" s="94"/>
      <c r="J562" s="94"/>
      <c r="K562" s="94"/>
      <c r="L562" s="94"/>
      <c r="M562" s="94"/>
      <c r="N562" s="94"/>
      <c r="O562" s="94"/>
      <c r="P562" s="94"/>
      <c r="Q562" s="94"/>
      <c r="R562" s="94"/>
      <c r="S562" s="94"/>
      <c r="T562" s="94"/>
      <c r="U562" s="94"/>
      <c r="V562" s="94"/>
      <c r="W562" s="94"/>
      <c r="X562" s="94"/>
      <c r="Y562" s="94"/>
      <c r="Z562" s="94"/>
      <c r="AA562" s="94"/>
      <c r="AB562" s="94"/>
      <c r="AC562" s="94"/>
      <c r="AD562" s="94"/>
      <c r="AE562" s="94"/>
      <c r="AF562" s="94"/>
      <c r="AG562" s="94"/>
    </row>
    <row r="563">
      <c r="A563" s="96" t="s">
        <v>4072</v>
      </c>
      <c r="B563" s="95" t="str">
        <f>IFERROR(__xludf.DUMMYFUNCTION("""COMPUTED_VALUE"""),"32044150449288_001")</f>
        <v>32044150449288_001</v>
      </c>
      <c r="C563" s="94" t="str">
        <f>IFERROR(__xludf.DUMMYFUNCTION("""COMPUTED_VALUE""")," 32044150449288_002")</f>
        <v> 32044150449288_002</v>
      </c>
      <c r="D563" s="94" t="str">
        <f>IFERROR(__xludf.DUMMYFUNCTION("""COMPUTED_VALUE""")," 32044150449288_003")</f>
        <v> 32044150449288_003</v>
      </c>
      <c r="E563" s="94" t="str">
        <f>IFERROR(__xludf.DUMMYFUNCTION("""COMPUTED_VALUE""")," 32044150449288_004")</f>
        <v> 32044150449288_004</v>
      </c>
      <c r="F563" s="94" t="str">
        <f>IFERROR(__xludf.DUMMYFUNCTION("""COMPUTED_VALUE""")," 32044150449288_005")</f>
        <v> 32044150449288_005</v>
      </c>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c r="AD563" s="94"/>
      <c r="AE563" s="94"/>
      <c r="AF563" s="94"/>
      <c r="AG563" s="94"/>
    </row>
    <row r="564">
      <c r="A564" s="96" t="s">
        <v>4076</v>
      </c>
      <c r="B564" s="95" t="str">
        <f>IFERROR(__xludf.DUMMYFUNCTION("""COMPUTED_VALUE"""),"32044150449296_001")</f>
        <v>32044150449296_001</v>
      </c>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c r="AD564" s="94"/>
      <c r="AE564" s="94"/>
      <c r="AF564" s="94"/>
      <c r="AG564" s="94"/>
    </row>
    <row r="565">
      <c r="A565" s="96" t="s">
        <v>4081</v>
      </c>
      <c r="B565" s="95" t="str">
        <f>IFERROR(__xludf.DUMMYFUNCTION("""COMPUTED_VALUE"""),"32044150449296_002")</f>
        <v>32044150449296_002</v>
      </c>
      <c r="C565" s="94" t="str">
        <f>IFERROR(__xludf.DUMMYFUNCTION("""COMPUTED_VALUE""")," 32044150449296_003")</f>
        <v> 32044150449296_003</v>
      </c>
      <c r="D565" s="94" t="str">
        <f>IFERROR(__xludf.DUMMYFUNCTION("""COMPUTED_VALUE""")," 32044150449296_004")</f>
        <v> 32044150449296_004</v>
      </c>
      <c r="E565" s="94" t="str">
        <f>IFERROR(__xludf.DUMMYFUNCTION("""COMPUTED_VALUE""")," 32044150449296_005")</f>
        <v> 32044150449296_005</v>
      </c>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c r="AD565" s="94"/>
      <c r="AE565" s="94"/>
      <c r="AF565" s="94"/>
      <c r="AG565" s="94"/>
    </row>
    <row r="566">
      <c r="A566" s="96" t="s">
        <v>4085</v>
      </c>
      <c r="B566" s="95" t="str">
        <f>IFERROR(__xludf.DUMMYFUNCTION("""COMPUTED_VALUE"""),"32044150449296_006")</f>
        <v>32044150449296_006</v>
      </c>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c r="AD566" s="94"/>
      <c r="AE566" s="94"/>
      <c r="AF566" s="94"/>
      <c r="AG566" s="94"/>
    </row>
    <row r="567">
      <c r="A567" s="96" t="s">
        <v>4091</v>
      </c>
      <c r="B567" s="95" t="str">
        <f>IFERROR(__xludf.DUMMYFUNCTION("""COMPUTED_VALUE"""),"32044150449296_007")</f>
        <v>32044150449296_007</v>
      </c>
      <c r="C567" s="94" t="str">
        <f>IFERROR(__xludf.DUMMYFUNCTION("""COMPUTED_VALUE""")," 32044150449296_008")</f>
        <v> 32044150449296_008</v>
      </c>
      <c r="D567" s="94" t="str">
        <f>IFERROR(__xludf.DUMMYFUNCTION("""COMPUTED_VALUE""")," 32044150449296_009")</f>
        <v> 32044150449296_009</v>
      </c>
      <c r="E567" s="94" t="str">
        <f>IFERROR(__xludf.DUMMYFUNCTION("""COMPUTED_VALUE""")," 32044150449296_010")</f>
        <v> 32044150449296_010</v>
      </c>
      <c r="F567" s="94" t="str">
        <f>IFERROR(__xludf.DUMMYFUNCTION("""COMPUTED_VALUE""")," 32044150449296_011")</f>
        <v> 32044150449296_011</v>
      </c>
      <c r="G567" s="94" t="str">
        <f>IFERROR(__xludf.DUMMYFUNCTION("""COMPUTED_VALUE""")," 32044150449296_012")</f>
        <v> 32044150449296_012</v>
      </c>
      <c r="H567" s="94" t="str">
        <f>IFERROR(__xludf.DUMMYFUNCTION("""COMPUTED_VALUE""")," 32044150449296_013")</f>
        <v> 32044150449296_013</v>
      </c>
      <c r="I567" s="94" t="str">
        <f>IFERROR(__xludf.DUMMYFUNCTION("""COMPUTED_VALUE""")," 32044150449296_014")</f>
        <v> 32044150449296_014</v>
      </c>
      <c r="J567" s="94" t="str">
        <f>IFERROR(__xludf.DUMMYFUNCTION("""COMPUTED_VALUE""")," 32044150449296_015")</f>
        <v> 32044150449296_015</v>
      </c>
      <c r="K567" s="94" t="str">
        <f>IFERROR(__xludf.DUMMYFUNCTION("""COMPUTED_VALUE""")," 32044150449296_016")</f>
        <v> 32044150449296_016</v>
      </c>
      <c r="L567" s="94" t="str">
        <f>IFERROR(__xludf.DUMMYFUNCTION("""COMPUTED_VALUE""")," 32044150449296_017")</f>
        <v> 32044150449296_017</v>
      </c>
      <c r="M567" s="94" t="str">
        <f>IFERROR(__xludf.DUMMYFUNCTION("""COMPUTED_VALUE""")," 32044150449296_018")</f>
        <v> 32044150449296_018</v>
      </c>
      <c r="N567" s="94" t="str">
        <f>IFERROR(__xludf.DUMMYFUNCTION("""COMPUTED_VALUE""")," 32044150449296_019")</f>
        <v> 32044150449296_019</v>
      </c>
      <c r="O567" s="94"/>
      <c r="P567" s="94"/>
      <c r="Q567" s="94"/>
      <c r="R567" s="94"/>
      <c r="S567" s="94"/>
      <c r="T567" s="94"/>
      <c r="U567" s="94"/>
      <c r="V567" s="94"/>
      <c r="W567" s="94"/>
      <c r="X567" s="94"/>
      <c r="Y567" s="94"/>
      <c r="Z567" s="94"/>
      <c r="AA567" s="94"/>
      <c r="AB567" s="94"/>
      <c r="AC567" s="94"/>
      <c r="AD567" s="94"/>
      <c r="AE567" s="94"/>
      <c r="AF567" s="94"/>
      <c r="AG567" s="94"/>
    </row>
    <row r="568">
      <c r="A568" s="96" t="s">
        <v>4096</v>
      </c>
      <c r="B568" s="95" t="str">
        <f>IFERROR(__xludf.DUMMYFUNCTION("""COMPUTED_VALUE"""),"32044150449304_001")</f>
        <v>32044150449304_001</v>
      </c>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c r="AD568" s="94"/>
      <c r="AE568" s="94"/>
      <c r="AF568" s="94"/>
      <c r="AG568" s="94"/>
    </row>
    <row r="569">
      <c r="A569" s="96" t="s">
        <v>4100</v>
      </c>
      <c r="B569" s="95" t="str">
        <f>IFERROR(__xludf.DUMMYFUNCTION("""COMPUTED_VALUE"""),"32044150449304_002")</f>
        <v>32044150449304_002</v>
      </c>
      <c r="C569" s="94" t="str">
        <f>IFERROR(__xludf.DUMMYFUNCTION("""COMPUTED_VALUE""")," 32044150449304_003")</f>
        <v> 32044150449304_003</v>
      </c>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c r="AD569" s="94"/>
      <c r="AE569" s="94"/>
      <c r="AF569" s="94"/>
      <c r="AG569" s="94"/>
    </row>
    <row r="570">
      <c r="A570" s="96" t="s">
        <v>4106</v>
      </c>
      <c r="B570" s="95" t="str">
        <f>IFERROR(__xludf.DUMMYFUNCTION("""COMPUTED_VALUE"""),"32044150449312_001")</f>
        <v>32044150449312_001</v>
      </c>
      <c r="C570" s="94" t="str">
        <f>IFERROR(__xludf.DUMMYFUNCTION("""COMPUTED_VALUE""")," 32044150449312_002")</f>
        <v> 32044150449312_002</v>
      </c>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c r="AD570" s="94"/>
      <c r="AE570" s="94"/>
      <c r="AF570" s="94"/>
      <c r="AG570" s="94"/>
    </row>
    <row r="571">
      <c r="A571" s="96" t="s">
        <v>4110</v>
      </c>
      <c r="B571" s="95" t="str">
        <f>IFERROR(__xludf.DUMMYFUNCTION("""COMPUTED_VALUE"""),"32044150449312_003")</f>
        <v>32044150449312_003</v>
      </c>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c r="AD571" s="94"/>
      <c r="AE571" s="94"/>
      <c r="AF571" s="94"/>
      <c r="AG571" s="94"/>
    </row>
    <row r="572">
      <c r="A572" s="96" t="s">
        <v>4115</v>
      </c>
      <c r="B572" s="95" t="str">
        <f>IFERROR(__xludf.DUMMYFUNCTION("""COMPUTED_VALUE"""),"32044150449312_006")</f>
        <v>32044150449312_006</v>
      </c>
      <c r="C572" s="94" t="str">
        <f>IFERROR(__xludf.DUMMYFUNCTION("""COMPUTED_VALUE""")," 32044150449312_007")</f>
        <v> 32044150449312_007</v>
      </c>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c r="AD572" s="94"/>
      <c r="AE572" s="94"/>
      <c r="AF572" s="94"/>
      <c r="AG572" s="94"/>
    </row>
    <row r="573">
      <c r="A573" s="96" t="s">
        <v>4121</v>
      </c>
      <c r="B573" s="95" t="str">
        <f>IFERROR(__xludf.DUMMYFUNCTION("""COMPUTED_VALUE"""),"32044150449312_008")</f>
        <v>32044150449312_008</v>
      </c>
      <c r="C573" s="94" t="str">
        <f>IFERROR(__xludf.DUMMYFUNCTION("""COMPUTED_VALUE""")," 32044150449312_009")</f>
        <v> 32044150449312_009</v>
      </c>
      <c r="D573" s="94" t="str">
        <f>IFERROR(__xludf.DUMMYFUNCTION("""COMPUTED_VALUE""")," 32044150449312_010")</f>
        <v> 32044150449312_010</v>
      </c>
      <c r="E573" s="94" t="str">
        <f>IFERROR(__xludf.DUMMYFUNCTION("""COMPUTED_VALUE""")," 32044150449312_011")</f>
        <v> 32044150449312_011</v>
      </c>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c r="AD573" s="94"/>
      <c r="AE573" s="94"/>
      <c r="AF573" s="94"/>
      <c r="AG573" s="94"/>
    </row>
    <row r="574">
      <c r="A574" s="96" t="s">
        <v>4128</v>
      </c>
      <c r="B574" s="95" t="str">
        <f>IFERROR(__xludf.DUMMYFUNCTION("""COMPUTED_VALUE"""),"32044150449312_012")</f>
        <v>32044150449312_012</v>
      </c>
      <c r="C574" s="94" t="str">
        <f>IFERROR(__xludf.DUMMYFUNCTION("""COMPUTED_VALUE""")," 32044150449312_013")</f>
        <v> 32044150449312_013</v>
      </c>
      <c r="D574" s="94" t="str">
        <f>IFERROR(__xludf.DUMMYFUNCTION("""COMPUTED_VALUE""")," 32044150449312_014")</f>
        <v> 32044150449312_014</v>
      </c>
      <c r="E574" s="94" t="str">
        <f>IFERROR(__xludf.DUMMYFUNCTION("""COMPUTED_VALUE""")," 32044150449312_15")</f>
        <v> 32044150449312_15</v>
      </c>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c r="AD574" s="94"/>
      <c r="AE574" s="94"/>
      <c r="AF574" s="94"/>
      <c r="AG574" s="94"/>
    </row>
    <row r="575">
      <c r="A575" s="96" t="s">
        <v>4131</v>
      </c>
      <c r="B575" s="95" t="str">
        <f>IFERROR(__xludf.DUMMYFUNCTION("""COMPUTED_VALUE"""),"32044150449312_004")</f>
        <v>32044150449312_004</v>
      </c>
      <c r="C575" s="94" t="str">
        <f>IFERROR(__xludf.DUMMYFUNCTION("""COMPUTED_VALUE""")," 32044150449312_005")</f>
        <v> 32044150449312_005</v>
      </c>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c r="AD575" s="94"/>
      <c r="AE575" s="94"/>
      <c r="AF575" s="94"/>
      <c r="AG575" s="94"/>
    </row>
    <row r="576">
      <c r="A576" s="96" t="s">
        <v>4143</v>
      </c>
      <c r="B576" s="95" t="str">
        <f>IFERROR(__xludf.DUMMYFUNCTION("""COMPUTED_VALUE"""),"32044150449320_001")</f>
        <v>32044150449320_001</v>
      </c>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c r="AD576" s="94"/>
      <c r="AE576" s="94"/>
      <c r="AF576" s="94"/>
      <c r="AG576" s="94"/>
    </row>
    <row r="577">
      <c r="A577" s="96" t="s">
        <v>4150</v>
      </c>
      <c r="B577" s="95" t="str">
        <f>IFERROR(__xludf.DUMMYFUNCTION("""COMPUTED_VALUE"""),"32044150449320_002")</f>
        <v>32044150449320_002</v>
      </c>
      <c r="C577" s="94" t="str">
        <f>IFERROR(__xludf.DUMMYFUNCTION("""COMPUTED_VALUE""")," 32044150449320_003")</f>
        <v> 32044150449320_003</v>
      </c>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c r="AD577" s="94"/>
      <c r="AE577" s="94"/>
      <c r="AF577" s="94"/>
      <c r="AG577" s="94"/>
    </row>
    <row r="578">
      <c r="A578" s="96" t="s">
        <v>4156</v>
      </c>
      <c r="B578" s="95" t="str">
        <f>IFERROR(__xludf.DUMMYFUNCTION("""COMPUTED_VALUE"""),"32044150449320_004")</f>
        <v>32044150449320_004</v>
      </c>
      <c r="C578" s="94" t="str">
        <f>IFERROR(__xludf.DUMMYFUNCTION("""COMPUTED_VALUE""")," 32044150449320_005")</f>
        <v> 32044150449320_005</v>
      </c>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c r="AD578" s="94"/>
      <c r="AE578" s="94"/>
      <c r="AF578" s="94"/>
      <c r="AG578" s="94"/>
    </row>
    <row r="579">
      <c r="A579" s="96" t="s">
        <v>4164</v>
      </c>
      <c r="B579" s="95" t="str">
        <f>IFERROR(__xludf.DUMMYFUNCTION("""COMPUTED_VALUE"""),"32044150449320_006")</f>
        <v>32044150449320_006</v>
      </c>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c r="AD579" s="94"/>
      <c r="AE579" s="94"/>
      <c r="AF579" s="94"/>
      <c r="AG579" s="94"/>
    </row>
    <row r="580">
      <c r="A580" s="96" t="s">
        <v>4173</v>
      </c>
      <c r="B580" s="95" t="str">
        <f>IFERROR(__xludf.DUMMYFUNCTION("""COMPUTED_VALUE"""),"32044150449320_007")</f>
        <v>32044150449320_007</v>
      </c>
      <c r="C580" s="94" t="str">
        <f>IFERROR(__xludf.DUMMYFUNCTION("""COMPUTED_VALUE""")," 32044150449320_008")</f>
        <v> 32044150449320_008</v>
      </c>
      <c r="D580" s="94" t="str">
        <f>IFERROR(__xludf.DUMMYFUNCTION("""COMPUTED_VALUE""")," 32044150449320_009")</f>
        <v> 32044150449320_009</v>
      </c>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c r="AD580" s="94"/>
      <c r="AE580" s="94"/>
      <c r="AF580" s="94"/>
      <c r="AG580" s="94"/>
    </row>
    <row r="581">
      <c r="A581" s="96" t="s">
        <v>4179</v>
      </c>
      <c r="B581" s="95" t="str">
        <f>IFERROR(__xludf.DUMMYFUNCTION("""COMPUTED_VALUE"""),"32044150449338_001")</f>
        <v>32044150449338_001</v>
      </c>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c r="AD581" s="94"/>
      <c r="AE581" s="94"/>
      <c r="AF581" s="94"/>
      <c r="AG581" s="94"/>
    </row>
    <row r="582">
      <c r="A582" s="96" t="s">
        <v>4189</v>
      </c>
      <c r="B582" s="95" t="str">
        <f>IFERROR(__xludf.DUMMYFUNCTION("""COMPUTED_VALUE"""),"32044150449338_002")</f>
        <v>32044150449338_002</v>
      </c>
      <c r="C582" s="94" t="str">
        <f>IFERROR(__xludf.DUMMYFUNCTION("""COMPUTED_VALUE""")," 32044150449338_003")</f>
        <v> 32044150449338_003</v>
      </c>
      <c r="D582" s="94" t="str">
        <f>IFERROR(__xludf.DUMMYFUNCTION("""COMPUTED_VALUE""")," 32044150449338_004")</f>
        <v> 32044150449338_004</v>
      </c>
      <c r="E582" s="94" t="str">
        <f>IFERROR(__xludf.DUMMYFUNCTION("""COMPUTED_VALUE""")," 32044150449338_005")</f>
        <v> 32044150449338_005</v>
      </c>
      <c r="F582" s="94" t="str">
        <f>IFERROR(__xludf.DUMMYFUNCTION("""COMPUTED_VALUE""")," 32044150449338_006")</f>
        <v> 32044150449338_006</v>
      </c>
      <c r="G582" s="94" t="str">
        <f>IFERROR(__xludf.DUMMYFUNCTION("""COMPUTED_VALUE""")," 32044150449338_007")</f>
        <v> 32044150449338_007</v>
      </c>
      <c r="H582" s="94"/>
      <c r="I582" s="94"/>
      <c r="J582" s="94"/>
      <c r="K582" s="94"/>
      <c r="L582" s="94"/>
      <c r="M582" s="94"/>
      <c r="N582" s="94"/>
      <c r="O582" s="94"/>
      <c r="P582" s="94"/>
      <c r="Q582" s="94"/>
      <c r="R582" s="94"/>
      <c r="S582" s="94"/>
      <c r="T582" s="94"/>
      <c r="U582" s="94"/>
      <c r="V582" s="94"/>
      <c r="W582" s="94"/>
      <c r="X582" s="94"/>
      <c r="Y582" s="94"/>
      <c r="Z582" s="94"/>
      <c r="AA582" s="94"/>
      <c r="AB582" s="94"/>
      <c r="AC582" s="94"/>
      <c r="AD582" s="94"/>
      <c r="AE582" s="94"/>
      <c r="AF582" s="94"/>
      <c r="AG582" s="94"/>
    </row>
    <row r="583">
      <c r="A583" s="96" t="s">
        <v>4195</v>
      </c>
      <c r="B583" s="95" t="str">
        <f>IFERROR(__xludf.DUMMYFUNCTION("""COMPUTED_VALUE"""),"32044150449338_008")</f>
        <v>32044150449338_008</v>
      </c>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c r="AD583" s="94"/>
      <c r="AE583" s="94"/>
      <c r="AF583" s="94"/>
      <c r="AG583" s="94"/>
    </row>
    <row r="584">
      <c r="A584" s="96" t="s">
        <v>4203</v>
      </c>
      <c r="B584" s="95" t="str">
        <f>IFERROR(__xludf.DUMMYFUNCTION("""COMPUTED_VALUE"""),"32044150449338_009")</f>
        <v>32044150449338_009</v>
      </c>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c r="AD584" s="94"/>
      <c r="AE584" s="94"/>
      <c r="AF584" s="94"/>
      <c r="AG584" s="94"/>
    </row>
    <row r="585">
      <c r="A585" s="96" t="s">
        <v>4210</v>
      </c>
      <c r="B585" s="95" t="str">
        <f>IFERROR(__xludf.DUMMYFUNCTION("""COMPUTED_VALUE"""),"32044150449346_001")</f>
        <v>32044150449346_001</v>
      </c>
      <c r="C585" s="94" t="str">
        <f>IFERROR(__xludf.DUMMYFUNCTION("""COMPUTED_VALUE""")," 32044150449346_002")</f>
        <v> 32044150449346_002</v>
      </c>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c r="AD585" s="94"/>
      <c r="AE585" s="94"/>
      <c r="AF585" s="94"/>
      <c r="AG585" s="94"/>
    </row>
    <row r="586">
      <c r="A586" s="96" t="s">
        <v>4217</v>
      </c>
      <c r="B586" s="95" t="str">
        <f>IFERROR(__xludf.DUMMYFUNCTION("""COMPUTED_VALUE"""),"32044150449346_005")</f>
        <v>32044150449346_005</v>
      </c>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c r="AD586" s="94"/>
      <c r="AE586" s="94"/>
      <c r="AF586" s="94"/>
      <c r="AG586" s="94"/>
    </row>
    <row r="587">
      <c r="A587" s="96" t="s">
        <v>4224</v>
      </c>
      <c r="B587" s="95" t="str">
        <f>IFERROR(__xludf.DUMMYFUNCTION("""COMPUTED_VALUE"""),"32044150449346_003")</f>
        <v>32044150449346_003</v>
      </c>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c r="AD587" s="94"/>
      <c r="AE587" s="94"/>
      <c r="AF587" s="94"/>
      <c r="AG587" s="94"/>
    </row>
    <row r="588">
      <c r="A588" s="96" t="s">
        <v>4231</v>
      </c>
      <c r="B588" s="95" t="str">
        <f>IFERROR(__xludf.DUMMYFUNCTION("""COMPUTED_VALUE"""),"32044150449346_004")</f>
        <v>32044150449346_004</v>
      </c>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c r="AD588" s="94"/>
      <c r="AE588" s="94"/>
      <c r="AF588" s="94"/>
      <c r="AG588" s="94"/>
    </row>
    <row r="589">
      <c r="A589" s="96" t="s">
        <v>4239</v>
      </c>
      <c r="B589" s="95" t="str">
        <f>IFERROR(__xludf.DUMMYFUNCTION("""COMPUTED_VALUE"""),"32044150449346_006")</f>
        <v>32044150449346_006</v>
      </c>
      <c r="C589" s="94" t="str">
        <f>IFERROR(__xludf.DUMMYFUNCTION("""COMPUTED_VALUE""")," 32044150449346_007")</f>
        <v> 32044150449346_007</v>
      </c>
      <c r="D589" s="94" t="str">
        <f>IFERROR(__xludf.DUMMYFUNCTION("""COMPUTED_VALUE""")," 32044150449346_008")</f>
        <v> 32044150449346_008</v>
      </c>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c r="AD589" s="94"/>
      <c r="AE589" s="94"/>
      <c r="AF589" s="94"/>
      <c r="AG589" s="94"/>
    </row>
    <row r="590">
      <c r="A590" s="96" t="s">
        <v>4245</v>
      </c>
      <c r="B590" s="95" t="str">
        <f>IFERROR(__xludf.DUMMYFUNCTION("""COMPUTED_VALUE"""),"32044150449346_009")</f>
        <v>32044150449346_009</v>
      </c>
      <c r="C590" s="94" t="str">
        <f>IFERROR(__xludf.DUMMYFUNCTION("""COMPUTED_VALUE""")," 32044150449346_010")</f>
        <v> 32044150449346_010</v>
      </c>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c r="AD590" s="94"/>
      <c r="AE590" s="94"/>
      <c r="AF590" s="94"/>
      <c r="AG590" s="94"/>
    </row>
    <row r="591">
      <c r="A591" s="96" t="s">
        <v>4255</v>
      </c>
      <c r="B591" s="95" t="str">
        <f>IFERROR(__xludf.DUMMYFUNCTION("""COMPUTED_VALUE"""),"32044150449346_011")</f>
        <v>32044150449346_011</v>
      </c>
      <c r="C591" s="94" t="str">
        <f>IFERROR(__xludf.DUMMYFUNCTION("""COMPUTED_VALUE""")," 32044150449346_012")</f>
        <v> 32044150449346_012</v>
      </c>
      <c r="D591" s="94" t="str">
        <f>IFERROR(__xludf.DUMMYFUNCTION("""COMPUTED_VALUE""")," 32044150449346_013")</f>
        <v> 32044150449346_013</v>
      </c>
      <c r="E591" s="94" t="str">
        <f>IFERROR(__xludf.DUMMYFUNCTION("""COMPUTED_VALUE""")," 32044150449346_014")</f>
        <v> 32044150449346_014</v>
      </c>
      <c r="F591" s="94" t="str">
        <f>IFERROR(__xludf.DUMMYFUNCTION("""COMPUTED_VALUE""")," 32044150449346_015")</f>
        <v> 32044150449346_015</v>
      </c>
      <c r="G591" s="94" t="str">
        <f>IFERROR(__xludf.DUMMYFUNCTION("""COMPUTED_VALUE""")," 32044150449346_016")</f>
        <v> 32044150449346_016</v>
      </c>
      <c r="H591" s="94" t="str">
        <f>IFERROR(__xludf.DUMMYFUNCTION("""COMPUTED_VALUE""")," 32044150449346_017")</f>
        <v> 32044150449346_017</v>
      </c>
      <c r="I591" s="94" t="str">
        <f>IFERROR(__xludf.DUMMYFUNCTION("""COMPUTED_VALUE""")," 32044150449346_018")</f>
        <v> 32044150449346_018</v>
      </c>
      <c r="J591" s="94" t="str">
        <f>IFERROR(__xludf.DUMMYFUNCTION("""COMPUTED_VALUE""")," 32044150449346_019")</f>
        <v> 32044150449346_019</v>
      </c>
      <c r="K591" s="94" t="str">
        <f>IFERROR(__xludf.DUMMYFUNCTION("""COMPUTED_VALUE""")," 32044150449346_020")</f>
        <v> 32044150449346_020</v>
      </c>
      <c r="L591" s="94"/>
      <c r="M591" s="94"/>
      <c r="N591" s="94"/>
      <c r="O591" s="94"/>
      <c r="P591" s="94"/>
      <c r="Q591" s="94"/>
      <c r="R591" s="94"/>
      <c r="S591" s="94"/>
      <c r="T591" s="94"/>
      <c r="U591" s="94"/>
      <c r="V591" s="94"/>
      <c r="W591" s="94"/>
      <c r="X591" s="94"/>
      <c r="Y591" s="94"/>
      <c r="Z591" s="94"/>
      <c r="AA591" s="94"/>
      <c r="AB591" s="94"/>
      <c r="AC591" s="94"/>
      <c r="AD591" s="94"/>
      <c r="AE591" s="94"/>
      <c r="AF591" s="94"/>
      <c r="AG591" s="94"/>
    </row>
    <row r="592">
      <c r="A592" s="96" t="s">
        <v>4261</v>
      </c>
      <c r="B592" s="95" t="str">
        <f>IFERROR(__xludf.DUMMYFUNCTION("""COMPUTED_VALUE"""),"32044150449346_021")</f>
        <v>32044150449346_021</v>
      </c>
      <c r="C592" s="94" t="str">
        <f>IFERROR(__xludf.DUMMYFUNCTION("""COMPUTED_VALUE""")," 32044150449346_022")</f>
        <v> 32044150449346_022</v>
      </c>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c r="AD592" s="94"/>
      <c r="AE592" s="94"/>
      <c r="AF592" s="94"/>
      <c r="AG592" s="94"/>
    </row>
    <row r="593">
      <c r="A593" s="96" t="s">
        <v>4267</v>
      </c>
      <c r="B593" s="95" t="str">
        <f>IFERROR(__xludf.DUMMYFUNCTION("""COMPUTED_VALUE"""),"32044150449353_001")</f>
        <v>32044150449353_001</v>
      </c>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c r="AD593" s="94"/>
      <c r="AE593" s="94"/>
      <c r="AF593" s="94"/>
      <c r="AG593" s="94"/>
    </row>
    <row r="594">
      <c r="A594" s="96" t="s">
        <v>4274</v>
      </c>
      <c r="B594" s="95" t="str">
        <f>IFERROR(__xludf.DUMMYFUNCTION("""COMPUTED_VALUE"""),"32044150449353_002")</f>
        <v>32044150449353_002</v>
      </c>
      <c r="C594" s="94" t="str">
        <f>IFERROR(__xludf.DUMMYFUNCTION("""COMPUTED_VALUE""")," 32044150449353_003")</f>
        <v> 32044150449353_003</v>
      </c>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c r="AD594" s="94"/>
      <c r="AE594" s="94"/>
      <c r="AF594" s="94"/>
      <c r="AG594" s="94"/>
    </row>
    <row r="595">
      <c r="A595" s="96" t="s">
        <v>4281</v>
      </c>
      <c r="B595" s="95" t="str">
        <f>IFERROR(__xludf.DUMMYFUNCTION("""COMPUTED_VALUE"""),"32044150449353_004")</f>
        <v>32044150449353_004</v>
      </c>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c r="AD595" s="94"/>
      <c r="AE595" s="94"/>
      <c r="AF595" s="94"/>
      <c r="AG595" s="94"/>
    </row>
    <row r="596">
      <c r="A596" s="96" t="s">
        <v>4290</v>
      </c>
      <c r="B596" s="95" t="str">
        <f>IFERROR(__xludf.DUMMYFUNCTION("""COMPUTED_VALUE"""),"32044150449361_001")</f>
        <v>32044150449361_001</v>
      </c>
      <c r="C596" s="94" t="str">
        <f>IFERROR(__xludf.DUMMYFUNCTION("""COMPUTED_VALUE""")," 32044150449361_002")</f>
        <v> 32044150449361_002</v>
      </c>
      <c r="D596" s="94" t="str">
        <f>IFERROR(__xludf.DUMMYFUNCTION("""COMPUTED_VALUE""")," 32044150449361_003")</f>
        <v> 32044150449361_003</v>
      </c>
      <c r="E596" s="94" t="str">
        <f>IFERROR(__xludf.DUMMYFUNCTION("""COMPUTED_VALUE""")," 32044150449361_004")</f>
        <v> 32044150449361_004</v>
      </c>
      <c r="F596" s="94" t="str">
        <f>IFERROR(__xludf.DUMMYFUNCTION("""COMPUTED_VALUE""")," 32044150449361_005")</f>
        <v> 32044150449361_005</v>
      </c>
      <c r="G596" s="94" t="str">
        <f>IFERROR(__xludf.DUMMYFUNCTION("""COMPUTED_VALUE""")," 32044150449361_006")</f>
        <v> 32044150449361_006</v>
      </c>
      <c r="H596" s="94"/>
      <c r="I596" s="94"/>
      <c r="J596" s="94"/>
      <c r="K596" s="94"/>
      <c r="L596" s="94"/>
      <c r="M596" s="94"/>
      <c r="N596" s="94"/>
      <c r="O596" s="94"/>
      <c r="P596" s="94"/>
      <c r="Q596" s="94"/>
      <c r="R596" s="94"/>
      <c r="S596" s="94"/>
      <c r="T596" s="94"/>
      <c r="U596" s="94"/>
      <c r="V596" s="94"/>
      <c r="W596" s="94"/>
      <c r="X596" s="94"/>
      <c r="Y596" s="94"/>
      <c r="Z596" s="94"/>
      <c r="AA596" s="94"/>
      <c r="AB596" s="94"/>
      <c r="AC596" s="94"/>
      <c r="AD596" s="94"/>
      <c r="AE596" s="94"/>
      <c r="AF596" s="94"/>
      <c r="AG596" s="94"/>
    </row>
    <row r="597">
      <c r="A597" s="96" t="s">
        <v>4298</v>
      </c>
      <c r="B597" s="95" t="str">
        <f>IFERROR(__xludf.DUMMYFUNCTION("""COMPUTED_VALUE"""),"32044150449361_007")</f>
        <v>32044150449361_007</v>
      </c>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c r="AD597" s="94"/>
      <c r="AE597" s="94"/>
      <c r="AF597" s="94"/>
      <c r="AG597" s="94"/>
    </row>
    <row r="598">
      <c r="A598" s="96" t="s">
        <v>4305</v>
      </c>
      <c r="B598" s="95" t="str">
        <f>IFERROR(__xludf.DUMMYFUNCTION("""COMPUTED_VALUE"""),"32044150449361_008")</f>
        <v>32044150449361_008</v>
      </c>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c r="AD598" s="94"/>
      <c r="AE598" s="94"/>
      <c r="AF598" s="94"/>
      <c r="AG598" s="94"/>
    </row>
    <row r="599">
      <c r="A599" s="96" t="s">
        <v>4312</v>
      </c>
      <c r="B599" s="95" t="str">
        <f>IFERROR(__xludf.DUMMYFUNCTION("""COMPUTED_VALUE"""),"32044150449361_009")</f>
        <v>32044150449361_009</v>
      </c>
      <c r="C599" s="94" t="str">
        <f>IFERROR(__xludf.DUMMYFUNCTION("""COMPUTED_VALUE""")," 32044150449361_010")</f>
        <v> 32044150449361_010</v>
      </c>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c r="AD599" s="94"/>
      <c r="AE599" s="94"/>
      <c r="AF599" s="94"/>
      <c r="AG599" s="94"/>
    </row>
    <row r="600">
      <c r="A600" s="96" t="s">
        <v>4321</v>
      </c>
      <c r="B600" s="95" t="str">
        <f>IFERROR(__xludf.DUMMYFUNCTION("""COMPUTED_VALUE"""),"32044150449361_011")</f>
        <v>32044150449361_011</v>
      </c>
      <c r="C600" s="94" t="str">
        <f>IFERROR(__xludf.DUMMYFUNCTION("""COMPUTED_VALUE""")," 32044150449361_012")</f>
        <v> 32044150449361_012</v>
      </c>
      <c r="D600" s="94" t="str">
        <f>IFERROR(__xludf.DUMMYFUNCTION("""COMPUTED_VALUE""")," 32044150449361_013")</f>
        <v> 32044150449361_013</v>
      </c>
      <c r="E600" s="94" t="str">
        <f>IFERROR(__xludf.DUMMYFUNCTION("""COMPUTED_VALUE""")," 32044150449361_014")</f>
        <v> 32044150449361_014</v>
      </c>
      <c r="F600" s="94" t="str">
        <f>IFERROR(__xludf.DUMMYFUNCTION("""COMPUTED_VALUE""")," 32044150449361_015")</f>
        <v> 32044150449361_015</v>
      </c>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c r="AD600" s="94"/>
      <c r="AE600" s="94"/>
      <c r="AF600" s="94"/>
      <c r="AG600" s="94"/>
    </row>
    <row r="601">
      <c r="A601" s="96" t="s">
        <v>4328</v>
      </c>
      <c r="B601" s="95" t="str">
        <f>IFERROR(__xludf.DUMMYFUNCTION("""COMPUTED_VALUE"""),"32044150449361_016")</f>
        <v>32044150449361_016</v>
      </c>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c r="AD601" s="94"/>
      <c r="AE601" s="94"/>
      <c r="AF601" s="94"/>
      <c r="AG601" s="94"/>
    </row>
    <row r="602">
      <c r="A602" s="96" t="s">
        <v>4333</v>
      </c>
      <c r="B602" s="95" t="str">
        <f>IFERROR(__xludf.DUMMYFUNCTION("""COMPUTED_VALUE"""),"32044150449361_017")</f>
        <v>32044150449361_017</v>
      </c>
      <c r="C602" s="94" t="str">
        <f>IFERROR(__xludf.DUMMYFUNCTION("""COMPUTED_VALUE""")," 32044150449361_018")</f>
        <v> 32044150449361_018</v>
      </c>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c r="AD602" s="94"/>
      <c r="AE602" s="94"/>
      <c r="AF602" s="94"/>
      <c r="AG602" s="94"/>
    </row>
    <row r="603">
      <c r="A603" s="96" t="s">
        <v>4342</v>
      </c>
      <c r="B603" s="95" t="str">
        <f>IFERROR(__xludf.DUMMYFUNCTION("""COMPUTED_VALUE"""),"32044150449361_019")</f>
        <v>32044150449361_019</v>
      </c>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c r="AD603" s="94"/>
      <c r="AE603" s="94"/>
      <c r="AF603" s="94"/>
      <c r="AG603" s="94"/>
    </row>
    <row r="604">
      <c r="A604" s="96" t="s">
        <v>4348</v>
      </c>
      <c r="B604" s="95" t="str">
        <f>IFERROR(__xludf.DUMMYFUNCTION("""COMPUTED_VALUE"""),"32044150449379_001")</f>
        <v>32044150449379_001</v>
      </c>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c r="AD604" s="94"/>
      <c r="AE604" s="94"/>
      <c r="AF604" s="94"/>
      <c r="AG604" s="94"/>
    </row>
    <row r="605">
      <c r="A605" s="96" t="s">
        <v>4352</v>
      </c>
      <c r="B605" s="95" t="str">
        <f>IFERROR(__xludf.DUMMYFUNCTION("""COMPUTED_VALUE"""),"32044150449395_001")</f>
        <v>32044150449395_001</v>
      </c>
      <c r="C605" s="94" t="str">
        <f>IFERROR(__xludf.DUMMYFUNCTION("""COMPUTED_VALUE""")," 32044150449395_002")</f>
        <v> 32044150449395_002</v>
      </c>
      <c r="D605" s="94" t="str">
        <f>IFERROR(__xludf.DUMMYFUNCTION("""COMPUTED_VALUE""")," 32044150449395_003")</f>
        <v> 32044150449395_003</v>
      </c>
      <c r="E605" s="94" t="str">
        <f>IFERROR(__xludf.DUMMYFUNCTION("""COMPUTED_VALUE""")," 32044150449395_004 ")</f>
        <v> 32044150449395_004 </v>
      </c>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c r="AD605" s="94"/>
      <c r="AE605" s="94"/>
      <c r="AF605" s="94"/>
      <c r="AG605" s="94"/>
    </row>
    <row r="606">
      <c r="A606" s="96" t="s">
        <v>4355</v>
      </c>
      <c r="B606" s="95" t="str">
        <f>IFERROR(__xludf.DUMMYFUNCTION("""COMPUTED_VALUE"""),"32044150449395_005")</f>
        <v>32044150449395_005</v>
      </c>
      <c r="C606" s="94" t="str">
        <f>IFERROR(__xludf.DUMMYFUNCTION("""COMPUTED_VALUE""")," 32044150449395_006")</f>
        <v> 32044150449395_006</v>
      </c>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c r="AD606" s="94"/>
      <c r="AE606" s="94"/>
      <c r="AF606" s="94"/>
      <c r="AG606" s="94"/>
    </row>
    <row r="607">
      <c r="A607" s="96" t="s">
        <v>4362</v>
      </c>
      <c r="B607" s="95" t="str">
        <f>IFERROR(__xludf.DUMMYFUNCTION("""COMPUTED_VALUE"""),"32044150449403_001")</f>
        <v>32044150449403_001</v>
      </c>
      <c r="C607" s="94" t="str">
        <f>IFERROR(__xludf.DUMMYFUNCTION("""COMPUTED_VALUE""")," 32044150449403_002")</f>
        <v> 32044150449403_002</v>
      </c>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c r="AD607" s="94"/>
      <c r="AE607" s="94"/>
      <c r="AF607" s="94"/>
      <c r="AG607" s="94"/>
    </row>
    <row r="608">
      <c r="A608" s="96"/>
      <c r="B608" s="95" t="str">
        <f>IFERROR(__xludf.DUMMYFUNCTION("""COMPUTED_VALUE"""),"#VALUE!")</f>
        <v>#VALUE!</v>
      </c>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c r="AD608" s="94"/>
      <c r="AE608" s="94"/>
      <c r="AF608" s="94"/>
      <c r="AG608" s="94"/>
    </row>
    <row r="609">
      <c r="A609" s="96"/>
      <c r="B609" s="95" t="str">
        <f>IFERROR(__xludf.DUMMYFUNCTION("""COMPUTED_VALUE"""),"#VALUE!")</f>
        <v>#VALUE!</v>
      </c>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c r="AD609" s="94"/>
      <c r="AE609" s="94"/>
      <c r="AF609" s="94"/>
      <c r="AG609" s="94"/>
    </row>
    <row r="610">
      <c r="A610" s="96"/>
      <c r="B610" s="95" t="str">
        <f>IFERROR(__xludf.DUMMYFUNCTION("""COMPUTED_VALUE"""),"#VALUE!")</f>
        <v>#VALUE!</v>
      </c>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c r="AD610" s="94"/>
      <c r="AE610" s="94"/>
      <c r="AF610" s="94"/>
      <c r="AG610" s="94"/>
    </row>
    <row r="611">
      <c r="A611" s="96"/>
      <c r="B611" s="95" t="str">
        <f>IFERROR(__xludf.DUMMYFUNCTION("""COMPUTED_VALUE"""),"#VALUE!")</f>
        <v>#VALUE!</v>
      </c>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c r="AD611" s="94"/>
      <c r="AE611" s="94"/>
      <c r="AF611" s="94"/>
      <c r="AG611" s="94"/>
    </row>
    <row r="612">
      <c r="A612" s="96"/>
      <c r="B612" s="95" t="str">
        <f>IFERROR(__xludf.DUMMYFUNCTION("""COMPUTED_VALUE"""),"#VALUE!")</f>
        <v>#VALUE!</v>
      </c>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c r="AD612" s="94"/>
      <c r="AE612" s="94"/>
      <c r="AF612" s="94"/>
      <c r="AG612" s="94"/>
    </row>
    <row r="613">
      <c r="A613" s="96"/>
      <c r="B613" s="95" t="str">
        <f>IFERROR(__xludf.DUMMYFUNCTION("""COMPUTED_VALUE"""),"#VALUE!")</f>
        <v>#VALUE!</v>
      </c>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c r="AD613" s="94"/>
      <c r="AE613" s="94"/>
      <c r="AF613" s="94"/>
      <c r="AG613" s="94"/>
    </row>
    <row r="614">
      <c r="A614" s="96"/>
      <c r="B614" s="95" t="str">
        <f>IFERROR(__xludf.DUMMYFUNCTION("""COMPUTED_VALUE"""),"#VALUE!")</f>
        <v>#VALUE!</v>
      </c>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c r="AD614" s="94"/>
      <c r="AE614" s="94"/>
      <c r="AF614" s="94"/>
      <c r="AG614" s="94"/>
    </row>
    <row r="615">
      <c r="A615" s="96"/>
      <c r="B615" s="95" t="str">
        <f>IFERROR(__xludf.DUMMYFUNCTION("""COMPUTED_VALUE"""),"#VALUE!")</f>
        <v>#VALUE!</v>
      </c>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c r="AD615" s="94"/>
      <c r="AE615" s="94"/>
      <c r="AF615" s="94"/>
      <c r="AG615" s="94"/>
    </row>
    <row r="616">
      <c r="A616" s="96"/>
      <c r="B616" s="95" t="str">
        <f>IFERROR(__xludf.DUMMYFUNCTION("""COMPUTED_VALUE"""),"#VALUE!")</f>
        <v>#VALUE!</v>
      </c>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c r="AD616" s="94"/>
      <c r="AE616" s="94"/>
      <c r="AF616" s="94"/>
      <c r="AG616" s="94"/>
    </row>
    <row r="617">
      <c r="A617" s="96"/>
      <c r="B617" s="95" t="str">
        <f>IFERROR(__xludf.DUMMYFUNCTION("""COMPUTED_VALUE"""),"#VALUE!")</f>
        <v>#VALUE!</v>
      </c>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c r="AD617" s="94"/>
      <c r="AE617" s="94"/>
      <c r="AF617" s="94"/>
      <c r="AG617" s="94"/>
    </row>
    <row r="618">
      <c r="A618" s="96"/>
      <c r="B618" s="95" t="str">
        <f>IFERROR(__xludf.DUMMYFUNCTION("""COMPUTED_VALUE"""),"#VALUE!")</f>
        <v>#VALUE!</v>
      </c>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c r="AD618" s="94"/>
      <c r="AE618" s="94"/>
      <c r="AF618" s="94"/>
      <c r="AG618" s="94"/>
    </row>
    <row r="619">
      <c r="A619" s="96"/>
      <c r="B619" s="95" t="str">
        <f>IFERROR(__xludf.DUMMYFUNCTION("""COMPUTED_VALUE"""),"#VALUE!")</f>
        <v>#VALUE!</v>
      </c>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c r="AD619" s="94"/>
      <c r="AE619" s="94"/>
      <c r="AF619" s="94"/>
      <c r="AG619" s="94"/>
    </row>
    <row r="620">
      <c r="A620" s="96"/>
      <c r="B620" s="95" t="str">
        <f>IFERROR(__xludf.DUMMYFUNCTION("""COMPUTED_VALUE"""),"#VALUE!")</f>
        <v>#VALUE!</v>
      </c>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c r="AD620" s="94"/>
      <c r="AE620" s="94"/>
      <c r="AF620" s="94"/>
      <c r="AG620" s="94"/>
    </row>
    <row r="621">
      <c r="A621" s="96"/>
      <c r="B621" s="95" t="str">
        <f>IFERROR(__xludf.DUMMYFUNCTION("""COMPUTED_VALUE"""),"#VALUE!")</f>
        <v>#VALUE!</v>
      </c>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c r="AD621" s="94"/>
      <c r="AE621" s="94"/>
      <c r="AF621" s="94"/>
      <c r="AG621" s="94"/>
    </row>
    <row r="622">
      <c r="A622" s="96"/>
      <c r="B622" s="95" t="str">
        <f>IFERROR(__xludf.DUMMYFUNCTION("""COMPUTED_VALUE"""),"#VALUE!")</f>
        <v>#VALUE!</v>
      </c>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c r="AD622" s="94"/>
      <c r="AE622" s="94"/>
      <c r="AF622" s="94"/>
      <c r="AG622" s="94"/>
    </row>
    <row r="623">
      <c r="A623" s="96"/>
      <c r="B623" s="95" t="str">
        <f>IFERROR(__xludf.DUMMYFUNCTION("""COMPUTED_VALUE"""),"#VALUE!")</f>
        <v>#VALUE!</v>
      </c>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c r="AD623" s="94"/>
      <c r="AE623" s="94"/>
      <c r="AF623" s="94"/>
      <c r="AG623" s="94"/>
    </row>
    <row r="624">
      <c r="A624" s="96"/>
      <c r="B624" s="95" t="str">
        <f>IFERROR(__xludf.DUMMYFUNCTION("""COMPUTED_VALUE"""),"#VALUE!")</f>
        <v>#VALUE!</v>
      </c>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c r="AD624" s="94"/>
      <c r="AE624" s="94"/>
      <c r="AF624" s="94"/>
      <c r="AG624" s="94"/>
    </row>
    <row r="625">
      <c r="A625" s="96"/>
      <c r="B625" s="95" t="str">
        <f>IFERROR(__xludf.DUMMYFUNCTION("""COMPUTED_VALUE"""),"#VALUE!")</f>
        <v>#VALUE!</v>
      </c>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c r="AD625" s="94"/>
      <c r="AE625" s="94"/>
      <c r="AF625" s="94"/>
      <c r="AG625" s="94"/>
    </row>
    <row r="626">
      <c r="A626" s="96"/>
      <c r="B626" s="95" t="str">
        <f>IFERROR(__xludf.DUMMYFUNCTION("""COMPUTED_VALUE"""),"#VALUE!")</f>
        <v>#VALUE!</v>
      </c>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c r="AD626" s="94"/>
      <c r="AE626" s="94"/>
      <c r="AF626" s="94"/>
      <c r="AG626" s="94"/>
    </row>
    <row r="627">
      <c r="A627" s="96"/>
      <c r="B627" s="95" t="str">
        <f>IFERROR(__xludf.DUMMYFUNCTION("""COMPUTED_VALUE"""),"#VALUE!")</f>
        <v>#VALUE!</v>
      </c>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c r="AD627" s="94"/>
      <c r="AE627" s="94"/>
      <c r="AF627" s="94"/>
      <c r="AG627" s="94"/>
    </row>
    <row r="628">
      <c r="A628" s="96"/>
      <c r="B628" s="95" t="str">
        <f>IFERROR(__xludf.DUMMYFUNCTION("""COMPUTED_VALUE"""),"#VALUE!")</f>
        <v>#VALUE!</v>
      </c>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c r="AD628" s="94"/>
      <c r="AE628" s="94"/>
      <c r="AF628" s="94"/>
      <c r="AG628" s="94"/>
    </row>
    <row r="629">
      <c r="A629" s="96"/>
      <c r="B629" s="95" t="str">
        <f>IFERROR(__xludf.DUMMYFUNCTION("""COMPUTED_VALUE"""),"#VALUE!")</f>
        <v>#VALUE!</v>
      </c>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c r="AD629" s="94"/>
      <c r="AE629" s="94"/>
      <c r="AF629" s="94"/>
      <c r="AG629" s="94"/>
    </row>
    <row r="630">
      <c r="A630" s="96"/>
      <c r="B630" s="95" t="str">
        <f>IFERROR(__xludf.DUMMYFUNCTION("""COMPUTED_VALUE"""),"#VALUE!")</f>
        <v>#VALUE!</v>
      </c>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c r="AD630" s="94"/>
      <c r="AE630" s="94"/>
      <c r="AF630" s="94"/>
      <c r="AG630" s="94"/>
    </row>
    <row r="631">
      <c r="A631" s="96"/>
      <c r="B631" s="95" t="str">
        <f>IFERROR(__xludf.DUMMYFUNCTION("""COMPUTED_VALUE"""),"#VALUE!")</f>
        <v>#VALUE!</v>
      </c>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c r="AD631" s="94"/>
      <c r="AE631" s="94"/>
      <c r="AF631" s="94"/>
      <c r="AG631" s="94"/>
    </row>
    <row r="632">
      <c r="A632" s="96"/>
      <c r="B632" s="95" t="str">
        <f>IFERROR(__xludf.DUMMYFUNCTION("""COMPUTED_VALUE"""),"#VALUE!")</f>
        <v>#VALUE!</v>
      </c>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c r="AD632" s="94"/>
      <c r="AE632" s="94"/>
      <c r="AF632" s="94"/>
      <c r="AG632" s="94"/>
    </row>
    <row r="633">
      <c r="A633" s="96"/>
      <c r="B633" s="95" t="str">
        <f>IFERROR(__xludf.DUMMYFUNCTION("""COMPUTED_VALUE"""),"#VALUE!")</f>
        <v>#VALUE!</v>
      </c>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c r="AD633" s="94"/>
      <c r="AE633" s="94"/>
      <c r="AF633" s="94"/>
      <c r="AG633" s="94"/>
    </row>
    <row r="634">
      <c r="A634" s="96"/>
      <c r="B634" s="95" t="str">
        <f>IFERROR(__xludf.DUMMYFUNCTION("""COMPUTED_VALUE"""),"#VALUE!")</f>
        <v>#VALUE!</v>
      </c>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c r="AD634" s="94"/>
      <c r="AE634" s="94"/>
      <c r="AF634" s="94"/>
      <c r="AG634" s="94"/>
    </row>
    <row r="635">
      <c r="A635" s="96"/>
      <c r="B635" s="95" t="str">
        <f>IFERROR(__xludf.DUMMYFUNCTION("""COMPUTED_VALUE"""),"#VALUE!")</f>
        <v>#VALUE!</v>
      </c>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c r="AD635" s="94"/>
      <c r="AE635" s="94"/>
      <c r="AF635" s="94"/>
      <c r="AG635" s="94"/>
    </row>
    <row r="636">
      <c r="A636" s="96"/>
      <c r="B636" s="95" t="str">
        <f>IFERROR(__xludf.DUMMYFUNCTION("""COMPUTED_VALUE"""),"#VALUE!")</f>
        <v>#VALUE!</v>
      </c>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c r="AD636" s="94"/>
      <c r="AE636" s="94"/>
      <c r="AF636" s="94"/>
      <c r="AG636" s="94"/>
    </row>
    <row r="637">
      <c r="A637" s="96"/>
      <c r="B637" s="95" t="str">
        <f>IFERROR(__xludf.DUMMYFUNCTION("""COMPUTED_VALUE"""),"#VALUE!")</f>
        <v>#VALUE!</v>
      </c>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c r="AD637" s="94"/>
      <c r="AE637" s="94"/>
      <c r="AF637" s="94"/>
      <c r="AG637" s="94"/>
    </row>
    <row r="638">
      <c r="A638" s="96"/>
      <c r="B638" s="95" t="str">
        <f>IFERROR(__xludf.DUMMYFUNCTION("""COMPUTED_VALUE"""),"#VALUE!")</f>
        <v>#VALUE!</v>
      </c>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c r="AD638" s="94"/>
      <c r="AE638" s="94"/>
      <c r="AF638" s="94"/>
      <c r="AG638" s="94"/>
    </row>
    <row r="639">
      <c r="A639" s="96"/>
      <c r="B639" s="95" t="str">
        <f>IFERROR(__xludf.DUMMYFUNCTION("""COMPUTED_VALUE"""),"#VALUE!")</f>
        <v>#VALUE!</v>
      </c>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c r="AD639" s="94"/>
      <c r="AE639" s="94"/>
      <c r="AF639" s="94"/>
      <c r="AG639" s="94"/>
    </row>
    <row r="640">
      <c r="A640" s="96"/>
      <c r="B640" s="95" t="str">
        <f>IFERROR(__xludf.DUMMYFUNCTION("""COMPUTED_VALUE"""),"#VALUE!")</f>
        <v>#VALUE!</v>
      </c>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c r="AD640" s="94"/>
      <c r="AE640" s="94"/>
      <c r="AF640" s="94"/>
      <c r="AG640" s="94"/>
    </row>
    <row r="641">
      <c r="A641" s="96"/>
      <c r="B641" s="95" t="str">
        <f>IFERROR(__xludf.DUMMYFUNCTION("""COMPUTED_VALUE"""),"#VALUE!")</f>
        <v>#VALUE!</v>
      </c>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c r="AD641" s="94"/>
      <c r="AE641" s="94"/>
      <c r="AF641" s="94"/>
      <c r="AG641" s="94"/>
    </row>
    <row r="642">
      <c r="A642" s="96"/>
      <c r="B642" s="95" t="str">
        <f>IFERROR(__xludf.DUMMYFUNCTION("""COMPUTED_VALUE"""),"#VALUE!")</f>
        <v>#VALUE!</v>
      </c>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c r="AD642" s="94"/>
      <c r="AE642" s="94"/>
      <c r="AF642" s="94"/>
      <c r="AG642" s="94"/>
    </row>
    <row r="643">
      <c r="A643" s="96"/>
      <c r="B643" s="95" t="str">
        <f>IFERROR(__xludf.DUMMYFUNCTION("""COMPUTED_VALUE"""),"#VALUE!")</f>
        <v>#VALUE!</v>
      </c>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c r="AD643" s="94"/>
      <c r="AE643" s="94"/>
      <c r="AF643" s="94"/>
      <c r="AG643" s="94"/>
    </row>
    <row r="644">
      <c r="A644" s="96"/>
      <c r="B644" s="95" t="str">
        <f>IFERROR(__xludf.DUMMYFUNCTION("""COMPUTED_VALUE"""),"#VALUE!")</f>
        <v>#VALUE!</v>
      </c>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c r="AD644" s="94"/>
      <c r="AE644" s="94"/>
      <c r="AF644" s="94"/>
      <c r="AG644" s="94"/>
    </row>
    <row r="645">
      <c r="A645" s="96"/>
      <c r="B645" s="95" t="str">
        <f>IFERROR(__xludf.DUMMYFUNCTION("""COMPUTED_VALUE"""),"#VALUE!")</f>
        <v>#VALUE!</v>
      </c>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c r="AD645" s="94"/>
      <c r="AE645" s="94"/>
      <c r="AF645" s="94"/>
      <c r="AG645" s="94"/>
    </row>
    <row r="646">
      <c r="A646" s="96"/>
      <c r="B646" s="95" t="str">
        <f>IFERROR(__xludf.DUMMYFUNCTION("""COMPUTED_VALUE"""),"#VALUE!")</f>
        <v>#VALUE!</v>
      </c>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c r="AD646" s="94"/>
      <c r="AE646" s="94"/>
      <c r="AF646" s="94"/>
      <c r="AG646" s="94"/>
    </row>
    <row r="647">
      <c r="A647" s="96"/>
      <c r="B647" s="95" t="str">
        <f>IFERROR(__xludf.DUMMYFUNCTION("""COMPUTED_VALUE"""),"#VALUE!")</f>
        <v>#VALUE!</v>
      </c>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c r="AD647" s="94"/>
      <c r="AE647" s="94"/>
      <c r="AF647" s="94"/>
      <c r="AG647" s="94"/>
    </row>
    <row r="648">
      <c r="A648" s="96"/>
      <c r="B648" s="95" t="str">
        <f>IFERROR(__xludf.DUMMYFUNCTION("""COMPUTED_VALUE"""),"#VALUE!")</f>
        <v>#VALUE!</v>
      </c>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c r="AD648" s="94"/>
      <c r="AE648" s="94"/>
      <c r="AF648" s="94"/>
      <c r="AG648" s="94"/>
    </row>
    <row r="649">
      <c r="A649" s="96"/>
      <c r="B649" s="95" t="str">
        <f>IFERROR(__xludf.DUMMYFUNCTION("""COMPUTED_VALUE"""),"#VALUE!")</f>
        <v>#VALUE!</v>
      </c>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c r="AD649" s="94"/>
      <c r="AE649" s="94"/>
      <c r="AF649" s="94"/>
      <c r="AG649" s="94"/>
    </row>
    <row r="650">
      <c r="A650" s="96"/>
      <c r="B650" s="95" t="str">
        <f>IFERROR(__xludf.DUMMYFUNCTION("""COMPUTED_VALUE"""),"#VALUE!")</f>
        <v>#VALUE!</v>
      </c>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c r="AD650" s="94"/>
      <c r="AE650" s="94"/>
      <c r="AF650" s="94"/>
      <c r="AG650" s="94"/>
    </row>
    <row r="651">
      <c r="A651" s="96"/>
      <c r="B651" s="95" t="str">
        <f>IFERROR(__xludf.DUMMYFUNCTION("""COMPUTED_VALUE"""),"#VALUE!")</f>
        <v>#VALUE!</v>
      </c>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c r="AD651" s="94"/>
      <c r="AE651" s="94"/>
      <c r="AF651" s="94"/>
      <c r="AG651" s="94"/>
    </row>
    <row r="652">
      <c r="A652" s="96"/>
      <c r="B652" s="95" t="str">
        <f>IFERROR(__xludf.DUMMYFUNCTION("""COMPUTED_VALUE"""),"#VALUE!")</f>
        <v>#VALUE!</v>
      </c>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c r="AD652" s="94"/>
      <c r="AE652" s="94"/>
      <c r="AF652" s="94"/>
      <c r="AG652" s="94"/>
    </row>
    <row r="653">
      <c r="A653" s="96"/>
      <c r="B653" s="95" t="str">
        <f>IFERROR(__xludf.DUMMYFUNCTION("""COMPUTED_VALUE"""),"#VALUE!")</f>
        <v>#VALUE!</v>
      </c>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c r="AD653" s="94"/>
      <c r="AE653" s="94"/>
      <c r="AF653" s="94"/>
      <c r="AG653" s="94"/>
    </row>
    <row r="654">
      <c r="A654" s="96"/>
      <c r="B654" s="95" t="str">
        <f>IFERROR(__xludf.DUMMYFUNCTION("""COMPUTED_VALUE"""),"#VALUE!")</f>
        <v>#VALUE!</v>
      </c>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c r="AD654" s="94"/>
      <c r="AE654" s="94"/>
      <c r="AF654" s="94"/>
      <c r="AG654" s="94"/>
    </row>
    <row r="655">
      <c r="A655" s="96"/>
      <c r="B655" s="95" t="str">
        <f>IFERROR(__xludf.DUMMYFUNCTION("""COMPUTED_VALUE"""),"#VALUE!")</f>
        <v>#VALUE!</v>
      </c>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c r="AD655" s="94"/>
      <c r="AE655" s="94"/>
      <c r="AF655" s="94"/>
      <c r="AG655" s="94"/>
    </row>
    <row r="656">
      <c r="A656" s="96"/>
      <c r="B656" s="95" t="str">
        <f>IFERROR(__xludf.DUMMYFUNCTION("""COMPUTED_VALUE"""),"#VALUE!")</f>
        <v>#VALUE!</v>
      </c>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c r="AD656" s="94"/>
      <c r="AE656" s="94"/>
      <c r="AF656" s="94"/>
      <c r="AG656" s="94"/>
    </row>
    <row r="657">
      <c r="A657" s="96"/>
      <c r="B657" s="95" t="str">
        <f>IFERROR(__xludf.DUMMYFUNCTION("""COMPUTED_VALUE"""),"#VALUE!")</f>
        <v>#VALUE!</v>
      </c>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c r="AD657" s="94"/>
      <c r="AE657" s="94"/>
      <c r="AF657" s="94"/>
      <c r="AG657" s="94"/>
    </row>
    <row r="658">
      <c r="A658" s="96"/>
      <c r="B658" s="95" t="str">
        <f>IFERROR(__xludf.DUMMYFUNCTION("""COMPUTED_VALUE"""),"#VALUE!")</f>
        <v>#VALUE!</v>
      </c>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c r="AD658" s="94"/>
      <c r="AE658" s="94"/>
      <c r="AF658" s="94"/>
      <c r="AG658" s="94"/>
    </row>
    <row r="659">
      <c r="A659" s="96"/>
      <c r="B659" s="95" t="str">
        <f>IFERROR(__xludf.DUMMYFUNCTION("""COMPUTED_VALUE"""),"#VALUE!")</f>
        <v>#VALUE!</v>
      </c>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c r="AD659" s="94"/>
      <c r="AE659" s="94"/>
      <c r="AF659" s="94"/>
      <c r="AG659" s="94"/>
    </row>
    <row r="660">
      <c r="A660" s="96"/>
      <c r="B660" s="95" t="str">
        <f>IFERROR(__xludf.DUMMYFUNCTION("""COMPUTED_VALUE"""),"#VALUE!")</f>
        <v>#VALUE!</v>
      </c>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c r="AD660" s="94"/>
      <c r="AE660" s="94"/>
      <c r="AF660" s="94"/>
      <c r="AG660" s="94"/>
    </row>
    <row r="661">
      <c r="A661" s="96"/>
      <c r="B661" s="95" t="str">
        <f>IFERROR(__xludf.DUMMYFUNCTION("""COMPUTED_VALUE"""),"#VALUE!")</f>
        <v>#VALUE!</v>
      </c>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c r="AD661" s="94"/>
      <c r="AE661" s="94"/>
      <c r="AF661" s="94"/>
      <c r="AG661" s="94"/>
    </row>
    <row r="662">
      <c r="A662" s="96"/>
      <c r="B662" s="95" t="str">
        <f>IFERROR(__xludf.DUMMYFUNCTION("""COMPUTED_VALUE"""),"#VALUE!")</f>
        <v>#VALUE!</v>
      </c>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c r="AD662" s="94"/>
      <c r="AE662" s="94"/>
      <c r="AF662" s="94"/>
      <c r="AG662" s="94"/>
    </row>
    <row r="663">
      <c r="A663" s="96"/>
      <c r="B663" s="95" t="str">
        <f>IFERROR(__xludf.DUMMYFUNCTION("""COMPUTED_VALUE"""),"#VALUE!")</f>
        <v>#VALUE!</v>
      </c>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c r="AD663" s="94"/>
      <c r="AE663" s="94"/>
      <c r="AF663" s="94"/>
      <c r="AG663" s="94"/>
    </row>
    <row r="664">
      <c r="A664" s="96"/>
      <c r="B664" s="95" t="str">
        <f>IFERROR(__xludf.DUMMYFUNCTION("""COMPUTED_VALUE"""),"#VALUE!")</f>
        <v>#VALUE!</v>
      </c>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c r="AD664" s="94"/>
      <c r="AE664" s="94"/>
      <c r="AF664" s="94"/>
      <c r="AG664" s="94"/>
    </row>
    <row r="665">
      <c r="A665" s="96"/>
      <c r="B665" s="95" t="str">
        <f>IFERROR(__xludf.DUMMYFUNCTION("""COMPUTED_VALUE"""),"#VALUE!")</f>
        <v>#VALUE!</v>
      </c>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c r="AD665" s="94"/>
      <c r="AE665" s="94"/>
      <c r="AF665" s="94"/>
      <c r="AG665" s="94"/>
    </row>
    <row r="666">
      <c r="A666" s="96"/>
      <c r="B666" s="95" t="str">
        <f>IFERROR(__xludf.DUMMYFUNCTION("""COMPUTED_VALUE"""),"#VALUE!")</f>
        <v>#VALUE!</v>
      </c>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c r="AD666" s="94"/>
      <c r="AE666" s="94"/>
      <c r="AF666" s="94"/>
      <c r="AG666" s="94"/>
    </row>
    <row r="667">
      <c r="A667" s="96"/>
      <c r="B667" s="95" t="str">
        <f>IFERROR(__xludf.DUMMYFUNCTION("""COMPUTED_VALUE"""),"#VALUE!")</f>
        <v>#VALUE!</v>
      </c>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c r="AD667" s="94"/>
      <c r="AE667" s="94"/>
      <c r="AF667" s="94"/>
      <c r="AG667" s="94"/>
    </row>
    <row r="668">
      <c r="A668" s="96"/>
      <c r="B668" s="95" t="str">
        <f>IFERROR(__xludf.DUMMYFUNCTION("""COMPUTED_VALUE"""),"#VALUE!")</f>
        <v>#VALUE!</v>
      </c>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c r="AD668" s="94"/>
      <c r="AE668" s="94"/>
      <c r="AF668" s="94"/>
      <c r="AG668" s="94"/>
    </row>
    <row r="669">
      <c r="A669" s="96"/>
      <c r="B669" s="95" t="str">
        <f>IFERROR(__xludf.DUMMYFUNCTION("""COMPUTED_VALUE"""),"#VALUE!")</f>
        <v>#VALUE!</v>
      </c>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c r="AD669" s="94"/>
      <c r="AE669" s="94"/>
      <c r="AF669" s="94"/>
      <c r="AG669" s="94"/>
    </row>
    <row r="670">
      <c r="A670" s="96"/>
      <c r="B670" s="95" t="str">
        <f>IFERROR(__xludf.DUMMYFUNCTION("""COMPUTED_VALUE"""),"#VALUE!")</f>
        <v>#VALUE!</v>
      </c>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c r="AD670" s="94"/>
      <c r="AE670" s="94"/>
      <c r="AF670" s="94"/>
      <c r="AG670" s="94"/>
    </row>
    <row r="671">
      <c r="A671" s="96"/>
      <c r="B671" s="95" t="str">
        <f>IFERROR(__xludf.DUMMYFUNCTION("""COMPUTED_VALUE"""),"#VALUE!")</f>
        <v>#VALUE!</v>
      </c>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c r="AD671" s="94"/>
      <c r="AE671" s="94"/>
      <c r="AF671" s="94"/>
      <c r="AG671" s="94"/>
    </row>
    <row r="672">
      <c r="A672" s="96"/>
      <c r="B672" s="95" t="str">
        <f>IFERROR(__xludf.DUMMYFUNCTION("""COMPUTED_VALUE"""),"#VALUE!")</f>
        <v>#VALUE!</v>
      </c>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c r="AD672" s="94"/>
      <c r="AE672" s="94"/>
      <c r="AF672" s="94"/>
      <c r="AG672" s="94"/>
    </row>
    <row r="673">
      <c r="A673" s="96"/>
      <c r="B673" s="95" t="str">
        <f>IFERROR(__xludf.DUMMYFUNCTION("""COMPUTED_VALUE"""),"#VALUE!")</f>
        <v>#VALUE!</v>
      </c>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c r="AD673" s="94"/>
      <c r="AE673" s="94"/>
      <c r="AF673" s="94"/>
      <c r="AG673" s="94"/>
    </row>
    <row r="674">
      <c r="A674" s="96"/>
      <c r="B674" s="95" t="str">
        <f>IFERROR(__xludf.DUMMYFUNCTION("""COMPUTED_VALUE"""),"#VALUE!")</f>
        <v>#VALUE!</v>
      </c>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c r="AD674" s="94"/>
      <c r="AE674" s="94"/>
      <c r="AF674" s="94"/>
      <c r="AG674" s="94"/>
    </row>
    <row r="675">
      <c r="A675" s="96"/>
      <c r="B675" s="95" t="str">
        <f>IFERROR(__xludf.DUMMYFUNCTION("""COMPUTED_VALUE"""),"#VALUE!")</f>
        <v>#VALUE!</v>
      </c>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c r="AD675" s="94"/>
      <c r="AE675" s="94"/>
      <c r="AF675" s="94"/>
      <c r="AG675" s="94"/>
    </row>
    <row r="676">
      <c r="A676" s="96"/>
      <c r="B676" s="95" t="str">
        <f>IFERROR(__xludf.DUMMYFUNCTION("""COMPUTED_VALUE"""),"#VALUE!")</f>
        <v>#VALUE!</v>
      </c>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c r="AD676" s="94"/>
      <c r="AE676" s="94"/>
      <c r="AF676" s="94"/>
      <c r="AG676" s="94"/>
    </row>
    <row r="677">
      <c r="A677" s="96"/>
      <c r="B677" s="95" t="str">
        <f>IFERROR(__xludf.DUMMYFUNCTION("""COMPUTED_VALUE"""),"#VALUE!")</f>
        <v>#VALUE!</v>
      </c>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c r="AD677" s="94"/>
      <c r="AE677" s="94"/>
      <c r="AF677" s="94"/>
      <c r="AG677" s="94"/>
    </row>
    <row r="678">
      <c r="A678" s="96"/>
      <c r="B678" s="95" t="str">
        <f>IFERROR(__xludf.DUMMYFUNCTION("""COMPUTED_VALUE"""),"#VALUE!")</f>
        <v>#VALUE!</v>
      </c>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c r="AD678" s="94"/>
      <c r="AE678" s="94"/>
      <c r="AF678" s="94"/>
      <c r="AG678" s="94"/>
    </row>
    <row r="679">
      <c r="A679" s="96"/>
      <c r="B679" s="95" t="str">
        <f>IFERROR(__xludf.DUMMYFUNCTION("""COMPUTED_VALUE"""),"#VALUE!")</f>
        <v>#VALUE!</v>
      </c>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c r="AD679" s="94"/>
      <c r="AE679" s="94"/>
      <c r="AF679" s="94"/>
      <c r="AG679" s="94"/>
    </row>
    <row r="680">
      <c r="A680" s="96"/>
      <c r="B680" s="95" t="str">
        <f>IFERROR(__xludf.DUMMYFUNCTION("""COMPUTED_VALUE"""),"#VALUE!")</f>
        <v>#VALUE!</v>
      </c>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c r="AD680" s="94"/>
      <c r="AE680" s="94"/>
      <c r="AF680" s="94"/>
      <c r="AG680" s="94"/>
    </row>
    <row r="681">
      <c r="A681" s="96"/>
      <c r="B681" s="95" t="str">
        <f>IFERROR(__xludf.DUMMYFUNCTION("""COMPUTED_VALUE"""),"#VALUE!")</f>
        <v>#VALUE!</v>
      </c>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c r="AD681" s="94"/>
      <c r="AE681" s="94"/>
      <c r="AF681" s="94"/>
      <c r="AG681" s="94"/>
    </row>
    <row r="682">
      <c r="A682" s="96"/>
      <c r="B682" s="95" t="str">
        <f>IFERROR(__xludf.DUMMYFUNCTION("""COMPUTED_VALUE"""),"#VALUE!")</f>
        <v>#VALUE!</v>
      </c>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c r="AD682" s="94"/>
      <c r="AE682" s="94"/>
      <c r="AF682" s="94"/>
      <c r="AG682" s="94"/>
    </row>
    <row r="683">
      <c r="A683" s="96"/>
      <c r="B683" s="95" t="str">
        <f>IFERROR(__xludf.DUMMYFUNCTION("""COMPUTED_VALUE"""),"#VALUE!")</f>
        <v>#VALUE!</v>
      </c>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c r="AD683" s="94"/>
      <c r="AE683" s="94"/>
      <c r="AF683" s="94"/>
      <c r="AG683" s="94"/>
    </row>
    <row r="684">
      <c r="A684" s="96"/>
      <c r="B684" s="95" t="str">
        <f>IFERROR(__xludf.DUMMYFUNCTION("""COMPUTED_VALUE"""),"#VALUE!")</f>
        <v>#VALUE!</v>
      </c>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c r="AD684" s="94"/>
      <c r="AE684" s="94"/>
      <c r="AF684" s="94"/>
      <c r="AG684" s="94"/>
    </row>
    <row r="685">
      <c r="A685" s="96"/>
      <c r="B685" s="95" t="str">
        <f>IFERROR(__xludf.DUMMYFUNCTION("""COMPUTED_VALUE"""),"#VALUE!")</f>
        <v>#VALUE!</v>
      </c>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c r="AD685" s="94"/>
      <c r="AE685" s="94"/>
      <c r="AF685" s="94"/>
      <c r="AG685" s="94"/>
    </row>
    <row r="686">
      <c r="A686" s="96"/>
      <c r="B686" s="95" t="str">
        <f>IFERROR(__xludf.DUMMYFUNCTION("""COMPUTED_VALUE"""),"#VALUE!")</f>
        <v>#VALUE!</v>
      </c>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c r="AD686" s="94"/>
      <c r="AE686" s="94"/>
      <c r="AF686" s="94"/>
      <c r="AG686" s="94"/>
    </row>
    <row r="687">
      <c r="A687" s="96"/>
      <c r="B687" s="95" t="str">
        <f>IFERROR(__xludf.DUMMYFUNCTION("""COMPUTED_VALUE"""),"#VALUE!")</f>
        <v>#VALUE!</v>
      </c>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c r="AD687" s="94"/>
      <c r="AE687" s="94"/>
      <c r="AF687" s="94"/>
      <c r="AG687" s="94"/>
    </row>
    <row r="688">
      <c r="A688" s="96"/>
      <c r="B688" s="95" t="str">
        <f>IFERROR(__xludf.DUMMYFUNCTION("""COMPUTED_VALUE"""),"#VALUE!")</f>
        <v>#VALUE!</v>
      </c>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c r="AD688" s="94"/>
      <c r="AE688" s="94"/>
      <c r="AF688" s="94"/>
      <c r="AG688" s="94"/>
    </row>
    <row r="689">
      <c r="A689" s="96"/>
      <c r="B689" s="95" t="str">
        <f>IFERROR(__xludf.DUMMYFUNCTION("""COMPUTED_VALUE"""),"#VALUE!")</f>
        <v>#VALUE!</v>
      </c>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c r="AD689" s="94"/>
      <c r="AE689" s="94"/>
      <c r="AF689" s="94"/>
      <c r="AG689" s="94"/>
    </row>
    <row r="690">
      <c r="A690" s="96"/>
      <c r="B690" s="95" t="str">
        <f>IFERROR(__xludf.DUMMYFUNCTION("""COMPUTED_VALUE"""),"#VALUE!")</f>
        <v>#VALUE!</v>
      </c>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c r="AD690" s="94"/>
      <c r="AE690" s="94"/>
      <c r="AF690" s="94"/>
      <c r="AG690" s="94"/>
    </row>
    <row r="691">
      <c r="A691" s="96"/>
      <c r="B691" s="95" t="str">
        <f>IFERROR(__xludf.DUMMYFUNCTION("""COMPUTED_VALUE"""),"#VALUE!")</f>
        <v>#VALUE!</v>
      </c>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c r="AD691" s="94"/>
      <c r="AE691" s="94"/>
      <c r="AF691" s="94"/>
      <c r="AG691" s="94"/>
    </row>
    <row r="692">
      <c r="A692" s="96"/>
      <c r="B692" s="95" t="str">
        <f>IFERROR(__xludf.DUMMYFUNCTION("""COMPUTED_VALUE"""),"#VALUE!")</f>
        <v>#VALUE!</v>
      </c>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c r="AD692" s="94"/>
      <c r="AE692" s="94"/>
      <c r="AF692" s="94"/>
      <c r="AG692" s="94"/>
    </row>
    <row r="693">
      <c r="A693" s="96"/>
      <c r="B693" s="95" t="str">
        <f>IFERROR(__xludf.DUMMYFUNCTION("""COMPUTED_VALUE"""),"#VALUE!")</f>
        <v>#VALUE!</v>
      </c>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c r="AF693" s="94"/>
      <c r="AG693" s="94"/>
    </row>
    <row r="694">
      <c r="A694" s="96"/>
      <c r="B694" s="95" t="str">
        <f>IFERROR(__xludf.DUMMYFUNCTION("""COMPUTED_VALUE"""),"#VALUE!")</f>
        <v>#VALUE!</v>
      </c>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c r="AD694" s="94"/>
      <c r="AE694" s="94"/>
      <c r="AF694" s="94"/>
      <c r="AG694" s="94"/>
    </row>
    <row r="695">
      <c r="A695" s="96"/>
      <c r="B695" s="95" t="str">
        <f>IFERROR(__xludf.DUMMYFUNCTION("""COMPUTED_VALUE"""),"#VALUE!")</f>
        <v>#VALUE!</v>
      </c>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c r="AD695" s="94"/>
      <c r="AE695" s="94"/>
      <c r="AF695" s="94"/>
      <c r="AG695" s="94"/>
    </row>
    <row r="696">
      <c r="A696" s="96"/>
      <c r="B696" s="95" t="str">
        <f>IFERROR(__xludf.DUMMYFUNCTION("""COMPUTED_VALUE"""),"#VALUE!")</f>
        <v>#VALUE!</v>
      </c>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c r="AD696" s="94"/>
      <c r="AE696" s="94"/>
      <c r="AF696" s="94"/>
      <c r="AG696" s="94"/>
    </row>
    <row r="697">
      <c r="A697" s="96"/>
      <c r="B697" s="95" t="str">
        <f>IFERROR(__xludf.DUMMYFUNCTION("""COMPUTED_VALUE"""),"#VALUE!")</f>
        <v>#VALUE!</v>
      </c>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c r="AD697" s="94"/>
      <c r="AE697" s="94"/>
      <c r="AF697" s="94"/>
      <c r="AG697" s="94"/>
    </row>
    <row r="698">
      <c r="A698" s="96"/>
      <c r="B698" s="95" t="str">
        <f>IFERROR(__xludf.DUMMYFUNCTION("""COMPUTED_VALUE"""),"#VALUE!")</f>
        <v>#VALUE!</v>
      </c>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c r="AD698" s="94"/>
      <c r="AE698" s="94"/>
      <c r="AF698" s="94"/>
      <c r="AG698" s="94"/>
    </row>
    <row r="699">
      <c r="A699" s="96"/>
      <c r="B699" s="95" t="str">
        <f>IFERROR(__xludf.DUMMYFUNCTION("""COMPUTED_VALUE"""),"#VALUE!")</f>
        <v>#VALUE!</v>
      </c>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c r="AD699" s="94"/>
      <c r="AE699" s="94"/>
      <c r="AF699" s="94"/>
      <c r="AG699" s="94"/>
    </row>
    <row r="700">
      <c r="A700" s="96"/>
      <c r="B700" s="95" t="str">
        <f>IFERROR(__xludf.DUMMYFUNCTION("""COMPUTED_VALUE"""),"#VALUE!")</f>
        <v>#VALUE!</v>
      </c>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c r="AD700" s="94"/>
      <c r="AE700" s="94"/>
      <c r="AF700" s="94"/>
      <c r="AG700" s="94"/>
    </row>
    <row r="701">
      <c r="A701" s="96"/>
      <c r="B701" s="95" t="str">
        <f>IFERROR(__xludf.DUMMYFUNCTION("""COMPUTED_VALUE"""),"#VALUE!")</f>
        <v>#VALUE!</v>
      </c>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c r="AD701" s="94"/>
      <c r="AE701" s="94"/>
      <c r="AF701" s="94"/>
      <c r="AG701" s="94"/>
    </row>
    <row r="702">
      <c r="A702" s="96"/>
      <c r="B702" s="95" t="str">
        <f>IFERROR(__xludf.DUMMYFUNCTION("""COMPUTED_VALUE"""),"#VALUE!")</f>
        <v>#VALUE!</v>
      </c>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c r="AD702" s="94"/>
      <c r="AE702" s="94"/>
      <c r="AF702" s="94"/>
      <c r="AG702" s="94"/>
    </row>
    <row r="703">
      <c r="A703" s="96"/>
      <c r="B703" s="95" t="str">
        <f>IFERROR(__xludf.DUMMYFUNCTION("""COMPUTED_VALUE"""),"#VALUE!")</f>
        <v>#VALUE!</v>
      </c>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c r="AD703" s="94"/>
      <c r="AE703" s="94"/>
      <c r="AF703" s="94"/>
      <c r="AG703" s="94"/>
    </row>
    <row r="704">
      <c r="A704" s="96"/>
      <c r="B704" s="95" t="str">
        <f>IFERROR(__xludf.DUMMYFUNCTION("""COMPUTED_VALUE"""),"#VALUE!")</f>
        <v>#VALUE!</v>
      </c>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c r="AD704" s="94"/>
      <c r="AE704" s="94"/>
      <c r="AF704" s="94"/>
      <c r="AG704" s="94"/>
    </row>
    <row r="705">
      <c r="A705" s="96"/>
      <c r="B705" s="95" t="str">
        <f>IFERROR(__xludf.DUMMYFUNCTION("""COMPUTED_VALUE"""),"#VALUE!")</f>
        <v>#VALUE!</v>
      </c>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c r="AD705" s="94"/>
      <c r="AE705" s="94"/>
      <c r="AF705" s="94"/>
      <c r="AG705" s="94"/>
    </row>
    <row r="706">
      <c r="A706" s="96"/>
      <c r="B706" s="95" t="str">
        <f>IFERROR(__xludf.DUMMYFUNCTION("""COMPUTED_VALUE"""),"#VALUE!")</f>
        <v>#VALUE!</v>
      </c>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c r="AD706" s="94"/>
      <c r="AE706" s="94"/>
      <c r="AF706" s="94"/>
      <c r="AG706" s="94"/>
    </row>
    <row r="707">
      <c r="A707" s="96"/>
      <c r="B707" s="95" t="str">
        <f>IFERROR(__xludf.DUMMYFUNCTION("""COMPUTED_VALUE"""),"#VALUE!")</f>
        <v>#VALUE!</v>
      </c>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c r="AD707" s="94"/>
      <c r="AE707" s="94"/>
      <c r="AF707" s="94"/>
      <c r="AG707" s="94"/>
    </row>
    <row r="708">
      <c r="A708" s="96"/>
      <c r="B708" s="95" t="str">
        <f>IFERROR(__xludf.DUMMYFUNCTION("""COMPUTED_VALUE"""),"#VALUE!")</f>
        <v>#VALUE!</v>
      </c>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c r="AD708" s="94"/>
      <c r="AE708" s="94"/>
      <c r="AF708" s="94"/>
      <c r="AG708" s="94"/>
    </row>
    <row r="709">
      <c r="A709" s="96"/>
      <c r="B709" s="95" t="str">
        <f>IFERROR(__xludf.DUMMYFUNCTION("""COMPUTED_VALUE"""),"#VALUE!")</f>
        <v>#VALUE!</v>
      </c>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c r="AD709" s="94"/>
      <c r="AE709" s="94"/>
      <c r="AF709" s="94"/>
      <c r="AG709" s="94"/>
    </row>
    <row r="710">
      <c r="A710" s="96"/>
      <c r="B710" s="95" t="str">
        <f>IFERROR(__xludf.DUMMYFUNCTION("""COMPUTED_VALUE"""),"#VALUE!")</f>
        <v>#VALUE!</v>
      </c>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c r="AD710" s="94"/>
      <c r="AE710" s="94"/>
      <c r="AF710" s="94"/>
      <c r="AG710" s="94"/>
    </row>
    <row r="711">
      <c r="A711" s="96"/>
      <c r="B711" s="95" t="str">
        <f>IFERROR(__xludf.DUMMYFUNCTION("""COMPUTED_VALUE"""),"#VALUE!")</f>
        <v>#VALUE!</v>
      </c>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c r="AD711" s="94"/>
      <c r="AE711" s="94"/>
      <c r="AF711" s="94"/>
      <c r="AG711" s="94"/>
    </row>
    <row r="712">
      <c r="A712" s="96"/>
      <c r="B712" s="95" t="str">
        <f>IFERROR(__xludf.DUMMYFUNCTION("""COMPUTED_VALUE"""),"#VALUE!")</f>
        <v>#VALUE!</v>
      </c>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c r="AD712" s="94"/>
      <c r="AE712" s="94"/>
      <c r="AF712" s="94"/>
      <c r="AG712" s="94"/>
    </row>
    <row r="713">
      <c r="A713" s="96"/>
      <c r="B713" s="95" t="str">
        <f>IFERROR(__xludf.DUMMYFUNCTION("""COMPUTED_VALUE"""),"#VALUE!")</f>
        <v>#VALUE!</v>
      </c>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c r="AD713" s="94"/>
      <c r="AE713" s="94"/>
      <c r="AF713" s="94"/>
      <c r="AG713" s="94"/>
    </row>
    <row r="714">
      <c r="A714" s="96"/>
      <c r="B714" s="95" t="str">
        <f>IFERROR(__xludf.DUMMYFUNCTION("""COMPUTED_VALUE"""),"#VALUE!")</f>
        <v>#VALUE!</v>
      </c>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c r="AD714" s="94"/>
      <c r="AE714" s="94"/>
      <c r="AF714" s="94"/>
      <c r="AG714" s="94"/>
    </row>
    <row r="715">
      <c r="A715" s="96"/>
      <c r="B715" s="95" t="str">
        <f>IFERROR(__xludf.DUMMYFUNCTION("""COMPUTED_VALUE"""),"#VALUE!")</f>
        <v>#VALUE!</v>
      </c>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c r="AD715" s="94"/>
      <c r="AE715" s="94"/>
      <c r="AF715" s="94"/>
      <c r="AG715" s="94"/>
    </row>
    <row r="716">
      <c r="A716" s="96"/>
      <c r="B716" s="95" t="str">
        <f>IFERROR(__xludf.DUMMYFUNCTION("""COMPUTED_VALUE"""),"#VALUE!")</f>
        <v>#VALUE!</v>
      </c>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c r="AD716" s="94"/>
      <c r="AE716" s="94"/>
      <c r="AF716" s="94"/>
      <c r="AG716" s="94"/>
    </row>
    <row r="717">
      <c r="A717" s="96"/>
      <c r="B717" s="95" t="str">
        <f>IFERROR(__xludf.DUMMYFUNCTION("""COMPUTED_VALUE"""),"#VALUE!")</f>
        <v>#VALUE!</v>
      </c>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c r="AF717" s="94"/>
      <c r="AG717" s="94"/>
    </row>
    <row r="718">
      <c r="A718" s="96"/>
      <c r="B718" s="95" t="str">
        <f>IFERROR(__xludf.DUMMYFUNCTION("""COMPUTED_VALUE"""),"#VALUE!")</f>
        <v>#VALUE!</v>
      </c>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c r="AD718" s="94"/>
      <c r="AE718" s="94"/>
      <c r="AF718" s="94"/>
      <c r="AG718" s="94"/>
    </row>
    <row r="719">
      <c r="A719" s="96"/>
      <c r="B719" s="95" t="str">
        <f>IFERROR(__xludf.DUMMYFUNCTION("""COMPUTED_VALUE"""),"#VALUE!")</f>
        <v>#VALUE!</v>
      </c>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c r="AD719" s="94"/>
      <c r="AE719" s="94"/>
      <c r="AF719" s="94"/>
      <c r="AG719" s="94"/>
    </row>
    <row r="720">
      <c r="A720" s="96"/>
      <c r="B720" s="95" t="str">
        <f>IFERROR(__xludf.DUMMYFUNCTION("""COMPUTED_VALUE"""),"#VALUE!")</f>
        <v>#VALUE!</v>
      </c>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c r="AD720" s="94"/>
      <c r="AE720" s="94"/>
      <c r="AF720" s="94"/>
      <c r="AG720" s="94"/>
    </row>
    <row r="721">
      <c r="A721" s="96"/>
      <c r="B721" s="95" t="str">
        <f>IFERROR(__xludf.DUMMYFUNCTION("""COMPUTED_VALUE"""),"#VALUE!")</f>
        <v>#VALUE!</v>
      </c>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c r="AD721" s="94"/>
      <c r="AE721" s="94"/>
      <c r="AF721" s="94"/>
      <c r="AG721" s="94"/>
    </row>
    <row r="722">
      <c r="A722" s="96"/>
      <c r="B722" s="95" t="str">
        <f>IFERROR(__xludf.DUMMYFUNCTION("""COMPUTED_VALUE"""),"#VALUE!")</f>
        <v>#VALUE!</v>
      </c>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c r="AD722" s="94"/>
      <c r="AE722" s="94"/>
      <c r="AF722" s="94"/>
      <c r="AG722" s="94"/>
    </row>
    <row r="723">
      <c r="A723" s="96"/>
      <c r="B723" s="95" t="str">
        <f>IFERROR(__xludf.DUMMYFUNCTION("""COMPUTED_VALUE"""),"#VALUE!")</f>
        <v>#VALUE!</v>
      </c>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c r="AD723" s="94"/>
      <c r="AE723" s="94"/>
      <c r="AF723" s="94"/>
      <c r="AG723" s="94"/>
    </row>
    <row r="724">
      <c r="A724" s="96"/>
      <c r="B724" s="95" t="str">
        <f>IFERROR(__xludf.DUMMYFUNCTION("""COMPUTED_VALUE"""),"#VALUE!")</f>
        <v>#VALUE!</v>
      </c>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c r="AD724" s="94"/>
      <c r="AE724" s="94"/>
      <c r="AF724" s="94"/>
      <c r="AG724" s="94"/>
    </row>
    <row r="725">
      <c r="A725" s="96"/>
      <c r="B725" s="95" t="str">
        <f>IFERROR(__xludf.DUMMYFUNCTION("""COMPUTED_VALUE"""),"#VALUE!")</f>
        <v>#VALUE!</v>
      </c>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c r="AD725" s="94"/>
      <c r="AE725" s="94"/>
      <c r="AF725" s="94"/>
      <c r="AG725" s="94"/>
    </row>
    <row r="726">
      <c r="A726" s="96"/>
      <c r="B726" s="95" t="str">
        <f>IFERROR(__xludf.DUMMYFUNCTION("""COMPUTED_VALUE"""),"#VALUE!")</f>
        <v>#VALUE!</v>
      </c>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c r="AD726" s="94"/>
      <c r="AE726" s="94"/>
      <c r="AF726" s="94"/>
      <c r="AG726" s="94"/>
    </row>
    <row r="727">
      <c r="A727" s="96"/>
      <c r="B727" s="95" t="str">
        <f>IFERROR(__xludf.DUMMYFUNCTION("""COMPUTED_VALUE"""),"#VALUE!")</f>
        <v>#VALUE!</v>
      </c>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c r="AD727" s="94"/>
      <c r="AE727" s="94"/>
      <c r="AF727" s="94"/>
      <c r="AG727" s="94"/>
    </row>
    <row r="728">
      <c r="A728" s="96"/>
      <c r="B728" s="95" t="str">
        <f>IFERROR(__xludf.DUMMYFUNCTION("""COMPUTED_VALUE"""),"#VALUE!")</f>
        <v>#VALUE!</v>
      </c>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c r="AD728" s="94"/>
      <c r="AE728" s="94"/>
      <c r="AF728" s="94"/>
      <c r="AG728" s="94"/>
    </row>
    <row r="729">
      <c r="A729" s="96"/>
      <c r="B729" s="95" t="str">
        <f>IFERROR(__xludf.DUMMYFUNCTION("""COMPUTED_VALUE"""),"#VALUE!")</f>
        <v>#VALUE!</v>
      </c>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c r="AD729" s="94"/>
      <c r="AE729" s="94"/>
      <c r="AF729" s="94"/>
      <c r="AG729" s="94"/>
    </row>
    <row r="730">
      <c r="A730" s="96"/>
      <c r="B730" s="95" t="str">
        <f>IFERROR(__xludf.DUMMYFUNCTION("""COMPUTED_VALUE"""),"#VALUE!")</f>
        <v>#VALUE!</v>
      </c>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c r="AD730" s="94"/>
      <c r="AE730" s="94"/>
      <c r="AF730" s="94"/>
      <c r="AG730" s="94"/>
    </row>
    <row r="731">
      <c r="A731" s="96"/>
      <c r="B731" s="95" t="str">
        <f>IFERROR(__xludf.DUMMYFUNCTION("""COMPUTED_VALUE"""),"#VALUE!")</f>
        <v>#VALUE!</v>
      </c>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c r="AD731" s="94"/>
      <c r="AE731" s="94"/>
      <c r="AF731" s="94"/>
      <c r="AG731" s="94"/>
    </row>
    <row r="732">
      <c r="A732" s="96"/>
      <c r="B732" s="95" t="str">
        <f>IFERROR(__xludf.DUMMYFUNCTION("""COMPUTED_VALUE"""),"#VALUE!")</f>
        <v>#VALUE!</v>
      </c>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c r="AD732" s="94"/>
      <c r="AE732" s="94"/>
      <c r="AF732" s="94"/>
      <c r="AG732" s="94"/>
    </row>
    <row r="733">
      <c r="A733" s="96"/>
      <c r="B733" s="95" t="str">
        <f>IFERROR(__xludf.DUMMYFUNCTION("""COMPUTED_VALUE"""),"#VALUE!")</f>
        <v>#VALUE!</v>
      </c>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c r="AD733" s="94"/>
      <c r="AE733" s="94"/>
      <c r="AF733" s="94"/>
      <c r="AG733" s="94"/>
    </row>
    <row r="734">
      <c r="A734" s="96"/>
      <c r="B734" s="95" t="str">
        <f>IFERROR(__xludf.DUMMYFUNCTION("""COMPUTED_VALUE"""),"#VALUE!")</f>
        <v>#VALUE!</v>
      </c>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c r="AD734" s="94"/>
      <c r="AE734" s="94"/>
      <c r="AF734" s="94"/>
      <c r="AG734" s="94"/>
    </row>
    <row r="735">
      <c r="A735" s="96"/>
      <c r="B735" s="95" t="str">
        <f>IFERROR(__xludf.DUMMYFUNCTION("""COMPUTED_VALUE"""),"#VALUE!")</f>
        <v>#VALUE!</v>
      </c>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c r="AD735" s="94"/>
      <c r="AE735" s="94"/>
      <c r="AF735" s="94"/>
      <c r="AG735" s="94"/>
    </row>
    <row r="736">
      <c r="A736" s="96"/>
      <c r="B736" s="95" t="str">
        <f>IFERROR(__xludf.DUMMYFUNCTION("""COMPUTED_VALUE"""),"#VALUE!")</f>
        <v>#VALUE!</v>
      </c>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c r="AD736" s="94"/>
      <c r="AE736" s="94"/>
      <c r="AF736" s="94"/>
      <c r="AG736" s="94"/>
    </row>
    <row r="737">
      <c r="A737" s="96"/>
      <c r="B737" s="95" t="str">
        <f>IFERROR(__xludf.DUMMYFUNCTION("""COMPUTED_VALUE"""),"#VALUE!")</f>
        <v>#VALUE!</v>
      </c>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c r="AF737" s="94"/>
      <c r="AG737" s="94"/>
    </row>
    <row r="738">
      <c r="A738" s="96"/>
      <c r="B738" s="95" t="str">
        <f>IFERROR(__xludf.DUMMYFUNCTION("""COMPUTED_VALUE"""),"#VALUE!")</f>
        <v>#VALUE!</v>
      </c>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c r="AD738" s="94"/>
      <c r="AE738" s="94"/>
      <c r="AF738" s="94"/>
      <c r="AG738" s="94"/>
    </row>
    <row r="739">
      <c r="A739" s="96"/>
      <c r="B739" s="95" t="str">
        <f>IFERROR(__xludf.DUMMYFUNCTION("""COMPUTED_VALUE"""),"#VALUE!")</f>
        <v>#VALUE!</v>
      </c>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c r="AD739" s="94"/>
      <c r="AE739" s="94"/>
      <c r="AF739" s="94"/>
      <c r="AG739" s="94"/>
    </row>
    <row r="740">
      <c r="A740" s="96"/>
      <c r="B740" s="95" t="str">
        <f>IFERROR(__xludf.DUMMYFUNCTION("""COMPUTED_VALUE"""),"#VALUE!")</f>
        <v>#VALUE!</v>
      </c>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c r="AD740" s="94"/>
      <c r="AE740" s="94"/>
      <c r="AF740" s="94"/>
      <c r="AG740" s="94"/>
    </row>
    <row r="741">
      <c r="A741" s="96"/>
      <c r="B741" s="95" t="str">
        <f>IFERROR(__xludf.DUMMYFUNCTION("""COMPUTED_VALUE"""),"#VALUE!")</f>
        <v>#VALUE!</v>
      </c>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c r="AD741" s="94"/>
      <c r="AE741" s="94"/>
      <c r="AF741" s="94"/>
      <c r="AG741" s="94"/>
    </row>
    <row r="742">
      <c r="A742" s="96"/>
      <c r="B742" s="95" t="str">
        <f>IFERROR(__xludf.DUMMYFUNCTION("""COMPUTED_VALUE"""),"#VALUE!")</f>
        <v>#VALUE!</v>
      </c>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c r="AD742" s="94"/>
      <c r="AE742" s="94"/>
      <c r="AF742" s="94"/>
      <c r="AG742" s="94"/>
    </row>
    <row r="743">
      <c r="A743" s="96"/>
      <c r="B743" s="95" t="str">
        <f>IFERROR(__xludf.DUMMYFUNCTION("""COMPUTED_VALUE"""),"#VALUE!")</f>
        <v>#VALUE!</v>
      </c>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c r="AD743" s="94"/>
      <c r="AE743" s="94"/>
      <c r="AF743" s="94"/>
      <c r="AG743" s="94"/>
    </row>
    <row r="744">
      <c r="A744" s="96"/>
      <c r="B744" s="95" t="str">
        <f>IFERROR(__xludf.DUMMYFUNCTION("""COMPUTED_VALUE"""),"#VALUE!")</f>
        <v>#VALUE!</v>
      </c>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c r="AD744" s="94"/>
      <c r="AE744" s="94"/>
      <c r="AF744" s="94"/>
      <c r="AG744" s="94"/>
    </row>
    <row r="745">
      <c r="A745" s="96"/>
      <c r="B745" s="95" t="str">
        <f>IFERROR(__xludf.DUMMYFUNCTION("""COMPUTED_VALUE"""),"#VALUE!")</f>
        <v>#VALUE!</v>
      </c>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c r="AD745" s="94"/>
      <c r="AE745" s="94"/>
      <c r="AF745" s="94"/>
      <c r="AG745" s="94"/>
    </row>
    <row r="746">
      <c r="A746" s="96"/>
      <c r="B746" s="95" t="str">
        <f>IFERROR(__xludf.DUMMYFUNCTION("""COMPUTED_VALUE"""),"#VALUE!")</f>
        <v>#VALUE!</v>
      </c>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c r="AD746" s="94"/>
      <c r="AE746" s="94"/>
      <c r="AF746" s="94"/>
      <c r="AG746" s="94"/>
    </row>
    <row r="747">
      <c r="A747" s="96"/>
      <c r="B747" s="95" t="str">
        <f>IFERROR(__xludf.DUMMYFUNCTION("""COMPUTED_VALUE"""),"#VALUE!")</f>
        <v>#VALUE!</v>
      </c>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c r="AD747" s="94"/>
      <c r="AE747" s="94"/>
      <c r="AF747" s="94"/>
      <c r="AG747" s="94"/>
    </row>
    <row r="748">
      <c r="A748" s="96"/>
      <c r="B748" s="95" t="str">
        <f>IFERROR(__xludf.DUMMYFUNCTION("""COMPUTED_VALUE"""),"#VALUE!")</f>
        <v>#VALUE!</v>
      </c>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c r="AF748" s="94"/>
      <c r="AG748" s="94"/>
    </row>
    <row r="749">
      <c r="A749" s="96"/>
      <c r="B749" s="95" t="str">
        <f>IFERROR(__xludf.DUMMYFUNCTION("""COMPUTED_VALUE"""),"#VALUE!")</f>
        <v>#VALUE!</v>
      </c>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c r="AD749" s="94"/>
      <c r="AE749" s="94"/>
      <c r="AF749" s="94"/>
      <c r="AG749" s="94"/>
    </row>
    <row r="750">
      <c r="A750" s="96"/>
      <c r="B750" s="95" t="str">
        <f>IFERROR(__xludf.DUMMYFUNCTION("""COMPUTED_VALUE"""),"#VALUE!")</f>
        <v>#VALUE!</v>
      </c>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c r="AD750" s="94"/>
      <c r="AE750" s="94"/>
      <c r="AF750" s="94"/>
      <c r="AG750" s="94"/>
    </row>
    <row r="751">
      <c r="A751" s="96"/>
      <c r="B751" s="95" t="str">
        <f>IFERROR(__xludf.DUMMYFUNCTION("""COMPUTED_VALUE"""),"#VALUE!")</f>
        <v>#VALUE!</v>
      </c>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c r="AD751" s="94"/>
      <c r="AE751" s="94"/>
      <c r="AF751" s="94"/>
      <c r="AG751" s="94"/>
    </row>
    <row r="752">
      <c r="A752" s="96"/>
      <c r="B752" s="95" t="str">
        <f>IFERROR(__xludf.DUMMYFUNCTION("""COMPUTED_VALUE"""),"#VALUE!")</f>
        <v>#VALUE!</v>
      </c>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c r="AD752" s="94"/>
      <c r="AE752" s="94"/>
      <c r="AF752" s="94"/>
      <c r="AG752" s="94"/>
    </row>
    <row r="753">
      <c r="A753" s="96"/>
      <c r="B753" s="95" t="str">
        <f>IFERROR(__xludf.DUMMYFUNCTION("""COMPUTED_VALUE"""),"#VALUE!")</f>
        <v>#VALUE!</v>
      </c>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c r="AD753" s="94"/>
      <c r="AE753" s="94"/>
      <c r="AF753" s="94"/>
      <c r="AG753" s="94"/>
    </row>
    <row r="754">
      <c r="A754" s="96"/>
      <c r="B754" s="95" t="str">
        <f>IFERROR(__xludf.DUMMYFUNCTION("""COMPUTED_VALUE"""),"#VALUE!")</f>
        <v>#VALUE!</v>
      </c>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c r="AD754" s="94"/>
      <c r="AE754" s="94"/>
      <c r="AF754" s="94"/>
      <c r="AG754" s="94"/>
    </row>
    <row r="755">
      <c r="A755" s="96"/>
      <c r="B755" s="95" t="str">
        <f>IFERROR(__xludf.DUMMYFUNCTION("""COMPUTED_VALUE"""),"#VALUE!")</f>
        <v>#VALUE!</v>
      </c>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c r="AD755" s="94"/>
      <c r="AE755" s="94"/>
      <c r="AF755" s="94"/>
      <c r="AG755" s="94"/>
    </row>
    <row r="756">
      <c r="A756" s="96"/>
      <c r="B756" s="95" t="str">
        <f>IFERROR(__xludf.DUMMYFUNCTION("""COMPUTED_VALUE"""),"#VALUE!")</f>
        <v>#VALUE!</v>
      </c>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c r="AD756" s="94"/>
      <c r="AE756" s="94"/>
      <c r="AF756" s="94"/>
      <c r="AG756" s="94"/>
    </row>
    <row r="757">
      <c r="A757" s="96"/>
      <c r="B757" s="95" t="str">
        <f>IFERROR(__xludf.DUMMYFUNCTION("""COMPUTED_VALUE"""),"#VALUE!")</f>
        <v>#VALUE!</v>
      </c>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c r="AD757" s="94"/>
      <c r="AE757" s="94"/>
      <c r="AF757" s="94"/>
      <c r="AG757" s="94"/>
    </row>
    <row r="758">
      <c r="A758" s="96"/>
      <c r="B758" s="95" t="str">
        <f>IFERROR(__xludf.DUMMYFUNCTION("""COMPUTED_VALUE"""),"#VALUE!")</f>
        <v>#VALUE!</v>
      </c>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c r="AD758" s="94"/>
      <c r="AE758" s="94"/>
      <c r="AF758" s="94"/>
      <c r="AG758" s="94"/>
    </row>
    <row r="759">
      <c r="A759" s="96"/>
      <c r="B759" s="95" t="str">
        <f>IFERROR(__xludf.DUMMYFUNCTION("""COMPUTED_VALUE"""),"#VALUE!")</f>
        <v>#VALUE!</v>
      </c>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c r="AD759" s="94"/>
      <c r="AE759" s="94"/>
      <c r="AF759" s="94"/>
      <c r="AG759" s="94"/>
    </row>
    <row r="760">
      <c r="A760" s="96"/>
      <c r="B760" s="95" t="str">
        <f>IFERROR(__xludf.DUMMYFUNCTION("""COMPUTED_VALUE"""),"#VALUE!")</f>
        <v>#VALUE!</v>
      </c>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c r="AD760" s="94"/>
      <c r="AE760" s="94"/>
      <c r="AF760" s="94"/>
      <c r="AG760" s="94"/>
    </row>
    <row r="761">
      <c r="A761" s="96"/>
      <c r="B761" s="95" t="str">
        <f>IFERROR(__xludf.DUMMYFUNCTION("""COMPUTED_VALUE"""),"#VALUE!")</f>
        <v>#VALUE!</v>
      </c>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c r="AF761" s="94"/>
      <c r="AG761" s="94"/>
    </row>
    <row r="762">
      <c r="A762" s="96"/>
      <c r="B762" s="95" t="str">
        <f>IFERROR(__xludf.DUMMYFUNCTION("""COMPUTED_VALUE"""),"#VALUE!")</f>
        <v>#VALUE!</v>
      </c>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c r="AD762" s="94"/>
      <c r="AE762" s="94"/>
      <c r="AF762" s="94"/>
      <c r="AG762" s="94"/>
    </row>
    <row r="763">
      <c r="A763" s="96"/>
      <c r="B763" s="95" t="str">
        <f>IFERROR(__xludf.DUMMYFUNCTION("""COMPUTED_VALUE"""),"#VALUE!")</f>
        <v>#VALUE!</v>
      </c>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c r="AD763" s="94"/>
      <c r="AE763" s="94"/>
      <c r="AF763" s="94"/>
      <c r="AG763" s="94"/>
    </row>
    <row r="764">
      <c r="A764" s="96"/>
      <c r="B764" s="95" t="str">
        <f>IFERROR(__xludf.DUMMYFUNCTION("""COMPUTED_VALUE"""),"#VALUE!")</f>
        <v>#VALUE!</v>
      </c>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c r="AD764" s="94"/>
      <c r="AE764" s="94"/>
      <c r="AF764" s="94"/>
      <c r="AG764" s="94"/>
    </row>
    <row r="765">
      <c r="A765" s="96"/>
      <c r="B765" s="95" t="str">
        <f>IFERROR(__xludf.DUMMYFUNCTION("""COMPUTED_VALUE"""),"#VALUE!")</f>
        <v>#VALUE!</v>
      </c>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c r="AD765" s="94"/>
      <c r="AE765" s="94"/>
      <c r="AF765" s="94"/>
      <c r="AG765" s="94"/>
    </row>
    <row r="766">
      <c r="A766" s="96"/>
      <c r="B766" s="95" t="str">
        <f>IFERROR(__xludf.DUMMYFUNCTION("""COMPUTED_VALUE"""),"#VALUE!")</f>
        <v>#VALUE!</v>
      </c>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c r="AD766" s="94"/>
      <c r="AE766" s="94"/>
      <c r="AF766" s="94"/>
      <c r="AG766" s="94"/>
    </row>
    <row r="767">
      <c r="A767" s="96"/>
      <c r="B767" s="95" t="str">
        <f>IFERROR(__xludf.DUMMYFUNCTION("""COMPUTED_VALUE"""),"#VALUE!")</f>
        <v>#VALUE!</v>
      </c>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c r="AD767" s="94"/>
      <c r="AE767" s="94"/>
      <c r="AF767" s="94"/>
      <c r="AG767" s="94"/>
    </row>
    <row r="768">
      <c r="A768" s="96"/>
      <c r="B768" s="95" t="str">
        <f>IFERROR(__xludf.DUMMYFUNCTION("""COMPUTED_VALUE"""),"#VALUE!")</f>
        <v>#VALUE!</v>
      </c>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c r="AD768" s="94"/>
      <c r="AE768" s="94"/>
      <c r="AF768" s="94"/>
      <c r="AG768" s="94"/>
    </row>
    <row r="769">
      <c r="A769" s="96"/>
      <c r="B769" s="95" t="str">
        <f>IFERROR(__xludf.DUMMYFUNCTION("""COMPUTED_VALUE"""),"#VALUE!")</f>
        <v>#VALUE!</v>
      </c>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c r="AD769" s="94"/>
      <c r="AE769" s="94"/>
      <c r="AF769" s="94"/>
      <c r="AG769" s="94"/>
    </row>
    <row r="770">
      <c r="A770" s="96"/>
      <c r="B770" s="95" t="str">
        <f>IFERROR(__xludf.DUMMYFUNCTION("""COMPUTED_VALUE"""),"#VALUE!")</f>
        <v>#VALUE!</v>
      </c>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c r="AD770" s="94"/>
      <c r="AE770" s="94"/>
      <c r="AF770" s="94"/>
      <c r="AG770" s="94"/>
    </row>
    <row r="771">
      <c r="A771" s="96"/>
      <c r="B771" s="95" t="str">
        <f>IFERROR(__xludf.DUMMYFUNCTION("""COMPUTED_VALUE"""),"#VALUE!")</f>
        <v>#VALUE!</v>
      </c>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c r="AD771" s="94"/>
      <c r="AE771" s="94"/>
      <c r="AF771" s="94"/>
      <c r="AG771" s="94"/>
    </row>
    <row r="772">
      <c r="A772" s="96"/>
      <c r="B772" s="95" t="str">
        <f>IFERROR(__xludf.DUMMYFUNCTION("""COMPUTED_VALUE"""),"#VALUE!")</f>
        <v>#VALUE!</v>
      </c>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c r="AD772" s="94"/>
      <c r="AE772" s="94"/>
      <c r="AF772" s="94"/>
      <c r="AG772" s="94"/>
    </row>
    <row r="773">
      <c r="A773" s="96"/>
      <c r="B773" s="95" t="str">
        <f>IFERROR(__xludf.DUMMYFUNCTION("""COMPUTED_VALUE"""),"#VALUE!")</f>
        <v>#VALUE!</v>
      </c>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c r="AD773" s="94"/>
      <c r="AE773" s="94"/>
      <c r="AF773" s="94"/>
      <c r="AG773" s="94"/>
    </row>
    <row r="774">
      <c r="A774" s="96"/>
      <c r="B774" s="95" t="str">
        <f>IFERROR(__xludf.DUMMYFUNCTION("""COMPUTED_VALUE"""),"#VALUE!")</f>
        <v>#VALUE!</v>
      </c>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c r="AD774" s="94"/>
      <c r="AE774" s="94"/>
      <c r="AF774" s="94"/>
      <c r="AG774" s="94"/>
    </row>
    <row r="775">
      <c r="A775" s="96"/>
      <c r="B775" s="95" t="str">
        <f>IFERROR(__xludf.DUMMYFUNCTION("""COMPUTED_VALUE"""),"#VALUE!")</f>
        <v>#VALUE!</v>
      </c>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c r="AD775" s="94"/>
      <c r="AE775" s="94"/>
      <c r="AF775" s="94"/>
      <c r="AG775" s="94"/>
    </row>
    <row r="776">
      <c r="A776" s="96"/>
      <c r="B776" s="95" t="str">
        <f>IFERROR(__xludf.DUMMYFUNCTION("""COMPUTED_VALUE"""),"#VALUE!")</f>
        <v>#VALUE!</v>
      </c>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c r="AD776" s="94"/>
      <c r="AE776" s="94"/>
      <c r="AF776" s="94"/>
      <c r="AG776" s="94"/>
    </row>
    <row r="777">
      <c r="A777" s="96"/>
      <c r="B777" s="95" t="str">
        <f>IFERROR(__xludf.DUMMYFUNCTION("""COMPUTED_VALUE"""),"#VALUE!")</f>
        <v>#VALUE!</v>
      </c>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c r="AD777" s="94"/>
      <c r="AE777" s="94"/>
      <c r="AF777" s="94"/>
      <c r="AG777" s="94"/>
    </row>
    <row r="778">
      <c r="A778" s="96"/>
      <c r="B778" s="95" t="str">
        <f>IFERROR(__xludf.DUMMYFUNCTION("""COMPUTED_VALUE"""),"#VALUE!")</f>
        <v>#VALUE!</v>
      </c>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c r="AD778" s="94"/>
      <c r="AE778" s="94"/>
      <c r="AF778" s="94"/>
      <c r="AG778" s="94"/>
    </row>
    <row r="779">
      <c r="A779" s="96"/>
      <c r="B779" s="95" t="str">
        <f>IFERROR(__xludf.DUMMYFUNCTION("""COMPUTED_VALUE"""),"#VALUE!")</f>
        <v>#VALUE!</v>
      </c>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c r="AD779" s="94"/>
      <c r="AE779" s="94"/>
      <c r="AF779" s="94"/>
      <c r="AG779" s="94"/>
    </row>
    <row r="780">
      <c r="A780" s="96"/>
      <c r="B780" s="95" t="str">
        <f>IFERROR(__xludf.DUMMYFUNCTION("""COMPUTED_VALUE"""),"#VALUE!")</f>
        <v>#VALUE!</v>
      </c>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c r="AD780" s="94"/>
      <c r="AE780" s="94"/>
      <c r="AF780" s="94"/>
      <c r="AG780" s="94"/>
    </row>
    <row r="781">
      <c r="A781" s="96"/>
      <c r="B781" s="95" t="str">
        <f>IFERROR(__xludf.DUMMYFUNCTION("""COMPUTED_VALUE"""),"#VALUE!")</f>
        <v>#VALUE!</v>
      </c>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c r="AD781" s="94"/>
      <c r="AE781" s="94"/>
      <c r="AF781" s="94"/>
      <c r="AG781" s="94"/>
    </row>
    <row r="782">
      <c r="A782" s="96"/>
      <c r="B782" s="95" t="str">
        <f>IFERROR(__xludf.DUMMYFUNCTION("""COMPUTED_VALUE"""),"#VALUE!")</f>
        <v>#VALUE!</v>
      </c>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c r="AD782" s="94"/>
      <c r="AE782" s="94"/>
      <c r="AF782" s="94"/>
      <c r="AG782" s="94"/>
    </row>
    <row r="783">
      <c r="A783" s="96"/>
      <c r="B783" s="95" t="str">
        <f>IFERROR(__xludf.DUMMYFUNCTION("""COMPUTED_VALUE"""),"#VALUE!")</f>
        <v>#VALUE!</v>
      </c>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c r="AD783" s="94"/>
      <c r="AE783" s="94"/>
      <c r="AF783" s="94"/>
      <c r="AG783" s="94"/>
    </row>
    <row r="784">
      <c r="A784" s="96"/>
      <c r="B784" s="95" t="str">
        <f>IFERROR(__xludf.DUMMYFUNCTION("""COMPUTED_VALUE"""),"#VALUE!")</f>
        <v>#VALUE!</v>
      </c>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c r="AD784" s="94"/>
      <c r="AE784" s="94"/>
      <c r="AF784" s="94"/>
      <c r="AG784" s="94"/>
    </row>
    <row r="785">
      <c r="A785" s="96"/>
      <c r="B785" s="95" t="str">
        <f>IFERROR(__xludf.DUMMYFUNCTION("""COMPUTED_VALUE"""),"#VALUE!")</f>
        <v>#VALUE!</v>
      </c>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c r="AD785" s="94"/>
      <c r="AE785" s="94"/>
      <c r="AF785" s="94"/>
      <c r="AG785" s="94"/>
    </row>
    <row r="786">
      <c r="A786" s="96"/>
      <c r="B786" s="95" t="str">
        <f>IFERROR(__xludf.DUMMYFUNCTION("""COMPUTED_VALUE"""),"#VALUE!")</f>
        <v>#VALUE!</v>
      </c>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c r="AD786" s="94"/>
      <c r="AE786" s="94"/>
      <c r="AF786" s="94"/>
      <c r="AG786" s="94"/>
    </row>
    <row r="787">
      <c r="A787" s="96"/>
      <c r="B787" s="95" t="str">
        <f>IFERROR(__xludf.DUMMYFUNCTION("""COMPUTED_VALUE"""),"#VALUE!")</f>
        <v>#VALUE!</v>
      </c>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c r="AD787" s="94"/>
      <c r="AE787" s="94"/>
      <c r="AF787" s="94"/>
      <c r="AG787" s="94"/>
    </row>
    <row r="788">
      <c r="A788" s="96"/>
      <c r="B788" s="95" t="str">
        <f>IFERROR(__xludf.DUMMYFUNCTION("""COMPUTED_VALUE"""),"#VALUE!")</f>
        <v>#VALUE!</v>
      </c>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c r="AD788" s="94"/>
      <c r="AE788" s="94"/>
      <c r="AF788" s="94"/>
      <c r="AG788" s="94"/>
    </row>
    <row r="789">
      <c r="A789" s="96"/>
      <c r="B789" s="95" t="str">
        <f>IFERROR(__xludf.DUMMYFUNCTION("""COMPUTED_VALUE"""),"#VALUE!")</f>
        <v>#VALUE!</v>
      </c>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c r="AD789" s="94"/>
      <c r="AE789" s="94"/>
      <c r="AF789" s="94"/>
      <c r="AG789" s="94"/>
    </row>
    <row r="790">
      <c r="A790" s="96"/>
      <c r="B790" s="95" t="str">
        <f>IFERROR(__xludf.DUMMYFUNCTION("""COMPUTED_VALUE"""),"#VALUE!")</f>
        <v>#VALUE!</v>
      </c>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c r="AD790" s="94"/>
      <c r="AE790" s="94"/>
      <c r="AF790" s="94"/>
      <c r="AG790" s="94"/>
    </row>
    <row r="791">
      <c r="A791" s="96"/>
      <c r="B791" s="95" t="str">
        <f>IFERROR(__xludf.DUMMYFUNCTION("""COMPUTED_VALUE"""),"#VALUE!")</f>
        <v>#VALUE!</v>
      </c>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c r="AD791" s="94"/>
      <c r="AE791" s="94"/>
      <c r="AF791" s="94"/>
      <c r="AG791" s="94"/>
    </row>
    <row r="792">
      <c r="A792" s="96"/>
      <c r="B792" s="95" t="str">
        <f>IFERROR(__xludf.DUMMYFUNCTION("""COMPUTED_VALUE"""),"#VALUE!")</f>
        <v>#VALUE!</v>
      </c>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c r="AD792" s="94"/>
      <c r="AE792" s="94"/>
      <c r="AF792" s="94"/>
      <c r="AG792" s="94"/>
    </row>
    <row r="793">
      <c r="A793" s="96"/>
      <c r="B793" s="95" t="str">
        <f>IFERROR(__xludf.DUMMYFUNCTION("""COMPUTED_VALUE"""),"#VALUE!")</f>
        <v>#VALUE!</v>
      </c>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c r="AD793" s="94"/>
      <c r="AE793" s="94"/>
      <c r="AF793" s="94"/>
      <c r="AG793" s="94"/>
    </row>
    <row r="794">
      <c r="A794" s="96"/>
      <c r="B794" s="95" t="str">
        <f>IFERROR(__xludf.DUMMYFUNCTION("""COMPUTED_VALUE"""),"#VALUE!")</f>
        <v>#VALUE!</v>
      </c>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c r="AD794" s="94"/>
      <c r="AE794" s="94"/>
      <c r="AF794" s="94"/>
      <c r="AG794" s="94"/>
    </row>
    <row r="795">
      <c r="A795" s="96"/>
      <c r="B795" s="95" t="str">
        <f>IFERROR(__xludf.DUMMYFUNCTION("""COMPUTED_VALUE"""),"#VALUE!")</f>
        <v>#VALUE!</v>
      </c>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c r="AD795" s="94"/>
      <c r="AE795" s="94"/>
      <c r="AF795" s="94"/>
      <c r="AG795" s="94"/>
    </row>
    <row r="796">
      <c r="A796" s="96"/>
      <c r="B796" s="95" t="str">
        <f>IFERROR(__xludf.DUMMYFUNCTION("""COMPUTED_VALUE"""),"#VALUE!")</f>
        <v>#VALUE!</v>
      </c>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c r="AD796" s="94"/>
      <c r="AE796" s="94"/>
      <c r="AF796" s="94"/>
      <c r="AG796" s="94"/>
    </row>
    <row r="797">
      <c r="A797" s="96"/>
      <c r="B797" s="95" t="str">
        <f>IFERROR(__xludf.DUMMYFUNCTION("""COMPUTED_VALUE"""),"#VALUE!")</f>
        <v>#VALUE!</v>
      </c>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c r="AD797" s="94"/>
      <c r="AE797" s="94"/>
      <c r="AF797" s="94"/>
      <c r="AG797" s="94"/>
    </row>
    <row r="798">
      <c r="A798" s="96"/>
      <c r="B798" s="95" t="str">
        <f>IFERROR(__xludf.DUMMYFUNCTION("""COMPUTED_VALUE"""),"#VALUE!")</f>
        <v>#VALUE!</v>
      </c>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c r="AD798" s="94"/>
      <c r="AE798" s="94"/>
      <c r="AF798" s="94"/>
      <c r="AG798" s="94"/>
    </row>
    <row r="799">
      <c r="A799" s="96"/>
      <c r="B799" s="95" t="str">
        <f>IFERROR(__xludf.DUMMYFUNCTION("""COMPUTED_VALUE"""),"#VALUE!")</f>
        <v>#VALUE!</v>
      </c>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c r="AD799" s="94"/>
      <c r="AE799" s="94"/>
      <c r="AF799" s="94"/>
      <c r="AG799" s="94"/>
    </row>
    <row r="800">
      <c r="A800" s="96"/>
      <c r="B800" s="95" t="str">
        <f>IFERROR(__xludf.DUMMYFUNCTION("""COMPUTED_VALUE"""),"#VALUE!")</f>
        <v>#VALUE!</v>
      </c>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c r="AD800" s="94"/>
      <c r="AE800" s="94"/>
      <c r="AF800" s="94"/>
      <c r="AG800" s="94"/>
    </row>
    <row r="801">
      <c r="A801" s="96"/>
      <c r="B801" s="95" t="str">
        <f>IFERROR(__xludf.DUMMYFUNCTION("""COMPUTED_VALUE"""),"#VALUE!")</f>
        <v>#VALUE!</v>
      </c>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c r="AD801" s="94"/>
      <c r="AE801" s="94"/>
      <c r="AF801" s="94"/>
      <c r="AG801" s="94"/>
    </row>
    <row r="802">
      <c r="A802" s="96"/>
      <c r="B802" s="95" t="str">
        <f>IFERROR(__xludf.DUMMYFUNCTION("""COMPUTED_VALUE"""),"#VALUE!")</f>
        <v>#VALUE!</v>
      </c>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c r="AD802" s="94"/>
      <c r="AE802" s="94"/>
      <c r="AF802" s="94"/>
      <c r="AG802" s="94"/>
    </row>
    <row r="803">
      <c r="A803" s="96"/>
      <c r="B803" s="95" t="str">
        <f>IFERROR(__xludf.DUMMYFUNCTION("""COMPUTED_VALUE"""),"#VALUE!")</f>
        <v>#VALUE!</v>
      </c>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c r="AD803" s="94"/>
      <c r="AE803" s="94"/>
      <c r="AF803" s="94"/>
      <c r="AG803" s="94"/>
    </row>
    <row r="804">
      <c r="A804" s="96"/>
      <c r="B804" s="95" t="str">
        <f>IFERROR(__xludf.DUMMYFUNCTION("""COMPUTED_VALUE"""),"#VALUE!")</f>
        <v>#VALUE!</v>
      </c>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c r="AD804" s="94"/>
      <c r="AE804" s="94"/>
      <c r="AF804" s="94"/>
      <c r="AG804" s="94"/>
    </row>
    <row r="805">
      <c r="A805" s="96"/>
      <c r="B805" s="95" t="str">
        <f>IFERROR(__xludf.DUMMYFUNCTION("""COMPUTED_VALUE"""),"#VALUE!")</f>
        <v>#VALUE!</v>
      </c>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c r="AD805" s="94"/>
      <c r="AE805" s="94"/>
      <c r="AF805" s="94"/>
      <c r="AG805" s="94"/>
    </row>
    <row r="806">
      <c r="A806" s="96"/>
      <c r="B806" s="95" t="str">
        <f>IFERROR(__xludf.DUMMYFUNCTION("""COMPUTED_VALUE"""),"#VALUE!")</f>
        <v>#VALUE!</v>
      </c>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c r="AD806" s="94"/>
      <c r="AE806" s="94"/>
      <c r="AF806" s="94"/>
      <c r="AG806" s="94"/>
    </row>
    <row r="807">
      <c r="A807" s="96"/>
      <c r="B807" s="95" t="str">
        <f>IFERROR(__xludf.DUMMYFUNCTION("""COMPUTED_VALUE"""),"#VALUE!")</f>
        <v>#VALUE!</v>
      </c>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c r="AD807" s="94"/>
      <c r="AE807" s="94"/>
      <c r="AF807" s="94"/>
      <c r="AG807" s="94"/>
    </row>
    <row r="808">
      <c r="A808" s="96"/>
      <c r="B808" s="95" t="str">
        <f>IFERROR(__xludf.DUMMYFUNCTION("""COMPUTED_VALUE"""),"#VALUE!")</f>
        <v>#VALUE!</v>
      </c>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c r="AD808" s="94"/>
      <c r="AE808" s="94"/>
      <c r="AF808" s="94"/>
      <c r="AG808" s="94"/>
    </row>
    <row r="809">
      <c r="A809" s="96"/>
      <c r="B809" s="95" t="str">
        <f>IFERROR(__xludf.DUMMYFUNCTION("""COMPUTED_VALUE"""),"#VALUE!")</f>
        <v>#VALUE!</v>
      </c>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c r="AD809" s="94"/>
      <c r="AE809" s="94"/>
      <c r="AF809" s="94"/>
      <c r="AG809" s="94"/>
    </row>
    <row r="810">
      <c r="A810" s="96"/>
      <c r="B810" s="95" t="str">
        <f>IFERROR(__xludf.DUMMYFUNCTION("""COMPUTED_VALUE"""),"#VALUE!")</f>
        <v>#VALUE!</v>
      </c>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c r="AD810" s="94"/>
      <c r="AE810" s="94"/>
      <c r="AF810" s="94"/>
      <c r="AG810" s="94"/>
    </row>
    <row r="811">
      <c r="A811" s="96"/>
      <c r="B811" s="95" t="str">
        <f>IFERROR(__xludf.DUMMYFUNCTION("""COMPUTED_VALUE"""),"#VALUE!")</f>
        <v>#VALUE!</v>
      </c>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c r="AD811" s="94"/>
      <c r="AE811" s="94"/>
      <c r="AF811" s="94"/>
      <c r="AG811" s="94"/>
    </row>
    <row r="812">
      <c r="A812" s="96"/>
      <c r="B812" s="95" t="str">
        <f>IFERROR(__xludf.DUMMYFUNCTION("""COMPUTED_VALUE"""),"#VALUE!")</f>
        <v>#VALUE!</v>
      </c>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c r="AD812" s="94"/>
      <c r="AE812" s="94"/>
      <c r="AF812" s="94"/>
      <c r="AG812" s="94"/>
    </row>
    <row r="813">
      <c r="A813" s="96"/>
      <c r="B813" s="95" t="str">
        <f>IFERROR(__xludf.DUMMYFUNCTION("""COMPUTED_VALUE"""),"#VALUE!")</f>
        <v>#VALUE!</v>
      </c>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c r="AD813" s="94"/>
      <c r="AE813" s="94"/>
      <c r="AF813" s="94"/>
      <c r="AG813" s="94"/>
    </row>
    <row r="814">
      <c r="A814" s="96"/>
      <c r="B814" s="95" t="str">
        <f>IFERROR(__xludf.DUMMYFUNCTION("""COMPUTED_VALUE"""),"#VALUE!")</f>
        <v>#VALUE!</v>
      </c>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c r="AD814" s="94"/>
      <c r="AE814" s="94"/>
      <c r="AF814" s="94"/>
      <c r="AG814" s="94"/>
    </row>
    <row r="815">
      <c r="A815" s="96"/>
      <c r="B815" s="95" t="str">
        <f>IFERROR(__xludf.DUMMYFUNCTION("""COMPUTED_VALUE"""),"#VALUE!")</f>
        <v>#VALUE!</v>
      </c>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c r="AD815" s="94"/>
      <c r="AE815" s="94"/>
      <c r="AF815" s="94"/>
      <c r="AG815" s="94"/>
    </row>
    <row r="816">
      <c r="A816" s="96"/>
      <c r="B816" s="95" t="str">
        <f>IFERROR(__xludf.DUMMYFUNCTION("""COMPUTED_VALUE"""),"#VALUE!")</f>
        <v>#VALUE!</v>
      </c>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c r="AD816" s="94"/>
      <c r="AE816" s="94"/>
      <c r="AF816" s="94"/>
      <c r="AG816" s="94"/>
    </row>
    <row r="817">
      <c r="A817" s="96"/>
      <c r="B817" s="95" t="str">
        <f>IFERROR(__xludf.DUMMYFUNCTION("""COMPUTED_VALUE"""),"#VALUE!")</f>
        <v>#VALUE!</v>
      </c>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c r="AD817" s="94"/>
      <c r="AE817" s="94"/>
      <c r="AF817" s="94"/>
      <c r="AG817" s="94"/>
    </row>
    <row r="818">
      <c r="A818" s="96"/>
      <c r="B818" s="95" t="str">
        <f>IFERROR(__xludf.DUMMYFUNCTION("""COMPUTED_VALUE"""),"#VALUE!")</f>
        <v>#VALUE!</v>
      </c>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c r="AD818" s="94"/>
      <c r="AE818" s="94"/>
      <c r="AF818" s="94"/>
      <c r="AG818" s="94"/>
    </row>
    <row r="819">
      <c r="A819" s="96"/>
      <c r="B819" s="95" t="str">
        <f>IFERROR(__xludf.DUMMYFUNCTION("""COMPUTED_VALUE"""),"#VALUE!")</f>
        <v>#VALUE!</v>
      </c>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c r="AD819" s="94"/>
      <c r="AE819" s="94"/>
      <c r="AF819" s="94"/>
      <c r="AG819" s="94"/>
    </row>
    <row r="820">
      <c r="A820" s="96"/>
      <c r="B820" s="95" t="str">
        <f>IFERROR(__xludf.DUMMYFUNCTION("""COMPUTED_VALUE"""),"#VALUE!")</f>
        <v>#VALUE!</v>
      </c>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c r="AD820" s="94"/>
      <c r="AE820" s="94"/>
      <c r="AF820" s="94"/>
      <c r="AG820" s="94"/>
    </row>
    <row r="821">
      <c r="A821" s="96"/>
      <c r="B821" s="95" t="str">
        <f>IFERROR(__xludf.DUMMYFUNCTION("""COMPUTED_VALUE"""),"#VALUE!")</f>
        <v>#VALUE!</v>
      </c>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c r="AD821" s="94"/>
      <c r="AE821" s="94"/>
      <c r="AF821" s="94"/>
      <c r="AG821" s="94"/>
    </row>
    <row r="822">
      <c r="A822" s="96"/>
      <c r="B822" s="95" t="str">
        <f>IFERROR(__xludf.DUMMYFUNCTION("""COMPUTED_VALUE"""),"#VALUE!")</f>
        <v>#VALUE!</v>
      </c>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c r="AD822" s="94"/>
      <c r="AE822" s="94"/>
      <c r="AF822" s="94"/>
      <c r="AG822" s="94"/>
    </row>
    <row r="823">
      <c r="A823" s="96"/>
      <c r="B823" s="95" t="str">
        <f>IFERROR(__xludf.DUMMYFUNCTION("""COMPUTED_VALUE"""),"#VALUE!")</f>
        <v>#VALUE!</v>
      </c>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c r="AD823" s="94"/>
      <c r="AE823" s="94"/>
      <c r="AF823" s="94"/>
      <c r="AG823" s="94"/>
    </row>
    <row r="824">
      <c r="A824" s="96"/>
      <c r="B824" s="95" t="str">
        <f>IFERROR(__xludf.DUMMYFUNCTION("""COMPUTED_VALUE"""),"#VALUE!")</f>
        <v>#VALUE!</v>
      </c>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c r="AD824" s="94"/>
      <c r="AE824" s="94"/>
      <c r="AF824" s="94"/>
      <c r="AG824" s="94"/>
    </row>
    <row r="825">
      <c r="A825" s="96"/>
      <c r="B825" s="95" t="str">
        <f>IFERROR(__xludf.DUMMYFUNCTION("""COMPUTED_VALUE"""),"#VALUE!")</f>
        <v>#VALUE!</v>
      </c>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c r="AD825" s="94"/>
      <c r="AE825" s="94"/>
      <c r="AF825" s="94"/>
      <c r="AG825" s="94"/>
    </row>
    <row r="826">
      <c r="A826" s="96"/>
      <c r="B826" s="95" t="str">
        <f>IFERROR(__xludf.DUMMYFUNCTION("""COMPUTED_VALUE"""),"#VALUE!")</f>
        <v>#VALUE!</v>
      </c>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c r="AD826" s="94"/>
      <c r="AE826" s="94"/>
      <c r="AF826" s="94"/>
      <c r="AG826" s="94"/>
    </row>
    <row r="827">
      <c r="A827" s="96"/>
      <c r="B827" s="95" t="str">
        <f>IFERROR(__xludf.DUMMYFUNCTION("""COMPUTED_VALUE"""),"#VALUE!")</f>
        <v>#VALUE!</v>
      </c>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c r="AD827" s="94"/>
      <c r="AE827" s="94"/>
      <c r="AF827" s="94"/>
      <c r="AG827" s="94"/>
    </row>
    <row r="828">
      <c r="A828" s="96"/>
      <c r="B828" s="95" t="str">
        <f>IFERROR(__xludf.DUMMYFUNCTION("""COMPUTED_VALUE"""),"#VALUE!")</f>
        <v>#VALUE!</v>
      </c>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c r="AF828" s="94"/>
      <c r="AG828" s="94"/>
    </row>
    <row r="829">
      <c r="A829" s="96"/>
      <c r="B829" s="95" t="str">
        <f>IFERROR(__xludf.DUMMYFUNCTION("""COMPUTED_VALUE"""),"#VALUE!")</f>
        <v>#VALUE!</v>
      </c>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c r="AD829" s="94"/>
      <c r="AE829" s="94"/>
      <c r="AF829" s="94"/>
      <c r="AG829" s="94"/>
    </row>
    <row r="830">
      <c r="A830" s="96"/>
      <c r="B830" s="95" t="str">
        <f>IFERROR(__xludf.DUMMYFUNCTION("""COMPUTED_VALUE"""),"#VALUE!")</f>
        <v>#VALUE!</v>
      </c>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c r="AD830" s="94"/>
      <c r="AE830" s="94"/>
      <c r="AF830" s="94"/>
      <c r="AG830" s="94"/>
    </row>
    <row r="831">
      <c r="A831" s="96"/>
      <c r="B831" s="95" t="str">
        <f>IFERROR(__xludf.DUMMYFUNCTION("""COMPUTED_VALUE"""),"#VALUE!")</f>
        <v>#VALUE!</v>
      </c>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c r="AD831" s="94"/>
      <c r="AE831" s="94"/>
      <c r="AF831" s="94"/>
      <c r="AG831" s="94"/>
    </row>
    <row r="832">
      <c r="A832" s="96"/>
      <c r="B832" s="95" t="str">
        <f>IFERROR(__xludf.DUMMYFUNCTION("""COMPUTED_VALUE"""),"#VALUE!")</f>
        <v>#VALUE!</v>
      </c>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c r="AD832" s="94"/>
      <c r="AE832" s="94"/>
      <c r="AF832" s="94"/>
      <c r="AG832" s="94"/>
    </row>
    <row r="833">
      <c r="A833" s="96"/>
      <c r="B833" s="95" t="str">
        <f>IFERROR(__xludf.DUMMYFUNCTION("""COMPUTED_VALUE"""),"#VALUE!")</f>
        <v>#VALUE!</v>
      </c>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c r="AD833" s="94"/>
      <c r="AE833" s="94"/>
      <c r="AF833" s="94"/>
      <c r="AG833" s="94"/>
    </row>
    <row r="834">
      <c r="A834" s="96"/>
      <c r="B834" s="95" t="str">
        <f>IFERROR(__xludf.DUMMYFUNCTION("""COMPUTED_VALUE"""),"#VALUE!")</f>
        <v>#VALUE!</v>
      </c>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c r="AD834" s="94"/>
      <c r="AE834" s="94"/>
      <c r="AF834" s="94"/>
      <c r="AG834" s="94"/>
    </row>
    <row r="835">
      <c r="A835" s="96"/>
      <c r="B835" s="95" t="str">
        <f>IFERROR(__xludf.DUMMYFUNCTION("""COMPUTED_VALUE"""),"#VALUE!")</f>
        <v>#VALUE!</v>
      </c>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c r="AD835" s="94"/>
      <c r="AE835" s="94"/>
      <c r="AF835" s="94"/>
      <c r="AG835" s="94"/>
    </row>
    <row r="836">
      <c r="A836" s="96"/>
      <c r="B836" s="95" t="str">
        <f>IFERROR(__xludf.DUMMYFUNCTION("""COMPUTED_VALUE"""),"#VALUE!")</f>
        <v>#VALUE!</v>
      </c>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c r="AD836" s="94"/>
      <c r="AE836" s="94"/>
      <c r="AF836" s="94"/>
      <c r="AG836" s="94"/>
    </row>
    <row r="837">
      <c r="A837" s="96"/>
      <c r="B837" s="95" t="str">
        <f>IFERROR(__xludf.DUMMYFUNCTION("""COMPUTED_VALUE"""),"#VALUE!")</f>
        <v>#VALUE!</v>
      </c>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c r="AD837" s="94"/>
      <c r="AE837" s="94"/>
      <c r="AF837" s="94"/>
      <c r="AG837" s="94"/>
    </row>
    <row r="838">
      <c r="A838" s="96"/>
      <c r="B838" s="95" t="str">
        <f>IFERROR(__xludf.DUMMYFUNCTION("""COMPUTED_VALUE"""),"#VALUE!")</f>
        <v>#VALUE!</v>
      </c>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c r="AD838" s="94"/>
      <c r="AE838" s="94"/>
      <c r="AF838" s="94"/>
      <c r="AG838" s="94"/>
    </row>
    <row r="839">
      <c r="A839" s="96"/>
      <c r="B839" s="95" t="str">
        <f>IFERROR(__xludf.DUMMYFUNCTION("""COMPUTED_VALUE"""),"#VALUE!")</f>
        <v>#VALUE!</v>
      </c>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c r="AD839" s="94"/>
      <c r="AE839" s="94"/>
      <c r="AF839" s="94"/>
      <c r="AG839" s="94"/>
    </row>
    <row r="840">
      <c r="A840" s="96"/>
      <c r="B840" s="95" t="str">
        <f>IFERROR(__xludf.DUMMYFUNCTION("""COMPUTED_VALUE"""),"#VALUE!")</f>
        <v>#VALUE!</v>
      </c>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c r="AD840" s="94"/>
      <c r="AE840" s="94"/>
      <c r="AF840" s="94"/>
      <c r="AG840" s="94"/>
    </row>
    <row r="841">
      <c r="A841" s="96"/>
      <c r="B841" s="95" t="str">
        <f>IFERROR(__xludf.DUMMYFUNCTION("""COMPUTED_VALUE"""),"#VALUE!")</f>
        <v>#VALUE!</v>
      </c>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c r="AD841" s="94"/>
      <c r="AE841" s="94"/>
      <c r="AF841" s="94"/>
      <c r="AG841" s="94"/>
    </row>
    <row r="842">
      <c r="A842" s="96"/>
      <c r="B842" s="95" t="str">
        <f>IFERROR(__xludf.DUMMYFUNCTION("""COMPUTED_VALUE"""),"#VALUE!")</f>
        <v>#VALUE!</v>
      </c>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c r="AD842" s="94"/>
      <c r="AE842" s="94"/>
      <c r="AF842" s="94"/>
      <c r="AG842" s="94"/>
    </row>
    <row r="843">
      <c r="A843" s="96"/>
      <c r="B843" s="95" t="str">
        <f>IFERROR(__xludf.DUMMYFUNCTION("""COMPUTED_VALUE"""),"#VALUE!")</f>
        <v>#VALUE!</v>
      </c>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c r="AD843" s="94"/>
      <c r="AE843" s="94"/>
      <c r="AF843" s="94"/>
      <c r="AG843" s="94"/>
    </row>
    <row r="844">
      <c r="A844" s="96"/>
      <c r="B844" s="95" t="str">
        <f>IFERROR(__xludf.DUMMYFUNCTION("""COMPUTED_VALUE"""),"#VALUE!")</f>
        <v>#VALUE!</v>
      </c>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c r="AD844" s="94"/>
      <c r="AE844" s="94"/>
      <c r="AF844" s="94"/>
      <c r="AG844" s="94"/>
    </row>
    <row r="845">
      <c r="A845" s="96"/>
      <c r="B845" s="95" t="str">
        <f>IFERROR(__xludf.DUMMYFUNCTION("""COMPUTED_VALUE"""),"#VALUE!")</f>
        <v>#VALUE!</v>
      </c>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c r="AF845" s="94"/>
      <c r="AG845" s="94"/>
    </row>
    <row r="846">
      <c r="A846" s="96"/>
      <c r="B846" s="95" t="str">
        <f>IFERROR(__xludf.DUMMYFUNCTION("""COMPUTED_VALUE"""),"#VALUE!")</f>
        <v>#VALUE!</v>
      </c>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c r="AD846" s="94"/>
      <c r="AE846" s="94"/>
      <c r="AF846" s="94"/>
      <c r="AG846" s="94"/>
    </row>
    <row r="847">
      <c r="A847" s="96"/>
      <c r="B847" s="95" t="str">
        <f>IFERROR(__xludf.DUMMYFUNCTION("""COMPUTED_VALUE"""),"#VALUE!")</f>
        <v>#VALUE!</v>
      </c>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c r="AD847" s="94"/>
      <c r="AE847" s="94"/>
      <c r="AF847" s="94"/>
      <c r="AG847" s="94"/>
    </row>
    <row r="848">
      <c r="A848" s="96"/>
      <c r="B848" s="95" t="str">
        <f>IFERROR(__xludf.DUMMYFUNCTION("""COMPUTED_VALUE"""),"#VALUE!")</f>
        <v>#VALUE!</v>
      </c>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c r="AD848" s="94"/>
      <c r="AE848" s="94"/>
      <c r="AF848" s="94"/>
      <c r="AG848" s="94"/>
    </row>
    <row r="849">
      <c r="A849" s="96"/>
      <c r="B849" s="95" t="str">
        <f>IFERROR(__xludf.DUMMYFUNCTION("""COMPUTED_VALUE"""),"#VALUE!")</f>
        <v>#VALUE!</v>
      </c>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c r="AD849" s="94"/>
      <c r="AE849" s="94"/>
      <c r="AF849" s="94"/>
      <c r="AG849" s="94"/>
    </row>
    <row r="850">
      <c r="A850" s="96"/>
      <c r="B850" s="95" t="str">
        <f>IFERROR(__xludf.DUMMYFUNCTION("""COMPUTED_VALUE"""),"#VALUE!")</f>
        <v>#VALUE!</v>
      </c>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c r="AD850" s="94"/>
      <c r="AE850" s="94"/>
      <c r="AF850" s="94"/>
      <c r="AG850" s="94"/>
    </row>
    <row r="851">
      <c r="A851" s="96"/>
      <c r="B851" s="95" t="str">
        <f>IFERROR(__xludf.DUMMYFUNCTION("""COMPUTED_VALUE"""),"#VALUE!")</f>
        <v>#VALUE!</v>
      </c>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c r="AD851" s="94"/>
      <c r="AE851" s="94"/>
      <c r="AF851" s="94"/>
      <c r="AG851" s="94"/>
    </row>
    <row r="852">
      <c r="A852" s="96"/>
      <c r="B852" s="95" t="str">
        <f>IFERROR(__xludf.DUMMYFUNCTION("""COMPUTED_VALUE"""),"#VALUE!")</f>
        <v>#VALUE!</v>
      </c>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c r="AD852" s="94"/>
      <c r="AE852" s="94"/>
      <c r="AF852" s="94"/>
      <c r="AG852" s="94"/>
    </row>
    <row r="853">
      <c r="A853" s="96"/>
      <c r="B853" s="95" t="str">
        <f>IFERROR(__xludf.DUMMYFUNCTION("""COMPUTED_VALUE"""),"#VALUE!")</f>
        <v>#VALUE!</v>
      </c>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c r="AD853" s="94"/>
      <c r="AE853" s="94"/>
      <c r="AF853" s="94"/>
      <c r="AG853" s="94"/>
    </row>
    <row r="854">
      <c r="A854" s="96"/>
      <c r="B854" s="95" t="str">
        <f>IFERROR(__xludf.DUMMYFUNCTION("""COMPUTED_VALUE"""),"#VALUE!")</f>
        <v>#VALUE!</v>
      </c>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c r="AD854" s="94"/>
      <c r="AE854" s="94"/>
      <c r="AF854" s="94"/>
      <c r="AG854" s="94"/>
    </row>
    <row r="855">
      <c r="A855" s="96"/>
      <c r="B855" s="95" t="str">
        <f>IFERROR(__xludf.DUMMYFUNCTION("""COMPUTED_VALUE"""),"#VALUE!")</f>
        <v>#VALUE!</v>
      </c>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c r="AD855" s="94"/>
      <c r="AE855" s="94"/>
      <c r="AF855" s="94"/>
      <c r="AG855" s="94"/>
    </row>
    <row r="856">
      <c r="A856" s="96"/>
      <c r="B856" s="95" t="str">
        <f>IFERROR(__xludf.DUMMYFUNCTION("""COMPUTED_VALUE"""),"#VALUE!")</f>
        <v>#VALUE!</v>
      </c>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c r="AD856" s="94"/>
      <c r="AE856" s="94"/>
      <c r="AF856" s="94"/>
      <c r="AG856" s="94"/>
    </row>
    <row r="857">
      <c r="A857" s="96"/>
      <c r="B857" s="95" t="str">
        <f>IFERROR(__xludf.DUMMYFUNCTION("""COMPUTED_VALUE"""),"#VALUE!")</f>
        <v>#VALUE!</v>
      </c>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c r="AD857" s="94"/>
      <c r="AE857" s="94"/>
      <c r="AF857" s="94"/>
      <c r="AG857" s="94"/>
    </row>
    <row r="858">
      <c r="A858" s="96"/>
      <c r="B858" s="95" t="str">
        <f>IFERROR(__xludf.DUMMYFUNCTION("""COMPUTED_VALUE"""),"#VALUE!")</f>
        <v>#VALUE!</v>
      </c>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c r="AD858" s="94"/>
      <c r="AE858" s="94"/>
      <c r="AF858" s="94"/>
      <c r="AG858" s="94"/>
    </row>
    <row r="859">
      <c r="A859" s="96"/>
      <c r="B859" s="95" t="str">
        <f>IFERROR(__xludf.DUMMYFUNCTION("""COMPUTED_VALUE"""),"#VALUE!")</f>
        <v>#VALUE!</v>
      </c>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c r="AD859" s="94"/>
      <c r="AE859" s="94"/>
      <c r="AF859" s="94"/>
      <c r="AG859" s="94"/>
    </row>
    <row r="860">
      <c r="A860" s="96"/>
      <c r="B860" s="95" t="str">
        <f>IFERROR(__xludf.DUMMYFUNCTION("""COMPUTED_VALUE"""),"#VALUE!")</f>
        <v>#VALUE!</v>
      </c>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c r="AD860" s="94"/>
      <c r="AE860" s="94"/>
      <c r="AF860" s="94"/>
      <c r="AG860" s="94"/>
    </row>
    <row r="861">
      <c r="A861" s="96"/>
      <c r="B861" s="95" t="str">
        <f>IFERROR(__xludf.DUMMYFUNCTION("""COMPUTED_VALUE"""),"#VALUE!")</f>
        <v>#VALUE!</v>
      </c>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c r="AD861" s="94"/>
      <c r="AE861" s="94"/>
      <c r="AF861" s="94"/>
      <c r="AG861" s="94"/>
    </row>
    <row r="862">
      <c r="A862" s="96"/>
      <c r="B862" s="95" t="str">
        <f>IFERROR(__xludf.DUMMYFUNCTION("""COMPUTED_VALUE"""),"#VALUE!")</f>
        <v>#VALUE!</v>
      </c>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c r="AD862" s="94"/>
      <c r="AE862" s="94"/>
      <c r="AF862" s="94"/>
      <c r="AG862" s="94"/>
    </row>
    <row r="863">
      <c r="A863" s="96"/>
      <c r="B863" s="95" t="str">
        <f>IFERROR(__xludf.DUMMYFUNCTION("""COMPUTED_VALUE"""),"#VALUE!")</f>
        <v>#VALUE!</v>
      </c>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c r="AD863" s="94"/>
      <c r="AE863" s="94"/>
      <c r="AF863" s="94"/>
      <c r="AG863" s="94"/>
    </row>
    <row r="864">
      <c r="A864" s="96"/>
      <c r="B864" s="95" t="str">
        <f>IFERROR(__xludf.DUMMYFUNCTION("""COMPUTED_VALUE"""),"#VALUE!")</f>
        <v>#VALUE!</v>
      </c>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c r="AD864" s="94"/>
      <c r="AE864" s="94"/>
      <c r="AF864" s="94"/>
      <c r="AG864" s="94"/>
    </row>
    <row r="865">
      <c r="A865" s="96"/>
      <c r="B865" s="95" t="str">
        <f>IFERROR(__xludf.DUMMYFUNCTION("""COMPUTED_VALUE"""),"#VALUE!")</f>
        <v>#VALUE!</v>
      </c>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c r="AD865" s="94"/>
      <c r="AE865" s="94"/>
      <c r="AF865" s="94"/>
      <c r="AG865" s="94"/>
    </row>
    <row r="866">
      <c r="A866" s="96"/>
      <c r="B866" s="95" t="str">
        <f>IFERROR(__xludf.DUMMYFUNCTION("""COMPUTED_VALUE"""),"#VALUE!")</f>
        <v>#VALUE!</v>
      </c>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c r="AD866" s="94"/>
      <c r="AE866" s="94"/>
      <c r="AF866" s="94"/>
      <c r="AG866" s="94"/>
    </row>
    <row r="867">
      <c r="A867" s="96"/>
      <c r="B867" s="95" t="str">
        <f>IFERROR(__xludf.DUMMYFUNCTION("""COMPUTED_VALUE"""),"#VALUE!")</f>
        <v>#VALUE!</v>
      </c>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c r="AD867" s="94"/>
      <c r="AE867" s="94"/>
      <c r="AF867" s="94"/>
      <c r="AG867" s="94"/>
    </row>
    <row r="868">
      <c r="A868" s="96"/>
      <c r="B868" s="95" t="str">
        <f>IFERROR(__xludf.DUMMYFUNCTION("""COMPUTED_VALUE"""),"#VALUE!")</f>
        <v>#VALUE!</v>
      </c>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c r="AD868" s="94"/>
      <c r="AE868" s="94"/>
      <c r="AF868" s="94"/>
      <c r="AG868" s="94"/>
    </row>
    <row r="869">
      <c r="A869" s="96"/>
      <c r="B869" s="95" t="str">
        <f>IFERROR(__xludf.DUMMYFUNCTION("""COMPUTED_VALUE"""),"#VALUE!")</f>
        <v>#VALUE!</v>
      </c>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c r="AD869" s="94"/>
      <c r="AE869" s="94"/>
      <c r="AF869" s="94"/>
      <c r="AG869" s="94"/>
    </row>
    <row r="870">
      <c r="A870" s="96"/>
      <c r="B870" s="95" t="str">
        <f>IFERROR(__xludf.DUMMYFUNCTION("""COMPUTED_VALUE"""),"#VALUE!")</f>
        <v>#VALUE!</v>
      </c>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c r="AD870" s="94"/>
      <c r="AE870" s="94"/>
      <c r="AF870" s="94"/>
      <c r="AG870" s="94"/>
    </row>
    <row r="871">
      <c r="A871" s="96"/>
      <c r="B871" s="95" t="str">
        <f>IFERROR(__xludf.DUMMYFUNCTION("""COMPUTED_VALUE"""),"#VALUE!")</f>
        <v>#VALUE!</v>
      </c>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c r="AD871" s="94"/>
      <c r="AE871" s="94"/>
      <c r="AF871" s="94"/>
      <c r="AG871" s="94"/>
    </row>
    <row r="872">
      <c r="A872" s="96"/>
      <c r="B872" s="95" t="str">
        <f>IFERROR(__xludf.DUMMYFUNCTION("""COMPUTED_VALUE"""),"#VALUE!")</f>
        <v>#VALUE!</v>
      </c>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c r="AD872" s="94"/>
      <c r="AE872" s="94"/>
      <c r="AF872" s="94"/>
      <c r="AG872" s="94"/>
    </row>
    <row r="873">
      <c r="A873" s="96"/>
      <c r="B873" s="95" t="str">
        <f>IFERROR(__xludf.DUMMYFUNCTION("""COMPUTED_VALUE"""),"#VALUE!")</f>
        <v>#VALUE!</v>
      </c>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c r="AD873" s="94"/>
      <c r="AE873" s="94"/>
      <c r="AF873" s="94"/>
      <c r="AG873" s="94"/>
    </row>
    <row r="874">
      <c r="A874" s="96"/>
      <c r="B874" s="95" t="str">
        <f>IFERROR(__xludf.DUMMYFUNCTION("""COMPUTED_VALUE"""),"#VALUE!")</f>
        <v>#VALUE!</v>
      </c>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c r="AD874" s="94"/>
      <c r="AE874" s="94"/>
      <c r="AF874" s="94"/>
      <c r="AG874" s="94"/>
    </row>
    <row r="875">
      <c r="A875" s="96"/>
      <c r="B875" s="95" t="str">
        <f>IFERROR(__xludf.DUMMYFUNCTION("""COMPUTED_VALUE"""),"#VALUE!")</f>
        <v>#VALUE!</v>
      </c>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c r="AD875" s="94"/>
      <c r="AE875" s="94"/>
      <c r="AF875" s="94"/>
      <c r="AG875" s="94"/>
    </row>
    <row r="876">
      <c r="A876" s="96"/>
      <c r="B876" s="95" t="str">
        <f>IFERROR(__xludf.DUMMYFUNCTION("""COMPUTED_VALUE"""),"#VALUE!")</f>
        <v>#VALUE!</v>
      </c>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c r="AD876" s="94"/>
      <c r="AE876" s="94"/>
      <c r="AF876" s="94"/>
      <c r="AG876" s="94"/>
    </row>
    <row r="877">
      <c r="A877" s="96"/>
      <c r="B877" s="95" t="str">
        <f>IFERROR(__xludf.DUMMYFUNCTION("""COMPUTED_VALUE"""),"#VALUE!")</f>
        <v>#VALUE!</v>
      </c>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c r="AD877" s="94"/>
      <c r="AE877" s="94"/>
      <c r="AF877" s="94"/>
      <c r="AG877" s="94"/>
    </row>
    <row r="878">
      <c r="A878" s="96"/>
      <c r="B878" s="95" t="str">
        <f>IFERROR(__xludf.DUMMYFUNCTION("""COMPUTED_VALUE"""),"#VALUE!")</f>
        <v>#VALUE!</v>
      </c>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c r="AD878" s="94"/>
      <c r="AE878" s="94"/>
      <c r="AF878" s="94"/>
      <c r="AG878" s="94"/>
    </row>
    <row r="879">
      <c r="A879" s="96"/>
      <c r="B879" s="95" t="str">
        <f>IFERROR(__xludf.DUMMYFUNCTION("""COMPUTED_VALUE"""),"#VALUE!")</f>
        <v>#VALUE!</v>
      </c>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c r="AD879" s="94"/>
      <c r="AE879" s="94"/>
      <c r="AF879" s="94"/>
      <c r="AG879" s="94"/>
    </row>
    <row r="880">
      <c r="A880" s="96"/>
      <c r="B880" s="95" t="str">
        <f>IFERROR(__xludf.DUMMYFUNCTION("""COMPUTED_VALUE"""),"#VALUE!")</f>
        <v>#VALUE!</v>
      </c>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c r="AD880" s="94"/>
      <c r="AE880" s="94"/>
      <c r="AF880" s="94"/>
      <c r="AG880" s="94"/>
    </row>
    <row r="881">
      <c r="A881" s="96"/>
      <c r="B881" s="95" t="str">
        <f>IFERROR(__xludf.DUMMYFUNCTION("""COMPUTED_VALUE"""),"#VALUE!")</f>
        <v>#VALUE!</v>
      </c>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c r="AD881" s="94"/>
      <c r="AE881" s="94"/>
      <c r="AF881" s="94"/>
      <c r="AG881" s="94"/>
    </row>
    <row r="882">
      <c r="A882" s="96"/>
      <c r="B882" s="95" t="str">
        <f>IFERROR(__xludf.DUMMYFUNCTION("""COMPUTED_VALUE"""),"#VALUE!")</f>
        <v>#VALUE!</v>
      </c>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c r="AD882" s="94"/>
      <c r="AE882" s="94"/>
      <c r="AF882" s="94"/>
      <c r="AG882" s="94"/>
    </row>
    <row r="883">
      <c r="A883" s="96"/>
      <c r="B883" s="95" t="str">
        <f>IFERROR(__xludf.DUMMYFUNCTION("""COMPUTED_VALUE"""),"#VALUE!")</f>
        <v>#VALUE!</v>
      </c>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c r="AD883" s="94"/>
      <c r="AE883" s="94"/>
      <c r="AF883" s="94"/>
      <c r="AG883" s="94"/>
    </row>
    <row r="884">
      <c r="A884" s="96"/>
      <c r="B884" s="95" t="str">
        <f>IFERROR(__xludf.DUMMYFUNCTION("""COMPUTED_VALUE"""),"#VALUE!")</f>
        <v>#VALUE!</v>
      </c>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c r="AD884" s="94"/>
      <c r="AE884" s="94"/>
      <c r="AF884" s="94"/>
      <c r="AG884" s="94"/>
    </row>
    <row r="885">
      <c r="A885" s="96"/>
      <c r="B885" s="95" t="str">
        <f>IFERROR(__xludf.DUMMYFUNCTION("""COMPUTED_VALUE"""),"#VALUE!")</f>
        <v>#VALUE!</v>
      </c>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c r="AD885" s="94"/>
      <c r="AE885" s="94"/>
      <c r="AF885" s="94"/>
      <c r="AG885" s="94"/>
    </row>
    <row r="886">
      <c r="A886" s="96"/>
      <c r="B886" s="95" t="str">
        <f>IFERROR(__xludf.DUMMYFUNCTION("""COMPUTED_VALUE"""),"#VALUE!")</f>
        <v>#VALUE!</v>
      </c>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c r="AD886" s="94"/>
      <c r="AE886" s="94"/>
      <c r="AF886" s="94"/>
      <c r="AG886" s="94"/>
    </row>
    <row r="887">
      <c r="A887" s="96"/>
      <c r="B887" s="95" t="str">
        <f>IFERROR(__xludf.DUMMYFUNCTION("""COMPUTED_VALUE"""),"#VALUE!")</f>
        <v>#VALUE!</v>
      </c>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c r="AD887" s="94"/>
      <c r="AE887" s="94"/>
      <c r="AF887" s="94"/>
      <c r="AG887" s="94"/>
    </row>
    <row r="888">
      <c r="A888" s="96"/>
      <c r="B888" s="95" t="str">
        <f>IFERROR(__xludf.DUMMYFUNCTION("""COMPUTED_VALUE"""),"#VALUE!")</f>
        <v>#VALUE!</v>
      </c>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c r="AD888" s="94"/>
      <c r="AE888" s="94"/>
      <c r="AF888" s="94"/>
      <c r="AG888" s="94"/>
    </row>
    <row r="889">
      <c r="A889" s="96"/>
      <c r="B889" s="95" t="str">
        <f>IFERROR(__xludf.DUMMYFUNCTION("""COMPUTED_VALUE"""),"#VALUE!")</f>
        <v>#VALUE!</v>
      </c>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c r="AD889" s="94"/>
      <c r="AE889" s="94"/>
      <c r="AF889" s="94"/>
      <c r="AG889" s="94"/>
    </row>
    <row r="890">
      <c r="A890" s="96"/>
      <c r="B890" s="95" t="str">
        <f>IFERROR(__xludf.DUMMYFUNCTION("""COMPUTED_VALUE"""),"#VALUE!")</f>
        <v>#VALUE!</v>
      </c>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c r="AD890" s="94"/>
      <c r="AE890" s="94"/>
      <c r="AF890" s="94"/>
      <c r="AG890" s="94"/>
    </row>
    <row r="891">
      <c r="A891" s="96"/>
      <c r="B891" s="95" t="str">
        <f>IFERROR(__xludf.DUMMYFUNCTION("""COMPUTED_VALUE"""),"#VALUE!")</f>
        <v>#VALUE!</v>
      </c>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c r="AD891" s="94"/>
      <c r="AE891" s="94"/>
      <c r="AF891" s="94"/>
      <c r="AG891" s="94"/>
    </row>
    <row r="892">
      <c r="A892" s="96"/>
      <c r="B892" s="95" t="str">
        <f>IFERROR(__xludf.DUMMYFUNCTION("""COMPUTED_VALUE"""),"#VALUE!")</f>
        <v>#VALUE!</v>
      </c>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c r="AD892" s="94"/>
      <c r="AE892" s="94"/>
      <c r="AF892" s="94"/>
      <c r="AG892" s="94"/>
    </row>
    <row r="893">
      <c r="A893" s="96"/>
      <c r="B893" s="95" t="str">
        <f>IFERROR(__xludf.DUMMYFUNCTION("""COMPUTED_VALUE"""),"#VALUE!")</f>
        <v>#VALUE!</v>
      </c>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c r="AD893" s="94"/>
      <c r="AE893" s="94"/>
      <c r="AF893" s="94"/>
      <c r="AG893" s="94"/>
    </row>
    <row r="894">
      <c r="A894" s="96"/>
      <c r="B894" s="95" t="str">
        <f>IFERROR(__xludf.DUMMYFUNCTION("""COMPUTED_VALUE"""),"#VALUE!")</f>
        <v>#VALUE!</v>
      </c>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c r="AD894" s="94"/>
      <c r="AE894" s="94"/>
      <c r="AF894" s="94"/>
      <c r="AG894" s="94"/>
    </row>
    <row r="895">
      <c r="A895" s="96"/>
      <c r="B895" s="95" t="str">
        <f>IFERROR(__xludf.DUMMYFUNCTION("""COMPUTED_VALUE"""),"#VALUE!")</f>
        <v>#VALUE!</v>
      </c>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c r="AD895" s="94"/>
      <c r="AE895" s="94"/>
      <c r="AF895" s="94"/>
      <c r="AG895" s="94"/>
    </row>
    <row r="896">
      <c r="A896" s="96"/>
      <c r="B896" s="95" t="str">
        <f>IFERROR(__xludf.DUMMYFUNCTION("""COMPUTED_VALUE"""),"#VALUE!")</f>
        <v>#VALUE!</v>
      </c>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c r="AD896" s="94"/>
      <c r="AE896" s="94"/>
      <c r="AF896" s="94"/>
      <c r="AG896" s="94"/>
    </row>
    <row r="897">
      <c r="A897" s="96"/>
      <c r="B897" s="95" t="str">
        <f>IFERROR(__xludf.DUMMYFUNCTION("""COMPUTED_VALUE"""),"#VALUE!")</f>
        <v>#VALUE!</v>
      </c>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c r="AD897" s="94"/>
      <c r="AE897" s="94"/>
      <c r="AF897" s="94"/>
      <c r="AG897" s="94"/>
    </row>
    <row r="898">
      <c r="A898" s="96"/>
      <c r="B898" s="95" t="str">
        <f>IFERROR(__xludf.DUMMYFUNCTION("""COMPUTED_VALUE"""),"#VALUE!")</f>
        <v>#VALUE!</v>
      </c>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c r="AD898" s="94"/>
      <c r="AE898" s="94"/>
      <c r="AF898" s="94"/>
      <c r="AG898" s="94"/>
    </row>
    <row r="899">
      <c r="A899" s="96"/>
      <c r="B899" s="95" t="str">
        <f>IFERROR(__xludf.DUMMYFUNCTION("""COMPUTED_VALUE"""),"#VALUE!")</f>
        <v>#VALUE!</v>
      </c>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c r="AD899" s="94"/>
      <c r="AE899" s="94"/>
      <c r="AF899" s="94"/>
      <c r="AG899" s="94"/>
    </row>
    <row r="900">
      <c r="A900" s="96"/>
      <c r="B900" s="95" t="str">
        <f>IFERROR(__xludf.DUMMYFUNCTION("""COMPUTED_VALUE"""),"#VALUE!")</f>
        <v>#VALUE!</v>
      </c>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c r="AD900" s="94"/>
      <c r="AE900" s="94"/>
      <c r="AF900" s="94"/>
      <c r="AG900" s="94"/>
    </row>
    <row r="901">
      <c r="A901" s="96"/>
      <c r="B901" s="95" t="str">
        <f>IFERROR(__xludf.DUMMYFUNCTION("""COMPUTED_VALUE"""),"#VALUE!")</f>
        <v>#VALUE!</v>
      </c>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c r="AD901" s="94"/>
      <c r="AE901" s="94"/>
      <c r="AF901" s="94"/>
      <c r="AG901" s="94"/>
    </row>
    <row r="902">
      <c r="A902" s="96"/>
      <c r="B902" s="95" t="str">
        <f>IFERROR(__xludf.DUMMYFUNCTION("""COMPUTED_VALUE"""),"#VALUE!")</f>
        <v>#VALUE!</v>
      </c>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c r="AD902" s="94"/>
      <c r="AE902" s="94"/>
      <c r="AF902" s="94"/>
      <c r="AG902" s="94"/>
    </row>
    <row r="903">
      <c r="A903" s="96"/>
      <c r="B903" s="95" t="str">
        <f>IFERROR(__xludf.DUMMYFUNCTION("""COMPUTED_VALUE"""),"#VALUE!")</f>
        <v>#VALUE!</v>
      </c>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c r="AD903" s="94"/>
      <c r="AE903" s="94"/>
      <c r="AF903" s="94"/>
      <c r="AG903" s="94"/>
    </row>
    <row r="904">
      <c r="A904" s="96"/>
      <c r="B904" s="95" t="str">
        <f>IFERROR(__xludf.DUMMYFUNCTION("""COMPUTED_VALUE"""),"#VALUE!")</f>
        <v>#VALUE!</v>
      </c>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c r="AD904" s="94"/>
      <c r="AE904" s="94"/>
      <c r="AF904" s="94"/>
      <c r="AG904" s="94"/>
    </row>
    <row r="905">
      <c r="A905" s="96"/>
      <c r="B905" s="95" t="str">
        <f>IFERROR(__xludf.DUMMYFUNCTION("""COMPUTED_VALUE"""),"#VALUE!")</f>
        <v>#VALUE!</v>
      </c>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c r="AD905" s="94"/>
      <c r="AE905" s="94"/>
      <c r="AF905" s="94"/>
      <c r="AG905" s="94"/>
    </row>
    <row r="906">
      <c r="A906" s="96"/>
      <c r="B906" s="95" t="str">
        <f>IFERROR(__xludf.DUMMYFUNCTION("""COMPUTED_VALUE"""),"#VALUE!")</f>
        <v>#VALUE!</v>
      </c>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c r="AD906" s="94"/>
      <c r="AE906" s="94"/>
      <c r="AF906" s="94"/>
      <c r="AG906" s="94"/>
    </row>
    <row r="907">
      <c r="A907" s="96"/>
      <c r="B907" s="95" t="str">
        <f>IFERROR(__xludf.DUMMYFUNCTION("""COMPUTED_VALUE"""),"#VALUE!")</f>
        <v>#VALUE!</v>
      </c>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c r="AD907" s="94"/>
      <c r="AE907" s="94"/>
      <c r="AF907" s="94"/>
      <c r="AG907" s="94"/>
    </row>
    <row r="908">
      <c r="A908" s="96"/>
      <c r="B908" s="95" t="str">
        <f>IFERROR(__xludf.DUMMYFUNCTION("""COMPUTED_VALUE"""),"#VALUE!")</f>
        <v>#VALUE!</v>
      </c>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c r="AD908" s="94"/>
      <c r="AE908" s="94"/>
      <c r="AF908" s="94"/>
      <c r="AG908" s="94"/>
    </row>
    <row r="909">
      <c r="A909" s="96"/>
      <c r="B909" s="95" t="str">
        <f>IFERROR(__xludf.DUMMYFUNCTION("""COMPUTED_VALUE"""),"#VALUE!")</f>
        <v>#VALUE!</v>
      </c>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c r="AD909" s="94"/>
      <c r="AE909" s="94"/>
      <c r="AF909" s="94"/>
      <c r="AG909" s="94"/>
    </row>
    <row r="910">
      <c r="A910" s="96"/>
      <c r="B910" s="95" t="str">
        <f>IFERROR(__xludf.DUMMYFUNCTION("""COMPUTED_VALUE"""),"#VALUE!")</f>
        <v>#VALUE!</v>
      </c>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c r="AD910" s="94"/>
      <c r="AE910" s="94"/>
      <c r="AF910" s="94"/>
      <c r="AG910" s="94"/>
    </row>
    <row r="911">
      <c r="A911" s="96"/>
      <c r="B911" s="95" t="str">
        <f>IFERROR(__xludf.DUMMYFUNCTION("""COMPUTED_VALUE"""),"#VALUE!")</f>
        <v>#VALUE!</v>
      </c>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c r="AD911" s="94"/>
      <c r="AE911" s="94"/>
      <c r="AF911" s="94"/>
      <c r="AG911" s="94"/>
    </row>
    <row r="912">
      <c r="A912" s="96"/>
      <c r="B912" s="95" t="str">
        <f>IFERROR(__xludf.DUMMYFUNCTION("""COMPUTED_VALUE"""),"#VALUE!")</f>
        <v>#VALUE!</v>
      </c>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c r="AD912" s="94"/>
      <c r="AE912" s="94"/>
      <c r="AF912" s="94"/>
      <c r="AG912" s="94"/>
    </row>
    <row r="913">
      <c r="A913" s="96"/>
      <c r="B913" s="95" t="str">
        <f>IFERROR(__xludf.DUMMYFUNCTION("""COMPUTED_VALUE"""),"#VALUE!")</f>
        <v>#VALUE!</v>
      </c>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c r="AD913" s="94"/>
      <c r="AE913" s="94"/>
      <c r="AF913" s="94"/>
      <c r="AG913" s="94"/>
    </row>
    <row r="914">
      <c r="A914" s="96"/>
      <c r="B914" s="95" t="str">
        <f>IFERROR(__xludf.DUMMYFUNCTION("""COMPUTED_VALUE"""),"#VALUE!")</f>
        <v>#VALUE!</v>
      </c>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c r="AD914" s="94"/>
      <c r="AE914" s="94"/>
      <c r="AF914" s="94"/>
      <c r="AG914" s="94"/>
    </row>
    <row r="915">
      <c r="A915" s="96"/>
      <c r="B915" s="95" t="str">
        <f>IFERROR(__xludf.DUMMYFUNCTION("""COMPUTED_VALUE"""),"#VALUE!")</f>
        <v>#VALUE!</v>
      </c>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c r="AD915" s="94"/>
      <c r="AE915" s="94"/>
      <c r="AF915" s="94"/>
      <c r="AG915" s="94"/>
    </row>
    <row r="916">
      <c r="A916" s="96"/>
      <c r="B916" s="95" t="str">
        <f>IFERROR(__xludf.DUMMYFUNCTION("""COMPUTED_VALUE"""),"#VALUE!")</f>
        <v>#VALUE!</v>
      </c>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c r="AD916" s="94"/>
      <c r="AE916" s="94"/>
      <c r="AF916" s="94"/>
      <c r="AG916" s="94"/>
    </row>
    <row r="917">
      <c r="A917" s="96"/>
      <c r="B917" s="95" t="str">
        <f>IFERROR(__xludf.DUMMYFUNCTION("""COMPUTED_VALUE"""),"#VALUE!")</f>
        <v>#VALUE!</v>
      </c>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c r="AD917" s="94"/>
      <c r="AE917" s="94"/>
      <c r="AF917" s="94"/>
      <c r="AG917" s="94"/>
    </row>
    <row r="918">
      <c r="A918" s="96"/>
      <c r="B918" s="95" t="str">
        <f>IFERROR(__xludf.DUMMYFUNCTION("""COMPUTED_VALUE"""),"#VALUE!")</f>
        <v>#VALUE!</v>
      </c>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c r="AD918" s="94"/>
      <c r="AE918" s="94"/>
      <c r="AF918" s="94"/>
      <c r="AG918" s="94"/>
    </row>
    <row r="919">
      <c r="A919" s="96"/>
      <c r="B919" s="95" t="str">
        <f>IFERROR(__xludf.DUMMYFUNCTION("""COMPUTED_VALUE"""),"#VALUE!")</f>
        <v>#VALUE!</v>
      </c>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c r="AD919" s="94"/>
      <c r="AE919" s="94"/>
      <c r="AF919" s="94"/>
      <c r="AG919" s="94"/>
    </row>
    <row r="920">
      <c r="A920" s="96"/>
      <c r="B920" s="95" t="str">
        <f>IFERROR(__xludf.DUMMYFUNCTION("""COMPUTED_VALUE"""),"#VALUE!")</f>
        <v>#VALUE!</v>
      </c>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c r="AD920" s="94"/>
      <c r="AE920" s="94"/>
      <c r="AF920" s="94"/>
      <c r="AG920" s="94"/>
    </row>
    <row r="921">
      <c r="A921" s="96"/>
      <c r="B921" s="95" t="str">
        <f>IFERROR(__xludf.DUMMYFUNCTION("""COMPUTED_VALUE"""),"#VALUE!")</f>
        <v>#VALUE!</v>
      </c>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c r="AD921" s="94"/>
      <c r="AE921" s="94"/>
      <c r="AF921" s="94"/>
      <c r="AG921" s="94"/>
    </row>
    <row r="922">
      <c r="A922" s="96"/>
      <c r="B922" s="95" t="str">
        <f>IFERROR(__xludf.DUMMYFUNCTION("""COMPUTED_VALUE"""),"#VALUE!")</f>
        <v>#VALUE!</v>
      </c>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c r="AD922" s="94"/>
      <c r="AE922" s="94"/>
      <c r="AF922" s="94"/>
      <c r="AG922" s="94"/>
    </row>
    <row r="923">
      <c r="A923" s="96"/>
      <c r="B923" s="95" t="str">
        <f>IFERROR(__xludf.DUMMYFUNCTION("""COMPUTED_VALUE"""),"#VALUE!")</f>
        <v>#VALUE!</v>
      </c>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c r="AD923" s="94"/>
      <c r="AE923" s="94"/>
      <c r="AF923" s="94"/>
      <c r="AG923" s="94"/>
    </row>
    <row r="924">
      <c r="A924" s="96"/>
      <c r="B924" s="95" t="str">
        <f>IFERROR(__xludf.DUMMYFUNCTION("""COMPUTED_VALUE"""),"#VALUE!")</f>
        <v>#VALUE!</v>
      </c>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c r="AD924" s="94"/>
      <c r="AE924" s="94"/>
      <c r="AF924" s="94"/>
      <c r="AG924" s="94"/>
    </row>
    <row r="925">
      <c r="A925" s="96"/>
      <c r="B925" s="95" t="str">
        <f>IFERROR(__xludf.DUMMYFUNCTION("""COMPUTED_VALUE"""),"#VALUE!")</f>
        <v>#VALUE!</v>
      </c>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c r="AD925" s="94"/>
      <c r="AE925" s="94"/>
      <c r="AF925" s="94"/>
      <c r="AG925" s="94"/>
    </row>
    <row r="926">
      <c r="A926" s="96"/>
      <c r="B926" s="95" t="str">
        <f>IFERROR(__xludf.DUMMYFUNCTION("""COMPUTED_VALUE"""),"#VALUE!")</f>
        <v>#VALUE!</v>
      </c>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c r="AD926" s="94"/>
      <c r="AE926" s="94"/>
      <c r="AF926" s="94"/>
      <c r="AG926" s="94"/>
    </row>
    <row r="927">
      <c r="A927" s="96"/>
      <c r="B927" s="95" t="str">
        <f>IFERROR(__xludf.DUMMYFUNCTION("""COMPUTED_VALUE"""),"#VALUE!")</f>
        <v>#VALUE!</v>
      </c>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c r="AD927" s="94"/>
      <c r="AE927" s="94"/>
      <c r="AF927" s="94"/>
      <c r="AG927" s="94"/>
    </row>
    <row r="928">
      <c r="A928" s="96"/>
      <c r="B928" s="95" t="str">
        <f>IFERROR(__xludf.DUMMYFUNCTION("""COMPUTED_VALUE"""),"#VALUE!")</f>
        <v>#VALUE!</v>
      </c>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c r="AD928" s="94"/>
      <c r="AE928" s="94"/>
      <c r="AF928" s="94"/>
      <c r="AG928" s="94"/>
    </row>
    <row r="929">
      <c r="A929" s="96"/>
      <c r="B929" s="95" t="str">
        <f>IFERROR(__xludf.DUMMYFUNCTION("""COMPUTED_VALUE"""),"#VALUE!")</f>
        <v>#VALUE!</v>
      </c>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c r="AD929" s="94"/>
      <c r="AE929" s="94"/>
      <c r="AF929" s="94"/>
      <c r="AG929" s="94"/>
    </row>
    <row r="930">
      <c r="A930" s="96"/>
      <c r="B930" s="95" t="str">
        <f>IFERROR(__xludf.DUMMYFUNCTION("""COMPUTED_VALUE"""),"#VALUE!")</f>
        <v>#VALUE!</v>
      </c>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c r="AD930" s="94"/>
      <c r="AE930" s="94"/>
      <c r="AF930" s="94"/>
      <c r="AG930" s="94"/>
    </row>
    <row r="931">
      <c r="A931" s="96"/>
      <c r="B931" s="95" t="str">
        <f>IFERROR(__xludf.DUMMYFUNCTION("""COMPUTED_VALUE"""),"#VALUE!")</f>
        <v>#VALUE!</v>
      </c>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c r="AD931" s="94"/>
      <c r="AE931" s="94"/>
      <c r="AF931" s="94"/>
      <c r="AG931" s="94"/>
    </row>
    <row r="932">
      <c r="A932" s="96"/>
      <c r="B932" s="95" t="str">
        <f>IFERROR(__xludf.DUMMYFUNCTION("""COMPUTED_VALUE"""),"#VALUE!")</f>
        <v>#VALUE!</v>
      </c>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c r="AD932" s="94"/>
      <c r="AE932" s="94"/>
      <c r="AF932" s="94"/>
      <c r="AG932" s="94"/>
    </row>
    <row r="933">
      <c r="A933" s="96"/>
      <c r="B933" s="95" t="str">
        <f>IFERROR(__xludf.DUMMYFUNCTION("""COMPUTED_VALUE"""),"#VALUE!")</f>
        <v>#VALUE!</v>
      </c>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c r="AD933" s="94"/>
      <c r="AE933" s="94"/>
      <c r="AF933" s="94"/>
      <c r="AG933" s="94"/>
    </row>
    <row r="934">
      <c r="A934" s="96"/>
      <c r="B934" s="95" t="str">
        <f>IFERROR(__xludf.DUMMYFUNCTION("""COMPUTED_VALUE"""),"#VALUE!")</f>
        <v>#VALUE!</v>
      </c>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c r="AD934" s="94"/>
      <c r="AE934" s="94"/>
      <c r="AF934" s="94"/>
      <c r="AG934" s="94"/>
    </row>
    <row r="935">
      <c r="A935" s="96"/>
      <c r="B935" s="95" t="str">
        <f>IFERROR(__xludf.DUMMYFUNCTION("""COMPUTED_VALUE"""),"#VALUE!")</f>
        <v>#VALUE!</v>
      </c>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c r="AD935" s="94"/>
      <c r="AE935" s="94"/>
      <c r="AF935" s="94"/>
      <c r="AG935" s="94"/>
    </row>
    <row r="936">
      <c r="A936" s="96"/>
      <c r="B936" s="95" t="str">
        <f>IFERROR(__xludf.DUMMYFUNCTION("""COMPUTED_VALUE"""),"#VALUE!")</f>
        <v>#VALUE!</v>
      </c>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c r="AD936" s="94"/>
      <c r="AE936" s="94"/>
      <c r="AF936" s="94"/>
      <c r="AG936" s="94"/>
    </row>
    <row r="937">
      <c r="A937" s="96"/>
      <c r="B937" s="95" t="str">
        <f>IFERROR(__xludf.DUMMYFUNCTION("""COMPUTED_VALUE"""),"#VALUE!")</f>
        <v>#VALUE!</v>
      </c>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c r="AD937" s="94"/>
      <c r="AE937" s="94"/>
      <c r="AF937" s="94"/>
      <c r="AG937" s="94"/>
    </row>
    <row r="938">
      <c r="A938" s="96"/>
      <c r="B938" s="95" t="str">
        <f>IFERROR(__xludf.DUMMYFUNCTION("""COMPUTED_VALUE"""),"#VALUE!")</f>
        <v>#VALUE!</v>
      </c>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c r="AD938" s="94"/>
      <c r="AE938" s="94"/>
      <c r="AF938" s="94"/>
      <c r="AG938" s="94"/>
    </row>
    <row r="939">
      <c r="A939" s="96"/>
      <c r="B939" s="95" t="str">
        <f>IFERROR(__xludf.DUMMYFUNCTION("""COMPUTED_VALUE"""),"#VALUE!")</f>
        <v>#VALUE!</v>
      </c>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c r="AD939" s="94"/>
      <c r="AE939" s="94"/>
      <c r="AF939" s="94"/>
      <c r="AG939" s="94"/>
    </row>
    <row r="940">
      <c r="A940" s="96"/>
      <c r="B940" s="95" t="str">
        <f>IFERROR(__xludf.DUMMYFUNCTION("""COMPUTED_VALUE"""),"#VALUE!")</f>
        <v>#VALUE!</v>
      </c>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c r="AD940" s="94"/>
      <c r="AE940" s="94"/>
      <c r="AF940" s="94"/>
      <c r="AG940" s="94"/>
    </row>
    <row r="941">
      <c r="A941" s="96"/>
      <c r="B941" s="95" t="str">
        <f>IFERROR(__xludf.DUMMYFUNCTION("""COMPUTED_VALUE"""),"#VALUE!")</f>
        <v>#VALUE!</v>
      </c>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c r="AD941" s="94"/>
      <c r="AE941" s="94"/>
      <c r="AF941" s="94"/>
      <c r="AG941" s="94"/>
    </row>
    <row r="942">
      <c r="A942" s="96"/>
      <c r="B942" s="95" t="str">
        <f>IFERROR(__xludf.DUMMYFUNCTION("""COMPUTED_VALUE"""),"#VALUE!")</f>
        <v>#VALUE!</v>
      </c>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c r="AD942" s="94"/>
      <c r="AE942" s="94"/>
      <c r="AF942" s="94"/>
      <c r="AG942" s="94"/>
    </row>
    <row r="943">
      <c r="A943" s="96"/>
      <c r="B943" s="95" t="str">
        <f>IFERROR(__xludf.DUMMYFUNCTION("""COMPUTED_VALUE"""),"#VALUE!")</f>
        <v>#VALUE!</v>
      </c>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c r="AD943" s="94"/>
      <c r="AE943" s="94"/>
      <c r="AF943" s="94"/>
      <c r="AG943" s="94"/>
    </row>
    <row r="944">
      <c r="A944" s="96"/>
      <c r="B944" s="95" t="str">
        <f>IFERROR(__xludf.DUMMYFUNCTION("""COMPUTED_VALUE"""),"#VALUE!")</f>
        <v>#VALUE!</v>
      </c>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c r="AD944" s="94"/>
      <c r="AE944" s="94"/>
      <c r="AF944" s="94"/>
      <c r="AG944" s="94"/>
    </row>
    <row r="945">
      <c r="A945" s="96"/>
      <c r="B945" s="95" t="str">
        <f>IFERROR(__xludf.DUMMYFUNCTION("""COMPUTED_VALUE"""),"#VALUE!")</f>
        <v>#VALUE!</v>
      </c>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c r="AD945" s="94"/>
      <c r="AE945" s="94"/>
      <c r="AF945" s="94"/>
      <c r="AG945" s="94"/>
    </row>
    <row r="946">
      <c r="A946" s="96"/>
      <c r="B946" s="95" t="str">
        <f>IFERROR(__xludf.DUMMYFUNCTION("""COMPUTED_VALUE"""),"#VALUE!")</f>
        <v>#VALUE!</v>
      </c>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c r="AD946" s="94"/>
      <c r="AE946" s="94"/>
      <c r="AF946" s="94"/>
      <c r="AG946" s="94"/>
    </row>
    <row r="947">
      <c r="A947" s="96"/>
      <c r="B947" s="95" t="str">
        <f>IFERROR(__xludf.DUMMYFUNCTION("""COMPUTED_VALUE"""),"#VALUE!")</f>
        <v>#VALUE!</v>
      </c>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c r="AD947" s="94"/>
      <c r="AE947" s="94"/>
      <c r="AF947" s="94"/>
      <c r="AG947" s="94"/>
    </row>
    <row r="948">
      <c r="A948" s="96"/>
      <c r="B948" s="95" t="str">
        <f>IFERROR(__xludf.DUMMYFUNCTION("""COMPUTED_VALUE"""),"#VALUE!")</f>
        <v>#VALUE!</v>
      </c>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c r="AD948" s="94"/>
      <c r="AE948" s="94"/>
      <c r="AF948" s="94"/>
      <c r="AG948" s="94"/>
    </row>
    <row r="949">
      <c r="A949" s="96"/>
      <c r="B949" s="95" t="str">
        <f>IFERROR(__xludf.DUMMYFUNCTION("""COMPUTED_VALUE"""),"#VALUE!")</f>
        <v>#VALUE!</v>
      </c>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c r="AB949" s="94"/>
      <c r="AC949" s="94"/>
      <c r="AD949" s="94"/>
      <c r="AE949" s="94"/>
      <c r="AF949" s="94"/>
      <c r="AG949" s="94"/>
    </row>
    <row r="950">
      <c r="A950" s="96"/>
      <c r="B950" s="95" t="str">
        <f>IFERROR(__xludf.DUMMYFUNCTION("""COMPUTED_VALUE"""),"#VALUE!")</f>
        <v>#VALUE!</v>
      </c>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c r="AB950" s="94"/>
      <c r="AC950" s="94"/>
      <c r="AD950" s="94"/>
      <c r="AE950" s="94"/>
      <c r="AF950" s="94"/>
      <c r="AG950" s="94"/>
    </row>
    <row r="951">
      <c r="A951" s="96"/>
      <c r="B951" s="95" t="str">
        <f>IFERROR(__xludf.DUMMYFUNCTION("""COMPUTED_VALUE"""),"#VALUE!")</f>
        <v>#VALUE!</v>
      </c>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c r="AB951" s="94"/>
      <c r="AC951" s="94"/>
      <c r="AD951" s="94"/>
      <c r="AE951" s="94"/>
      <c r="AF951" s="94"/>
      <c r="AG951" s="94"/>
    </row>
    <row r="952">
      <c r="A952" s="96"/>
      <c r="B952" s="95" t="str">
        <f>IFERROR(__xludf.DUMMYFUNCTION("""COMPUTED_VALUE"""),"#VALUE!")</f>
        <v>#VALUE!</v>
      </c>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c r="AB952" s="94"/>
      <c r="AC952" s="94"/>
      <c r="AD952" s="94"/>
      <c r="AE952" s="94"/>
      <c r="AF952" s="94"/>
      <c r="AG952" s="94"/>
    </row>
    <row r="953">
      <c r="A953" s="96"/>
      <c r="B953" s="95" t="str">
        <f>IFERROR(__xludf.DUMMYFUNCTION("""COMPUTED_VALUE"""),"#VALUE!")</f>
        <v>#VALUE!</v>
      </c>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c r="AB953" s="94"/>
      <c r="AC953" s="94"/>
      <c r="AD953" s="94"/>
      <c r="AE953" s="94"/>
      <c r="AF953" s="94"/>
      <c r="AG953" s="94"/>
    </row>
    <row r="954">
      <c r="A954" s="96"/>
      <c r="B954" s="95" t="str">
        <f>IFERROR(__xludf.DUMMYFUNCTION("""COMPUTED_VALUE"""),"#VALUE!")</f>
        <v>#VALUE!</v>
      </c>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c r="AB954" s="94"/>
      <c r="AC954" s="94"/>
      <c r="AD954" s="94"/>
      <c r="AE954" s="94"/>
      <c r="AF954" s="94"/>
      <c r="AG954" s="94"/>
    </row>
    <row r="955">
      <c r="A955" s="96"/>
      <c r="B955" s="95" t="str">
        <f>IFERROR(__xludf.DUMMYFUNCTION("""COMPUTED_VALUE"""),"#VALUE!")</f>
        <v>#VALUE!</v>
      </c>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c r="AB955" s="94"/>
      <c r="AC955" s="94"/>
      <c r="AD955" s="94"/>
      <c r="AE955" s="94"/>
      <c r="AF955" s="94"/>
      <c r="AG955" s="94"/>
    </row>
    <row r="956">
      <c r="A956" s="96"/>
      <c r="B956" s="95" t="str">
        <f>IFERROR(__xludf.DUMMYFUNCTION("""COMPUTED_VALUE"""),"#VALUE!")</f>
        <v>#VALUE!</v>
      </c>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c r="AB956" s="94"/>
      <c r="AC956" s="94"/>
      <c r="AD956" s="94"/>
      <c r="AE956" s="94"/>
      <c r="AF956" s="94"/>
      <c r="AG956" s="94"/>
    </row>
    <row r="957">
      <c r="A957" s="96"/>
      <c r="B957" s="95" t="str">
        <f>IFERROR(__xludf.DUMMYFUNCTION("""COMPUTED_VALUE"""),"#VALUE!")</f>
        <v>#VALUE!</v>
      </c>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c r="AB957" s="94"/>
      <c r="AC957" s="94"/>
      <c r="AD957" s="94"/>
      <c r="AE957" s="94"/>
      <c r="AF957" s="94"/>
      <c r="AG957" s="94"/>
    </row>
    <row r="958">
      <c r="A958" s="96"/>
      <c r="B958" s="95" t="str">
        <f>IFERROR(__xludf.DUMMYFUNCTION("""COMPUTED_VALUE"""),"#VALUE!")</f>
        <v>#VALUE!</v>
      </c>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c r="AB958" s="94"/>
      <c r="AC958" s="94"/>
      <c r="AD958" s="94"/>
      <c r="AE958" s="94"/>
      <c r="AF958" s="94"/>
      <c r="AG958" s="94"/>
    </row>
    <row r="959">
      <c r="A959" s="96"/>
      <c r="B959" s="95" t="str">
        <f>IFERROR(__xludf.DUMMYFUNCTION("""COMPUTED_VALUE"""),"#VALUE!")</f>
        <v>#VALUE!</v>
      </c>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c r="AB959" s="94"/>
      <c r="AC959" s="94"/>
      <c r="AD959" s="94"/>
      <c r="AE959" s="94"/>
      <c r="AF959" s="94"/>
      <c r="AG959" s="94"/>
    </row>
    <row r="960">
      <c r="A960" s="96"/>
      <c r="B960" s="95" t="str">
        <f>IFERROR(__xludf.DUMMYFUNCTION("""COMPUTED_VALUE"""),"#VALUE!")</f>
        <v>#VALUE!</v>
      </c>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c r="AB960" s="94"/>
      <c r="AC960" s="94"/>
      <c r="AD960" s="94"/>
      <c r="AE960" s="94"/>
      <c r="AF960" s="94"/>
      <c r="AG960" s="94"/>
    </row>
    <row r="961">
      <c r="A961" s="96"/>
      <c r="B961" s="95" t="str">
        <f>IFERROR(__xludf.DUMMYFUNCTION("""COMPUTED_VALUE"""),"#VALUE!")</f>
        <v>#VALUE!</v>
      </c>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c r="AB961" s="94"/>
      <c r="AC961" s="94"/>
      <c r="AD961" s="94"/>
      <c r="AE961" s="94"/>
      <c r="AF961" s="94"/>
      <c r="AG961" s="94"/>
    </row>
    <row r="962">
      <c r="A962" s="96"/>
      <c r="B962" s="95" t="str">
        <f>IFERROR(__xludf.DUMMYFUNCTION("""COMPUTED_VALUE"""),"#VALUE!")</f>
        <v>#VALUE!</v>
      </c>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c r="AD962" s="94"/>
      <c r="AE962" s="94"/>
      <c r="AF962" s="94"/>
      <c r="AG962" s="94"/>
    </row>
    <row r="963">
      <c r="A963" s="96"/>
      <c r="B963" s="95" t="str">
        <f>IFERROR(__xludf.DUMMYFUNCTION("""COMPUTED_VALUE"""),"#VALUE!")</f>
        <v>#VALUE!</v>
      </c>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c r="AB963" s="94"/>
      <c r="AC963" s="94"/>
      <c r="AD963" s="94"/>
      <c r="AE963" s="94"/>
      <c r="AF963" s="94"/>
      <c r="AG963" s="94"/>
    </row>
    <row r="964">
      <c r="A964" s="96"/>
      <c r="B964" s="95" t="str">
        <f>IFERROR(__xludf.DUMMYFUNCTION("""COMPUTED_VALUE"""),"#VALUE!")</f>
        <v>#VALUE!</v>
      </c>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c r="AB964" s="94"/>
      <c r="AC964" s="94"/>
      <c r="AD964" s="94"/>
      <c r="AE964" s="94"/>
      <c r="AF964" s="94"/>
      <c r="AG964" s="94"/>
    </row>
    <row r="965">
      <c r="A965" s="96"/>
      <c r="B965" s="95" t="str">
        <f>IFERROR(__xludf.DUMMYFUNCTION("""COMPUTED_VALUE"""),"#VALUE!")</f>
        <v>#VALUE!</v>
      </c>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c r="AB965" s="94"/>
      <c r="AC965" s="94"/>
      <c r="AD965" s="94"/>
      <c r="AE965" s="94"/>
      <c r="AF965" s="94"/>
      <c r="AG965" s="94"/>
    </row>
    <row r="966">
      <c r="A966" s="96"/>
      <c r="B966" s="95" t="str">
        <f>IFERROR(__xludf.DUMMYFUNCTION("""COMPUTED_VALUE"""),"#VALUE!")</f>
        <v>#VALUE!</v>
      </c>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c r="AB966" s="94"/>
      <c r="AC966" s="94"/>
      <c r="AD966" s="94"/>
      <c r="AE966" s="94"/>
      <c r="AF966" s="94"/>
      <c r="AG966" s="94"/>
    </row>
    <row r="967">
      <c r="A967" s="96"/>
      <c r="B967" s="95" t="str">
        <f>IFERROR(__xludf.DUMMYFUNCTION("""COMPUTED_VALUE"""),"#VALUE!")</f>
        <v>#VALUE!</v>
      </c>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c r="AB967" s="94"/>
      <c r="AC967" s="94"/>
      <c r="AD967" s="94"/>
      <c r="AE967" s="94"/>
      <c r="AF967" s="94"/>
      <c r="AG967" s="94"/>
    </row>
    <row r="968">
      <c r="A968" s="96"/>
      <c r="B968" s="95" t="str">
        <f>IFERROR(__xludf.DUMMYFUNCTION("""COMPUTED_VALUE"""),"#VALUE!")</f>
        <v>#VALUE!</v>
      </c>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c r="AB968" s="94"/>
      <c r="AC968" s="94"/>
      <c r="AD968" s="94"/>
      <c r="AE968" s="94"/>
      <c r="AF968" s="94"/>
      <c r="AG968" s="94"/>
    </row>
    <row r="969">
      <c r="A969" s="96"/>
      <c r="B969" s="95" t="str">
        <f>IFERROR(__xludf.DUMMYFUNCTION("""COMPUTED_VALUE"""),"#VALUE!")</f>
        <v>#VALUE!</v>
      </c>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c r="AB969" s="94"/>
      <c r="AC969" s="94"/>
      <c r="AD969" s="94"/>
      <c r="AE969" s="94"/>
      <c r="AF969" s="94"/>
      <c r="AG969" s="94"/>
    </row>
    <row r="970">
      <c r="A970" s="96"/>
      <c r="B970" s="95" t="str">
        <f>IFERROR(__xludf.DUMMYFUNCTION("""COMPUTED_VALUE"""),"#VALUE!")</f>
        <v>#VALUE!</v>
      </c>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c r="AB970" s="94"/>
      <c r="AC970" s="94"/>
      <c r="AD970" s="94"/>
      <c r="AE970" s="94"/>
      <c r="AF970" s="94"/>
      <c r="AG970" s="94"/>
    </row>
    <row r="971">
      <c r="A971" s="96"/>
      <c r="B971" s="95" t="str">
        <f>IFERROR(__xludf.DUMMYFUNCTION("""COMPUTED_VALUE"""),"#VALUE!")</f>
        <v>#VALUE!</v>
      </c>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c r="AB971" s="94"/>
      <c r="AC971" s="94"/>
      <c r="AD971" s="94"/>
      <c r="AE971" s="94"/>
      <c r="AF971" s="94"/>
      <c r="AG971" s="94"/>
    </row>
    <row r="972">
      <c r="A972" s="96"/>
      <c r="B972" s="95" t="str">
        <f>IFERROR(__xludf.DUMMYFUNCTION("""COMPUTED_VALUE"""),"#VALUE!")</f>
        <v>#VALUE!</v>
      </c>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c r="AB972" s="94"/>
      <c r="AC972" s="94"/>
      <c r="AD972" s="94"/>
      <c r="AE972" s="94"/>
      <c r="AF972" s="94"/>
      <c r="AG972" s="94"/>
    </row>
    <row r="973">
      <c r="A973" s="96"/>
      <c r="B973" s="95" t="str">
        <f>IFERROR(__xludf.DUMMYFUNCTION("""COMPUTED_VALUE"""),"#VALUE!")</f>
        <v>#VALUE!</v>
      </c>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c r="AB973" s="94"/>
      <c r="AC973" s="94"/>
      <c r="AD973" s="94"/>
      <c r="AE973" s="94"/>
      <c r="AF973" s="94"/>
      <c r="AG973" s="94"/>
    </row>
    <row r="974">
      <c r="A974" s="96"/>
      <c r="B974" s="95" t="str">
        <f>IFERROR(__xludf.DUMMYFUNCTION("""COMPUTED_VALUE"""),"#VALUE!")</f>
        <v>#VALUE!</v>
      </c>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c r="AB974" s="94"/>
      <c r="AC974" s="94"/>
      <c r="AD974" s="94"/>
      <c r="AE974" s="94"/>
      <c r="AF974" s="94"/>
      <c r="AG974" s="94"/>
    </row>
    <row r="975">
      <c r="A975" s="96"/>
      <c r="B975" s="95" t="str">
        <f>IFERROR(__xludf.DUMMYFUNCTION("""COMPUTED_VALUE"""),"#VALUE!")</f>
        <v>#VALUE!</v>
      </c>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c r="AB975" s="94"/>
      <c r="AC975" s="94"/>
      <c r="AD975" s="94"/>
      <c r="AE975" s="94"/>
      <c r="AF975" s="94"/>
      <c r="AG975" s="94"/>
    </row>
    <row r="976">
      <c r="A976" s="96"/>
      <c r="B976" s="95" t="str">
        <f>IFERROR(__xludf.DUMMYFUNCTION("""COMPUTED_VALUE"""),"#VALUE!")</f>
        <v>#VALUE!</v>
      </c>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c r="AB976" s="94"/>
      <c r="AC976" s="94"/>
      <c r="AD976" s="94"/>
      <c r="AE976" s="94"/>
      <c r="AF976" s="94"/>
      <c r="AG976" s="94"/>
    </row>
    <row r="977">
      <c r="A977" s="96"/>
      <c r="B977" s="95" t="str">
        <f>IFERROR(__xludf.DUMMYFUNCTION("""COMPUTED_VALUE"""),"#VALUE!")</f>
        <v>#VALUE!</v>
      </c>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c r="AB977" s="94"/>
      <c r="AC977" s="94"/>
      <c r="AD977" s="94"/>
      <c r="AE977" s="94"/>
      <c r="AF977" s="94"/>
      <c r="AG977" s="94"/>
    </row>
    <row r="978">
      <c r="A978" s="96"/>
      <c r="B978" s="95" t="str">
        <f>IFERROR(__xludf.DUMMYFUNCTION("""COMPUTED_VALUE"""),"#VALUE!")</f>
        <v>#VALUE!</v>
      </c>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c r="AD978" s="94"/>
      <c r="AE978" s="94"/>
      <c r="AF978" s="94"/>
      <c r="AG978" s="94"/>
    </row>
    <row r="979">
      <c r="A979" s="96"/>
      <c r="B979" s="95" t="str">
        <f>IFERROR(__xludf.DUMMYFUNCTION("""COMPUTED_VALUE"""),"#VALUE!")</f>
        <v>#VALUE!</v>
      </c>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c r="AB979" s="94"/>
      <c r="AC979" s="94"/>
      <c r="AD979" s="94"/>
      <c r="AE979" s="94"/>
      <c r="AF979" s="94"/>
      <c r="AG979" s="94"/>
    </row>
    <row r="980">
      <c r="A980" s="96"/>
      <c r="B980" s="95" t="str">
        <f>IFERROR(__xludf.DUMMYFUNCTION("""COMPUTED_VALUE"""),"#VALUE!")</f>
        <v>#VALUE!</v>
      </c>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c r="AB980" s="94"/>
      <c r="AC980" s="94"/>
      <c r="AD980" s="94"/>
      <c r="AE980" s="94"/>
      <c r="AF980" s="94"/>
      <c r="AG980" s="94"/>
    </row>
    <row r="981">
      <c r="A981" s="96"/>
      <c r="B981" s="95" t="str">
        <f>IFERROR(__xludf.DUMMYFUNCTION("""COMPUTED_VALUE"""),"#VALUE!")</f>
        <v>#VALUE!</v>
      </c>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c r="AB981" s="94"/>
      <c r="AC981" s="94"/>
      <c r="AD981" s="94"/>
      <c r="AE981" s="94"/>
      <c r="AF981" s="94"/>
      <c r="AG981" s="94"/>
    </row>
    <row r="982">
      <c r="A982" s="96"/>
      <c r="B982" s="95" t="str">
        <f>IFERROR(__xludf.DUMMYFUNCTION("""COMPUTED_VALUE"""),"#VALUE!")</f>
        <v>#VALUE!</v>
      </c>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c r="AB982" s="94"/>
      <c r="AC982" s="94"/>
      <c r="AD982" s="94"/>
      <c r="AE982" s="94"/>
      <c r="AF982" s="94"/>
      <c r="AG982" s="94"/>
    </row>
    <row r="983">
      <c r="A983" s="96"/>
      <c r="B983" s="95" t="str">
        <f>IFERROR(__xludf.DUMMYFUNCTION("""COMPUTED_VALUE"""),"#VALUE!")</f>
        <v>#VALUE!</v>
      </c>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c r="AB983" s="94"/>
      <c r="AC983" s="94"/>
      <c r="AD983" s="94"/>
      <c r="AE983" s="94"/>
      <c r="AF983" s="94"/>
      <c r="AG983" s="94"/>
    </row>
    <row r="984">
      <c r="A984" s="96"/>
      <c r="B984" s="95" t="str">
        <f>IFERROR(__xludf.DUMMYFUNCTION("""COMPUTED_VALUE"""),"#VALUE!")</f>
        <v>#VALUE!</v>
      </c>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c r="AB984" s="94"/>
      <c r="AC984" s="94"/>
      <c r="AD984" s="94"/>
      <c r="AE984" s="94"/>
      <c r="AF984" s="94"/>
      <c r="AG984" s="94"/>
    </row>
    <row r="985">
      <c r="A985" s="96"/>
      <c r="B985" s="95" t="str">
        <f>IFERROR(__xludf.DUMMYFUNCTION("""COMPUTED_VALUE"""),"#VALUE!")</f>
        <v>#VALUE!</v>
      </c>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c r="AB985" s="94"/>
      <c r="AC985" s="94"/>
      <c r="AD985" s="94"/>
      <c r="AE985" s="94"/>
      <c r="AF985" s="94"/>
      <c r="AG985" s="94"/>
    </row>
    <row r="986">
      <c r="A986" s="96"/>
      <c r="B986" s="95" t="str">
        <f>IFERROR(__xludf.DUMMYFUNCTION("""COMPUTED_VALUE"""),"#VALUE!")</f>
        <v>#VALUE!</v>
      </c>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c r="AB986" s="94"/>
      <c r="AC986" s="94"/>
      <c r="AD986" s="94"/>
      <c r="AE986" s="94"/>
      <c r="AF986" s="94"/>
      <c r="AG986" s="94"/>
    </row>
    <row r="987">
      <c r="A987" s="96"/>
      <c r="B987" s="95" t="str">
        <f>IFERROR(__xludf.DUMMYFUNCTION("""COMPUTED_VALUE"""),"#VALUE!")</f>
        <v>#VALUE!</v>
      </c>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c r="AB987" s="94"/>
      <c r="AC987" s="94"/>
      <c r="AD987" s="94"/>
      <c r="AE987" s="94"/>
      <c r="AF987" s="94"/>
      <c r="AG987" s="94"/>
    </row>
    <row r="988">
      <c r="A988" s="96"/>
      <c r="B988" s="95" t="str">
        <f>IFERROR(__xludf.DUMMYFUNCTION("""COMPUTED_VALUE"""),"#VALUE!")</f>
        <v>#VALUE!</v>
      </c>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c r="AB988" s="94"/>
      <c r="AC988" s="94"/>
      <c r="AD988" s="94"/>
      <c r="AE988" s="94"/>
      <c r="AF988" s="94"/>
      <c r="AG988" s="94"/>
    </row>
    <row r="989">
      <c r="A989" s="96"/>
      <c r="B989" s="95" t="str">
        <f>IFERROR(__xludf.DUMMYFUNCTION("""COMPUTED_VALUE"""),"#VALUE!")</f>
        <v>#VALUE!</v>
      </c>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c r="AB989" s="94"/>
      <c r="AC989" s="94"/>
      <c r="AD989" s="94"/>
      <c r="AE989" s="94"/>
      <c r="AF989" s="94"/>
      <c r="AG989" s="94"/>
    </row>
    <row r="990">
      <c r="A990" s="96"/>
      <c r="B990" s="95" t="str">
        <f>IFERROR(__xludf.DUMMYFUNCTION("""COMPUTED_VALUE"""),"#VALUE!")</f>
        <v>#VALUE!</v>
      </c>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c r="AB990" s="94"/>
      <c r="AC990" s="94"/>
      <c r="AD990" s="94"/>
      <c r="AE990" s="94"/>
      <c r="AF990" s="94"/>
      <c r="AG990" s="94"/>
    </row>
    <row r="991">
      <c r="A991" s="96"/>
      <c r="B991" s="95" t="str">
        <f>IFERROR(__xludf.DUMMYFUNCTION("""COMPUTED_VALUE"""),"#VALUE!")</f>
        <v>#VALUE!</v>
      </c>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c r="AB991" s="94"/>
      <c r="AC991" s="94"/>
      <c r="AD991" s="94"/>
      <c r="AE991" s="94"/>
      <c r="AF991" s="94"/>
      <c r="AG991" s="94"/>
    </row>
    <row r="992">
      <c r="A992" s="96"/>
      <c r="B992" s="95" t="str">
        <f>IFERROR(__xludf.DUMMYFUNCTION("""COMPUTED_VALUE"""),"#VALUE!")</f>
        <v>#VALUE!</v>
      </c>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c r="AB992" s="94"/>
      <c r="AC992" s="94"/>
      <c r="AD992" s="94"/>
      <c r="AE992" s="94"/>
      <c r="AF992" s="94"/>
      <c r="AG992" s="94"/>
    </row>
    <row r="993">
      <c r="A993" s="96"/>
      <c r="B993" s="95" t="str">
        <f>IFERROR(__xludf.DUMMYFUNCTION("""COMPUTED_VALUE"""),"#VALUE!")</f>
        <v>#VALUE!</v>
      </c>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c r="AB993" s="94"/>
      <c r="AC993" s="94"/>
      <c r="AD993" s="94"/>
      <c r="AE993" s="94"/>
      <c r="AF993" s="94"/>
      <c r="AG993" s="94"/>
    </row>
    <row r="994">
      <c r="A994" s="96"/>
      <c r="B994" s="95" t="str">
        <f>IFERROR(__xludf.DUMMYFUNCTION("""COMPUTED_VALUE"""),"#VALUE!")</f>
        <v>#VALUE!</v>
      </c>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c r="AB994" s="94"/>
      <c r="AC994" s="94"/>
      <c r="AD994" s="94"/>
      <c r="AE994" s="94"/>
      <c r="AF994" s="94"/>
      <c r="AG994" s="94"/>
    </row>
    <row r="995">
      <c r="A995" s="96"/>
      <c r="B995" s="95" t="str">
        <f>IFERROR(__xludf.DUMMYFUNCTION("""COMPUTED_VALUE"""),"#VALUE!")</f>
        <v>#VALUE!</v>
      </c>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c r="AB995" s="94"/>
      <c r="AC995" s="94"/>
      <c r="AD995" s="94"/>
      <c r="AE995" s="94"/>
      <c r="AF995" s="94"/>
      <c r="AG995" s="94"/>
    </row>
    <row r="996">
      <c r="A996" s="96"/>
      <c r="B996" s="95" t="str">
        <f>IFERROR(__xludf.DUMMYFUNCTION("""COMPUTED_VALUE"""),"#VALUE!")</f>
        <v>#VALUE!</v>
      </c>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c r="AA996" s="94"/>
      <c r="AB996" s="94"/>
      <c r="AC996" s="94"/>
      <c r="AD996" s="94"/>
      <c r="AE996" s="94"/>
      <c r="AF996" s="94"/>
      <c r="AG996" s="94"/>
    </row>
    <row r="997">
      <c r="A997" s="96"/>
      <c r="B997" s="95" t="str">
        <f>IFERROR(__xludf.DUMMYFUNCTION("""COMPUTED_VALUE"""),"#VALUE!")</f>
        <v>#VALUE!</v>
      </c>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c r="AA997" s="94"/>
      <c r="AB997" s="94"/>
      <c r="AC997" s="94"/>
      <c r="AD997" s="94"/>
      <c r="AE997" s="94"/>
      <c r="AF997" s="94"/>
      <c r="AG997" s="94"/>
    </row>
    <row r="998">
      <c r="A998" s="96"/>
      <c r="B998" s="95" t="str">
        <f>IFERROR(__xludf.DUMMYFUNCTION("""COMPUTED_VALUE"""),"#VALUE!")</f>
        <v>#VALUE!</v>
      </c>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c r="AA998" s="94"/>
      <c r="AB998" s="94"/>
      <c r="AC998" s="94"/>
      <c r="AD998" s="94"/>
      <c r="AE998" s="94"/>
      <c r="AF998" s="94"/>
      <c r="AG998" s="94"/>
    </row>
    <row r="999">
      <c r="A999" s="96"/>
      <c r="B999" s="95" t="str">
        <f>IFERROR(__xludf.DUMMYFUNCTION("""COMPUTED_VALUE"""),"#VALUE!")</f>
        <v>#VALUE!</v>
      </c>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c r="AA999" s="94"/>
      <c r="AB999" s="94"/>
      <c r="AC999" s="94"/>
      <c r="AD999" s="94"/>
      <c r="AE999" s="94"/>
      <c r="AF999" s="94"/>
      <c r="AG999" s="94"/>
    </row>
    <row r="1000">
      <c r="A1000" s="96"/>
      <c r="B1000" s="95" t="str">
        <f>IFERROR(__xludf.DUMMYFUNCTION("""COMPUTED_VALUE"""),"#VALUE!")</f>
        <v>#VALUE!</v>
      </c>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c r="AB1000" s="94"/>
      <c r="AC1000" s="94"/>
      <c r="AD1000" s="94"/>
      <c r="AE1000" s="94"/>
      <c r="AF1000" s="94"/>
      <c r="AG1000" s="94"/>
    </row>
    <row r="1001">
      <c r="A1001" s="96"/>
      <c r="B1001" s="95" t="str">
        <f>IFERROR(__xludf.DUMMYFUNCTION("""COMPUTED_VALUE"""),"#VALUE!")</f>
        <v>#VALUE!</v>
      </c>
      <c r="C1001" s="94"/>
      <c r="D1001" s="94"/>
      <c r="E1001" s="94"/>
      <c r="F1001" s="94"/>
      <c r="G1001" s="94"/>
      <c r="H1001" s="94"/>
      <c r="I1001" s="94"/>
      <c r="J1001" s="94"/>
      <c r="K1001" s="94"/>
      <c r="L1001" s="94"/>
      <c r="M1001" s="94"/>
      <c r="N1001" s="94"/>
      <c r="O1001" s="94"/>
      <c r="P1001" s="94"/>
      <c r="Q1001" s="94"/>
      <c r="R1001" s="94"/>
      <c r="S1001" s="94"/>
      <c r="T1001" s="94"/>
      <c r="U1001" s="94"/>
      <c r="V1001" s="94"/>
      <c r="W1001" s="94"/>
      <c r="X1001" s="94"/>
      <c r="Y1001" s="94"/>
      <c r="Z1001" s="94"/>
      <c r="AA1001" s="94"/>
      <c r="AB1001" s="94"/>
      <c r="AC1001" s="94"/>
      <c r="AD1001" s="94"/>
      <c r="AE1001" s="94"/>
      <c r="AF1001" s="94"/>
      <c r="AG1001" s="94"/>
    </row>
    <row r="1002">
      <c r="A1002" s="96"/>
      <c r="B1002" s="95" t="str">
        <f>IFERROR(__xludf.DUMMYFUNCTION("""COMPUTED_VALUE"""),"#VALUE!")</f>
        <v>#VALUE!</v>
      </c>
      <c r="C1002" s="94"/>
      <c r="D1002" s="94"/>
      <c r="E1002" s="94"/>
      <c r="F1002" s="94"/>
      <c r="G1002" s="94"/>
      <c r="H1002" s="94"/>
      <c r="I1002" s="94"/>
      <c r="J1002" s="94"/>
      <c r="K1002" s="94"/>
      <c r="L1002" s="94"/>
      <c r="M1002" s="94"/>
      <c r="N1002" s="94"/>
      <c r="O1002" s="94"/>
      <c r="P1002" s="94"/>
      <c r="Q1002" s="94"/>
      <c r="R1002" s="94"/>
      <c r="S1002" s="94"/>
      <c r="T1002" s="94"/>
      <c r="U1002" s="94"/>
      <c r="V1002" s="94"/>
      <c r="W1002" s="94"/>
      <c r="X1002" s="94"/>
      <c r="Y1002" s="94"/>
      <c r="Z1002" s="94"/>
      <c r="AA1002" s="94"/>
      <c r="AB1002" s="94"/>
      <c r="AC1002" s="94"/>
      <c r="AD1002" s="94"/>
      <c r="AE1002" s="94"/>
      <c r="AF1002" s="94"/>
      <c r="AG1002" s="94"/>
    </row>
    <row r="1003">
      <c r="A1003" s="96"/>
      <c r="B1003" s="95" t="str">
        <f>IFERROR(__xludf.DUMMYFUNCTION("""COMPUTED_VALUE"""),"#VALUE!")</f>
        <v>#VALUE!</v>
      </c>
      <c r="C1003" s="94"/>
      <c r="D1003" s="94"/>
      <c r="E1003" s="94"/>
      <c r="F1003" s="94"/>
      <c r="G1003" s="94"/>
      <c r="H1003" s="94"/>
      <c r="I1003" s="94"/>
      <c r="J1003" s="94"/>
      <c r="K1003" s="94"/>
      <c r="L1003" s="94"/>
      <c r="M1003" s="94"/>
      <c r="N1003" s="94"/>
      <c r="O1003" s="94"/>
      <c r="P1003" s="94"/>
      <c r="Q1003" s="94"/>
      <c r="R1003" s="94"/>
      <c r="S1003" s="94"/>
      <c r="T1003" s="94"/>
      <c r="U1003" s="94"/>
      <c r="V1003" s="94"/>
      <c r="W1003" s="94"/>
      <c r="X1003" s="94"/>
      <c r="Y1003" s="94"/>
      <c r="Z1003" s="94"/>
      <c r="AA1003" s="94"/>
      <c r="AB1003" s="94"/>
      <c r="AC1003" s="94"/>
      <c r="AD1003" s="94"/>
      <c r="AE1003" s="94"/>
      <c r="AF1003" s="94"/>
      <c r="AG1003" s="94"/>
    </row>
    <row r="1004">
      <c r="A1004" s="96"/>
      <c r="B1004" s="95" t="str">
        <f>IFERROR(__xludf.DUMMYFUNCTION("""COMPUTED_VALUE"""),"#VALUE!")</f>
        <v>#VALUE!</v>
      </c>
      <c r="C1004" s="94"/>
      <c r="D1004" s="94"/>
      <c r="E1004" s="94"/>
      <c r="F1004" s="94"/>
      <c r="G1004" s="94"/>
      <c r="H1004" s="94"/>
      <c r="I1004" s="94"/>
      <c r="J1004" s="94"/>
      <c r="K1004" s="94"/>
      <c r="L1004" s="94"/>
      <c r="M1004" s="94"/>
      <c r="N1004" s="94"/>
      <c r="O1004" s="94"/>
      <c r="P1004" s="94"/>
      <c r="Q1004" s="94"/>
      <c r="R1004" s="94"/>
      <c r="S1004" s="94"/>
      <c r="T1004" s="94"/>
      <c r="U1004" s="94"/>
      <c r="V1004" s="94"/>
      <c r="W1004" s="94"/>
      <c r="X1004" s="94"/>
      <c r="Y1004" s="94"/>
      <c r="Z1004" s="94"/>
      <c r="AA1004" s="94"/>
      <c r="AB1004" s="94"/>
      <c r="AC1004" s="94"/>
      <c r="AD1004" s="94"/>
      <c r="AE1004" s="94"/>
      <c r="AF1004" s="94"/>
      <c r="AG1004" s="94"/>
    </row>
    <row r="1005">
      <c r="A1005" s="96"/>
      <c r="B1005" s="95" t="str">
        <f>IFERROR(__xludf.DUMMYFUNCTION("""COMPUTED_VALUE"""),"#VALUE!")</f>
        <v>#VALUE!</v>
      </c>
      <c r="C1005" s="94"/>
      <c r="D1005" s="94"/>
      <c r="E1005" s="94"/>
      <c r="F1005" s="94"/>
      <c r="G1005" s="94"/>
      <c r="H1005" s="94"/>
      <c r="I1005" s="94"/>
      <c r="J1005" s="94"/>
      <c r="K1005" s="94"/>
      <c r="L1005" s="94"/>
      <c r="M1005" s="94"/>
      <c r="N1005" s="94"/>
      <c r="O1005" s="94"/>
      <c r="P1005" s="94"/>
      <c r="Q1005" s="94"/>
      <c r="R1005" s="94"/>
      <c r="S1005" s="94"/>
      <c r="T1005" s="94"/>
      <c r="U1005" s="94"/>
      <c r="V1005" s="94"/>
      <c r="W1005" s="94"/>
      <c r="X1005" s="94"/>
      <c r="Y1005" s="94"/>
      <c r="Z1005" s="94"/>
      <c r="AA1005" s="94"/>
      <c r="AB1005" s="94"/>
      <c r="AC1005" s="94"/>
      <c r="AD1005" s="94"/>
      <c r="AE1005" s="94"/>
      <c r="AF1005" s="94"/>
      <c r="AG1005" s="94"/>
    </row>
    <row r="1006">
      <c r="A1006" s="96"/>
      <c r="B1006" s="95" t="str">
        <f>IFERROR(__xludf.DUMMYFUNCTION("""COMPUTED_VALUE"""),"#VALUE!")</f>
        <v>#VALUE!</v>
      </c>
      <c r="C1006" s="94"/>
      <c r="D1006" s="94"/>
      <c r="E1006" s="94"/>
      <c r="F1006" s="94"/>
      <c r="G1006" s="94"/>
      <c r="H1006" s="94"/>
      <c r="I1006" s="94"/>
      <c r="J1006" s="94"/>
      <c r="K1006" s="94"/>
      <c r="L1006" s="94"/>
      <c r="M1006" s="94"/>
      <c r="N1006" s="94"/>
      <c r="O1006" s="94"/>
      <c r="P1006" s="94"/>
      <c r="Q1006" s="94"/>
      <c r="R1006" s="94"/>
      <c r="S1006" s="94"/>
      <c r="T1006" s="94"/>
      <c r="U1006" s="94"/>
      <c r="V1006" s="94"/>
      <c r="W1006" s="94"/>
      <c r="X1006" s="94"/>
      <c r="Y1006" s="94"/>
      <c r="Z1006" s="94"/>
      <c r="AA1006" s="94"/>
      <c r="AB1006" s="94"/>
      <c r="AC1006" s="94"/>
      <c r="AD1006" s="94"/>
      <c r="AE1006" s="94"/>
      <c r="AF1006" s="94"/>
      <c r="AG1006" s="94"/>
    </row>
    <row r="1007">
      <c r="A1007" s="96"/>
      <c r="B1007" s="95" t="str">
        <f>IFERROR(__xludf.DUMMYFUNCTION("""COMPUTED_VALUE"""),"#VALUE!")</f>
        <v>#VALUE!</v>
      </c>
      <c r="C1007" s="94"/>
      <c r="D1007" s="94"/>
      <c r="E1007" s="94"/>
      <c r="F1007" s="94"/>
      <c r="G1007" s="94"/>
      <c r="H1007" s="94"/>
      <c r="I1007" s="94"/>
      <c r="J1007" s="94"/>
      <c r="K1007" s="94"/>
      <c r="L1007" s="94"/>
      <c r="M1007" s="94"/>
      <c r="N1007" s="94"/>
      <c r="O1007" s="94"/>
      <c r="P1007" s="94"/>
      <c r="Q1007" s="94"/>
      <c r="R1007" s="94"/>
      <c r="S1007" s="94"/>
      <c r="T1007" s="94"/>
      <c r="U1007" s="94"/>
      <c r="V1007" s="94"/>
      <c r="W1007" s="94"/>
      <c r="X1007" s="94"/>
      <c r="Y1007" s="94"/>
      <c r="Z1007" s="94"/>
      <c r="AA1007" s="94"/>
      <c r="AB1007" s="94"/>
      <c r="AC1007" s="94"/>
      <c r="AD1007" s="94"/>
      <c r="AE1007" s="94"/>
      <c r="AF1007" s="94"/>
      <c r="AG1007" s="94"/>
    </row>
    <row r="1008">
      <c r="A1008" s="96"/>
      <c r="B1008" s="95" t="str">
        <f>IFERROR(__xludf.DUMMYFUNCTION("""COMPUTED_VALUE"""),"#VALUE!")</f>
        <v>#VALUE!</v>
      </c>
      <c r="C1008" s="94"/>
      <c r="D1008" s="94"/>
      <c r="E1008" s="94"/>
      <c r="F1008" s="94"/>
      <c r="G1008" s="94"/>
      <c r="H1008" s="94"/>
      <c r="I1008" s="94"/>
      <c r="J1008" s="94"/>
      <c r="K1008" s="94"/>
      <c r="L1008" s="94"/>
      <c r="M1008" s="94"/>
      <c r="N1008" s="94"/>
      <c r="O1008" s="94"/>
      <c r="P1008" s="94"/>
      <c r="Q1008" s="94"/>
      <c r="R1008" s="94"/>
      <c r="S1008" s="94"/>
      <c r="T1008" s="94"/>
      <c r="U1008" s="94"/>
      <c r="V1008" s="94"/>
      <c r="W1008" s="94"/>
      <c r="X1008" s="94"/>
      <c r="Y1008" s="94"/>
      <c r="Z1008" s="94"/>
      <c r="AA1008" s="94"/>
      <c r="AB1008" s="94"/>
      <c r="AC1008" s="94"/>
      <c r="AD1008" s="94"/>
      <c r="AE1008" s="94"/>
      <c r="AF1008" s="94"/>
      <c r="AG1008" s="94"/>
    </row>
    <row r="1009">
      <c r="A1009" s="96"/>
      <c r="B1009" s="95" t="str">
        <f>IFERROR(__xludf.DUMMYFUNCTION("""COMPUTED_VALUE"""),"#VALUE!")</f>
        <v>#VALUE!</v>
      </c>
      <c r="C1009" s="94"/>
      <c r="D1009" s="94"/>
      <c r="E1009" s="94"/>
      <c r="F1009" s="94"/>
      <c r="G1009" s="94"/>
      <c r="H1009" s="94"/>
      <c r="I1009" s="94"/>
      <c r="J1009" s="94"/>
      <c r="K1009" s="94"/>
      <c r="L1009" s="94"/>
      <c r="M1009" s="94"/>
      <c r="N1009" s="94"/>
      <c r="O1009" s="94"/>
      <c r="P1009" s="94"/>
      <c r="Q1009" s="94"/>
      <c r="R1009" s="94"/>
      <c r="S1009" s="94"/>
      <c r="T1009" s="94"/>
      <c r="U1009" s="94"/>
      <c r="V1009" s="94"/>
      <c r="W1009" s="94"/>
      <c r="X1009" s="94"/>
      <c r="Y1009" s="94"/>
      <c r="Z1009" s="94"/>
      <c r="AA1009" s="94"/>
      <c r="AB1009" s="94"/>
      <c r="AC1009" s="94"/>
      <c r="AD1009" s="94"/>
      <c r="AE1009" s="94"/>
      <c r="AF1009" s="94"/>
      <c r="AG1009" s="94"/>
    </row>
    <row r="1010">
      <c r="A1010" s="96"/>
      <c r="B1010" s="95" t="str">
        <f>IFERROR(__xludf.DUMMYFUNCTION("""COMPUTED_VALUE"""),"#VALUE!")</f>
        <v>#VALUE!</v>
      </c>
      <c r="C1010" s="94"/>
      <c r="D1010" s="94"/>
      <c r="E1010" s="94"/>
      <c r="F1010" s="94"/>
      <c r="G1010" s="94"/>
      <c r="H1010" s="94"/>
      <c r="I1010" s="94"/>
      <c r="J1010" s="94"/>
      <c r="K1010" s="94"/>
      <c r="L1010" s="94"/>
      <c r="M1010" s="94"/>
      <c r="N1010" s="94"/>
      <c r="O1010" s="94"/>
      <c r="P1010" s="94"/>
      <c r="Q1010" s="94"/>
      <c r="R1010" s="94"/>
      <c r="S1010" s="94"/>
      <c r="T1010" s="94"/>
      <c r="U1010" s="94"/>
      <c r="V1010" s="94"/>
      <c r="W1010" s="94"/>
      <c r="X1010" s="94"/>
      <c r="Y1010" s="94"/>
      <c r="Z1010" s="94"/>
      <c r="AA1010" s="94"/>
      <c r="AB1010" s="94"/>
      <c r="AC1010" s="94"/>
      <c r="AD1010" s="94"/>
      <c r="AE1010" s="94"/>
      <c r="AF1010" s="94"/>
      <c r="AG1010" s="94"/>
    </row>
    <row r="1011">
      <c r="A1011" s="96"/>
      <c r="B1011" s="95" t="str">
        <f>IFERROR(__xludf.DUMMYFUNCTION("""COMPUTED_VALUE"""),"#VALUE!")</f>
        <v>#VALUE!</v>
      </c>
      <c r="C1011" s="94"/>
      <c r="D1011" s="94"/>
      <c r="E1011" s="94"/>
      <c r="F1011" s="94"/>
      <c r="G1011" s="94"/>
      <c r="H1011" s="94"/>
      <c r="I1011" s="94"/>
      <c r="J1011" s="94"/>
      <c r="K1011" s="94"/>
      <c r="L1011" s="94"/>
      <c r="M1011" s="94"/>
      <c r="N1011" s="94"/>
      <c r="O1011" s="94"/>
      <c r="P1011" s="94"/>
      <c r="Q1011" s="94"/>
      <c r="R1011" s="94"/>
      <c r="S1011" s="94"/>
      <c r="T1011" s="94"/>
      <c r="U1011" s="94"/>
      <c r="V1011" s="94"/>
      <c r="W1011" s="94"/>
      <c r="X1011" s="94"/>
      <c r="Y1011" s="94"/>
      <c r="Z1011" s="94"/>
      <c r="AA1011" s="94"/>
      <c r="AB1011" s="94"/>
      <c r="AC1011" s="94"/>
      <c r="AD1011" s="94"/>
      <c r="AE1011" s="94"/>
      <c r="AF1011" s="94"/>
      <c r="AG1011" s="94"/>
    </row>
    <row r="1012">
      <c r="A1012" s="96"/>
      <c r="B1012" s="95" t="str">
        <f>IFERROR(__xludf.DUMMYFUNCTION("""COMPUTED_VALUE"""),"#VALUE!")</f>
        <v>#VALUE!</v>
      </c>
      <c r="C1012" s="94"/>
      <c r="D1012" s="94"/>
      <c r="E1012" s="94"/>
      <c r="F1012" s="94"/>
      <c r="G1012" s="94"/>
      <c r="H1012" s="94"/>
      <c r="I1012" s="94"/>
      <c r="J1012" s="94"/>
      <c r="K1012" s="94"/>
      <c r="L1012" s="94"/>
      <c r="M1012" s="94"/>
      <c r="N1012" s="94"/>
      <c r="O1012" s="94"/>
      <c r="P1012" s="94"/>
      <c r="Q1012" s="94"/>
      <c r="R1012" s="94"/>
      <c r="S1012" s="94"/>
      <c r="T1012" s="94"/>
      <c r="U1012" s="94"/>
      <c r="V1012" s="94"/>
      <c r="W1012" s="94"/>
      <c r="X1012" s="94"/>
      <c r="Y1012" s="94"/>
      <c r="Z1012" s="94"/>
      <c r="AA1012" s="94"/>
      <c r="AB1012" s="94"/>
      <c r="AC1012" s="94"/>
      <c r="AD1012" s="94"/>
      <c r="AE1012" s="94"/>
      <c r="AF1012" s="94"/>
      <c r="AG1012" s="94"/>
    </row>
    <row r="1013">
      <c r="A1013" s="96"/>
      <c r="B1013" s="95" t="str">
        <f>IFERROR(__xludf.DUMMYFUNCTION("""COMPUTED_VALUE"""),"#VALUE!")</f>
        <v>#VALUE!</v>
      </c>
      <c r="C1013" s="94"/>
      <c r="D1013" s="94"/>
      <c r="E1013" s="94"/>
      <c r="F1013" s="94"/>
      <c r="G1013" s="94"/>
      <c r="H1013" s="94"/>
      <c r="I1013" s="94"/>
      <c r="J1013" s="94"/>
      <c r="K1013" s="94"/>
      <c r="L1013" s="94"/>
      <c r="M1013" s="94"/>
      <c r="N1013" s="94"/>
      <c r="O1013" s="94"/>
      <c r="P1013" s="94"/>
      <c r="Q1013" s="94"/>
      <c r="R1013" s="94"/>
      <c r="S1013" s="94"/>
      <c r="T1013" s="94"/>
      <c r="U1013" s="94"/>
      <c r="V1013" s="94"/>
      <c r="W1013" s="94"/>
      <c r="X1013" s="94"/>
      <c r="Y1013" s="94"/>
      <c r="Z1013" s="94"/>
      <c r="AA1013" s="94"/>
      <c r="AB1013" s="94"/>
      <c r="AC1013" s="94"/>
      <c r="AD1013" s="94"/>
      <c r="AE1013" s="94"/>
      <c r="AF1013" s="94"/>
      <c r="AG1013" s="94"/>
    </row>
    <row r="1014">
      <c r="A1014" s="96"/>
      <c r="B1014" s="95" t="str">
        <f>IFERROR(__xludf.DUMMYFUNCTION("""COMPUTED_VALUE"""),"#VALUE!")</f>
        <v>#VALUE!</v>
      </c>
      <c r="C1014" s="94"/>
      <c r="D1014" s="94"/>
      <c r="E1014" s="94"/>
      <c r="F1014" s="94"/>
      <c r="G1014" s="94"/>
      <c r="H1014" s="94"/>
      <c r="I1014" s="94"/>
      <c r="J1014" s="94"/>
      <c r="K1014" s="94"/>
      <c r="L1014" s="94"/>
      <c r="M1014" s="94"/>
      <c r="N1014" s="94"/>
      <c r="O1014" s="94"/>
      <c r="P1014" s="94"/>
      <c r="Q1014" s="94"/>
      <c r="R1014" s="94"/>
      <c r="S1014" s="94"/>
      <c r="T1014" s="94"/>
      <c r="U1014" s="94"/>
      <c r="V1014" s="94"/>
      <c r="W1014" s="94"/>
      <c r="X1014" s="94"/>
      <c r="Y1014" s="94"/>
      <c r="Z1014" s="94"/>
      <c r="AA1014" s="94"/>
      <c r="AB1014" s="94"/>
      <c r="AC1014" s="94"/>
      <c r="AD1014" s="94"/>
      <c r="AE1014" s="94"/>
      <c r="AF1014" s="94"/>
      <c r="AG1014" s="94"/>
    </row>
    <row r="1015">
      <c r="A1015" s="96"/>
      <c r="B1015" s="95" t="str">
        <f>IFERROR(__xludf.DUMMYFUNCTION("""COMPUTED_VALUE"""),"#VALUE!")</f>
        <v>#VALUE!</v>
      </c>
      <c r="C1015" s="94"/>
      <c r="D1015" s="94"/>
      <c r="E1015" s="94"/>
      <c r="F1015" s="94"/>
      <c r="G1015" s="94"/>
      <c r="H1015" s="94"/>
      <c r="I1015" s="94"/>
      <c r="J1015" s="94"/>
      <c r="K1015" s="94"/>
      <c r="L1015" s="94"/>
      <c r="M1015" s="94"/>
      <c r="N1015" s="94"/>
      <c r="O1015" s="94"/>
      <c r="P1015" s="94"/>
      <c r="Q1015" s="94"/>
      <c r="R1015" s="94"/>
      <c r="S1015" s="94"/>
      <c r="T1015" s="94"/>
      <c r="U1015" s="94"/>
      <c r="V1015" s="94"/>
      <c r="W1015" s="94"/>
      <c r="X1015" s="94"/>
      <c r="Y1015" s="94"/>
      <c r="Z1015" s="94"/>
      <c r="AA1015" s="94"/>
      <c r="AB1015" s="94"/>
      <c r="AC1015" s="94"/>
      <c r="AD1015" s="94"/>
      <c r="AE1015" s="94"/>
      <c r="AF1015" s="94"/>
      <c r="AG1015" s="94"/>
    </row>
    <row r="1016">
      <c r="A1016" s="96"/>
      <c r="B1016" s="95" t="str">
        <f>IFERROR(__xludf.DUMMYFUNCTION("""COMPUTED_VALUE"""),"#VALUE!")</f>
        <v>#VALUE!</v>
      </c>
      <c r="C1016" s="94"/>
      <c r="D1016" s="94"/>
      <c r="E1016" s="94"/>
      <c r="F1016" s="94"/>
      <c r="G1016" s="94"/>
      <c r="H1016" s="94"/>
      <c r="I1016" s="94"/>
      <c r="J1016" s="94"/>
      <c r="K1016" s="94"/>
      <c r="L1016" s="94"/>
      <c r="M1016" s="94"/>
      <c r="N1016" s="94"/>
      <c r="O1016" s="94"/>
      <c r="P1016" s="94"/>
      <c r="Q1016" s="94"/>
      <c r="R1016" s="94"/>
      <c r="S1016" s="94"/>
      <c r="T1016" s="94"/>
      <c r="U1016" s="94"/>
      <c r="V1016" s="94"/>
      <c r="W1016" s="94"/>
      <c r="X1016" s="94"/>
      <c r="Y1016" s="94"/>
      <c r="Z1016" s="94"/>
      <c r="AA1016" s="94"/>
      <c r="AB1016" s="94"/>
      <c r="AC1016" s="94"/>
      <c r="AD1016" s="94"/>
      <c r="AE1016" s="94"/>
      <c r="AF1016" s="94"/>
      <c r="AG1016" s="94"/>
    </row>
    <row r="1017">
      <c r="A1017" s="96"/>
      <c r="B1017" s="95" t="str">
        <f>IFERROR(__xludf.DUMMYFUNCTION("""COMPUTED_VALUE"""),"#VALUE!")</f>
        <v>#VALUE!</v>
      </c>
      <c r="C1017" s="94"/>
      <c r="D1017" s="94"/>
      <c r="E1017" s="94"/>
      <c r="F1017" s="94"/>
      <c r="G1017" s="94"/>
      <c r="H1017" s="94"/>
      <c r="I1017" s="94"/>
      <c r="J1017" s="94"/>
      <c r="K1017" s="94"/>
      <c r="L1017" s="94"/>
      <c r="M1017" s="94"/>
      <c r="N1017" s="94"/>
      <c r="O1017" s="94"/>
      <c r="P1017" s="94"/>
      <c r="Q1017" s="94"/>
      <c r="R1017" s="94"/>
      <c r="S1017" s="94"/>
      <c r="T1017" s="94"/>
      <c r="U1017" s="94"/>
      <c r="V1017" s="94"/>
      <c r="W1017" s="94"/>
      <c r="X1017" s="94"/>
      <c r="Y1017" s="94"/>
      <c r="Z1017" s="94"/>
      <c r="AA1017" s="94"/>
      <c r="AB1017" s="94"/>
      <c r="AC1017" s="94"/>
      <c r="AD1017" s="94"/>
      <c r="AE1017" s="94"/>
      <c r="AF1017" s="94"/>
      <c r="AG1017" s="94"/>
    </row>
    <row r="1018">
      <c r="A1018" s="96"/>
      <c r="B1018" s="95" t="str">
        <f>IFERROR(__xludf.DUMMYFUNCTION("""COMPUTED_VALUE"""),"#VALUE!")</f>
        <v>#VALUE!</v>
      </c>
      <c r="C1018" s="94"/>
      <c r="D1018" s="94"/>
      <c r="E1018" s="94"/>
      <c r="F1018" s="94"/>
      <c r="G1018" s="94"/>
      <c r="H1018" s="94"/>
      <c r="I1018" s="94"/>
      <c r="J1018" s="94"/>
      <c r="K1018" s="94"/>
      <c r="L1018" s="94"/>
      <c r="M1018" s="94"/>
      <c r="N1018" s="94"/>
      <c r="O1018" s="94"/>
      <c r="P1018" s="94"/>
      <c r="Q1018" s="94"/>
      <c r="R1018" s="94"/>
      <c r="S1018" s="94"/>
      <c r="T1018" s="94"/>
      <c r="U1018" s="94"/>
      <c r="V1018" s="94"/>
      <c r="W1018" s="94"/>
      <c r="X1018" s="94"/>
      <c r="Y1018" s="94"/>
      <c r="Z1018" s="94"/>
      <c r="AA1018" s="94"/>
      <c r="AB1018" s="94"/>
      <c r="AC1018" s="94"/>
      <c r="AD1018" s="94"/>
      <c r="AE1018" s="94"/>
      <c r="AF1018" s="94"/>
      <c r="AG1018" s="94"/>
    </row>
    <row r="1019">
      <c r="A1019" s="96"/>
      <c r="B1019" s="95" t="str">
        <f>IFERROR(__xludf.DUMMYFUNCTION("""COMPUTED_VALUE"""),"#VALUE!")</f>
        <v>#VALUE!</v>
      </c>
      <c r="C1019" s="94"/>
      <c r="D1019" s="94"/>
      <c r="E1019" s="94"/>
      <c r="F1019" s="94"/>
      <c r="G1019" s="94"/>
      <c r="H1019" s="94"/>
      <c r="I1019" s="94"/>
      <c r="J1019" s="94"/>
      <c r="K1019" s="94"/>
      <c r="L1019" s="94"/>
      <c r="M1019" s="94"/>
      <c r="N1019" s="94"/>
      <c r="O1019" s="94"/>
      <c r="P1019" s="94"/>
      <c r="Q1019" s="94"/>
      <c r="R1019" s="94"/>
      <c r="S1019" s="94"/>
      <c r="T1019" s="94"/>
      <c r="U1019" s="94"/>
      <c r="V1019" s="94"/>
      <c r="W1019" s="94"/>
      <c r="X1019" s="94"/>
      <c r="Y1019" s="94"/>
      <c r="Z1019" s="94"/>
      <c r="AA1019" s="94"/>
      <c r="AB1019" s="94"/>
      <c r="AC1019" s="94"/>
      <c r="AD1019" s="94"/>
      <c r="AE1019" s="94"/>
      <c r="AF1019" s="94"/>
      <c r="AG1019" s="94"/>
    </row>
    <row r="1020">
      <c r="A1020" s="96"/>
      <c r="B1020" s="95" t="str">
        <f>IFERROR(__xludf.DUMMYFUNCTION("""COMPUTED_VALUE"""),"#VALUE!")</f>
        <v>#VALUE!</v>
      </c>
      <c r="C1020" s="94"/>
      <c r="D1020" s="94"/>
      <c r="E1020" s="94"/>
      <c r="F1020" s="94"/>
      <c r="G1020" s="94"/>
      <c r="H1020" s="94"/>
      <c r="I1020" s="94"/>
      <c r="J1020" s="94"/>
      <c r="K1020" s="94"/>
      <c r="L1020" s="94"/>
      <c r="M1020" s="94"/>
      <c r="N1020" s="94"/>
      <c r="O1020" s="94"/>
      <c r="P1020" s="94"/>
      <c r="Q1020" s="94"/>
      <c r="R1020" s="94"/>
      <c r="S1020" s="94"/>
      <c r="T1020" s="94"/>
      <c r="U1020" s="94"/>
      <c r="V1020" s="94"/>
      <c r="W1020" s="94"/>
      <c r="X1020" s="94"/>
      <c r="Y1020" s="94"/>
      <c r="Z1020" s="94"/>
      <c r="AA1020" s="94"/>
      <c r="AB1020" s="94"/>
      <c r="AC1020" s="94"/>
      <c r="AD1020" s="94"/>
      <c r="AE1020" s="94"/>
      <c r="AF1020" s="94"/>
      <c r="AG1020" s="94"/>
    </row>
    <row r="1021">
      <c r="A1021" s="96"/>
      <c r="B1021" s="95" t="str">
        <f>IFERROR(__xludf.DUMMYFUNCTION("""COMPUTED_VALUE"""),"#VALUE!")</f>
        <v>#VALUE!</v>
      </c>
      <c r="C1021" s="94"/>
      <c r="D1021" s="94"/>
      <c r="E1021" s="94"/>
      <c r="F1021" s="94"/>
      <c r="G1021" s="94"/>
      <c r="H1021" s="94"/>
      <c r="I1021" s="94"/>
      <c r="J1021" s="94"/>
      <c r="K1021" s="94"/>
      <c r="L1021" s="94"/>
      <c r="M1021" s="94"/>
      <c r="N1021" s="94"/>
      <c r="O1021" s="94"/>
      <c r="P1021" s="94"/>
      <c r="Q1021" s="94"/>
      <c r="R1021" s="94"/>
      <c r="S1021" s="94"/>
      <c r="T1021" s="94"/>
      <c r="U1021" s="94"/>
      <c r="V1021" s="94"/>
      <c r="W1021" s="94"/>
      <c r="X1021" s="94"/>
      <c r="Y1021" s="94"/>
      <c r="Z1021" s="94"/>
      <c r="AA1021" s="94"/>
      <c r="AB1021" s="94"/>
      <c r="AC1021" s="94"/>
      <c r="AD1021" s="94"/>
      <c r="AE1021" s="94"/>
      <c r="AF1021" s="94"/>
      <c r="AG1021" s="94"/>
    </row>
    <row r="1022">
      <c r="A1022" s="96"/>
      <c r="B1022" s="95" t="str">
        <f>IFERROR(__xludf.DUMMYFUNCTION("""COMPUTED_VALUE"""),"#VALUE!")</f>
        <v>#VALUE!</v>
      </c>
      <c r="C1022" s="94"/>
      <c r="D1022" s="94"/>
      <c r="E1022" s="94"/>
      <c r="F1022" s="94"/>
      <c r="G1022" s="94"/>
      <c r="H1022" s="94"/>
      <c r="I1022" s="94"/>
      <c r="J1022" s="94"/>
      <c r="K1022" s="94"/>
      <c r="L1022" s="94"/>
      <c r="M1022" s="94"/>
      <c r="N1022" s="94"/>
      <c r="O1022" s="94"/>
      <c r="P1022" s="94"/>
      <c r="Q1022" s="94"/>
      <c r="R1022" s="94"/>
      <c r="S1022" s="94"/>
      <c r="T1022" s="94"/>
      <c r="U1022" s="94"/>
      <c r="V1022" s="94"/>
      <c r="W1022" s="94"/>
      <c r="X1022" s="94"/>
      <c r="Y1022" s="94"/>
      <c r="Z1022" s="94"/>
      <c r="AA1022" s="94"/>
      <c r="AB1022" s="94"/>
      <c r="AC1022" s="94"/>
      <c r="AD1022" s="94"/>
      <c r="AE1022" s="94"/>
      <c r="AF1022" s="94"/>
      <c r="AG1022" s="94"/>
    </row>
    <row r="1023">
      <c r="A1023" s="96"/>
      <c r="B1023" s="95" t="str">
        <f>IFERROR(__xludf.DUMMYFUNCTION("""COMPUTED_VALUE"""),"#VALUE!")</f>
        <v>#VALUE!</v>
      </c>
      <c r="C1023" s="94"/>
      <c r="D1023" s="94"/>
      <c r="E1023" s="94"/>
      <c r="F1023" s="94"/>
      <c r="G1023" s="94"/>
      <c r="H1023" s="94"/>
      <c r="I1023" s="94"/>
      <c r="J1023" s="94"/>
      <c r="K1023" s="94"/>
      <c r="L1023" s="94"/>
      <c r="M1023" s="94"/>
      <c r="N1023" s="94"/>
      <c r="O1023" s="94"/>
      <c r="P1023" s="94"/>
      <c r="Q1023" s="94"/>
      <c r="R1023" s="94"/>
      <c r="S1023" s="94"/>
      <c r="T1023" s="94"/>
      <c r="U1023" s="94"/>
      <c r="V1023" s="94"/>
      <c r="W1023" s="94"/>
      <c r="X1023" s="94"/>
      <c r="Y1023" s="94"/>
      <c r="Z1023" s="94"/>
      <c r="AA1023" s="94"/>
      <c r="AB1023" s="94"/>
      <c r="AC1023" s="94"/>
      <c r="AD1023" s="94"/>
      <c r="AE1023" s="94"/>
      <c r="AF1023" s="94"/>
      <c r="AG1023" s="94"/>
    </row>
    <row r="1024">
      <c r="A1024" s="96"/>
      <c r="B1024" s="95" t="str">
        <f>IFERROR(__xludf.DUMMYFUNCTION("""COMPUTED_VALUE"""),"#VALUE!")</f>
        <v>#VALUE!</v>
      </c>
      <c r="C1024" s="94"/>
      <c r="D1024" s="94"/>
      <c r="E1024" s="94"/>
      <c r="F1024" s="94"/>
      <c r="G1024" s="94"/>
      <c r="H1024" s="94"/>
      <c r="I1024" s="94"/>
      <c r="J1024" s="94"/>
      <c r="K1024" s="94"/>
      <c r="L1024" s="94"/>
      <c r="M1024" s="94"/>
      <c r="N1024" s="94"/>
      <c r="O1024" s="94"/>
      <c r="P1024" s="94"/>
      <c r="Q1024" s="94"/>
      <c r="R1024" s="94"/>
      <c r="S1024" s="94"/>
      <c r="T1024" s="94"/>
      <c r="U1024" s="94"/>
      <c r="V1024" s="94"/>
      <c r="W1024" s="94"/>
      <c r="X1024" s="94"/>
      <c r="Y1024" s="94"/>
      <c r="Z1024" s="94"/>
      <c r="AA1024" s="94"/>
      <c r="AB1024" s="94"/>
      <c r="AC1024" s="94"/>
      <c r="AD1024" s="94"/>
      <c r="AE1024" s="94"/>
      <c r="AF1024" s="94"/>
      <c r="AG1024" s="94"/>
    </row>
    <row r="1025">
      <c r="A1025" s="96"/>
      <c r="B1025" s="95" t="str">
        <f>IFERROR(__xludf.DUMMYFUNCTION("""COMPUTED_VALUE"""),"#VALUE!")</f>
        <v>#VALUE!</v>
      </c>
      <c r="C1025" s="94"/>
      <c r="D1025" s="94"/>
      <c r="E1025" s="94"/>
      <c r="F1025" s="94"/>
      <c r="G1025" s="94"/>
      <c r="H1025" s="94"/>
      <c r="I1025" s="94"/>
      <c r="J1025" s="94"/>
      <c r="K1025" s="94"/>
      <c r="L1025" s="94"/>
      <c r="M1025" s="94"/>
      <c r="N1025" s="94"/>
      <c r="O1025" s="94"/>
      <c r="P1025" s="94"/>
      <c r="Q1025" s="94"/>
      <c r="R1025" s="94"/>
      <c r="S1025" s="94"/>
      <c r="T1025" s="94"/>
      <c r="U1025" s="94"/>
      <c r="V1025" s="94"/>
      <c r="W1025" s="94"/>
      <c r="X1025" s="94"/>
      <c r="Y1025" s="94"/>
      <c r="Z1025" s="94"/>
      <c r="AA1025" s="94"/>
      <c r="AB1025" s="94"/>
      <c r="AC1025" s="94"/>
      <c r="AD1025" s="94"/>
      <c r="AE1025" s="94"/>
      <c r="AF1025" s="94"/>
      <c r="AG1025" s="94"/>
    </row>
    <row r="1026">
      <c r="A1026" s="96"/>
      <c r="B1026" s="95" t="str">
        <f>IFERROR(__xludf.DUMMYFUNCTION("""COMPUTED_VALUE"""),"#VALUE!")</f>
        <v>#VALUE!</v>
      </c>
      <c r="C1026" s="94"/>
      <c r="D1026" s="94"/>
      <c r="E1026" s="94"/>
      <c r="F1026" s="94"/>
      <c r="G1026" s="94"/>
      <c r="H1026" s="94"/>
      <c r="I1026" s="94"/>
      <c r="J1026" s="94"/>
      <c r="K1026" s="94"/>
      <c r="L1026" s="94"/>
      <c r="M1026" s="94"/>
      <c r="N1026" s="94"/>
      <c r="O1026" s="94"/>
      <c r="P1026" s="94"/>
      <c r="Q1026" s="94"/>
      <c r="R1026" s="94"/>
      <c r="S1026" s="94"/>
      <c r="T1026" s="94"/>
      <c r="U1026" s="94"/>
      <c r="V1026" s="94"/>
      <c r="W1026" s="94"/>
      <c r="X1026" s="94"/>
      <c r="Y1026" s="94"/>
      <c r="Z1026" s="94"/>
      <c r="AA1026" s="94"/>
      <c r="AB1026" s="94"/>
      <c r="AC1026" s="94"/>
      <c r="AD1026" s="94"/>
      <c r="AE1026" s="94"/>
      <c r="AF1026" s="94"/>
      <c r="AG1026" s="94"/>
    </row>
    <row r="1027">
      <c r="A1027" s="96"/>
      <c r="B1027" s="95" t="str">
        <f>IFERROR(__xludf.DUMMYFUNCTION("""COMPUTED_VALUE"""),"#VALUE!")</f>
        <v>#VALUE!</v>
      </c>
      <c r="C1027" s="94"/>
      <c r="D1027" s="94"/>
      <c r="E1027" s="94"/>
      <c r="F1027" s="94"/>
      <c r="G1027" s="94"/>
      <c r="H1027" s="94"/>
      <c r="I1027" s="94"/>
      <c r="J1027" s="94"/>
      <c r="K1027" s="94"/>
      <c r="L1027" s="94"/>
      <c r="M1027" s="94"/>
      <c r="N1027" s="94"/>
      <c r="O1027" s="94"/>
      <c r="P1027" s="94"/>
      <c r="Q1027" s="94"/>
      <c r="R1027" s="94"/>
      <c r="S1027" s="94"/>
      <c r="T1027" s="94"/>
      <c r="U1027" s="94"/>
      <c r="V1027" s="94"/>
      <c r="W1027" s="94"/>
      <c r="X1027" s="94"/>
      <c r="Y1027" s="94"/>
      <c r="Z1027" s="94"/>
      <c r="AA1027" s="94"/>
      <c r="AB1027" s="94"/>
      <c r="AC1027" s="94"/>
      <c r="AD1027" s="94"/>
      <c r="AE1027" s="94"/>
      <c r="AF1027" s="94"/>
      <c r="AG1027" s="94"/>
    </row>
    <row r="1028">
      <c r="A1028" s="96"/>
      <c r="B1028" s="95" t="str">
        <f>IFERROR(__xludf.DUMMYFUNCTION("""COMPUTED_VALUE"""),"#VALUE!")</f>
        <v>#VALUE!</v>
      </c>
      <c r="C1028" s="94"/>
      <c r="D1028" s="94"/>
      <c r="E1028" s="94"/>
      <c r="F1028" s="94"/>
      <c r="G1028" s="94"/>
      <c r="H1028" s="94"/>
      <c r="I1028" s="94"/>
      <c r="J1028" s="94"/>
      <c r="K1028" s="94"/>
      <c r="L1028" s="94"/>
      <c r="M1028" s="94"/>
      <c r="N1028" s="94"/>
      <c r="O1028" s="94"/>
      <c r="P1028" s="94"/>
      <c r="Q1028" s="94"/>
      <c r="R1028" s="94"/>
      <c r="S1028" s="94"/>
      <c r="T1028" s="94"/>
      <c r="U1028" s="94"/>
      <c r="V1028" s="94"/>
      <c r="W1028" s="94"/>
      <c r="X1028" s="94"/>
      <c r="Y1028" s="94"/>
      <c r="Z1028" s="94"/>
      <c r="AA1028" s="94"/>
      <c r="AB1028" s="94"/>
      <c r="AC1028" s="94"/>
      <c r="AD1028" s="94"/>
      <c r="AE1028" s="94"/>
      <c r="AF1028" s="94"/>
      <c r="AG1028" s="94"/>
    </row>
    <row r="1029">
      <c r="A1029" s="96"/>
      <c r="B1029" s="95" t="str">
        <f>IFERROR(__xludf.DUMMYFUNCTION("""COMPUTED_VALUE"""),"#VALUE!")</f>
        <v>#VALUE!</v>
      </c>
      <c r="C1029" s="94"/>
      <c r="D1029" s="94"/>
      <c r="E1029" s="94"/>
      <c r="F1029" s="94"/>
      <c r="G1029" s="94"/>
      <c r="H1029" s="94"/>
      <c r="I1029" s="94"/>
      <c r="J1029" s="94"/>
      <c r="K1029" s="94"/>
      <c r="L1029" s="94"/>
      <c r="M1029" s="94"/>
      <c r="N1029" s="94"/>
      <c r="O1029" s="94"/>
      <c r="P1029" s="94"/>
      <c r="Q1029" s="94"/>
      <c r="R1029" s="94"/>
      <c r="S1029" s="94"/>
      <c r="T1029" s="94"/>
      <c r="U1029" s="94"/>
      <c r="V1029" s="94"/>
      <c r="W1029" s="94"/>
      <c r="X1029" s="94"/>
      <c r="Y1029" s="94"/>
      <c r="Z1029" s="94"/>
      <c r="AA1029" s="94"/>
      <c r="AB1029" s="94"/>
      <c r="AC1029" s="94"/>
      <c r="AD1029" s="94"/>
      <c r="AE1029" s="94"/>
      <c r="AF1029" s="94"/>
      <c r="AG1029" s="94"/>
    </row>
    <row r="1030">
      <c r="A1030" s="96"/>
      <c r="B1030" s="95" t="str">
        <f>IFERROR(__xludf.DUMMYFUNCTION("""COMPUTED_VALUE"""),"#VALUE!")</f>
        <v>#VALUE!</v>
      </c>
      <c r="C1030" s="94"/>
      <c r="D1030" s="94"/>
      <c r="E1030" s="94"/>
      <c r="F1030" s="94"/>
      <c r="G1030" s="94"/>
      <c r="H1030" s="94"/>
      <c r="I1030" s="94"/>
      <c r="J1030" s="94"/>
      <c r="K1030" s="94"/>
      <c r="L1030" s="94"/>
      <c r="M1030" s="94"/>
      <c r="N1030" s="94"/>
      <c r="O1030" s="94"/>
      <c r="P1030" s="94"/>
      <c r="Q1030" s="94"/>
      <c r="R1030" s="94"/>
      <c r="S1030" s="94"/>
      <c r="T1030" s="94"/>
      <c r="U1030" s="94"/>
      <c r="V1030" s="94"/>
      <c r="W1030" s="94"/>
      <c r="X1030" s="94"/>
      <c r="Y1030" s="94"/>
      <c r="Z1030" s="94"/>
      <c r="AA1030" s="94"/>
      <c r="AB1030" s="94"/>
      <c r="AC1030" s="94"/>
      <c r="AD1030" s="94"/>
      <c r="AE1030" s="94"/>
      <c r="AF1030" s="94"/>
      <c r="AG1030" s="94"/>
    </row>
    <row r="1031">
      <c r="A1031" s="96"/>
      <c r="B1031" s="95" t="str">
        <f>IFERROR(__xludf.DUMMYFUNCTION("""COMPUTED_VALUE"""),"#VALUE!")</f>
        <v>#VALUE!</v>
      </c>
      <c r="C1031" s="94"/>
      <c r="D1031" s="94"/>
      <c r="E1031" s="94"/>
      <c r="F1031" s="94"/>
      <c r="G1031" s="94"/>
      <c r="H1031" s="94"/>
      <c r="I1031" s="94"/>
      <c r="J1031" s="94"/>
      <c r="K1031" s="94"/>
      <c r="L1031" s="94"/>
      <c r="M1031" s="94"/>
      <c r="N1031" s="94"/>
      <c r="O1031" s="94"/>
      <c r="P1031" s="94"/>
      <c r="Q1031" s="94"/>
      <c r="R1031" s="94"/>
      <c r="S1031" s="94"/>
      <c r="T1031" s="94"/>
      <c r="U1031" s="94"/>
      <c r="V1031" s="94"/>
      <c r="W1031" s="94"/>
      <c r="X1031" s="94"/>
      <c r="Y1031" s="94"/>
      <c r="Z1031" s="94"/>
      <c r="AA1031" s="94"/>
      <c r="AB1031" s="94"/>
      <c r="AC1031" s="94"/>
      <c r="AD1031" s="94"/>
      <c r="AE1031" s="94"/>
      <c r="AF1031" s="94"/>
      <c r="AG1031" s="94"/>
    </row>
    <row r="1032">
      <c r="A1032" s="96"/>
      <c r="B1032" s="95" t="str">
        <f>IFERROR(__xludf.DUMMYFUNCTION("""COMPUTED_VALUE"""),"#VALUE!")</f>
        <v>#VALUE!</v>
      </c>
      <c r="C1032" s="94"/>
      <c r="D1032" s="94"/>
      <c r="E1032" s="94"/>
      <c r="F1032" s="94"/>
      <c r="G1032" s="94"/>
      <c r="H1032" s="94"/>
      <c r="I1032" s="94"/>
      <c r="J1032" s="94"/>
      <c r="K1032" s="94"/>
      <c r="L1032" s="94"/>
      <c r="M1032" s="94"/>
      <c r="N1032" s="94"/>
      <c r="O1032" s="94"/>
      <c r="P1032" s="94"/>
      <c r="Q1032" s="94"/>
      <c r="R1032" s="94"/>
      <c r="S1032" s="94"/>
      <c r="T1032" s="94"/>
      <c r="U1032" s="94"/>
      <c r="V1032" s="94"/>
      <c r="W1032" s="94"/>
      <c r="X1032" s="94"/>
      <c r="Y1032" s="94"/>
      <c r="Z1032" s="94"/>
      <c r="AA1032" s="94"/>
      <c r="AB1032" s="94"/>
      <c r="AC1032" s="94"/>
      <c r="AD1032" s="94"/>
      <c r="AE1032" s="94"/>
      <c r="AF1032" s="94"/>
      <c r="AG1032" s="94"/>
    </row>
    <row r="1033">
      <c r="A1033" s="96"/>
      <c r="B1033" s="95" t="str">
        <f>IFERROR(__xludf.DUMMYFUNCTION("""COMPUTED_VALUE"""),"#VALUE!")</f>
        <v>#VALUE!</v>
      </c>
      <c r="C1033" s="94"/>
      <c r="D1033" s="94"/>
      <c r="E1033" s="94"/>
      <c r="F1033" s="94"/>
      <c r="G1033" s="94"/>
      <c r="H1033" s="94"/>
      <c r="I1033" s="94"/>
      <c r="J1033" s="94"/>
      <c r="K1033" s="94"/>
      <c r="L1033" s="94"/>
      <c r="M1033" s="94"/>
      <c r="N1033" s="94"/>
      <c r="O1033" s="94"/>
      <c r="P1033" s="94"/>
      <c r="Q1033" s="94"/>
      <c r="R1033" s="94"/>
      <c r="S1033" s="94"/>
      <c r="T1033" s="94"/>
      <c r="U1033" s="94"/>
      <c r="V1033" s="94"/>
      <c r="W1033" s="94"/>
      <c r="X1033" s="94"/>
      <c r="Y1033" s="94"/>
      <c r="Z1033" s="94"/>
      <c r="AA1033" s="94"/>
      <c r="AB1033" s="94"/>
      <c r="AC1033" s="94"/>
      <c r="AD1033" s="94"/>
      <c r="AE1033" s="94"/>
      <c r="AF1033" s="94"/>
      <c r="AG1033" s="94"/>
    </row>
    <row r="1034">
      <c r="A1034" s="96"/>
      <c r="B1034" s="95" t="str">
        <f>IFERROR(__xludf.DUMMYFUNCTION("""COMPUTED_VALUE"""),"#VALUE!")</f>
        <v>#VALUE!</v>
      </c>
      <c r="C1034" s="94"/>
      <c r="D1034" s="94"/>
      <c r="E1034" s="94"/>
      <c r="F1034" s="94"/>
      <c r="G1034" s="94"/>
      <c r="H1034" s="94"/>
      <c r="I1034" s="94"/>
      <c r="J1034" s="94"/>
      <c r="K1034" s="94"/>
      <c r="L1034" s="94"/>
      <c r="M1034" s="94"/>
      <c r="N1034" s="94"/>
      <c r="O1034" s="94"/>
      <c r="P1034" s="94"/>
      <c r="Q1034" s="94"/>
      <c r="R1034" s="94"/>
      <c r="S1034" s="94"/>
      <c r="T1034" s="94"/>
      <c r="U1034" s="94"/>
      <c r="V1034" s="94"/>
      <c r="W1034" s="94"/>
      <c r="X1034" s="94"/>
      <c r="Y1034" s="94"/>
      <c r="Z1034" s="94"/>
      <c r="AA1034" s="94"/>
      <c r="AB1034" s="94"/>
      <c r="AC1034" s="94"/>
      <c r="AD1034" s="94"/>
      <c r="AE1034" s="94"/>
      <c r="AF1034" s="94"/>
      <c r="AG1034" s="94"/>
    </row>
    <row r="1035">
      <c r="A1035" s="96"/>
      <c r="B1035" s="95" t="str">
        <f>IFERROR(__xludf.DUMMYFUNCTION("""COMPUTED_VALUE"""),"#VALUE!")</f>
        <v>#VALUE!</v>
      </c>
      <c r="C1035" s="94"/>
      <c r="D1035" s="94"/>
      <c r="E1035" s="94"/>
      <c r="F1035" s="94"/>
      <c r="G1035" s="94"/>
      <c r="H1035" s="94"/>
      <c r="I1035" s="94"/>
      <c r="J1035" s="94"/>
      <c r="K1035" s="94"/>
      <c r="L1035" s="94"/>
      <c r="M1035" s="94"/>
      <c r="N1035" s="94"/>
      <c r="O1035" s="94"/>
      <c r="P1035" s="94"/>
      <c r="Q1035" s="94"/>
      <c r="R1035" s="94"/>
      <c r="S1035" s="94"/>
      <c r="T1035" s="94"/>
      <c r="U1035" s="94"/>
      <c r="V1035" s="94"/>
      <c r="W1035" s="94"/>
      <c r="X1035" s="94"/>
      <c r="Y1035" s="94"/>
      <c r="Z1035" s="94"/>
      <c r="AA1035" s="94"/>
      <c r="AB1035" s="94"/>
      <c r="AC1035" s="94"/>
      <c r="AD1035" s="94"/>
      <c r="AE1035" s="94"/>
      <c r="AF1035" s="94"/>
      <c r="AG1035" s="94"/>
    </row>
    <row r="1036">
      <c r="A1036" s="96"/>
      <c r="B1036" s="95" t="str">
        <f>IFERROR(__xludf.DUMMYFUNCTION("""COMPUTED_VALUE"""),"#VALUE!")</f>
        <v>#VALUE!</v>
      </c>
      <c r="C1036" s="94"/>
      <c r="D1036" s="94"/>
      <c r="E1036" s="94"/>
      <c r="F1036" s="94"/>
      <c r="G1036" s="94"/>
      <c r="H1036" s="94"/>
      <c r="I1036" s="94"/>
      <c r="J1036" s="94"/>
      <c r="K1036" s="94"/>
      <c r="L1036" s="94"/>
      <c r="M1036" s="94"/>
      <c r="N1036" s="94"/>
      <c r="O1036" s="94"/>
      <c r="P1036" s="94"/>
      <c r="Q1036" s="94"/>
      <c r="R1036" s="94"/>
      <c r="S1036" s="94"/>
      <c r="T1036" s="94"/>
      <c r="U1036" s="94"/>
      <c r="V1036" s="94"/>
      <c r="W1036" s="94"/>
      <c r="X1036" s="94"/>
      <c r="Y1036" s="94"/>
      <c r="Z1036" s="94"/>
      <c r="AA1036" s="94"/>
      <c r="AB1036" s="94"/>
      <c r="AC1036" s="94"/>
      <c r="AD1036" s="94"/>
      <c r="AE1036" s="94"/>
      <c r="AF1036" s="94"/>
      <c r="AG1036" s="94"/>
    </row>
    <row r="1037">
      <c r="A1037" s="96"/>
      <c r="B1037" s="95" t="str">
        <f>IFERROR(__xludf.DUMMYFUNCTION("""COMPUTED_VALUE"""),"#VALUE!")</f>
        <v>#VALUE!</v>
      </c>
      <c r="C1037" s="94"/>
      <c r="D1037" s="94"/>
      <c r="E1037" s="94"/>
      <c r="F1037" s="94"/>
      <c r="G1037" s="94"/>
      <c r="H1037" s="94"/>
      <c r="I1037" s="94"/>
      <c r="J1037" s="94"/>
      <c r="K1037" s="94"/>
      <c r="L1037" s="94"/>
      <c r="M1037" s="94"/>
      <c r="N1037" s="94"/>
      <c r="O1037" s="94"/>
      <c r="P1037" s="94"/>
      <c r="Q1037" s="94"/>
      <c r="R1037" s="94"/>
      <c r="S1037" s="94"/>
      <c r="T1037" s="94"/>
      <c r="U1037" s="94"/>
      <c r="V1037" s="94"/>
      <c r="W1037" s="94"/>
      <c r="X1037" s="94"/>
      <c r="Y1037" s="94"/>
      <c r="Z1037" s="94"/>
      <c r="AA1037" s="94"/>
      <c r="AB1037" s="94"/>
      <c r="AC1037" s="94"/>
      <c r="AD1037" s="94"/>
      <c r="AE1037" s="94"/>
      <c r="AF1037" s="94"/>
      <c r="AG1037" s="94"/>
    </row>
    <row r="1038">
      <c r="A1038" s="96"/>
      <c r="B1038" s="95" t="str">
        <f>IFERROR(__xludf.DUMMYFUNCTION("""COMPUTED_VALUE"""),"#VALUE!")</f>
        <v>#VALUE!</v>
      </c>
      <c r="C1038" s="94"/>
      <c r="D1038" s="94"/>
      <c r="E1038" s="94"/>
      <c r="F1038" s="94"/>
      <c r="G1038" s="94"/>
      <c r="H1038" s="94"/>
      <c r="I1038" s="94"/>
      <c r="J1038" s="94"/>
      <c r="K1038" s="94"/>
      <c r="L1038" s="94"/>
      <c r="M1038" s="94"/>
      <c r="N1038" s="94"/>
      <c r="O1038" s="94"/>
      <c r="P1038" s="94"/>
      <c r="Q1038" s="94"/>
      <c r="R1038" s="94"/>
      <c r="S1038" s="94"/>
      <c r="T1038" s="94"/>
      <c r="U1038" s="94"/>
      <c r="V1038" s="94"/>
      <c r="W1038" s="94"/>
      <c r="X1038" s="94"/>
      <c r="Y1038" s="94"/>
      <c r="Z1038" s="94"/>
      <c r="AA1038" s="94"/>
      <c r="AB1038" s="94"/>
      <c r="AC1038" s="94"/>
      <c r="AD1038" s="94"/>
      <c r="AE1038" s="94"/>
      <c r="AF1038" s="94"/>
      <c r="AG1038" s="94"/>
    </row>
    <row r="1039">
      <c r="A1039" s="96"/>
      <c r="B1039" s="95" t="str">
        <f>IFERROR(__xludf.DUMMYFUNCTION("""COMPUTED_VALUE"""),"#VALUE!")</f>
        <v>#VALUE!</v>
      </c>
      <c r="C1039" s="94"/>
      <c r="D1039" s="94"/>
      <c r="E1039" s="94"/>
      <c r="F1039" s="94"/>
      <c r="G1039" s="94"/>
      <c r="H1039" s="94"/>
      <c r="I1039" s="94"/>
      <c r="J1039" s="94"/>
      <c r="K1039" s="94"/>
      <c r="L1039" s="94"/>
      <c r="M1039" s="94"/>
      <c r="N1039" s="94"/>
      <c r="O1039" s="94"/>
      <c r="P1039" s="94"/>
      <c r="Q1039" s="94"/>
      <c r="R1039" s="94"/>
      <c r="S1039" s="94"/>
      <c r="T1039" s="94"/>
      <c r="U1039" s="94"/>
      <c r="V1039" s="94"/>
      <c r="W1039" s="94"/>
      <c r="X1039" s="94"/>
      <c r="Y1039" s="94"/>
      <c r="Z1039" s="94"/>
      <c r="AA1039" s="94"/>
      <c r="AB1039" s="94"/>
      <c r="AC1039" s="94"/>
      <c r="AD1039" s="94"/>
      <c r="AE1039" s="94"/>
      <c r="AF1039" s="94"/>
      <c r="AG1039" s="94"/>
    </row>
    <row r="1040">
      <c r="A1040" s="96"/>
      <c r="B1040" s="95" t="str">
        <f>IFERROR(__xludf.DUMMYFUNCTION("""COMPUTED_VALUE"""),"#VALUE!")</f>
        <v>#VALUE!</v>
      </c>
      <c r="C1040" s="94"/>
      <c r="D1040" s="94"/>
      <c r="E1040" s="94"/>
      <c r="F1040" s="94"/>
      <c r="G1040" s="94"/>
      <c r="H1040" s="94"/>
      <c r="I1040" s="94"/>
      <c r="J1040" s="94"/>
      <c r="K1040" s="94"/>
      <c r="L1040" s="94"/>
      <c r="M1040" s="94"/>
      <c r="N1040" s="94"/>
      <c r="O1040" s="94"/>
      <c r="P1040" s="94"/>
      <c r="Q1040" s="94"/>
      <c r="R1040" s="94"/>
      <c r="S1040" s="94"/>
      <c r="T1040" s="94"/>
      <c r="U1040" s="94"/>
      <c r="V1040" s="94"/>
      <c r="W1040" s="94"/>
      <c r="X1040" s="94"/>
      <c r="Y1040" s="94"/>
      <c r="Z1040" s="94"/>
      <c r="AA1040" s="94"/>
      <c r="AB1040" s="94"/>
      <c r="AC1040" s="94"/>
      <c r="AD1040" s="94"/>
      <c r="AE1040" s="94"/>
      <c r="AF1040" s="94"/>
      <c r="AG1040" s="94"/>
    </row>
    <row r="1041">
      <c r="A1041" s="96"/>
      <c r="B1041" s="95" t="str">
        <f>IFERROR(__xludf.DUMMYFUNCTION("""COMPUTED_VALUE"""),"#VALUE!")</f>
        <v>#VALUE!</v>
      </c>
      <c r="C1041" s="94"/>
      <c r="D1041" s="94"/>
      <c r="E1041" s="94"/>
      <c r="F1041" s="94"/>
      <c r="G1041" s="94"/>
      <c r="H1041" s="94"/>
      <c r="I1041" s="94"/>
      <c r="J1041" s="94"/>
      <c r="K1041" s="94"/>
      <c r="L1041" s="94"/>
      <c r="M1041" s="94"/>
      <c r="N1041" s="94"/>
      <c r="O1041" s="94"/>
      <c r="P1041" s="94"/>
      <c r="Q1041" s="94"/>
      <c r="R1041" s="94"/>
      <c r="S1041" s="94"/>
      <c r="T1041" s="94"/>
      <c r="U1041" s="94"/>
      <c r="V1041" s="94"/>
      <c r="W1041" s="94"/>
      <c r="X1041" s="94"/>
      <c r="Y1041" s="94"/>
      <c r="Z1041" s="94"/>
      <c r="AA1041" s="94"/>
      <c r="AB1041" s="94"/>
      <c r="AC1041" s="94"/>
      <c r="AD1041" s="94"/>
      <c r="AE1041" s="94"/>
      <c r="AF1041" s="94"/>
      <c r="AG1041" s="94"/>
    </row>
    <row r="1042">
      <c r="A1042" s="96"/>
      <c r="B1042" s="95" t="str">
        <f>IFERROR(__xludf.DUMMYFUNCTION("""COMPUTED_VALUE"""),"#VALUE!")</f>
        <v>#VALUE!</v>
      </c>
      <c r="C1042" s="94"/>
      <c r="D1042" s="94"/>
      <c r="E1042" s="94"/>
      <c r="F1042" s="94"/>
      <c r="G1042" s="94"/>
      <c r="H1042" s="94"/>
      <c r="I1042" s="94"/>
      <c r="J1042" s="94"/>
      <c r="K1042" s="94"/>
      <c r="L1042" s="94"/>
      <c r="M1042" s="94"/>
      <c r="N1042" s="94"/>
      <c r="O1042" s="94"/>
      <c r="P1042" s="94"/>
      <c r="Q1042" s="94"/>
      <c r="R1042" s="94"/>
      <c r="S1042" s="94"/>
      <c r="T1042" s="94"/>
      <c r="U1042" s="94"/>
      <c r="V1042" s="94"/>
      <c r="W1042" s="94"/>
      <c r="X1042" s="94"/>
      <c r="Y1042" s="94"/>
      <c r="Z1042" s="94"/>
      <c r="AA1042" s="94"/>
      <c r="AB1042" s="94"/>
      <c r="AC1042" s="94"/>
      <c r="AD1042" s="94"/>
      <c r="AE1042" s="94"/>
      <c r="AF1042" s="94"/>
      <c r="AG1042" s="94"/>
    </row>
    <row r="1043">
      <c r="A1043" s="96"/>
      <c r="B1043" s="95" t="str">
        <f>IFERROR(__xludf.DUMMYFUNCTION("""COMPUTED_VALUE"""),"#VALUE!")</f>
        <v>#VALUE!</v>
      </c>
      <c r="C1043" s="94"/>
      <c r="D1043" s="94"/>
      <c r="E1043" s="94"/>
      <c r="F1043" s="94"/>
      <c r="G1043" s="94"/>
      <c r="H1043" s="94"/>
      <c r="I1043" s="94"/>
      <c r="J1043" s="94"/>
      <c r="K1043" s="94"/>
      <c r="L1043" s="94"/>
      <c r="M1043" s="94"/>
      <c r="N1043" s="94"/>
      <c r="O1043" s="94"/>
      <c r="P1043" s="94"/>
      <c r="Q1043" s="94"/>
      <c r="R1043" s="94"/>
      <c r="S1043" s="94"/>
      <c r="T1043" s="94"/>
      <c r="U1043" s="94"/>
      <c r="V1043" s="94"/>
      <c r="W1043" s="94"/>
      <c r="X1043" s="94"/>
      <c r="Y1043" s="94"/>
      <c r="Z1043" s="94"/>
      <c r="AA1043" s="94"/>
      <c r="AB1043" s="94"/>
      <c r="AC1043" s="94"/>
      <c r="AD1043" s="94"/>
      <c r="AE1043" s="94"/>
      <c r="AF1043" s="94"/>
      <c r="AG1043" s="94"/>
    </row>
    <row r="1044">
      <c r="A1044" s="96"/>
      <c r="B1044" s="95" t="str">
        <f>IFERROR(__xludf.DUMMYFUNCTION("""COMPUTED_VALUE"""),"#VALUE!")</f>
        <v>#VALUE!</v>
      </c>
      <c r="C1044" s="94"/>
      <c r="D1044" s="94"/>
      <c r="E1044" s="94"/>
      <c r="F1044" s="94"/>
      <c r="G1044" s="94"/>
      <c r="H1044" s="94"/>
      <c r="I1044" s="94"/>
      <c r="J1044" s="94"/>
      <c r="K1044" s="94"/>
      <c r="L1044" s="94"/>
      <c r="M1044" s="94"/>
      <c r="N1044" s="94"/>
      <c r="O1044" s="94"/>
      <c r="P1044" s="94"/>
      <c r="Q1044" s="94"/>
      <c r="R1044" s="94"/>
      <c r="S1044" s="94"/>
      <c r="T1044" s="94"/>
      <c r="U1044" s="94"/>
      <c r="V1044" s="94"/>
      <c r="W1044" s="94"/>
      <c r="X1044" s="94"/>
      <c r="Y1044" s="94"/>
      <c r="Z1044" s="94"/>
      <c r="AA1044" s="94"/>
      <c r="AB1044" s="94"/>
      <c r="AC1044" s="94"/>
      <c r="AD1044" s="94"/>
      <c r="AE1044" s="94"/>
      <c r="AF1044" s="94"/>
      <c r="AG1044" s="94"/>
    </row>
    <row r="1045">
      <c r="A1045" s="96"/>
      <c r="B1045" s="95" t="str">
        <f>IFERROR(__xludf.DUMMYFUNCTION("""COMPUTED_VALUE"""),"#VALUE!")</f>
        <v>#VALUE!</v>
      </c>
      <c r="C1045" s="94"/>
      <c r="D1045" s="94"/>
      <c r="E1045" s="94"/>
      <c r="F1045" s="94"/>
      <c r="G1045" s="94"/>
      <c r="H1045" s="94"/>
      <c r="I1045" s="94"/>
      <c r="J1045" s="94"/>
      <c r="K1045" s="94"/>
      <c r="L1045" s="94"/>
      <c r="M1045" s="94"/>
      <c r="N1045" s="94"/>
      <c r="O1045" s="94"/>
      <c r="P1045" s="94"/>
      <c r="Q1045" s="94"/>
      <c r="R1045" s="94"/>
      <c r="S1045" s="94"/>
      <c r="T1045" s="94"/>
      <c r="U1045" s="94"/>
      <c r="V1045" s="94"/>
      <c r="W1045" s="94"/>
      <c r="X1045" s="94"/>
      <c r="Y1045" s="94"/>
      <c r="Z1045" s="94"/>
      <c r="AA1045" s="94"/>
      <c r="AB1045" s="94"/>
      <c r="AC1045" s="94"/>
      <c r="AD1045" s="94"/>
      <c r="AE1045" s="94"/>
      <c r="AF1045" s="94"/>
      <c r="AG1045" s="94"/>
    </row>
    <row r="1046">
      <c r="A1046" s="96"/>
      <c r="B1046" s="95" t="str">
        <f>IFERROR(__xludf.DUMMYFUNCTION("""COMPUTED_VALUE"""),"#VALUE!")</f>
        <v>#VALUE!</v>
      </c>
      <c r="C1046" s="94"/>
      <c r="D1046" s="94"/>
      <c r="E1046" s="94"/>
      <c r="F1046" s="94"/>
      <c r="G1046" s="94"/>
      <c r="H1046" s="94"/>
      <c r="I1046" s="94"/>
      <c r="J1046" s="94"/>
      <c r="K1046" s="94"/>
      <c r="L1046" s="94"/>
      <c r="M1046" s="94"/>
      <c r="N1046" s="94"/>
      <c r="O1046" s="94"/>
      <c r="P1046" s="94"/>
      <c r="Q1046" s="94"/>
      <c r="R1046" s="94"/>
      <c r="S1046" s="94"/>
      <c r="T1046" s="94"/>
      <c r="U1046" s="94"/>
      <c r="V1046" s="94"/>
      <c r="W1046" s="94"/>
      <c r="X1046" s="94"/>
      <c r="Y1046" s="94"/>
      <c r="Z1046" s="94"/>
      <c r="AA1046" s="94"/>
      <c r="AB1046" s="94"/>
      <c r="AC1046" s="94"/>
      <c r="AD1046" s="94"/>
      <c r="AE1046" s="94"/>
      <c r="AF1046" s="94"/>
      <c r="AG1046" s="94"/>
    </row>
    <row r="1047">
      <c r="A1047" s="96"/>
      <c r="B1047" s="95" t="str">
        <f>IFERROR(__xludf.DUMMYFUNCTION("""COMPUTED_VALUE"""),"#VALUE!")</f>
        <v>#VALUE!</v>
      </c>
      <c r="C1047" s="94"/>
      <c r="D1047" s="94"/>
      <c r="E1047" s="94"/>
      <c r="F1047" s="94"/>
      <c r="G1047" s="94"/>
      <c r="H1047" s="94"/>
      <c r="I1047" s="94"/>
      <c r="J1047" s="94"/>
      <c r="K1047" s="94"/>
      <c r="L1047" s="94"/>
      <c r="M1047" s="94"/>
      <c r="N1047" s="94"/>
      <c r="O1047" s="94"/>
      <c r="P1047" s="94"/>
      <c r="Q1047" s="94"/>
      <c r="R1047" s="94"/>
      <c r="S1047" s="94"/>
      <c r="T1047" s="94"/>
      <c r="U1047" s="94"/>
      <c r="V1047" s="94"/>
      <c r="W1047" s="94"/>
      <c r="X1047" s="94"/>
      <c r="Y1047" s="94"/>
      <c r="Z1047" s="94"/>
      <c r="AA1047" s="94"/>
      <c r="AB1047" s="94"/>
      <c r="AC1047" s="94"/>
      <c r="AD1047" s="94"/>
      <c r="AE1047" s="94"/>
      <c r="AF1047" s="94"/>
      <c r="AG1047" s="94"/>
    </row>
    <row r="1048">
      <c r="A1048" s="96"/>
      <c r="B1048" s="95" t="str">
        <f>IFERROR(__xludf.DUMMYFUNCTION("""COMPUTED_VALUE"""),"#VALUE!")</f>
        <v>#VALUE!</v>
      </c>
      <c r="C1048" s="94"/>
      <c r="D1048" s="94"/>
      <c r="E1048" s="94"/>
      <c r="F1048" s="94"/>
      <c r="G1048" s="94"/>
      <c r="H1048" s="94"/>
      <c r="I1048" s="94"/>
      <c r="J1048" s="94"/>
      <c r="K1048" s="94"/>
      <c r="L1048" s="94"/>
      <c r="M1048" s="94"/>
      <c r="N1048" s="94"/>
      <c r="O1048" s="94"/>
      <c r="P1048" s="94"/>
      <c r="Q1048" s="94"/>
      <c r="R1048" s="94"/>
      <c r="S1048" s="94"/>
      <c r="T1048" s="94"/>
      <c r="U1048" s="94"/>
      <c r="V1048" s="94"/>
      <c r="W1048" s="94"/>
      <c r="X1048" s="94"/>
      <c r="Y1048" s="94"/>
      <c r="Z1048" s="94"/>
      <c r="AA1048" s="94"/>
      <c r="AB1048" s="94"/>
      <c r="AC1048" s="94"/>
      <c r="AD1048" s="94"/>
      <c r="AE1048" s="94"/>
      <c r="AF1048" s="94"/>
      <c r="AG1048" s="94"/>
    </row>
    <row r="1049">
      <c r="A1049" s="96"/>
      <c r="B1049" s="95" t="str">
        <f>IFERROR(__xludf.DUMMYFUNCTION("""COMPUTED_VALUE"""),"#VALUE!")</f>
        <v>#VALUE!</v>
      </c>
      <c r="C1049" s="94"/>
      <c r="D1049" s="94"/>
      <c r="E1049" s="94"/>
      <c r="F1049" s="94"/>
      <c r="G1049" s="94"/>
      <c r="H1049" s="94"/>
      <c r="I1049" s="94"/>
      <c r="J1049" s="94"/>
      <c r="K1049" s="94"/>
      <c r="L1049" s="94"/>
      <c r="M1049" s="94"/>
      <c r="N1049" s="94"/>
      <c r="O1049" s="94"/>
      <c r="P1049" s="94"/>
      <c r="Q1049" s="94"/>
      <c r="R1049" s="94"/>
      <c r="S1049" s="94"/>
      <c r="T1049" s="94"/>
      <c r="U1049" s="94"/>
      <c r="V1049" s="94"/>
      <c r="W1049" s="94"/>
      <c r="X1049" s="94"/>
      <c r="Y1049" s="94"/>
      <c r="Z1049" s="94"/>
      <c r="AA1049" s="94"/>
      <c r="AB1049" s="94"/>
      <c r="AC1049" s="94"/>
      <c r="AD1049" s="94"/>
      <c r="AE1049" s="94"/>
      <c r="AF1049" s="94"/>
      <c r="AG1049" s="94"/>
    </row>
    <row r="1050">
      <c r="A1050" s="96"/>
      <c r="B1050" s="95" t="str">
        <f>IFERROR(__xludf.DUMMYFUNCTION("""COMPUTED_VALUE"""),"#VALUE!")</f>
        <v>#VALUE!</v>
      </c>
      <c r="C1050" s="94"/>
      <c r="D1050" s="94"/>
      <c r="E1050" s="94"/>
      <c r="F1050" s="94"/>
      <c r="G1050" s="94"/>
      <c r="H1050" s="94"/>
      <c r="I1050" s="94"/>
      <c r="J1050" s="94"/>
      <c r="K1050" s="94"/>
      <c r="L1050" s="94"/>
      <c r="M1050" s="94"/>
      <c r="N1050" s="94"/>
      <c r="O1050" s="94"/>
      <c r="P1050" s="94"/>
      <c r="Q1050" s="94"/>
      <c r="R1050" s="94"/>
      <c r="S1050" s="94"/>
      <c r="T1050" s="94"/>
      <c r="U1050" s="94"/>
      <c r="V1050" s="94"/>
      <c r="W1050" s="94"/>
      <c r="X1050" s="94"/>
      <c r="Y1050" s="94"/>
      <c r="Z1050" s="94"/>
      <c r="AA1050" s="94"/>
      <c r="AB1050" s="94"/>
      <c r="AC1050" s="94"/>
      <c r="AD1050" s="94"/>
      <c r="AE1050" s="94"/>
      <c r="AF1050" s="94"/>
      <c r="AG1050" s="94"/>
    </row>
    <row r="1051">
      <c r="A1051" s="96"/>
      <c r="B1051" s="95" t="str">
        <f>IFERROR(__xludf.DUMMYFUNCTION("""COMPUTED_VALUE"""),"#VALUE!")</f>
        <v>#VALUE!</v>
      </c>
      <c r="C1051" s="94"/>
      <c r="D1051" s="94"/>
      <c r="E1051" s="94"/>
      <c r="F1051" s="94"/>
      <c r="G1051" s="94"/>
      <c r="H1051" s="94"/>
      <c r="I1051" s="94"/>
      <c r="J1051" s="94"/>
      <c r="K1051" s="94"/>
      <c r="L1051" s="94"/>
      <c r="M1051" s="94"/>
      <c r="N1051" s="94"/>
      <c r="O1051" s="94"/>
      <c r="P1051" s="94"/>
      <c r="Q1051" s="94"/>
      <c r="R1051" s="94"/>
      <c r="S1051" s="94"/>
      <c r="T1051" s="94"/>
      <c r="U1051" s="94"/>
      <c r="V1051" s="94"/>
      <c r="W1051" s="94"/>
      <c r="X1051" s="94"/>
      <c r="Y1051" s="94"/>
      <c r="Z1051" s="94"/>
      <c r="AA1051" s="94"/>
      <c r="AB1051" s="94"/>
      <c r="AC1051" s="94"/>
      <c r="AD1051" s="94"/>
      <c r="AE1051" s="94"/>
      <c r="AF1051" s="94"/>
      <c r="AG1051" s="94"/>
    </row>
    <row r="1052">
      <c r="A1052" s="96"/>
      <c r="B1052" s="95" t="str">
        <f>IFERROR(__xludf.DUMMYFUNCTION("""COMPUTED_VALUE"""),"#VALUE!")</f>
        <v>#VALUE!</v>
      </c>
      <c r="C1052" s="94"/>
      <c r="D1052" s="94"/>
      <c r="E1052" s="94"/>
      <c r="F1052" s="94"/>
      <c r="G1052" s="94"/>
      <c r="H1052" s="94"/>
      <c r="I1052" s="94"/>
      <c r="J1052" s="94"/>
      <c r="K1052" s="94"/>
      <c r="L1052" s="94"/>
      <c r="M1052" s="94"/>
      <c r="N1052" s="94"/>
      <c r="O1052" s="94"/>
      <c r="P1052" s="94"/>
      <c r="Q1052" s="94"/>
      <c r="R1052" s="94"/>
      <c r="S1052" s="94"/>
      <c r="T1052" s="94"/>
      <c r="U1052" s="94"/>
      <c r="V1052" s="94"/>
      <c r="W1052" s="94"/>
      <c r="X1052" s="94"/>
      <c r="Y1052" s="94"/>
      <c r="Z1052" s="94"/>
      <c r="AA1052" s="94"/>
      <c r="AB1052" s="94"/>
      <c r="AC1052" s="94"/>
      <c r="AD1052" s="94"/>
      <c r="AE1052" s="94"/>
      <c r="AF1052" s="94"/>
      <c r="AG1052" s="94"/>
    </row>
    <row r="1053">
      <c r="A1053" s="96"/>
      <c r="B1053" s="95" t="str">
        <f>IFERROR(__xludf.DUMMYFUNCTION("""COMPUTED_VALUE"""),"#VALUE!")</f>
        <v>#VALUE!</v>
      </c>
      <c r="C1053" s="94"/>
      <c r="D1053" s="94"/>
      <c r="E1053" s="94"/>
      <c r="F1053" s="94"/>
      <c r="G1053" s="94"/>
      <c r="H1053" s="94"/>
      <c r="I1053" s="94"/>
      <c r="J1053" s="94"/>
      <c r="K1053" s="94"/>
      <c r="L1053" s="94"/>
      <c r="M1053" s="94"/>
      <c r="N1053" s="94"/>
      <c r="O1053" s="94"/>
      <c r="P1053" s="94"/>
      <c r="Q1053" s="94"/>
      <c r="R1053" s="94"/>
      <c r="S1053" s="94"/>
      <c r="T1053" s="94"/>
      <c r="U1053" s="94"/>
      <c r="V1053" s="94"/>
      <c r="W1053" s="94"/>
      <c r="X1053" s="94"/>
      <c r="Y1053" s="94"/>
      <c r="Z1053" s="94"/>
      <c r="AA1053" s="94"/>
      <c r="AB1053" s="94"/>
      <c r="AC1053" s="94"/>
      <c r="AD1053" s="94"/>
      <c r="AE1053" s="94"/>
      <c r="AF1053" s="94"/>
      <c r="AG1053" s="94"/>
    </row>
    <row r="1054">
      <c r="A1054" s="96"/>
      <c r="B1054" s="95" t="str">
        <f>IFERROR(__xludf.DUMMYFUNCTION("""COMPUTED_VALUE"""),"#VALUE!")</f>
        <v>#VALUE!</v>
      </c>
      <c r="C1054" s="94"/>
      <c r="D1054" s="94"/>
      <c r="E1054" s="94"/>
      <c r="F1054" s="94"/>
      <c r="G1054" s="94"/>
      <c r="H1054" s="94"/>
      <c r="I1054" s="94"/>
      <c r="J1054" s="94"/>
      <c r="K1054" s="94"/>
      <c r="L1054" s="94"/>
      <c r="M1054" s="94"/>
      <c r="N1054" s="94"/>
      <c r="O1054" s="94"/>
      <c r="P1054" s="94"/>
      <c r="Q1054" s="94"/>
      <c r="R1054" s="94"/>
      <c r="S1054" s="94"/>
      <c r="T1054" s="94"/>
      <c r="U1054" s="94"/>
      <c r="V1054" s="94"/>
      <c r="W1054" s="94"/>
      <c r="X1054" s="94"/>
      <c r="Y1054" s="94"/>
      <c r="Z1054" s="94"/>
      <c r="AA1054" s="94"/>
      <c r="AB1054" s="94"/>
      <c r="AC1054" s="94"/>
      <c r="AD1054" s="94"/>
      <c r="AE1054" s="94"/>
      <c r="AF1054" s="94"/>
      <c r="AG1054" s="94"/>
    </row>
    <row r="1055">
      <c r="A1055" s="96"/>
      <c r="B1055" s="95" t="str">
        <f>IFERROR(__xludf.DUMMYFUNCTION("""COMPUTED_VALUE"""),"#VALUE!")</f>
        <v>#VALUE!</v>
      </c>
      <c r="C1055" s="94"/>
      <c r="D1055" s="94"/>
      <c r="E1055" s="94"/>
      <c r="F1055" s="94"/>
      <c r="G1055" s="94"/>
      <c r="H1055" s="94"/>
      <c r="I1055" s="94"/>
      <c r="J1055" s="94"/>
      <c r="K1055" s="94"/>
      <c r="L1055" s="94"/>
      <c r="M1055" s="94"/>
      <c r="N1055" s="94"/>
      <c r="O1055" s="94"/>
      <c r="P1055" s="94"/>
      <c r="Q1055" s="94"/>
      <c r="R1055" s="94"/>
      <c r="S1055" s="94"/>
      <c r="T1055" s="94"/>
      <c r="U1055" s="94"/>
      <c r="V1055" s="94"/>
      <c r="W1055" s="94"/>
      <c r="X1055" s="94"/>
      <c r="Y1055" s="94"/>
      <c r="Z1055" s="94"/>
      <c r="AA1055" s="94"/>
      <c r="AB1055" s="94"/>
      <c r="AC1055" s="94"/>
      <c r="AD1055" s="94"/>
      <c r="AE1055" s="94"/>
      <c r="AF1055" s="94"/>
      <c r="AG1055" s="94"/>
    </row>
    <row r="1056">
      <c r="A1056" s="96"/>
      <c r="B1056" s="95" t="str">
        <f>IFERROR(__xludf.DUMMYFUNCTION("""COMPUTED_VALUE"""),"#VALUE!")</f>
        <v>#VALUE!</v>
      </c>
      <c r="C1056" s="94"/>
      <c r="D1056" s="94"/>
      <c r="E1056" s="94"/>
      <c r="F1056" s="94"/>
      <c r="G1056" s="94"/>
      <c r="H1056" s="94"/>
      <c r="I1056" s="94"/>
      <c r="J1056" s="94"/>
      <c r="K1056" s="94"/>
      <c r="L1056" s="94"/>
      <c r="M1056" s="94"/>
      <c r="N1056" s="94"/>
      <c r="O1056" s="94"/>
      <c r="P1056" s="94"/>
      <c r="Q1056" s="94"/>
      <c r="R1056" s="94"/>
      <c r="S1056" s="94"/>
      <c r="T1056" s="94"/>
      <c r="U1056" s="94"/>
      <c r="V1056" s="94"/>
      <c r="W1056" s="94"/>
      <c r="X1056" s="94"/>
      <c r="Y1056" s="94"/>
      <c r="Z1056" s="94"/>
      <c r="AA1056" s="94"/>
      <c r="AB1056" s="94"/>
      <c r="AC1056" s="94"/>
      <c r="AD1056" s="94"/>
      <c r="AE1056" s="94"/>
      <c r="AF1056" s="94"/>
      <c r="AG1056" s="94"/>
    </row>
    <row r="1057">
      <c r="A1057" s="96"/>
      <c r="B1057" s="95" t="str">
        <f>IFERROR(__xludf.DUMMYFUNCTION("""COMPUTED_VALUE"""),"#VALUE!")</f>
        <v>#VALUE!</v>
      </c>
      <c r="C1057" s="94"/>
      <c r="D1057" s="94"/>
      <c r="E1057" s="94"/>
      <c r="F1057" s="94"/>
      <c r="G1057" s="94"/>
      <c r="H1057" s="94"/>
      <c r="I1057" s="94"/>
      <c r="J1057" s="94"/>
      <c r="K1057" s="94"/>
      <c r="L1057" s="94"/>
      <c r="M1057" s="94"/>
      <c r="N1057" s="94"/>
      <c r="O1057" s="94"/>
      <c r="P1057" s="94"/>
      <c r="Q1057" s="94"/>
      <c r="R1057" s="94"/>
      <c r="S1057" s="94"/>
      <c r="T1057" s="94"/>
      <c r="U1057" s="94"/>
      <c r="V1057" s="94"/>
      <c r="W1057" s="94"/>
      <c r="X1057" s="94"/>
      <c r="Y1057" s="94"/>
      <c r="Z1057" s="94"/>
      <c r="AA1057" s="94"/>
      <c r="AB1057" s="94"/>
      <c r="AC1057" s="94"/>
      <c r="AD1057" s="94"/>
      <c r="AE1057" s="94"/>
      <c r="AF1057" s="94"/>
      <c r="AG1057" s="94"/>
    </row>
    <row r="1058">
      <c r="A1058" s="96"/>
      <c r="B1058" s="95" t="str">
        <f>IFERROR(__xludf.DUMMYFUNCTION("""COMPUTED_VALUE"""),"#VALUE!")</f>
        <v>#VALUE!</v>
      </c>
      <c r="C1058" s="94"/>
      <c r="D1058" s="94"/>
      <c r="E1058" s="94"/>
      <c r="F1058" s="94"/>
      <c r="G1058" s="94"/>
      <c r="H1058" s="94"/>
      <c r="I1058" s="94"/>
      <c r="J1058" s="94"/>
      <c r="K1058" s="94"/>
      <c r="L1058" s="94"/>
      <c r="M1058" s="94"/>
      <c r="N1058" s="94"/>
      <c r="O1058" s="94"/>
      <c r="P1058" s="94"/>
      <c r="Q1058" s="94"/>
      <c r="R1058" s="94"/>
      <c r="S1058" s="94"/>
      <c r="T1058" s="94"/>
      <c r="U1058" s="94"/>
      <c r="V1058" s="94"/>
      <c r="W1058" s="94"/>
      <c r="X1058" s="94"/>
      <c r="Y1058" s="94"/>
      <c r="Z1058" s="94"/>
      <c r="AA1058" s="94"/>
      <c r="AB1058" s="94"/>
      <c r="AC1058" s="94"/>
      <c r="AD1058" s="94"/>
      <c r="AE1058" s="94"/>
      <c r="AF1058" s="94"/>
      <c r="AG1058" s="94"/>
    </row>
    <row r="1059">
      <c r="A1059" s="96"/>
      <c r="B1059" s="95" t="str">
        <f>IFERROR(__xludf.DUMMYFUNCTION("""COMPUTED_VALUE"""),"#VALUE!")</f>
        <v>#VALUE!</v>
      </c>
      <c r="C1059" s="94"/>
      <c r="D1059" s="94"/>
      <c r="E1059" s="94"/>
      <c r="F1059" s="94"/>
      <c r="G1059" s="94"/>
      <c r="H1059" s="94"/>
      <c r="I1059" s="94"/>
      <c r="J1059" s="94"/>
      <c r="K1059" s="94"/>
      <c r="L1059" s="94"/>
      <c r="M1059" s="94"/>
      <c r="N1059" s="94"/>
      <c r="O1059" s="94"/>
      <c r="P1059" s="94"/>
      <c r="Q1059" s="94"/>
      <c r="R1059" s="94"/>
      <c r="S1059" s="94"/>
      <c r="T1059" s="94"/>
      <c r="U1059" s="94"/>
      <c r="V1059" s="94"/>
      <c r="W1059" s="94"/>
      <c r="X1059" s="94"/>
      <c r="Y1059" s="94"/>
      <c r="Z1059" s="94"/>
      <c r="AA1059" s="94"/>
      <c r="AB1059" s="94"/>
      <c r="AC1059" s="94"/>
      <c r="AD1059" s="94"/>
      <c r="AE1059" s="94"/>
      <c r="AF1059" s="94"/>
      <c r="AG1059" s="94"/>
    </row>
    <row r="1060">
      <c r="A1060" s="96"/>
      <c r="B1060" s="95" t="str">
        <f>IFERROR(__xludf.DUMMYFUNCTION("""COMPUTED_VALUE"""),"#VALUE!")</f>
        <v>#VALUE!</v>
      </c>
      <c r="C1060" s="94"/>
      <c r="D1060" s="94"/>
      <c r="E1060" s="94"/>
      <c r="F1060" s="94"/>
      <c r="G1060" s="94"/>
      <c r="H1060" s="94"/>
      <c r="I1060" s="94"/>
      <c r="J1060" s="94"/>
      <c r="K1060" s="94"/>
      <c r="L1060" s="94"/>
      <c r="M1060" s="94"/>
      <c r="N1060" s="94"/>
      <c r="O1060" s="94"/>
      <c r="P1060" s="94"/>
      <c r="Q1060" s="94"/>
      <c r="R1060" s="94"/>
      <c r="S1060" s="94"/>
      <c r="T1060" s="94"/>
      <c r="U1060" s="94"/>
      <c r="V1060" s="94"/>
      <c r="W1060" s="94"/>
      <c r="X1060" s="94"/>
      <c r="Y1060" s="94"/>
      <c r="Z1060" s="94"/>
      <c r="AA1060" s="94"/>
      <c r="AB1060" s="94"/>
      <c r="AC1060" s="94"/>
      <c r="AD1060" s="94"/>
      <c r="AE1060" s="94"/>
      <c r="AF1060" s="94"/>
      <c r="AG1060" s="94"/>
    </row>
    <row r="1061">
      <c r="A1061" s="96"/>
      <c r="B1061" s="95" t="str">
        <f>IFERROR(__xludf.DUMMYFUNCTION("""COMPUTED_VALUE"""),"#VALUE!")</f>
        <v>#VALUE!</v>
      </c>
      <c r="C1061" s="94"/>
      <c r="D1061" s="94"/>
      <c r="E1061" s="94"/>
      <c r="F1061" s="94"/>
      <c r="G1061" s="94"/>
      <c r="H1061" s="94"/>
      <c r="I1061" s="94"/>
      <c r="J1061" s="94"/>
      <c r="K1061" s="94"/>
      <c r="L1061" s="94"/>
      <c r="M1061" s="94"/>
      <c r="N1061" s="94"/>
      <c r="O1061" s="94"/>
      <c r="P1061" s="94"/>
      <c r="Q1061" s="94"/>
      <c r="R1061" s="94"/>
      <c r="S1061" s="94"/>
      <c r="T1061" s="94"/>
      <c r="U1061" s="94"/>
      <c r="V1061" s="94"/>
      <c r="W1061" s="94"/>
      <c r="X1061" s="94"/>
      <c r="Y1061" s="94"/>
      <c r="Z1061" s="94"/>
      <c r="AA1061" s="94"/>
      <c r="AB1061" s="94"/>
      <c r="AC1061" s="94"/>
      <c r="AD1061" s="94"/>
      <c r="AE1061" s="94"/>
      <c r="AF1061" s="94"/>
      <c r="AG1061" s="94"/>
    </row>
    <row r="1062">
      <c r="A1062" s="96"/>
      <c r="B1062" s="95" t="str">
        <f>IFERROR(__xludf.DUMMYFUNCTION("""COMPUTED_VALUE"""),"#VALUE!")</f>
        <v>#VALUE!</v>
      </c>
      <c r="C1062" s="94"/>
      <c r="D1062" s="94"/>
      <c r="E1062" s="94"/>
      <c r="F1062" s="94"/>
      <c r="G1062" s="94"/>
      <c r="H1062" s="94"/>
      <c r="I1062" s="94"/>
      <c r="J1062" s="94"/>
      <c r="K1062" s="94"/>
      <c r="L1062" s="94"/>
      <c r="M1062" s="94"/>
      <c r="N1062" s="94"/>
      <c r="O1062" s="94"/>
      <c r="P1062" s="94"/>
      <c r="Q1062" s="94"/>
      <c r="R1062" s="94"/>
      <c r="S1062" s="94"/>
      <c r="T1062" s="94"/>
      <c r="U1062" s="94"/>
      <c r="V1062" s="94"/>
      <c r="W1062" s="94"/>
      <c r="X1062" s="94"/>
      <c r="Y1062" s="94"/>
      <c r="Z1062" s="94"/>
      <c r="AA1062" s="94"/>
      <c r="AB1062" s="94"/>
      <c r="AC1062" s="94"/>
      <c r="AD1062" s="94"/>
      <c r="AE1062" s="94"/>
      <c r="AF1062" s="94"/>
      <c r="AG1062" s="94"/>
    </row>
    <row r="1063">
      <c r="A1063" s="96"/>
      <c r="B1063" s="95" t="str">
        <f>IFERROR(__xludf.DUMMYFUNCTION("""COMPUTED_VALUE"""),"#VALUE!")</f>
        <v>#VALUE!</v>
      </c>
      <c r="C1063" s="94"/>
      <c r="D1063" s="94"/>
      <c r="E1063" s="94"/>
      <c r="F1063" s="94"/>
      <c r="G1063" s="94"/>
      <c r="H1063" s="94"/>
      <c r="I1063" s="94"/>
      <c r="J1063" s="94"/>
      <c r="K1063" s="94"/>
      <c r="L1063" s="94"/>
      <c r="M1063" s="94"/>
      <c r="N1063" s="94"/>
      <c r="O1063" s="94"/>
      <c r="P1063" s="94"/>
      <c r="Q1063" s="94"/>
      <c r="R1063" s="94"/>
      <c r="S1063" s="94"/>
      <c r="T1063" s="94"/>
      <c r="U1063" s="94"/>
      <c r="V1063" s="94"/>
      <c r="W1063" s="94"/>
      <c r="X1063" s="94"/>
      <c r="Y1063" s="94"/>
      <c r="Z1063" s="94"/>
      <c r="AA1063" s="94"/>
      <c r="AB1063" s="94"/>
      <c r="AC1063" s="94"/>
      <c r="AD1063" s="94"/>
      <c r="AE1063" s="94"/>
      <c r="AF1063" s="94"/>
      <c r="AG1063" s="94"/>
    </row>
    <row r="1064">
      <c r="A1064" s="96"/>
      <c r="B1064" s="95" t="str">
        <f>IFERROR(__xludf.DUMMYFUNCTION("""COMPUTED_VALUE"""),"#VALUE!")</f>
        <v>#VALUE!</v>
      </c>
      <c r="C1064" s="94"/>
      <c r="D1064" s="94"/>
      <c r="E1064" s="94"/>
      <c r="F1064" s="94"/>
      <c r="G1064" s="94"/>
      <c r="H1064" s="94"/>
      <c r="I1064" s="94"/>
      <c r="J1064" s="94"/>
      <c r="K1064" s="94"/>
      <c r="L1064" s="94"/>
      <c r="M1064" s="94"/>
      <c r="N1064" s="94"/>
      <c r="O1064" s="94"/>
      <c r="P1064" s="94"/>
      <c r="Q1064" s="94"/>
      <c r="R1064" s="94"/>
      <c r="S1064" s="94"/>
      <c r="T1064" s="94"/>
      <c r="U1064" s="94"/>
      <c r="V1064" s="94"/>
      <c r="W1064" s="94"/>
      <c r="X1064" s="94"/>
      <c r="Y1064" s="94"/>
      <c r="Z1064" s="94"/>
      <c r="AA1064" s="94"/>
      <c r="AB1064" s="94"/>
      <c r="AC1064" s="94"/>
      <c r="AD1064" s="94"/>
      <c r="AE1064" s="94"/>
      <c r="AF1064" s="94"/>
      <c r="AG1064" s="94"/>
    </row>
    <row r="1065">
      <c r="A1065" s="96"/>
      <c r="B1065" s="95" t="str">
        <f>IFERROR(__xludf.DUMMYFUNCTION("""COMPUTED_VALUE"""),"#VALUE!")</f>
        <v>#VALUE!</v>
      </c>
      <c r="C1065" s="94"/>
      <c r="D1065" s="94"/>
      <c r="E1065" s="94"/>
      <c r="F1065" s="94"/>
      <c r="G1065" s="94"/>
      <c r="H1065" s="94"/>
      <c r="I1065" s="94"/>
      <c r="J1065" s="94"/>
      <c r="K1065" s="94"/>
      <c r="L1065" s="94"/>
      <c r="M1065" s="94"/>
      <c r="N1065" s="94"/>
      <c r="O1065" s="94"/>
      <c r="P1065" s="94"/>
      <c r="Q1065" s="94"/>
      <c r="R1065" s="94"/>
      <c r="S1065" s="94"/>
      <c r="T1065" s="94"/>
      <c r="U1065" s="94"/>
      <c r="V1065" s="94"/>
      <c r="W1065" s="94"/>
      <c r="X1065" s="94"/>
      <c r="Y1065" s="94"/>
      <c r="Z1065" s="94"/>
      <c r="AA1065" s="94"/>
      <c r="AB1065" s="94"/>
      <c r="AC1065" s="94"/>
      <c r="AD1065" s="94"/>
      <c r="AE1065" s="94"/>
      <c r="AF1065" s="94"/>
      <c r="AG1065" s="94"/>
    </row>
    <row r="1066">
      <c r="A1066" s="96"/>
      <c r="B1066" s="95" t="str">
        <f>IFERROR(__xludf.DUMMYFUNCTION("""COMPUTED_VALUE"""),"#VALUE!")</f>
        <v>#VALUE!</v>
      </c>
      <c r="C1066" s="94"/>
      <c r="D1066" s="94"/>
      <c r="E1066" s="94"/>
      <c r="F1066" s="94"/>
      <c r="G1066" s="94"/>
      <c r="H1066" s="94"/>
      <c r="I1066" s="94"/>
      <c r="J1066" s="94"/>
      <c r="K1066" s="94"/>
      <c r="L1066" s="94"/>
      <c r="M1066" s="94"/>
      <c r="N1066" s="94"/>
      <c r="O1066" s="94"/>
      <c r="P1066" s="94"/>
      <c r="Q1066" s="94"/>
      <c r="R1066" s="94"/>
      <c r="S1066" s="94"/>
      <c r="T1066" s="94"/>
      <c r="U1066" s="94"/>
      <c r="V1066" s="94"/>
      <c r="W1066" s="94"/>
      <c r="X1066" s="94"/>
      <c r="Y1066" s="94"/>
      <c r="Z1066" s="94"/>
      <c r="AA1066" s="94"/>
      <c r="AB1066" s="94"/>
      <c r="AC1066" s="94"/>
      <c r="AD1066" s="94"/>
      <c r="AE1066" s="94"/>
      <c r="AF1066" s="94"/>
      <c r="AG1066" s="94"/>
    </row>
    <row r="1067">
      <c r="A1067" s="96"/>
      <c r="B1067" s="95" t="str">
        <f>IFERROR(__xludf.DUMMYFUNCTION("""COMPUTED_VALUE"""),"#VALUE!")</f>
        <v>#VALUE!</v>
      </c>
      <c r="C1067" s="94"/>
      <c r="D1067" s="94"/>
      <c r="E1067" s="94"/>
      <c r="F1067" s="94"/>
      <c r="G1067" s="94"/>
      <c r="H1067" s="94"/>
      <c r="I1067" s="94"/>
      <c r="J1067" s="94"/>
      <c r="K1067" s="94"/>
      <c r="L1067" s="94"/>
      <c r="M1067" s="94"/>
      <c r="N1067" s="94"/>
      <c r="O1067" s="94"/>
      <c r="P1067" s="94"/>
      <c r="Q1067" s="94"/>
      <c r="R1067" s="94"/>
      <c r="S1067" s="94"/>
      <c r="T1067" s="94"/>
      <c r="U1067" s="94"/>
      <c r="V1067" s="94"/>
      <c r="W1067" s="94"/>
      <c r="X1067" s="94"/>
      <c r="Y1067" s="94"/>
      <c r="Z1067" s="94"/>
      <c r="AA1067" s="94"/>
      <c r="AB1067" s="94"/>
      <c r="AC1067" s="94"/>
      <c r="AD1067" s="94"/>
      <c r="AE1067" s="94"/>
      <c r="AF1067" s="94"/>
      <c r="AG1067" s="94"/>
    </row>
    <row r="1068">
      <c r="A1068" s="96"/>
      <c r="B1068" s="95" t="str">
        <f>IFERROR(__xludf.DUMMYFUNCTION("""COMPUTED_VALUE"""),"#VALUE!")</f>
        <v>#VALUE!</v>
      </c>
      <c r="C1068" s="94"/>
      <c r="D1068" s="94"/>
      <c r="E1068" s="94"/>
      <c r="F1068" s="94"/>
      <c r="G1068" s="94"/>
      <c r="H1068" s="94"/>
      <c r="I1068" s="94"/>
      <c r="J1068" s="94"/>
      <c r="K1068" s="94"/>
      <c r="L1068" s="94"/>
      <c r="M1068" s="94"/>
      <c r="N1068" s="94"/>
      <c r="O1068" s="94"/>
      <c r="P1068" s="94"/>
      <c r="Q1068" s="94"/>
      <c r="R1068" s="94"/>
      <c r="S1068" s="94"/>
      <c r="T1068" s="94"/>
      <c r="U1068" s="94"/>
      <c r="V1068" s="94"/>
      <c r="W1068" s="94"/>
      <c r="X1068" s="94"/>
      <c r="Y1068" s="94"/>
      <c r="Z1068" s="94"/>
      <c r="AA1068" s="94"/>
      <c r="AB1068" s="94"/>
      <c r="AC1068" s="94"/>
      <c r="AD1068" s="94"/>
      <c r="AE1068" s="94"/>
      <c r="AF1068" s="94"/>
      <c r="AG1068" s="94"/>
    </row>
    <row r="1069">
      <c r="A1069" s="96"/>
      <c r="B1069" s="95" t="str">
        <f>IFERROR(__xludf.DUMMYFUNCTION("""COMPUTED_VALUE"""),"#VALUE!")</f>
        <v>#VALUE!</v>
      </c>
      <c r="C1069" s="94"/>
      <c r="D1069" s="94"/>
      <c r="E1069" s="94"/>
      <c r="F1069" s="94"/>
      <c r="G1069" s="94"/>
      <c r="H1069" s="94"/>
      <c r="I1069" s="94"/>
      <c r="J1069" s="94"/>
      <c r="K1069" s="94"/>
      <c r="L1069" s="94"/>
      <c r="M1069" s="94"/>
      <c r="N1069" s="94"/>
      <c r="O1069" s="94"/>
      <c r="P1069" s="94"/>
      <c r="Q1069" s="94"/>
      <c r="R1069" s="94"/>
      <c r="S1069" s="94"/>
      <c r="T1069" s="94"/>
      <c r="U1069" s="94"/>
      <c r="V1069" s="94"/>
      <c r="W1069" s="94"/>
      <c r="X1069" s="94"/>
      <c r="Y1069" s="94"/>
      <c r="Z1069" s="94"/>
      <c r="AA1069" s="94"/>
      <c r="AB1069" s="94"/>
      <c r="AC1069" s="94"/>
      <c r="AD1069" s="94"/>
      <c r="AE1069" s="94"/>
      <c r="AF1069" s="94"/>
      <c r="AG1069" s="94"/>
    </row>
    <row r="1070">
      <c r="A1070" s="96"/>
      <c r="B1070" s="95" t="str">
        <f>IFERROR(__xludf.DUMMYFUNCTION("""COMPUTED_VALUE"""),"#VALUE!")</f>
        <v>#VALUE!</v>
      </c>
      <c r="C1070" s="94"/>
      <c r="D1070" s="94"/>
      <c r="E1070" s="94"/>
      <c r="F1070" s="94"/>
      <c r="G1070" s="94"/>
      <c r="H1070" s="94"/>
      <c r="I1070" s="94"/>
      <c r="J1070" s="94"/>
      <c r="K1070" s="94"/>
      <c r="L1070" s="94"/>
      <c r="M1070" s="94"/>
      <c r="N1070" s="94"/>
      <c r="O1070" s="94"/>
      <c r="P1070" s="94"/>
      <c r="Q1070" s="94"/>
      <c r="R1070" s="94"/>
      <c r="S1070" s="94"/>
      <c r="T1070" s="94"/>
      <c r="U1070" s="94"/>
      <c r="V1070" s="94"/>
      <c r="W1070" s="94"/>
      <c r="X1070" s="94"/>
      <c r="Y1070" s="94"/>
      <c r="Z1070" s="94"/>
      <c r="AA1070" s="94"/>
      <c r="AB1070" s="94"/>
      <c r="AC1070" s="94"/>
      <c r="AD1070" s="94"/>
      <c r="AE1070" s="94"/>
      <c r="AF1070" s="94"/>
      <c r="AG1070" s="94"/>
    </row>
    <row r="1071">
      <c r="A1071" s="96"/>
      <c r="B1071" s="95" t="str">
        <f>IFERROR(__xludf.DUMMYFUNCTION("""COMPUTED_VALUE"""),"#VALUE!")</f>
        <v>#VALUE!</v>
      </c>
      <c r="C1071" s="94"/>
      <c r="D1071" s="94"/>
      <c r="E1071" s="94"/>
      <c r="F1071" s="94"/>
      <c r="G1071" s="94"/>
      <c r="H1071" s="94"/>
      <c r="I1071" s="94"/>
      <c r="J1071" s="94"/>
      <c r="K1071" s="94"/>
      <c r="L1071" s="94"/>
      <c r="M1071" s="94"/>
      <c r="N1071" s="94"/>
      <c r="O1071" s="94"/>
      <c r="P1071" s="94"/>
      <c r="Q1071" s="94"/>
      <c r="R1071" s="94"/>
      <c r="S1071" s="94"/>
      <c r="T1071" s="94"/>
      <c r="U1071" s="94"/>
      <c r="V1071" s="94"/>
      <c r="W1071" s="94"/>
      <c r="X1071" s="94"/>
      <c r="Y1071" s="94"/>
      <c r="Z1071" s="94"/>
      <c r="AA1071" s="94"/>
      <c r="AB1071" s="94"/>
      <c r="AC1071" s="94"/>
      <c r="AD1071" s="94"/>
      <c r="AE1071" s="94"/>
      <c r="AF1071" s="94"/>
      <c r="AG1071" s="94"/>
    </row>
    <row r="1072">
      <c r="A1072" s="96"/>
      <c r="B1072" s="95" t="str">
        <f>IFERROR(__xludf.DUMMYFUNCTION("""COMPUTED_VALUE"""),"#VALUE!")</f>
        <v>#VALUE!</v>
      </c>
      <c r="C1072" s="94"/>
      <c r="D1072" s="94"/>
      <c r="E1072" s="94"/>
      <c r="F1072" s="94"/>
      <c r="G1072" s="94"/>
      <c r="H1072" s="94"/>
      <c r="I1072" s="94"/>
      <c r="J1072" s="94"/>
      <c r="K1072" s="94"/>
      <c r="L1072" s="94"/>
      <c r="M1072" s="94"/>
      <c r="N1072" s="94"/>
      <c r="O1072" s="94"/>
      <c r="P1072" s="94"/>
      <c r="Q1072" s="94"/>
      <c r="R1072" s="94"/>
      <c r="S1072" s="94"/>
      <c r="T1072" s="94"/>
      <c r="U1072" s="94"/>
      <c r="V1072" s="94"/>
      <c r="W1072" s="94"/>
      <c r="X1072" s="94"/>
      <c r="Y1072" s="94"/>
      <c r="Z1072" s="94"/>
      <c r="AA1072" s="94"/>
      <c r="AB1072" s="94"/>
      <c r="AC1072" s="94"/>
      <c r="AD1072" s="94"/>
      <c r="AE1072" s="94"/>
      <c r="AF1072" s="94"/>
      <c r="AG1072" s="94"/>
    </row>
    <row r="1073">
      <c r="A1073" s="96"/>
      <c r="B1073" s="95" t="str">
        <f>IFERROR(__xludf.DUMMYFUNCTION("""COMPUTED_VALUE"""),"#VALUE!")</f>
        <v>#VALUE!</v>
      </c>
      <c r="C1073" s="94"/>
      <c r="D1073" s="94"/>
      <c r="E1073" s="94"/>
      <c r="F1073" s="94"/>
      <c r="G1073" s="94"/>
      <c r="H1073" s="94"/>
      <c r="I1073" s="94"/>
      <c r="J1073" s="94"/>
      <c r="K1073" s="94"/>
      <c r="L1073" s="94"/>
      <c r="M1073" s="94"/>
      <c r="N1073" s="94"/>
      <c r="O1073" s="94"/>
      <c r="P1073" s="94"/>
      <c r="Q1073" s="94"/>
      <c r="R1073" s="94"/>
      <c r="S1073" s="94"/>
      <c r="T1073" s="94"/>
      <c r="U1073" s="94"/>
      <c r="V1073" s="94"/>
      <c r="W1073" s="94"/>
      <c r="X1073" s="94"/>
      <c r="Y1073" s="94"/>
      <c r="Z1073" s="94"/>
      <c r="AA1073" s="94"/>
      <c r="AB1073" s="94"/>
      <c r="AC1073" s="94"/>
      <c r="AD1073" s="94"/>
      <c r="AE1073" s="94"/>
      <c r="AF1073" s="94"/>
      <c r="AG1073" s="94"/>
    </row>
    <row r="1074">
      <c r="A1074" s="96"/>
      <c r="B1074" s="95" t="str">
        <f>IFERROR(__xludf.DUMMYFUNCTION("""COMPUTED_VALUE"""),"#VALUE!")</f>
        <v>#VALUE!</v>
      </c>
      <c r="C1074" s="94"/>
      <c r="D1074" s="94"/>
      <c r="E1074" s="94"/>
      <c r="F1074" s="94"/>
      <c r="G1074" s="94"/>
      <c r="H1074" s="94"/>
      <c r="I1074" s="94"/>
      <c r="J1074" s="94"/>
      <c r="K1074" s="94"/>
      <c r="L1074" s="94"/>
      <c r="M1074" s="94"/>
      <c r="N1074" s="94"/>
      <c r="O1074" s="94"/>
      <c r="P1074" s="94"/>
      <c r="Q1074" s="94"/>
      <c r="R1074" s="94"/>
      <c r="S1074" s="94"/>
      <c r="T1074" s="94"/>
      <c r="U1074" s="94"/>
      <c r="V1074" s="94"/>
      <c r="W1074" s="94"/>
      <c r="X1074" s="94"/>
      <c r="Y1074" s="94"/>
      <c r="Z1074" s="94"/>
      <c r="AA1074" s="94"/>
      <c r="AB1074" s="94"/>
      <c r="AC1074" s="94"/>
      <c r="AD1074" s="94"/>
      <c r="AE1074" s="94"/>
      <c r="AF1074" s="94"/>
      <c r="AG1074" s="94"/>
    </row>
    <row r="1075">
      <c r="A1075" s="96"/>
      <c r="B1075" s="95" t="str">
        <f>IFERROR(__xludf.DUMMYFUNCTION("""COMPUTED_VALUE"""),"#VALUE!")</f>
        <v>#VALUE!</v>
      </c>
      <c r="C1075" s="94"/>
      <c r="D1075" s="94"/>
      <c r="E1075" s="94"/>
      <c r="F1075" s="94"/>
      <c r="G1075" s="94"/>
      <c r="H1075" s="94"/>
      <c r="I1075" s="94"/>
      <c r="J1075" s="94"/>
      <c r="K1075" s="94"/>
      <c r="L1075" s="94"/>
      <c r="M1075" s="94"/>
      <c r="N1075" s="94"/>
      <c r="O1075" s="94"/>
      <c r="P1075" s="94"/>
      <c r="Q1075" s="94"/>
      <c r="R1075" s="94"/>
      <c r="S1075" s="94"/>
      <c r="T1075" s="94"/>
      <c r="U1075" s="94"/>
      <c r="V1075" s="94"/>
      <c r="W1075" s="94"/>
      <c r="X1075" s="94"/>
      <c r="Y1075" s="94"/>
      <c r="Z1075" s="94"/>
      <c r="AA1075" s="94"/>
      <c r="AB1075" s="94"/>
      <c r="AC1075" s="94"/>
      <c r="AD1075" s="94"/>
      <c r="AE1075" s="94"/>
      <c r="AF1075" s="94"/>
      <c r="AG1075" s="94"/>
    </row>
    <row r="1076">
      <c r="A1076" s="96"/>
      <c r="B1076" s="95" t="str">
        <f>IFERROR(__xludf.DUMMYFUNCTION("""COMPUTED_VALUE"""),"#VALUE!")</f>
        <v>#VALUE!</v>
      </c>
      <c r="C1076" s="94"/>
      <c r="D1076" s="94"/>
      <c r="E1076" s="94"/>
      <c r="F1076" s="94"/>
      <c r="G1076" s="94"/>
      <c r="H1076" s="94"/>
      <c r="I1076" s="94"/>
      <c r="J1076" s="94"/>
      <c r="K1076" s="94"/>
      <c r="L1076" s="94"/>
      <c r="M1076" s="94"/>
      <c r="N1076" s="94"/>
      <c r="O1076" s="94"/>
      <c r="P1076" s="94"/>
      <c r="Q1076" s="94"/>
      <c r="R1076" s="94"/>
      <c r="S1076" s="94"/>
      <c r="T1076" s="94"/>
      <c r="U1076" s="94"/>
      <c r="V1076" s="94"/>
      <c r="W1076" s="94"/>
      <c r="X1076" s="94"/>
      <c r="Y1076" s="94"/>
      <c r="Z1076" s="94"/>
      <c r="AA1076" s="94"/>
      <c r="AB1076" s="94"/>
      <c r="AC1076" s="94"/>
      <c r="AD1076" s="94"/>
      <c r="AE1076" s="94"/>
      <c r="AF1076" s="94"/>
      <c r="AG1076" s="94"/>
    </row>
    <row r="1077">
      <c r="A1077" s="96"/>
      <c r="B1077" s="95" t="str">
        <f>IFERROR(__xludf.DUMMYFUNCTION("""COMPUTED_VALUE"""),"#VALUE!")</f>
        <v>#VALUE!</v>
      </c>
      <c r="C1077" s="94"/>
      <c r="D1077" s="94"/>
      <c r="E1077" s="94"/>
      <c r="F1077" s="94"/>
      <c r="G1077" s="94"/>
      <c r="H1077" s="94"/>
      <c r="I1077" s="94"/>
      <c r="J1077" s="94"/>
      <c r="K1077" s="94"/>
      <c r="L1077" s="94"/>
      <c r="M1077" s="94"/>
      <c r="N1077" s="94"/>
      <c r="O1077" s="94"/>
      <c r="P1077" s="94"/>
      <c r="Q1077" s="94"/>
      <c r="R1077" s="94"/>
      <c r="S1077" s="94"/>
      <c r="T1077" s="94"/>
      <c r="U1077" s="94"/>
      <c r="V1077" s="94"/>
      <c r="W1077" s="94"/>
      <c r="X1077" s="94"/>
      <c r="Y1077" s="94"/>
      <c r="Z1077" s="94"/>
      <c r="AA1077" s="94"/>
      <c r="AB1077" s="94"/>
      <c r="AC1077" s="94"/>
      <c r="AD1077" s="94"/>
      <c r="AE1077" s="94"/>
      <c r="AF1077" s="94"/>
      <c r="AG1077" s="94"/>
    </row>
    <row r="1078">
      <c r="A1078" s="96"/>
      <c r="B1078" s="95" t="str">
        <f>IFERROR(__xludf.DUMMYFUNCTION("""COMPUTED_VALUE"""),"#VALUE!")</f>
        <v>#VALUE!</v>
      </c>
      <c r="C1078" s="94"/>
      <c r="D1078" s="94"/>
      <c r="E1078" s="94"/>
      <c r="F1078" s="94"/>
      <c r="G1078" s="94"/>
      <c r="H1078" s="94"/>
      <c r="I1078" s="94"/>
      <c r="J1078" s="94"/>
      <c r="K1078" s="94"/>
      <c r="L1078" s="94"/>
      <c r="M1078" s="94"/>
      <c r="N1078" s="94"/>
      <c r="O1078" s="94"/>
      <c r="P1078" s="94"/>
      <c r="Q1078" s="94"/>
      <c r="R1078" s="94"/>
      <c r="S1078" s="94"/>
      <c r="T1078" s="94"/>
      <c r="U1078" s="94"/>
      <c r="V1078" s="94"/>
      <c r="W1078" s="94"/>
      <c r="X1078" s="94"/>
      <c r="Y1078" s="94"/>
      <c r="Z1078" s="94"/>
      <c r="AA1078" s="94"/>
      <c r="AB1078" s="94"/>
      <c r="AC1078" s="94"/>
      <c r="AD1078" s="94"/>
      <c r="AE1078" s="94"/>
      <c r="AF1078" s="94"/>
      <c r="AG1078" s="94"/>
    </row>
    <row r="1079">
      <c r="A1079" s="96"/>
      <c r="B1079" s="95" t="str">
        <f>IFERROR(__xludf.DUMMYFUNCTION("""COMPUTED_VALUE"""),"#VALUE!")</f>
        <v>#VALUE!</v>
      </c>
      <c r="C1079" s="94"/>
      <c r="D1079" s="94"/>
      <c r="E1079" s="94"/>
      <c r="F1079" s="94"/>
      <c r="G1079" s="94"/>
      <c r="H1079" s="94"/>
      <c r="I1079" s="94"/>
      <c r="J1079" s="94"/>
      <c r="K1079" s="94"/>
      <c r="L1079" s="94"/>
      <c r="M1079" s="94"/>
      <c r="N1079" s="94"/>
      <c r="O1079" s="94"/>
      <c r="P1079" s="94"/>
      <c r="Q1079" s="94"/>
      <c r="R1079" s="94"/>
      <c r="S1079" s="94"/>
      <c r="T1079" s="94"/>
      <c r="U1079" s="94"/>
      <c r="V1079" s="94"/>
      <c r="W1079" s="94"/>
      <c r="X1079" s="94"/>
      <c r="Y1079" s="94"/>
      <c r="Z1079" s="94"/>
      <c r="AA1079" s="94"/>
      <c r="AB1079" s="94"/>
      <c r="AC1079" s="94"/>
      <c r="AD1079" s="94"/>
      <c r="AE1079" s="94"/>
      <c r="AF1079" s="94"/>
      <c r="AG1079" s="94"/>
    </row>
    <row r="1080">
      <c r="A1080" s="96"/>
      <c r="B1080" s="95" t="str">
        <f>IFERROR(__xludf.DUMMYFUNCTION("""COMPUTED_VALUE"""),"#VALUE!")</f>
        <v>#VALUE!</v>
      </c>
      <c r="C1080" s="94"/>
      <c r="D1080" s="94"/>
      <c r="E1080" s="94"/>
      <c r="F1080" s="94"/>
      <c r="G1080" s="94"/>
      <c r="H1080" s="94"/>
      <c r="I1080" s="94"/>
      <c r="J1080" s="94"/>
      <c r="K1080" s="94"/>
      <c r="L1080" s="94"/>
      <c r="M1080" s="94"/>
      <c r="N1080" s="94"/>
      <c r="O1080" s="94"/>
      <c r="P1080" s="94"/>
      <c r="Q1080" s="94"/>
      <c r="R1080" s="94"/>
      <c r="S1080" s="94"/>
      <c r="T1080" s="94"/>
      <c r="U1080" s="94"/>
      <c r="V1080" s="94"/>
      <c r="W1080" s="94"/>
      <c r="X1080" s="94"/>
      <c r="Y1080" s="94"/>
      <c r="Z1080" s="94"/>
      <c r="AA1080" s="94"/>
      <c r="AB1080" s="94"/>
      <c r="AC1080" s="94"/>
      <c r="AD1080" s="94"/>
      <c r="AE1080" s="94"/>
      <c r="AF1080" s="94"/>
      <c r="AG1080" s="94"/>
    </row>
    <row r="1081">
      <c r="A1081" s="96"/>
      <c r="B1081" s="95" t="str">
        <f>IFERROR(__xludf.DUMMYFUNCTION("""COMPUTED_VALUE"""),"#VALUE!")</f>
        <v>#VALUE!</v>
      </c>
      <c r="C1081" s="94"/>
      <c r="D1081" s="94"/>
      <c r="E1081" s="94"/>
      <c r="F1081" s="94"/>
      <c r="G1081" s="94"/>
      <c r="H1081" s="94"/>
      <c r="I1081" s="94"/>
      <c r="J1081" s="94"/>
      <c r="K1081" s="94"/>
      <c r="L1081" s="94"/>
      <c r="M1081" s="94"/>
      <c r="N1081" s="94"/>
      <c r="O1081" s="94"/>
      <c r="P1081" s="94"/>
      <c r="Q1081" s="94"/>
      <c r="R1081" s="94"/>
      <c r="S1081" s="94"/>
      <c r="T1081" s="94"/>
      <c r="U1081" s="94"/>
      <c r="V1081" s="94"/>
      <c r="W1081" s="94"/>
      <c r="X1081" s="94"/>
      <c r="Y1081" s="94"/>
      <c r="Z1081" s="94"/>
      <c r="AA1081" s="94"/>
      <c r="AB1081" s="94"/>
      <c r="AC1081" s="94"/>
      <c r="AD1081" s="94"/>
      <c r="AE1081" s="94"/>
      <c r="AF1081" s="94"/>
      <c r="AG1081" s="94"/>
    </row>
    <row r="1082">
      <c r="A1082" s="96"/>
      <c r="B1082" s="95" t="str">
        <f>IFERROR(__xludf.DUMMYFUNCTION("""COMPUTED_VALUE"""),"#VALUE!")</f>
        <v>#VALUE!</v>
      </c>
      <c r="C1082" s="94"/>
      <c r="D1082" s="94"/>
      <c r="E1082" s="94"/>
      <c r="F1082" s="94"/>
      <c r="G1082" s="94"/>
      <c r="H1082" s="94"/>
      <c r="I1082" s="94"/>
      <c r="J1082" s="94"/>
      <c r="K1082" s="94"/>
      <c r="L1082" s="94"/>
      <c r="M1082" s="94"/>
      <c r="N1082" s="94"/>
      <c r="O1082" s="94"/>
      <c r="P1082" s="94"/>
      <c r="Q1082" s="94"/>
      <c r="R1082" s="94"/>
      <c r="S1082" s="94"/>
      <c r="T1082" s="94"/>
      <c r="U1082" s="94"/>
      <c r="V1082" s="94"/>
      <c r="W1082" s="94"/>
      <c r="X1082" s="94"/>
      <c r="Y1082" s="94"/>
      <c r="Z1082" s="94"/>
      <c r="AA1082" s="94"/>
      <c r="AB1082" s="94"/>
      <c r="AC1082" s="94"/>
      <c r="AD1082" s="94"/>
      <c r="AE1082" s="94"/>
      <c r="AF1082" s="94"/>
      <c r="AG1082" s="94"/>
    </row>
    <row r="1083">
      <c r="A1083" s="96"/>
      <c r="B1083" s="95" t="str">
        <f>IFERROR(__xludf.DUMMYFUNCTION("""COMPUTED_VALUE"""),"#VALUE!")</f>
        <v>#VALUE!</v>
      </c>
      <c r="C1083" s="94"/>
      <c r="D1083" s="94"/>
      <c r="E1083" s="94"/>
      <c r="F1083" s="94"/>
      <c r="G1083" s="94"/>
      <c r="H1083" s="94"/>
      <c r="I1083" s="94"/>
      <c r="J1083" s="94"/>
      <c r="K1083" s="94"/>
      <c r="L1083" s="94"/>
      <c r="M1083" s="94"/>
      <c r="N1083" s="94"/>
      <c r="O1083" s="94"/>
      <c r="P1083" s="94"/>
      <c r="Q1083" s="94"/>
      <c r="R1083" s="94"/>
      <c r="S1083" s="94"/>
      <c r="T1083" s="94"/>
      <c r="U1083" s="94"/>
      <c r="V1083" s="94"/>
      <c r="W1083" s="94"/>
      <c r="X1083" s="94"/>
      <c r="Y1083" s="94"/>
      <c r="Z1083" s="94"/>
      <c r="AA1083" s="94"/>
      <c r="AB1083" s="94"/>
      <c r="AC1083" s="94"/>
      <c r="AD1083" s="94"/>
      <c r="AE1083" s="94"/>
      <c r="AF1083" s="94"/>
      <c r="AG1083" s="94"/>
    </row>
    <row r="1084">
      <c r="A1084" s="96"/>
      <c r="B1084" s="95" t="str">
        <f>IFERROR(__xludf.DUMMYFUNCTION("""COMPUTED_VALUE"""),"#VALUE!")</f>
        <v>#VALUE!</v>
      </c>
      <c r="C1084" s="94"/>
      <c r="D1084" s="94"/>
      <c r="E1084" s="94"/>
      <c r="F1084" s="94"/>
      <c r="G1084" s="94"/>
      <c r="H1084" s="94"/>
      <c r="I1084" s="94"/>
      <c r="J1084" s="94"/>
      <c r="K1084" s="94"/>
      <c r="L1084" s="94"/>
      <c r="M1084" s="94"/>
      <c r="N1084" s="94"/>
      <c r="O1084" s="94"/>
      <c r="P1084" s="94"/>
      <c r="Q1084" s="94"/>
      <c r="R1084" s="94"/>
      <c r="S1084" s="94"/>
      <c r="T1084" s="94"/>
      <c r="U1084" s="94"/>
      <c r="V1084" s="94"/>
      <c r="W1084" s="94"/>
      <c r="X1084" s="94"/>
      <c r="Y1084" s="94"/>
      <c r="Z1084" s="94"/>
      <c r="AA1084" s="94"/>
      <c r="AB1084" s="94"/>
      <c r="AC1084" s="94"/>
      <c r="AD1084" s="94"/>
      <c r="AE1084" s="94"/>
      <c r="AF1084" s="94"/>
      <c r="AG1084" s="94"/>
    </row>
    <row r="1085">
      <c r="A1085" s="96"/>
      <c r="B1085" s="95" t="str">
        <f>IFERROR(__xludf.DUMMYFUNCTION("""COMPUTED_VALUE"""),"#VALUE!")</f>
        <v>#VALUE!</v>
      </c>
      <c r="C1085" s="94"/>
      <c r="D1085" s="94"/>
      <c r="E1085" s="94"/>
      <c r="F1085" s="94"/>
      <c r="G1085" s="94"/>
      <c r="H1085" s="94"/>
      <c r="I1085" s="94"/>
      <c r="J1085" s="94"/>
      <c r="K1085" s="94"/>
      <c r="L1085" s="94"/>
      <c r="M1085" s="94"/>
      <c r="N1085" s="94"/>
      <c r="O1085" s="94"/>
      <c r="P1085" s="94"/>
      <c r="Q1085" s="94"/>
      <c r="R1085" s="94"/>
      <c r="S1085" s="94"/>
      <c r="T1085" s="94"/>
      <c r="U1085" s="94"/>
      <c r="V1085" s="94"/>
      <c r="W1085" s="94"/>
      <c r="X1085" s="94"/>
      <c r="Y1085" s="94"/>
      <c r="Z1085" s="94"/>
      <c r="AA1085" s="94"/>
      <c r="AB1085" s="94"/>
      <c r="AC1085" s="94"/>
      <c r="AD1085" s="94"/>
      <c r="AE1085" s="94"/>
      <c r="AF1085" s="94"/>
      <c r="AG1085" s="94"/>
    </row>
    <row r="1086">
      <c r="A1086" s="96"/>
      <c r="B1086" s="95" t="str">
        <f>IFERROR(__xludf.DUMMYFUNCTION("""COMPUTED_VALUE"""),"#VALUE!")</f>
        <v>#VALUE!</v>
      </c>
      <c r="C1086" s="94"/>
      <c r="D1086" s="94"/>
      <c r="E1086" s="94"/>
      <c r="F1086" s="94"/>
      <c r="G1086" s="94"/>
      <c r="H1086" s="94"/>
      <c r="I1086" s="94"/>
      <c r="J1086" s="94"/>
      <c r="K1086" s="94"/>
      <c r="L1086" s="94"/>
      <c r="M1086" s="94"/>
      <c r="N1086" s="94"/>
      <c r="O1086" s="94"/>
      <c r="P1086" s="94"/>
      <c r="Q1086" s="94"/>
      <c r="R1086" s="94"/>
      <c r="S1086" s="94"/>
      <c r="T1086" s="94"/>
      <c r="U1086" s="94"/>
      <c r="V1086" s="94"/>
      <c r="W1086" s="94"/>
      <c r="X1086" s="94"/>
      <c r="Y1086" s="94"/>
      <c r="Z1086" s="94"/>
      <c r="AA1086" s="94"/>
      <c r="AB1086" s="94"/>
      <c r="AC1086" s="94"/>
      <c r="AD1086" s="94"/>
      <c r="AE1086" s="94"/>
      <c r="AF1086" s="94"/>
      <c r="AG1086" s="94"/>
    </row>
    <row r="1087">
      <c r="A1087" s="96"/>
      <c r="B1087" s="95" t="str">
        <f>IFERROR(__xludf.DUMMYFUNCTION("""COMPUTED_VALUE"""),"#VALUE!")</f>
        <v>#VALUE!</v>
      </c>
      <c r="C1087" s="94"/>
      <c r="D1087" s="94"/>
      <c r="E1087" s="94"/>
      <c r="F1087" s="94"/>
      <c r="G1087" s="94"/>
      <c r="H1087" s="94"/>
      <c r="I1087" s="94"/>
      <c r="J1087" s="94"/>
      <c r="K1087" s="94"/>
      <c r="L1087" s="94"/>
      <c r="M1087" s="94"/>
      <c r="N1087" s="94"/>
      <c r="O1087" s="94"/>
      <c r="P1087" s="94"/>
      <c r="Q1087" s="94"/>
      <c r="R1087" s="94"/>
      <c r="S1087" s="94"/>
      <c r="T1087" s="94"/>
      <c r="U1087" s="94"/>
      <c r="V1087" s="94"/>
      <c r="W1087" s="94"/>
      <c r="X1087" s="94"/>
      <c r="Y1087" s="94"/>
      <c r="Z1087" s="94"/>
      <c r="AA1087" s="94"/>
      <c r="AB1087" s="94"/>
      <c r="AC1087" s="94"/>
      <c r="AD1087" s="94"/>
      <c r="AE1087" s="94"/>
      <c r="AF1087" s="94"/>
      <c r="AG1087" s="94"/>
    </row>
    <row r="1088">
      <c r="A1088" s="96"/>
      <c r="B1088" s="95" t="str">
        <f>IFERROR(__xludf.DUMMYFUNCTION("""COMPUTED_VALUE"""),"#VALUE!")</f>
        <v>#VALUE!</v>
      </c>
      <c r="C1088" s="94"/>
      <c r="D1088" s="94"/>
      <c r="E1088" s="94"/>
      <c r="F1088" s="94"/>
      <c r="G1088" s="94"/>
      <c r="H1088" s="94"/>
      <c r="I1088" s="94"/>
      <c r="J1088" s="94"/>
      <c r="K1088" s="94"/>
      <c r="L1088" s="94"/>
      <c r="M1088" s="94"/>
      <c r="N1088" s="94"/>
      <c r="O1088" s="94"/>
      <c r="P1088" s="94"/>
      <c r="Q1088" s="94"/>
      <c r="R1088" s="94"/>
      <c r="S1088" s="94"/>
      <c r="T1088" s="94"/>
      <c r="U1088" s="94"/>
      <c r="V1088" s="94"/>
      <c r="W1088" s="94"/>
      <c r="X1088" s="94"/>
      <c r="Y1088" s="94"/>
      <c r="Z1088" s="94"/>
      <c r="AA1088" s="94"/>
      <c r="AB1088" s="94"/>
      <c r="AC1088" s="94"/>
      <c r="AD1088" s="94"/>
      <c r="AE1088" s="94"/>
      <c r="AF1088" s="94"/>
      <c r="AG1088" s="94"/>
    </row>
    <row r="1089">
      <c r="A1089" s="96"/>
      <c r="B1089" s="95" t="str">
        <f>IFERROR(__xludf.DUMMYFUNCTION("""COMPUTED_VALUE"""),"#VALUE!")</f>
        <v>#VALUE!</v>
      </c>
      <c r="C1089" s="94"/>
      <c r="D1089" s="94"/>
      <c r="E1089" s="94"/>
      <c r="F1089" s="94"/>
      <c r="G1089" s="94"/>
      <c r="H1089" s="94"/>
      <c r="I1089" s="94"/>
      <c r="J1089" s="94"/>
      <c r="K1089" s="94"/>
      <c r="L1089" s="94"/>
      <c r="M1089" s="94"/>
      <c r="N1089" s="94"/>
      <c r="O1089" s="94"/>
      <c r="P1089" s="94"/>
      <c r="Q1089" s="94"/>
      <c r="R1089" s="94"/>
      <c r="S1089" s="94"/>
      <c r="T1089" s="94"/>
      <c r="U1089" s="94"/>
      <c r="V1089" s="94"/>
      <c r="W1089" s="94"/>
      <c r="X1089" s="94"/>
      <c r="Y1089" s="94"/>
      <c r="Z1089" s="94"/>
      <c r="AA1089" s="94"/>
      <c r="AB1089" s="94"/>
      <c r="AC1089" s="94"/>
      <c r="AD1089" s="94"/>
      <c r="AE1089" s="94"/>
      <c r="AF1089" s="94"/>
      <c r="AG1089" s="94"/>
    </row>
    <row r="1090">
      <c r="A1090" s="96"/>
      <c r="B1090" s="95" t="str">
        <f>IFERROR(__xludf.DUMMYFUNCTION("""COMPUTED_VALUE"""),"#VALUE!")</f>
        <v>#VALUE!</v>
      </c>
      <c r="C1090" s="94"/>
      <c r="D1090" s="94"/>
      <c r="E1090" s="94"/>
      <c r="F1090" s="94"/>
      <c r="G1090" s="94"/>
      <c r="H1090" s="94"/>
      <c r="I1090" s="94"/>
      <c r="J1090" s="94"/>
      <c r="K1090" s="94"/>
      <c r="L1090" s="94"/>
      <c r="M1090" s="94"/>
      <c r="N1090" s="94"/>
      <c r="O1090" s="94"/>
      <c r="P1090" s="94"/>
      <c r="Q1090" s="94"/>
      <c r="R1090" s="94"/>
      <c r="S1090" s="94"/>
      <c r="T1090" s="94"/>
      <c r="U1090" s="94"/>
      <c r="V1090" s="94"/>
      <c r="W1090" s="94"/>
      <c r="X1090" s="94"/>
      <c r="Y1090" s="94"/>
      <c r="Z1090" s="94"/>
      <c r="AA1090" s="94"/>
      <c r="AB1090" s="94"/>
      <c r="AC1090" s="94"/>
      <c r="AD1090" s="94"/>
      <c r="AE1090" s="94"/>
      <c r="AF1090" s="94"/>
      <c r="AG1090" s="94"/>
    </row>
    <row r="1091">
      <c r="A1091" s="96"/>
      <c r="B1091" s="95" t="str">
        <f>IFERROR(__xludf.DUMMYFUNCTION("""COMPUTED_VALUE"""),"#VALUE!")</f>
        <v>#VALUE!</v>
      </c>
      <c r="C1091" s="94"/>
      <c r="D1091" s="94"/>
      <c r="E1091" s="94"/>
      <c r="F1091" s="94"/>
      <c r="G1091" s="94"/>
      <c r="H1091" s="94"/>
      <c r="I1091" s="94"/>
      <c r="J1091" s="94"/>
      <c r="K1091" s="94"/>
      <c r="L1091" s="94"/>
      <c r="M1091" s="94"/>
      <c r="N1091" s="94"/>
      <c r="O1091" s="94"/>
      <c r="P1091" s="94"/>
      <c r="Q1091" s="94"/>
      <c r="R1091" s="94"/>
      <c r="S1091" s="94"/>
      <c r="T1091" s="94"/>
      <c r="U1091" s="94"/>
      <c r="V1091" s="94"/>
      <c r="W1091" s="94"/>
      <c r="X1091" s="94"/>
      <c r="Y1091" s="94"/>
      <c r="Z1091" s="94"/>
      <c r="AA1091" s="94"/>
      <c r="AB1091" s="94"/>
      <c r="AC1091" s="94"/>
      <c r="AD1091" s="94"/>
      <c r="AE1091" s="94"/>
      <c r="AF1091" s="94"/>
      <c r="AG1091" s="94"/>
    </row>
    <row r="1092">
      <c r="A1092" s="96"/>
      <c r="B1092" s="95" t="str">
        <f>IFERROR(__xludf.DUMMYFUNCTION("""COMPUTED_VALUE"""),"#VALUE!")</f>
        <v>#VALUE!</v>
      </c>
      <c r="C1092" s="94"/>
      <c r="D1092" s="94"/>
      <c r="E1092" s="94"/>
      <c r="F1092" s="94"/>
      <c r="G1092" s="94"/>
      <c r="H1092" s="94"/>
      <c r="I1092" s="94"/>
      <c r="J1092" s="94"/>
      <c r="K1092" s="94"/>
      <c r="L1092" s="94"/>
      <c r="M1092" s="94"/>
      <c r="N1092" s="94"/>
      <c r="O1092" s="94"/>
      <c r="P1092" s="94"/>
      <c r="Q1092" s="94"/>
      <c r="R1092" s="94"/>
      <c r="S1092" s="94"/>
      <c r="T1092" s="94"/>
      <c r="U1092" s="94"/>
      <c r="V1092" s="94"/>
      <c r="W1092" s="94"/>
      <c r="X1092" s="94"/>
      <c r="Y1092" s="94"/>
      <c r="Z1092" s="94"/>
      <c r="AA1092" s="94"/>
      <c r="AB1092" s="94"/>
      <c r="AC1092" s="94"/>
      <c r="AD1092" s="94"/>
      <c r="AE1092" s="94"/>
      <c r="AF1092" s="94"/>
      <c r="AG1092" s="94"/>
    </row>
    <row r="1093">
      <c r="A1093" s="96"/>
      <c r="B1093" s="95" t="str">
        <f>IFERROR(__xludf.DUMMYFUNCTION("""COMPUTED_VALUE"""),"#VALUE!")</f>
        <v>#VALUE!</v>
      </c>
      <c r="C1093" s="94"/>
      <c r="D1093" s="94"/>
      <c r="E1093" s="94"/>
      <c r="F1093" s="94"/>
      <c r="G1093" s="94"/>
      <c r="H1093" s="94"/>
      <c r="I1093" s="94"/>
      <c r="J1093" s="94"/>
      <c r="K1093" s="94"/>
      <c r="L1093" s="94"/>
      <c r="M1093" s="94"/>
      <c r="N1093" s="94"/>
      <c r="O1093" s="94"/>
      <c r="P1093" s="94"/>
      <c r="Q1093" s="94"/>
      <c r="R1093" s="94"/>
      <c r="S1093" s="94"/>
      <c r="T1093" s="94"/>
      <c r="U1093" s="94"/>
      <c r="V1093" s="94"/>
      <c r="W1093" s="94"/>
      <c r="X1093" s="94"/>
      <c r="Y1093" s="94"/>
      <c r="Z1093" s="94"/>
      <c r="AA1093" s="94"/>
      <c r="AB1093" s="94"/>
      <c r="AC1093" s="94"/>
      <c r="AD1093" s="94"/>
      <c r="AE1093" s="94"/>
      <c r="AF1093" s="94"/>
      <c r="AG1093" s="94"/>
    </row>
    <row r="1094">
      <c r="A1094" s="96"/>
      <c r="B1094" s="95" t="str">
        <f>IFERROR(__xludf.DUMMYFUNCTION("""COMPUTED_VALUE"""),"#VALUE!")</f>
        <v>#VALUE!</v>
      </c>
      <c r="C1094" s="94"/>
      <c r="D1094" s="94"/>
      <c r="E1094" s="94"/>
      <c r="F1094" s="94"/>
      <c r="G1094" s="94"/>
      <c r="H1094" s="94"/>
      <c r="I1094" s="94"/>
      <c r="J1094" s="94"/>
      <c r="K1094" s="94"/>
      <c r="L1094" s="94"/>
      <c r="M1094" s="94"/>
      <c r="N1094" s="94"/>
      <c r="O1094" s="94"/>
      <c r="P1094" s="94"/>
      <c r="Q1094" s="94"/>
      <c r="R1094" s="94"/>
      <c r="S1094" s="94"/>
      <c r="T1094" s="94"/>
      <c r="U1094" s="94"/>
      <c r="V1094" s="94"/>
      <c r="W1094" s="94"/>
      <c r="X1094" s="94"/>
      <c r="Y1094" s="94"/>
      <c r="Z1094" s="94"/>
      <c r="AA1094" s="94"/>
      <c r="AB1094" s="94"/>
      <c r="AC1094" s="94"/>
      <c r="AD1094" s="94"/>
      <c r="AE1094" s="94"/>
      <c r="AF1094" s="94"/>
      <c r="AG1094" s="94"/>
    </row>
    <row r="1095">
      <c r="A1095" s="96"/>
      <c r="B1095" s="95" t="str">
        <f>IFERROR(__xludf.DUMMYFUNCTION("""COMPUTED_VALUE"""),"#VALUE!")</f>
        <v>#VALUE!</v>
      </c>
      <c r="C1095" s="94"/>
      <c r="D1095" s="94"/>
      <c r="E1095" s="94"/>
      <c r="F1095" s="94"/>
      <c r="G1095" s="94"/>
      <c r="H1095" s="94"/>
      <c r="I1095" s="94"/>
      <c r="J1095" s="94"/>
      <c r="K1095" s="94"/>
      <c r="L1095" s="94"/>
      <c r="M1095" s="94"/>
      <c r="N1095" s="94"/>
      <c r="O1095" s="94"/>
      <c r="P1095" s="94"/>
      <c r="Q1095" s="94"/>
      <c r="R1095" s="94"/>
      <c r="S1095" s="94"/>
      <c r="T1095" s="94"/>
      <c r="U1095" s="94"/>
      <c r="V1095" s="94"/>
      <c r="W1095" s="94"/>
      <c r="X1095" s="94"/>
      <c r="Y1095" s="94"/>
      <c r="Z1095" s="94"/>
      <c r="AA1095" s="94"/>
      <c r="AB1095" s="94"/>
      <c r="AC1095" s="94"/>
      <c r="AD1095" s="94"/>
      <c r="AE1095" s="94"/>
      <c r="AF1095" s="94"/>
      <c r="AG1095" s="94"/>
    </row>
    <row r="1096">
      <c r="A1096" s="96"/>
      <c r="B1096" s="95" t="str">
        <f>IFERROR(__xludf.DUMMYFUNCTION("""COMPUTED_VALUE"""),"#VALUE!")</f>
        <v>#VALUE!</v>
      </c>
      <c r="C1096" s="94"/>
      <c r="D1096" s="94"/>
      <c r="E1096" s="94"/>
      <c r="F1096" s="94"/>
      <c r="G1096" s="94"/>
      <c r="H1096" s="94"/>
      <c r="I1096" s="94"/>
      <c r="J1096" s="94"/>
      <c r="K1096" s="94"/>
      <c r="L1096" s="94"/>
      <c r="M1096" s="94"/>
      <c r="N1096" s="94"/>
      <c r="O1096" s="94"/>
      <c r="P1096" s="94"/>
      <c r="Q1096" s="94"/>
      <c r="R1096" s="94"/>
      <c r="S1096" s="94"/>
      <c r="T1096" s="94"/>
      <c r="U1096" s="94"/>
      <c r="V1096" s="94"/>
      <c r="W1096" s="94"/>
      <c r="X1096" s="94"/>
      <c r="Y1096" s="94"/>
      <c r="Z1096" s="94"/>
      <c r="AA1096" s="94"/>
      <c r="AB1096" s="94"/>
      <c r="AC1096" s="94"/>
      <c r="AD1096" s="94"/>
      <c r="AE1096" s="94"/>
      <c r="AF1096" s="94"/>
      <c r="AG1096" s="94"/>
    </row>
    <row r="1097">
      <c r="A1097" s="96"/>
      <c r="B1097" s="95" t="str">
        <f>IFERROR(__xludf.DUMMYFUNCTION("""COMPUTED_VALUE"""),"#VALUE!")</f>
        <v>#VALUE!</v>
      </c>
      <c r="C1097" s="94"/>
      <c r="D1097" s="94"/>
      <c r="E1097" s="94"/>
      <c r="F1097" s="94"/>
      <c r="G1097" s="94"/>
      <c r="H1097" s="94"/>
      <c r="I1097" s="94"/>
      <c r="J1097" s="94"/>
      <c r="K1097" s="94"/>
      <c r="L1097" s="94"/>
      <c r="M1097" s="94"/>
      <c r="N1097" s="94"/>
      <c r="O1097" s="94"/>
      <c r="P1097" s="94"/>
      <c r="Q1097" s="94"/>
      <c r="R1097" s="94"/>
      <c r="S1097" s="94"/>
      <c r="T1097" s="94"/>
      <c r="U1097" s="94"/>
      <c r="V1097" s="94"/>
      <c r="W1097" s="94"/>
      <c r="X1097" s="94"/>
      <c r="Y1097" s="94"/>
      <c r="Z1097" s="94"/>
      <c r="AA1097" s="94"/>
      <c r="AB1097" s="94"/>
      <c r="AC1097" s="94"/>
      <c r="AD1097" s="94"/>
      <c r="AE1097" s="94"/>
      <c r="AF1097" s="94"/>
      <c r="AG1097" s="94"/>
    </row>
    <row r="1098">
      <c r="A1098" s="96"/>
      <c r="B1098" s="95" t="str">
        <f>IFERROR(__xludf.DUMMYFUNCTION("""COMPUTED_VALUE"""),"#VALUE!")</f>
        <v>#VALUE!</v>
      </c>
      <c r="C1098" s="94"/>
      <c r="D1098" s="94"/>
      <c r="E1098" s="94"/>
      <c r="F1098" s="94"/>
      <c r="G1098" s="94"/>
      <c r="H1098" s="94"/>
      <c r="I1098" s="94"/>
      <c r="J1098" s="94"/>
      <c r="K1098" s="94"/>
      <c r="L1098" s="94"/>
      <c r="M1098" s="94"/>
      <c r="N1098" s="94"/>
      <c r="O1098" s="94"/>
      <c r="P1098" s="94"/>
      <c r="Q1098" s="94"/>
      <c r="R1098" s="94"/>
      <c r="S1098" s="94"/>
      <c r="T1098" s="94"/>
      <c r="U1098" s="94"/>
      <c r="V1098" s="94"/>
      <c r="W1098" s="94"/>
      <c r="X1098" s="94"/>
      <c r="Y1098" s="94"/>
      <c r="Z1098" s="94"/>
      <c r="AA1098" s="94"/>
      <c r="AB1098" s="94"/>
      <c r="AC1098" s="94"/>
      <c r="AD1098" s="94"/>
      <c r="AE1098" s="94"/>
      <c r="AF1098" s="94"/>
      <c r="AG1098" s="94"/>
    </row>
    <row r="1099">
      <c r="A1099" s="96"/>
      <c r="B1099" s="95" t="str">
        <f>IFERROR(__xludf.DUMMYFUNCTION("""COMPUTED_VALUE"""),"#VALUE!")</f>
        <v>#VALUE!</v>
      </c>
      <c r="C1099" s="94"/>
      <c r="D1099" s="94"/>
      <c r="E1099" s="94"/>
      <c r="F1099" s="94"/>
      <c r="G1099" s="94"/>
      <c r="H1099" s="94"/>
      <c r="I1099" s="94"/>
      <c r="J1099" s="94"/>
      <c r="K1099" s="94"/>
      <c r="L1099" s="94"/>
      <c r="M1099" s="94"/>
      <c r="N1099" s="94"/>
      <c r="O1099" s="94"/>
      <c r="P1099" s="94"/>
      <c r="Q1099" s="94"/>
      <c r="R1099" s="94"/>
      <c r="S1099" s="94"/>
      <c r="T1099" s="94"/>
      <c r="U1099" s="94"/>
      <c r="V1099" s="94"/>
      <c r="W1099" s="94"/>
      <c r="X1099" s="94"/>
      <c r="Y1099" s="94"/>
      <c r="Z1099" s="94"/>
      <c r="AA1099" s="94"/>
      <c r="AB1099" s="94"/>
      <c r="AC1099" s="94"/>
      <c r="AD1099" s="94"/>
      <c r="AE1099" s="94"/>
      <c r="AF1099" s="94"/>
      <c r="AG1099" s="94"/>
    </row>
    <row r="1100">
      <c r="A1100" s="96"/>
      <c r="B1100" s="95" t="str">
        <f>IFERROR(__xludf.DUMMYFUNCTION("""COMPUTED_VALUE"""),"#VALUE!")</f>
        <v>#VALUE!</v>
      </c>
      <c r="C1100" s="94"/>
      <c r="D1100" s="94"/>
      <c r="E1100" s="94"/>
      <c r="F1100" s="94"/>
      <c r="G1100" s="94"/>
      <c r="H1100" s="94"/>
      <c r="I1100" s="94"/>
      <c r="J1100" s="94"/>
      <c r="K1100" s="94"/>
      <c r="L1100" s="94"/>
      <c r="M1100" s="94"/>
      <c r="N1100" s="94"/>
      <c r="O1100" s="94"/>
      <c r="P1100" s="94"/>
      <c r="Q1100" s="94"/>
      <c r="R1100" s="94"/>
      <c r="S1100" s="94"/>
      <c r="T1100" s="94"/>
      <c r="U1100" s="94"/>
      <c r="V1100" s="94"/>
      <c r="W1100" s="94"/>
      <c r="X1100" s="94"/>
      <c r="Y1100" s="94"/>
      <c r="Z1100" s="94"/>
      <c r="AA1100" s="94"/>
      <c r="AB1100" s="94"/>
      <c r="AC1100" s="94"/>
      <c r="AD1100" s="94"/>
      <c r="AE1100" s="94"/>
      <c r="AF1100" s="94"/>
      <c r="AG1100" s="94"/>
    </row>
    <row r="1101">
      <c r="A1101" s="96"/>
      <c r="B1101" s="95" t="str">
        <f>IFERROR(__xludf.DUMMYFUNCTION("""COMPUTED_VALUE"""),"#VALUE!")</f>
        <v>#VALUE!</v>
      </c>
      <c r="C1101" s="94"/>
      <c r="D1101" s="94"/>
      <c r="E1101" s="94"/>
      <c r="F1101" s="94"/>
      <c r="G1101" s="94"/>
      <c r="H1101" s="94"/>
      <c r="I1101" s="94"/>
      <c r="J1101" s="94"/>
      <c r="K1101" s="94"/>
      <c r="L1101" s="94"/>
      <c r="M1101" s="94"/>
      <c r="N1101" s="94"/>
      <c r="O1101" s="94"/>
      <c r="P1101" s="94"/>
      <c r="Q1101" s="94"/>
      <c r="R1101" s="94"/>
      <c r="S1101" s="94"/>
      <c r="T1101" s="94"/>
      <c r="U1101" s="94"/>
      <c r="V1101" s="94"/>
      <c r="W1101" s="94"/>
      <c r="X1101" s="94"/>
      <c r="Y1101" s="94"/>
      <c r="Z1101" s="94"/>
      <c r="AA1101" s="94"/>
      <c r="AB1101" s="94"/>
      <c r="AC1101" s="94"/>
      <c r="AD1101" s="94"/>
      <c r="AE1101" s="94"/>
      <c r="AF1101" s="94"/>
      <c r="AG1101" s="94"/>
    </row>
    <row r="1102">
      <c r="A1102" s="96"/>
      <c r="B1102" s="95" t="str">
        <f>IFERROR(__xludf.DUMMYFUNCTION("""COMPUTED_VALUE"""),"#VALUE!")</f>
        <v>#VALUE!</v>
      </c>
      <c r="C1102" s="94"/>
      <c r="D1102" s="94"/>
      <c r="E1102" s="94"/>
      <c r="F1102" s="94"/>
      <c r="G1102" s="94"/>
      <c r="H1102" s="94"/>
      <c r="I1102" s="94"/>
      <c r="J1102" s="94"/>
      <c r="K1102" s="94"/>
      <c r="L1102" s="94"/>
      <c r="M1102" s="94"/>
      <c r="N1102" s="94"/>
      <c r="O1102" s="94"/>
      <c r="P1102" s="94"/>
      <c r="Q1102" s="94"/>
      <c r="R1102" s="94"/>
      <c r="S1102" s="94"/>
      <c r="T1102" s="94"/>
      <c r="U1102" s="94"/>
      <c r="V1102" s="94"/>
      <c r="W1102" s="94"/>
      <c r="X1102" s="94"/>
      <c r="Y1102" s="94"/>
      <c r="Z1102" s="94"/>
      <c r="AA1102" s="94"/>
      <c r="AB1102" s="94"/>
      <c r="AC1102" s="94"/>
      <c r="AD1102" s="94"/>
      <c r="AE1102" s="94"/>
      <c r="AF1102" s="94"/>
      <c r="AG1102" s="94"/>
    </row>
    <row r="1103">
      <c r="A1103" s="96"/>
      <c r="B1103" s="95" t="str">
        <f>IFERROR(__xludf.DUMMYFUNCTION("""COMPUTED_VALUE"""),"#VALUE!")</f>
        <v>#VALUE!</v>
      </c>
      <c r="C1103" s="94"/>
      <c r="D1103" s="94"/>
      <c r="E1103" s="94"/>
      <c r="F1103" s="94"/>
      <c r="G1103" s="94"/>
      <c r="H1103" s="94"/>
      <c r="I1103" s="94"/>
      <c r="J1103" s="94"/>
      <c r="K1103" s="94"/>
      <c r="L1103" s="94"/>
      <c r="M1103" s="94"/>
      <c r="N1103" s="94"/>
      <c r="O1103" s="94"/>
      <c r="P1103" s="94"/>
      <c r="Q1103" s="94"/>
      <c r="R1103" s="94"/>
      <c r="S1103" s="94"/>
      <c r="T1103" s="94"/>
      <c r="U1103" s="94"/>
      <c r="V1103" s="94"/>
      <c r="W1103" s="94"/>
      <c r="X1103" s="94"/>
      <c r="Y1103" s="94"/>
      <c r="Z1103" s="94"/>
      <c r="AA1103" s="94"/>
      <c r="AB1103" s="94"/>
      <c r="AC1103" s="94"/>
      <c r="AD1103" s="94"/>
      <c r="AE1103" s="94"/>
      <c r="AF1103" s="94"/>
      <c r="AG1103" s="94"/>
    </row>
    <row r="1104">
      <c r="A1104" s="96"/>
      <c r="B1104" s="95" t="str">
        <f>IFERROR(__xludf.DUMMYFUNCTION("""COMPUTED_VALUE"""),"#VALUE!")</f>
        <v>#VALUE!</v>
      </c>
      <c r="C1104" s="94"/>
      <c r="D1104" s="94"/>
      <c r="E1104" s="94"/>
      <c r="F1104" s="94"/>
      <c r="G1104" s="94"/>
      <c r="H1104" s="94"/>
      <c r="I1104" s="94"/>
      <c r="J1104" s="94"/>
      <c r="K1104" s="94"/>
      <c r="L1104" s="94"/>
      <c r="M1104" s="94"/>
      <c r="N1104" s="94"/>
      <c r="O1104" s="94"/>
      <c r="P1104" s="94"/>
      <c r="Q1104" s="94"/>
      <c r="R1104" s="94"/>
      <c r="S1104" s="94"/>
      <c r="T1104" s="94"/>
      <c r="U1104" s="94"/>
      <c r="V1104" s="94"/>
      <c r="W1104" s="94"/>
      <c r="X1104" s="94"/>
      <c r="Y1104" s="94"/>
      <c r="Z1104" s="94"/>
      <c r="AA1104" s="94"/>
      <c r="AB1104" s="94"/>
      <c r="AC1104" s="94"/>
      <c r="AD1104" s="94"/>
      <c r="AE1104" s="94"/>
      <c r="AF1104" s="94"/>
      <c r="AG1104" s="94"/>
    </row>
    <row r="1105">
      <c r="A1105" s="96"/>
      <c r="B1105" s="95" t="str">
        <f>IFERROR(__xludf.DUMMYFUNCTION("""COMPUTED_VALUE"""),"#VALUE!")</f>
        <v>#VALUE!</v>
      </c>
      <c r="C1105" s="94"/>
      <c r="D1105" s="94"/>
      <c r="E1105" s="94"/>
      <c r="F1105" s="94"/>
      <c r="G1105" s="94"/>
      <c r="H1105" s="94"/>
      <c r="I1105" s="94"/>
      <c r="J1105" s="94"/>
      <c r="K1105" s="94"/>
      <c r="L1105" s="94"/>
      <c r="M1105" s="94"/>
      <c r="N1105" s="94"/>
      <c r="O1105" s="94"/>
      <c r="P1105" s="94"/>
      <c r="Q1105" s="94"/>
      <c r="R1105" s="94"/>
      <c r="S1105" s="94"/>
      <c r="T1105" s="94"/>
      <c r="U1105" s="94"/>
      <c r="V1105" s="94"/>
      <c r="W1105" s="94"/>
      <c r="X1105" s="94"/>
      <c r="Y1105" s="94"/>
      <c r="Z1105" s="94"/>
      <c r="AA1105" s="94"/>
      <c r="AB1105" s="94"/>
      <c r="AC1105" s="94"/>
      <c r="AD1105" s="94"/>
      <c r="AE1105" s="94"/>
      <c r="AF1105" s="94"/>
      <c r="AG1105" s="94"/>
    </row>
    <row r="1106">
      <c r="A1106" s="96"/>
      <c r="B1106" s="95" t="str">
        <f>IFERROR(__xludf.DUMMYFUNCTION("""COMPUTED_VALUE"""),"#VALUE!")</f>
        <v>#VALUE!</v>
      </c>
      <c r="C1106" s="94"/>
      <c r="D1106" s="94"/>
      <c r="E1106" s="94"/>
      <c r="F1106" s="94"/>
      <c r="G1106" s="94"/>
      <c r="H1106" s="94"/>
      <c r="I1106" s="94"/>
      <c r="J1106" s="94"/>
      <c r="K1106" s="94"/>
      <c r="L1106" s="94"/>
      <c r="M1106" s="94"/>
      <c r="N1106" s="94"/>
      <c r="O1106" s="94"/>
      <c r="P1106" s="94"/>
      <c r="Q1106" s="94"/>
      <c r="R1106" s="94"/>
      <c r="S1106" s="94"/>
      <c r="T1106" s="94"/>
      <c r="U1106" s="94"/>
      <c r="V1106" s="94"/>
      <c r="W1106" s="94"/>
      <c r="X1106" s="94"/>
      <c r="Y1106" s="94"/>
      <c r="Z1106" s="94"/>
      <c r="AA1106" s="94"/>
      <c r="AB1106" s="94"/>
      <c r="AC1106" s="94"/>
      <c r="AD1106" s="94"/>
      <c r="AE1106" s="94"/>
      <c r="AF1106" s="94"/>
      <c r="AG1106" s="94"/>
    </row>
    <row r="1107">
      <c r="A1107" s="96"/>
      <c r="B1107" s="95" t="str">
        <f>IFERROR(__xludf.DUMMYFUNCTION("""COMPUTED_VALUE"""),"#VALUE!")</f>
        <v>#VALUE!</v>
      </c>
      <c r="C1107" s="94"/>
      <c r="D1107" s="94"/>
      <c r="E1107" s="94"/>
      <c r="F1107" s="94"/>
      <c r="G1107" s="94"/>
      <c r="H1107" s="94"/>
      <c r="I1107" s="94"/>
      <c r="J1107" s="94"/>
      <c r="K1107" s="94"/>
      <c r="L1107" s="94"/>
      <c r="M1107" s="94"/>
      <c r="N1107" s="94"/>
      <c r="O1107" s="94"/>
      <c r="P1107" s="94"/>
      <c r="Q1107" s="94"/>
      <c r="R1107" s="94"/>
      <c r="S1107" s="94"/>
      <c r="T1107" s="94"/>
      <c r="U1107" s="94"/>
      <c r="V1107" s="94"/>
      <c r="W1107" s="94"/>
      <c r="X1107" s="94"/>
      <c r="Y1107" s="94"/>
      <c r="Z1107" s="94"/>
      <c r="AA1107" s="94"/>
      <c r="AB1107" s="94"/>
      <c r="AC1107" s="94"/>
      <c r="AD1107" s="94"/>
      <c r="AE1107" s="94"/>
      <c r="AF1107" s="94"/>
      <c r="AG1107" s="94"/>
    </row>
    <row r="1108">
      <c r="A1108" s="96"/>
      <c r="B1108" s="95" t="str">
        <f>IFERROR(__xludf.DUMMYFUNCTION("""COMPUTED_VALUE"""),"#VALUE!")</f>
        <v>#VALUE!</v>
      </c>
      <c r="C1108" s="94"/>
      <c r="D1108" s="94"/>
      <c r="E1108" s="94"/>
      <c r="F1108" s="94"/>
      <c r="G1108" s="94"/>
      <c r="H1108" s="94"/>
      <c r="I1108" s="94"/>
      <c r="J1108" s="94"/>
      <c r="K1108" s="94"/>
      <c r="L1108" s="94"/>
      <c r="M1108" s="94"/>
      <c r="N1108" s="94"/>
      <c r="O1108" s="94"/>
      <c r="P1108" s="94"/>
      <c r="Q1108" s="94"/>
      <c r="R1108" s="94"/>
      <c r="S1108" s="94"/>
      <c r="T1108" s="94"/>
      <c r="U1108" s="94"/>
      <c r="V1108" s="94"/>
      <c r="W1108" s="94"/>
      <c r="X1108" s="94"/>
      <c r="Y1108" s="94"/>
      <c r="Z1108" s="94"/>
      <c r="AA1108" s="94"/>
      <c r="AB1108" s="94"/>
      <c r="AC1108" s="94"/>
      <c r="AD1108" s="94"/>
      <c r="AE1108" s="94"/>
      <c r="AF1108" s="94"/>
      <c r="AG1108" s="94"/>
    </row>
    <row r="1109">
      <c r="A1109" s="96"/>
      <c r="B1109" s="95" t="str">
        <f>IFERROR(__xludf.DUMMYFUNCTION("""COMPUTED_VALUE"""),"#VALUE!")</f>
        <v>#VALUE!</v>
      </c>
      <c r="C1109" s="94"/>
      <c r="D1109" s="94"/>
      <c r="E1109" s="94"/>
      <c r="F1109" s="94"/>
      <c r="G1109" s="94"/>
      <c r="H1109" s="94"/>
      <c r="I1109" s="94"/>
      <c r="J1109" s="94"/>
      <c r="K1109" s="94"/>
      <c r="L1109" s="94"/>
      <c r="M1109" s="94"/>
      <c r="N1109" s="94"/>
      <c r="O1109" s="94"/>
      <c r="P1109" s="94"/>
      <c r="Q1109" s="94"/>
      <c r="R1109" s="94"/>
      <c r="S1109" s="94"/>
      <c r="T1109" s="94"/>
      <c r="U1109" s="94"/>
      <c r="V1109" s="94"/>
      <c r="W1109" s="94"/>
      <c r="X1109" s="94"/>
      <c r="Y1109" s="94"/>
      <c r="Z1109" s="94"/>
      <c r="AA1109" s="94"/>
      <c r="AB1109" s="94"/>
      <c r="AC1109" s="94"/>
      <c r="AD1109" s="94"/>
      <c r="AE1109" s="94"/>
      <c r="AF1109" s="94"/>
      <c r="AG1109" s="94"/>
    </row>
    <row r="1110">
      <c r="A1110" s="96"/>
      <c r="B1110" s="95" t="str">
        <f>IFERROR(__xludf.DUMMYFUNCTION("""COMPUTED_VALUE"""),"#VALUE!")</f>
        <v>#VALUE!</v>
      </c>
      <c r="C1110" s="94"/>
      <c r="D1110" s="94"/>
      <c r="E1110" s="94"/>
      <c r="F1110" s="94"/>
      <c r="G1110" s="94"/>
      <c r="H1110" s="94"/>
      <c r="I1110" s="94"/>
      <c r="J1110" s="94"/>
      <c r="K1110" s="94"/>
      <c r="L1110" s="94"/>
      <c r="M1110" s="94"/>
      <c r="N1110" s="94"/>
      <c r="O1110" s="94"/>
      <c r="P1110" s="94"/>
      <c r="Q1110" s="94"/>
      <c r="R1110" s="94"/>
      <c r="S1110" s="94"/>
      <c r="T1110" s="94"/>
      <c r="U1110" s="94"/>
      <c r="V1110" s="94"/>
      <c r="W1110" s="94"/>
      <c r="X1110" s="94"/>
      <c r="Y1110" s="94"/>
      <c r="Z1110" s="94"/>
      <c r="AA1110" s="94"/>
      <c r="AB1110" s="94"/>
      <c r="AC1110" s="94"/>
      <c r="AD1110" s="94"/>
      <c r="AE1110" s="94"/>
      <c r="AF1110" s="94"/>
      <c r="AG1110" s="94"/>
    </row>
    <row r="1111">
      <c r="A1111" s="96"/>
      <c r="B1111" s="95" t="str">
        <f>IFERROR(__xludf.DUMMYFUNCTION("""COMPUTED_VALUE"""),"#VALUE!")</f>
        <v>#VALUE!</v>
      </c>
      <c r="C1111" s="94"/>
      <c r="D1111" s="94"/>
      <c r="E1111" s="94"/>
      <c r="F1111" s="94"/>
      <c r="G1111" s="94"/>
      <c r="H1111" s="94"/>
      <c r="I1111" s="94"/>
      <c r="J1111" s="94"/>
      <c r="K1111" s="94"/>
      <c r="L1111" s="94"/>
      <c r="M1111" s="94"/>
      <c r="N1111" s="94"/>
      <c r="O1111" s="94"/>
      <c r="P1111" s="94"/>
      <c r="Q1111" s="94"/>
      <c r="R1111" s="94"/>
      <c r="S1111" s="94"/>
      <c r="T1111" s="94"/>
      <c r="U1111" s="94"/>
      <c r="V1111" s="94"/>
      <c r="W1111" s="94"/>
      <c r="X1111" s="94"/>
      <c r="Y1111" s="94"/>
      <c r="Z1111" s="94"/>
      <c r="AA1111" s="94"/>
      <c r="AB1111" s="94"/>
      <c r="AC1111" s="94"/>
      <c r="AD1111" s="94"/>
      <c r="AE1111" s="94"/>
      <c r="AF1111" s="94"/>
      <c r="AG1111" s="94"/>
    </row>
    <row r="1112">
      <c r="A1112" s="96"/>
      <c r="B1112" s="95" t="str">
        <f>IFERROR(__xludf.DUMMYFUNCTION("""COMPUTED_VALUE"""),"#VALUE!")</f>
        <v>#VALUE!</v>
      </c>
      <c r="C1112" s="94"/>
      <c r="D1112" s="94"/>
      <c r="E1112" s="94"/>
      <c r="F1112" s="94"/>
      <c r="G1112" s="94"/>
      <c r="H1112" s="94"/>
      <c r="I1112" s="94"/>
      <c r="J1112" s="94"/>
      <c r="K1112" s="94"/>
      <c r="L1112" s="94"/>
      <c r="M1112" s="94"/>
      <c r="N1112" s="94"/>
      <c r="O1112" s="94"/>
      <c r="P1112" s="94"/>
      <c r="Q1112" s="94"/>
      <c r="R1112" s="94"/>
      <c r="S1112" s="94"/>
      <c r="T1112" s="94"/>
      <c r="U1112" s="94"/>
      <c r="V1112" s="94"/>
      <c r="W1112" s="94"/>
      <c r="X1112" s="94"/>
      <c r="Y1112" s="94"/>
      <c r="Z1112" s="94"/>
      <c r="AA1112" s="94"/>
      <c r="AB1112" s="94"/>
      <c r="AC1112" s="94"/>
      <c r="AD1112" s="94"/>
      <c r="AE1112" s="94"/>
      <c r="AF1112" s="94"/>
      <c r="AG1112" s="94"/>
    </row>
    <row r="1113">
      <c r="A1113" s="96"/>
      <c r="B1113" s="95" t="str">
        <f>IFERROR(__xludf.DUMMYFUNCTION("""COMPUTED_VALUE"""),"#VALUE!")</f>
        <v>#VALUE!</v>
      </c>
      <c r="C1113" s="94"/>
      <c r="D1113" s="94"/>
      <c r="E1113" s="94"/>
      <c r="F1113" s="94"/>
      <c r="G1113" s="94"/>
      <c r="H1113" s="94"/>
      <c r="I1113" s="94"/>
      <c r="J1113" s="94"/>
      <c r="K1113" s="94"/>
      <c r="L1113" s="94"/>
      <c r="M1113" s="94"/>
      <c r="N1113" s="94"/>
      <c r="O1113" s="94"/>
      <c r="P1113" s="94"/>
      <c r="Q1113" s="94"/>
      <c r="R1113" s="94"/>
      <c r="S1113" s="94"/>
      <c r="T1113" s="94"/>
      <c r="U1113" s="94"/>
      <c r="V1113" s="94"/>
      <c r="W1113" s="94"/>
      <c r="X1113" s="94"/>
      <c r="Y1113" s="94"/>
      <c r="Z1113" s="94"/>
      <c r="AA1113" s="94"/>
      <c r="AB1113" s="94"/>
      <c r="AC1113" s="94"/>
      <c r="AD1113" s="94"/>
      <c r="AE1113" s="94"/>
      <c r="AF1113" s="94"/>
      <c r="AG1113" s="94"/>
    </row>
    <row r="1114">
      <c r="A1114" s="96"/>
      <c r="B1114" s="95" t="str">
        <f>IFERROR(__xludf.DUMMYFUNCTION("""COMPUTED_VALUE"""),"#VALUE!")</f>
        <v>#VALUE!</v>
      </c>
      <c r="C1114" s="94"/>
      <c r="D1114" s="94"/>
      <c r="E1114" s="94"/>
      <c r="F1114" s="94"/>
      <c r="G1114" s="94"/>
      <c r="H1114" s="94"/>
      <c r="I1114" s="94"/>
      <c r="J1114" s="94"/>
      <c r="K1114" s="94"/>
      <c r="L1114" s="94"/>
      <c r="M1114" s="94"/>
      <c r="N1114" s="94"/>
      <c r="O1114" s="94"/>
      <c r="P1114" s="94"/>
      <c r="Q1114" s="94"/>
      <c r="R1114" s="94"/>
      <c r="S1114" s="94"/>
      <c r="T1114" s="94"/>
      <c r="U1114" s="94"/>
      <c r="V1114" s="94"/>
      <c r="W1114" s="94"/>
      <c r="X1114" s="94"/>
      <c r="Y1114" s="94"/>
      <c r="Z1114" s="94"/>
      <c r="AA1114" s="94"/>
      <c r="AB1114" s="94"/>
      <c r="AC1114" s="94"/>
      <c r="AD1114" s="94"/>
      <c r="AE1114" s="94"/>
      <c r="AF1114" s="94"/>
      <c r="AG1114" s="94"/>
    </row>
    <row r="1115">
      <c r="A1115" s="96"/>
      <c r="B1115" s="95" t="str">
        <f>IFERROR(__xludf.DUMMYFUNCTION("""COMPUTED_VALUE"""),"#VALUE!")</f>
        <v>#VALUE!</v>
      </c>
      <c r="C1115" s="94"/>
      <c r="D1115" s="94"/>
      <c r="E1115" s="94"/>
      <c r="F1115" s="94"/>
      <c r="G1115" s="94"/>
      <c r="H1115" s="94"/>
      <c r="I1115" s="94"/>
      <c r="J1115" s="94"/>
      <c r="K1115" s="94"/>
      <c r="L1115" s="94"/>
      <c r="M1115" s="94"/>
      <c r="N1115" s="94"/>
      <c r="O1115" s="94"/>
      <c r="P1115" s="94"/>
      <c r="Q1115" s="94"/>
      <c r="R1115" s="94"/>
      <c r="S1115" s="94"/>
      <c r="T1115" s="94"/>
      <c r="U1115" s="94"/>
      <c r="V1115" s="94"/>
      <c r="W1115" s="94"/>
      <c r="X1115" s="94"/>
      <c r="Y1115" s="94"/>
      <c r="Z1115" s="94"/>
      <c r="AA1115" s="94"/>
      <c r="AB1115" s="94"/>
      <c r="AC1115" s="94"/>
      <c r="AD1115" s="94"/>
      <c r="AE1115" s="94"/>
      <c r="AF1115" s="94"/>
      <c r="AG1115" s="94"/>
    </row>
    <row r="1116">
      <c r="A1116" s="96"/>
      <c r="B1116" s="95" t="str">
        <f>IFERROR(__xludf.DUMMYFUNCTION("""COMPUTED_VALUE"""),"#VALUE!")</f>
        <v>#VALUE!</v>
      </c>
      <c r="C1116" s="94"/>
      <c r="D1116" s="94"/>
      <c r="E1116" s="94"/>
      <c r="F1116" s="94"/>
      <c r="G1116" s="94"/>
      <c r="H1116" s="94"/>
      <c r="I1116" s="94"/>
      <c r="J1116" s="94"/>
      <c r="K1116" s="94"/>
      <c r="L1116" s="94"/>
      <c r="M1116" s="94"/>
      <c r="N1116" s="94"/>
      <c r="O1116" s="94"/>
      <c r="P1116" s="94"/>
      <c r="Q1116" s="94"/>
      <c r="R1116" s="94"/>
      <c r="S1116" s="94"/>
      <c r="T1116" s="94"/>
      <c r="U1116" s="94"/>
      <c r="V1116" s="94"/>
      <c r="W1116" s="94"/>
      <c r="X1116" s="94"/>
      <c r="Y1116" s="94"/>
      <c r="Z1116" s="94"/>
      <c r="AA1116" s="94"/>
      <c r="AB1116" s="94"/>
      <c r="AC1116" s="94"/>
      <c r="AD1116" s="94"/>
      <c r="AE1116" s="94"/>
      <c r="AF1116" s="94"/>
      <c r="AG1116" s="94"/>
    </row>
    <row r="1117">
      <c r="A1117" s="96"/>
      <c r="B1117" s="95" t="str">
        <f>IFERROR(__xludf.DUMMYFUNCTION("""COMPUTED_VALUE"""),"#VALUE!")</f>
        <v>#VALUE!</v>
      </c>
      <c r="C1117" s="94"/>
      <c r="D1117" s="94"/>
      <c r="E1117" s="94"/>
      <c r="F1117" s="94"/>
      <c r="G1117" s="94"/>
      <c r="H1117" s="94"/>
      <c r="I1117" s="94"/>
      <c r="J1117" s="94"/>
      <c r="K1117" s="94"/>
      <c r="L1117" s="94"/>
      <c r="M1117" s="94"/>
      <c r="N1117" s="94"/>
      <c r="O1117" s="94"/>
      <c r="P1117" s="94"/>
      <c r="Q1117" s="94"/>
      <c r="R1117" s="94"/>
      <c r="S1117" s="94"/>
      <c r="T1117" s="94"/>
      <c r="U1117" s="94"/>
      <c r="V1117" s="94"/>
      <c r="W1117" s="94"/>
      <c r="X1117" s="94"/>
      <c r="Y1117" s="94"/>
      <c r="Z1117" s="94"/>
      <c r="AA1117" s="94"/>
      <c r="AB1117" s="94"/>
      <c r="AC1117" s="94"/>
      <c r="AD1117" s="94"/>
      <c r="AE1117" s="94"/>
      <c r="AF1117" s="94"/>
      <c r="AG1117" s="94"/>
    </row>
    <row r="1118">
      <c r="A1118" s="96"/>
      <c r="B1118" s="95" t="str">
        <f>IFERROR(__xludf.DUMMYFUNCTION("""COMPUTED_VALUE"""),"#VALUE!")</f>
        <v>#VALUE!</v>
      </c>
      <c r="C1118" s="94"/>
      <c r="D1118" s="94"/>
      <c r="E1118" s="94"/>
      <c r="F1118" s="94"/>
      <c r="G1118" s="94"/>
      <c r="H1118" s="94"/>
      <c r="I1118" s="94"/>
      <c r="J1118" s="94"/>
      <c r="K1118" s="94"/>
      <c r="L1118" s="94"/>
      <c r="M1118" s="94"/>
      <c r="N1118" s="94"/>
      <c r="O1118" s="94"/>
      <c r="P1118" s="94"/>
      <c r="Q1118" s="94"/>
      <c r="R1118" s="94"/>
      <c r="S1118" s="94"/>
      <c r="T1118" s="94"/>
      <c r="U1118" s="94"/>
      <c r="V1118" s="94"/>
      <c r="W1118" s="94"/>
      <c r="X1118" s="94"/>
      <c r="Y1118" s="94"/>
      <c r="Z1118" s="94"/>
      <c r="AA1118" s="94"/>
      <c r="AB1118" s="94"/>
      <c r="AC1118" s="94"/>
      <c r="AD1118" s="94"/>
      <c r="AE1118" s="94"/>
      <c r="AF1118" s="94"/>
      <c r="AG1118" s="94"/>
    </row>
    <row r="1119">
      <c r="A1119" s="96"/>
      <c r="B1119" s="95" t="str">
        <f>IFERROR(__xludf.DUMMYFUNCTION("""COMPUTED_VALUE"""),"#VALUE!")</f>
        <v>#VALUE!</v>
      </c>
      <c r="C1119" s="94"/>
      <c r="D1119" s="94"/>
      <c r="E1119" s="94"/>
      <c r="F1119" s="94"/>
      <c r="G1119" s="94"/>
      <c r="H1119" s="94"/>
      <c r="I1119" s="94"/>
      <c r="J1119" s="94"/>
      <c r="K1119" s="94"/>
      <c r="L1119" s="94"/>
      <c r="M1119" s="94"/>
      <c r="N1119" s="94"/>
      <c r="O1119" s="94"/>
      <c r="P1119" s="94"/>
      <c r="Q1119" s="94"/>
      <c r="R1119" s="94"/>
      <c r="S1119" s="94"/>
      <c r="T1119" s="94"/>
      <c r="U1119" s="94"/>
      <c r="V1119" s="94"/>
      <c r="W1119" s="94"/>
      <c r="X1119" s="94"/>
      <c r="Y1119" s="94"/>
      <c r="Z1119" s="94"/>
      <c r="AA1119" s="94"/>
      <c r="AB1119" s="94"/>
      <c r="AC1119" s="94"/>
      <c r="AD1119" s="94"/>
      <c r="AE1119" s="94"/>
      <c r="AF1119" s="94"/>
      <c r="AG1119" s="94"/>
    </row>
    <row r="1120">
      <c r="A1120" s="96"/>
      <c r="B1120" s="95" t="str">
        <f>IFERROR(__xludf.DUMMYFUNCTION("""COMPUTED_VALUE"""),"#VALUE!")</f>
        <v>#VALUE!</v>
      </c>
      <c r="C1120" s="94"/>
      <c r="D1120" s="94"/>
      <c r="E1120" s="94"/>
      <c r="F1120" s="94"/>
      <c r="G1120" s="94"/>
      <c r="H1120" s="94"/>
      <c r="I1120" s="94"/>
      <c r="J1120" s="94"/>
      <c r="K1120" s="94"/>
      <c r="L1120" s="94"/>
      <c r="M1120" s="94"/>
      <c r="N1120" s="94"/>
      <c r="O1120" s="94"/>
      <c r="P1120" s="94"/>
      <c r="Q1120" s="94"/>
      <c r="R1120" s="94"/>
      <c r="S1120" s="94"/>
      <c r="T1120" s="94"/>
      <c r="U1120" s="94"/>
      <c r="V1120" s="94"/>
      <c r="W1120" s="94"/>
      <c r="X1120" s="94"/>
      <c r="Y1120" s="94"/>
      <c r="Z1120" s="94"/>
      <c r="AA1120" s="94"/>
      <c r="AB1120" s="94"/>
      <c r="AC1120" s="94"/>
      <c r="AD1120" s="94"/>
      <c r="AE1120" s="94"/>
      <c r="AF1120" s="94"/>
      <c r="AG1120" s="94"/>
    </row>
    <row r="1121">
      <c r="A1121" s="96"/>
      <c r="B1121" s="95" t="str">
        <f>IFERROR(__xludf.DUMMYFUNCTION("""COMPUTED_VALUE"""),"#VALUE!")</f>
        <v>#VALUE!</v>
      </c>
      <c r="C1121" s="94"/>
      <c r="D1121" s="94"/>
      <c r="E1121" s="94"/>
      <c r="F1121" s="94"/>
      <c r="G1121" s="94"/>
      <c r="H1121" s="94"/>
      <c r="I1121" s="94"/>
      <c r="J1121" s="94"/>
      <c r="K1121" s="94"/>
      <c r="L1121" s="94"/>
      <c r="M1121" s="94"/>
      <c r="N1121" s="94"/>
      <c r="O1121" s="94"/>
      <c r="P1121" s="94"/>
      <c r="Q1121" s="94"/>
      <c r="R1121" s="94"/>
      <c r="S1121" s="94"/>
      <c r="T1121" s="94"/>
      <c r="U1121" s="94"/>
      <c r="V1121" s="94"/>
      <c r="W1121" s="94"/>
      <c r="X1121" s="94"/>
      <c r="Y1121" s="94"/>
      <c r="Z1121" s="94"/>
      <c r="AA1121" s="94"/>
      <c r="AB1121" s="94"/>
      <c r="AC1121" s="94"/>
      <c r="AD1121" s="94"/>
      <c r="AE1121" s="94"/>
      <c r="AF1121" s="94"/>
      <c r="AG1121" s="94"/>
    </row>
    <row r="1122">
      <c r="A1122" s="96"/>
      <c r="B1122" s="95" t="str">
        <f>IFERROR(__xludf.DUMMYFUNCTION("""COMPUTED_VALUE"""),"#VALUE!")</f>
        <v>#VALUE!</v>
      </c>
      <c r="C1122" s="94"/>
      <c r="D1122" s="94"/>
      <c r="E1122" s="94"/>
      <c r="F1122" s="94"/>
      <c r="G1122" s="94"/>
      <c r="H1122" s="94"/>
      <c r="I1122" s="94"/>
      <c r="J1122" s="94"/>
      <c r="K1122" s="94"/>
      <c r="L1122" s="94"/>
      <c r="M1122" s="94"/>
      <c r="N1122" s="94"/>
      <c r="O1122" s="94"/>
      <c r="P1122" s="94"/>
      <c r="Q1122" s="94"/>
      <c r="R1122" s="94"/>
      <c r="S1122" s="94"/>
      <c r="T1122" s="94"/>
      <c r="U1122" s="94"/>
      <c r="V1122" s="94"/>
      <c r="W1122" s="94"/>
      <c r="X1122" s="94"/>
      <c r="Y1122" s="94"/>
      <c r="Z1122" s="94"/>
      <c r="AA1122" s="94"/>
      <c r="AB1122" s="94"/>
      <c r="AC1122" s="94"/>
      <c r="AD1122" s="94"/>
      <c r="AE1122" s="94"/>
      <c r="AF1122" s="94"/>
      <c r="AG1122" s="94"/>
    </row>
    <row r="1123">
      <c r="A1123" s="96"/>
      <c r="B1123" s="95" t="str">
        <f>IFERROR(__xludf.DUMMYFUNCTION("""COMPUTED_VALUE"""),"#VALUE!")</f>
        <v>#VALUE!</v>
      </c>
      <c r="C1123" s="94"/>
      <c r="D1123" s="94"/>
      <c r="E1123" s="94"/>
      <c r="F1123" s="94"/>
      <c r="G1123" s="94"/>
      <c r="H1123" s="94"/>
      <c r="I1123" s="94"/>
      <c r="J1123" s="94"/>
      <c r="K1123" s="94"/>
      <c r="L1123" s="94"/>
      <c r="M1123" s="94"/>
      <c r="N1123" s="94"/>
      <c r="O1123" s="94"/>
      <c r="P1123" s="94"/>
      <c r="Q1123" s="94"/>
      <c r="R1123" s="94"/>
      <c r="S1123" s="94"/>
      <c r="T1123" s="94"/>
      <c r="U1123" s="94"/>
      <c r="V1123" s="94"/>
      <c r="W1123" s="94"/>
      <c r="X1123" s="94"/>
      <c r="Y1123" s="94"/>
      <c r="Z1123" s="94"/>
      <c r="AA1123" s="94"/>
      <c r="AB1123" s="94"/>
      <c r="AC1123" s="94"/>
      <c r="AD1123" s="94"/>
      <c r="AE1123" s="94"/>
      <c r="AF1123" s="94"/>
      <c r="AG1123" s="94"/>
    </row>
    <row r="1124">
      <c r="A1124" s="96"/>
      <c r="B1124" s="95" t="str">
        <f>IFERROR(__xludf.DUMMYFUNCTION("""COMPUTED_VALUE"""),"#VALUE!")</f>
        <v>#VALUE!</v>
      </c>
      <c r="C1124" s="94"/>
      <c r="D1124" s="94"/>
      <c r="E1124" s="94"/>
      <c r="F1124" s="94"/>
      <c r="G1124" s="94"/>
      <c r="H1124" s="94"/>
      <c r="I1124" s="94"/>
      <c r="J1124" s="94"/>
      <c r="K1124" s="94"/>
      <c r="L1124" s="94"/>
      <c r="M1124" s="94"/>
      <c r="N1124" s="94"/>
      <c r="O1124" s="94"/>
      <c r="P1124" s="94"/>
      <c r="Q1124" s="94"/>
      <c r="R1124" s="94"/>
      <c r="S1124" s="94"/>
      <c r="T1124" s="94"/>
      <c r="U1124" s="94"/>
      <c r="V1124" s="94"/>
      <c r="W1124" s="94"/>
      <c r="X1124" s="94"/>
      <c r="Y1124" s="94"/>
      <c r="Z1124" s="94"/>
      <c r="AA1124" s="94"/>
      <c r="AB1124" s="94"/>
      <c r="AC1124" s="94"/>
      <c r="AD1124" s="94"/>
      <c r="AE1124" s="94"/>
      <c r="AF1124" s="94"/>
      <c r="AG1124" s="94"/>
    </row>
    <row r="1125">
      <c r="A1125" s="96"/>
      <c r="B1125" s="95" t="str">
        <f>IFERROR(__xludf.DUMMYFUNCTION("""COMPUTED_VALUE"""),"#VALUE!")</f>
        <v>#VALUE!</v>
      </c>
      <c r="C1125" s="94"/>
      <c r="D1125" s="94"/>
      <c r="E1125" s="94"/>
      <c r="F1125" s="94"/>
      <c r="G1125" s="94"/>
      <c r="H1125" s="94"/>
      <c r="I1125" s="94"/>
      <c r="J1125" s="94"/>
      <c r="K1125" s="94"/>
      <c r="L1125" s="94"/>
      <c r="M1125" s="94"/>
      <c r="N1125" s="94"/>
      <c r="O1125" s="94"/>
      <c r="P1125" s="94"/>
      <c r="Q1125" s="94"/>
      <c r="R1125" s="94"/>
      <c r="S1125" s="94"/>
      <c r="T1125" s="94"/>
      <c r="U1125" s="94"/>
      <c r="V1125" s="94"/>
      <c r="W1125" s="94"/>
      <c r="X1125" s="94"/>
      <c r="Y1125" s="94"/>
      <c r="Z1125" s="94"/>
      <c r="AA1125" s="94"/>
      <c r="AB1125" s="94"/>
      <c r="AC1125" s="94"/>
      <c r="AD1125" s="94"/>
      <c r="AE1125" s="94"/>
      <c r="AF1125" s="94"/>
      <c r="AG1125" s="94"/>
    </row>
    <row r="1126">
      <c r="A1126" s="96"/>
      <c r="B1126" s="95" t="str">
        <f>IFERROR(__xludf.DUMMYFUNCTION("""COMPUTED_VALUE"""),"#VALUE!")</f>
        <v>#VALUE!</v>
      </c>
      <c r="C1126" s="94"/>
      <c r="D1126" s="94"/>
      <c r="E1126" s="94"/>
      <c r="F1126" s="94"/>
      <c r="G1126" s="94"/>
      <c r="H1126" s="94"/>
      <c r="I1126" s="94"/>
      <c r="J1126" s="94"/>
      <c r="K1126" s="94"/>
      <c r="L1126" s="94"/>
      <c r="M1126" s="94"/>
      <c r="N1126" s="94"/>
      <c r="O1126" s="94"/>
      <c r="P1126" s="94"/>
      <c r="Q1126" s="94"/>
      <c r="R1126" s="94"/>
      <c r="S1126" s="94"/>
      <c r="T1126" s="94"/>
      <c r="U1126" s="94"/>
      <c r="V1126" s="94"/>
      <c r="W1126" s="94"/>
      <c r="X1126" s="94"/>
      <c r="Y1126" s="94"/>
      <c r="Z1126" s="94"/>
      <c r="AA1126" s="94"/>
      <c r="AB1126" s="94"/>
      <c r="AC1126" s="94"/>
      <c r="AD1126" s="94"/>
      <c r="AE1126" s="94"/>
      <c r="AF1126" s="94"/>
      <c r="AG1126" s="94"/>
    </row>
    <row r="1127">
      <c r="A1127" s="96"/>
      <c r="B1127" s="95" t="str">
        <f>IFERROR(__xludf.DUMMYFUNCTION("""COMPUTED_VALUE"""),"#VALUE!")</f>
        <v>#VALUE!</v>
      </c>
      <c r="C1127" s="94"/>
      <c r="D1127" s="94"/>
      <c r="E1127" s="94"/>
      <c r="F1127" s="94"/>
      <c r="G1127" s="94"/>
      <c r="H1127" s="94"/>
      <c r="I1127" s="94"/>
      <c r="J1127" s="94"/>
      <c r="K1127" s="94"/>
      <c r="L1127" s="94"/>
      <c r="M1127" s="94"/>
      <c r="N1127" s="94"/>
      <c r="O1127" s="94"/>
      <c r="P1127" s="94"/>
      <c r="Q1127" s="94"/>
      <c r="R1127" s="94"/>
      <c r="S1127" s="94"/>
      <c r="T1127" s="94"/>
      <c r="U1127" s="94"/>
      <c r="V1127" s="94"/>
      <c r="W1127" s="94"/>
      <c r="X1127" s="94"/>
      <c r="Y1127" s="94"/>
      <c r="Z1127" s="94"/>
      <c r="AA1127" s="94"/>
      <c r="AB1127" s="94"/>
      <c r="AC1127" s="94"/>
      <c r="AD1127" s="94"/>
      <c r="AE1127" s="94"/>
      <c r="AF1127" s="94"/>
      <c r="AG1127" s="94"/>
    </row>
    <row r="1128">
      <c r="A1128" s="96"/>
      <c r="B1128" s="95" t="str">
        <f>IFERROR(__xludf.DUMMYFUNCTION("""COMPUTED_VALUE"""),"#VALUE!")</f>
        <v>#VALUE!</v>
      </c>
      <c r="C1128" s="94"/>
      <c r="D1128" s="94"/>
      <c r="E1128" s="94"/>
      <c r="F1128" s="94"/>
      <c r="G1128" s="94"/>
      <c r="H1128" s="94"/>
      <c r="I1128" s="94"/>
      <c r="J1128" s="94"/>
      <c r="K1128" s="94"/>
      <c r="L1128" s="94"/>
      <c r="M1128" s="94"/>
      <c r="N1128" s="94"/>
      <c r="O1128" s="94"/>
      <c r="P1128" s="94"/>
      <c r="Q1128" s="94"/>
      <c r="R1128" s="94"/>
      <c r="S1128" s="94"/>
      <c r="T1128" s="94"/>
      <c r="U1128" s="94"/>
      <c r="V1128" s="94"/>
      <c r="W1128" s="94"/>
      <c r="X1128" s="94"/>
      <c r="Y1128" s="94"/>
      <c r="Z1128" s="94"/>
      <c r="AA1128" s="94"/>
      <c r="AB1128" s="94"/>
      <c r="AC1128" s="94"/>
      <c r="AD1128" s="94"/>
      <c r="AE1128" s="94"/>
      <c r="AF1128" s="94"/>
      <c r="AG1128" s="94"/>
    </row>
    <row r="1129">
      <c r="A1129" s="96"/>
      <c r="B1129" s="95" t="str">
        <f>IFERROR(__xludf.DUMMYFUNCTION("""COMPUTED_VALUE"""),"#VALUE!")</f>
        <v>#VALUE!</v>
      </c>
      <c r="C1129" s="94"/>
      <c r="D1129" s="94"/>
      <c r="E1129" s="94"/>
      <c r="F1129" s="94"/>
      <c r="G1129" s="94"/>
      <c r="H1129" s="94"/>
      <c r="I1129" s="94"/>
      <c r="J1129" s="94"/>
      <c r="K1129" s="94"/>
      <c r="L1129" s="94"/>
      <c r="M1129" s="94"/>
      <c r="N1129" s="94"/>
      <c r="O1129" s="94"/>
      <c r="P1129" s="94"/>
      <c r="Q1129" s="94"/>
      <c r="R1129" s="94"/>
      <c r="S1129" s="94"/>
      <c r="T1129" s="94"/>
      <c r="U1129" s="94"/>
      <c r="V1129" s="94"/>
      <c r="W1129" s="94"/>
      <c r="X1129" s="94"/>
      <c r="Y1129" s="94"/>
      <c r="Z1129" s="94"/>
      <c r="AA1129" s="94"/>
      <c r="AB1129" s="94"/>
      <c r="AC1129" s="94"/>
      <c r="AD1129" s="94"/>
      <c r="AE1129" s="94"/>
      <c r="AF1129" s="94"/>
      <c r="AG1129" s="94"/>
    </row>
    <row r="1130">
      <c r="A1130" s="96"/>
      <c r="B1130" s="95" t="str">
        <f>IFERROR(__xludf.DUMMYFUNCTION("""COMPUTED_VALUE"""),"#VALUE!")</f>
        <v>#VALUE!</v>
      </c>
      <c r="C1130" s="94"/>
      <c r="D1130" s="94"/>
      <c r="E1130" s="94"/>
      <c r="F1130" s="94"/>
      <c r="G1130" s="94"/>
      <c r="H1130" s="94"/>
      <c r="I1130" s="94"/>
      <c r="J1130" s="94"/>
      <c r="K1130" s="94"/>
      <c r="L1130" s="94"/>
      <c r="M1130" s="94"/>
      <c r="N1130" s="94"/>
      <c r="O1130" s="94"/>
      <c r="P1130" s="94"/>
      <c r="Q1130" s="94"/>
      <c r="R1130" s="94"/>
      <c r="S1130" s="94"/>
      <c r="T1130" s="94"/>
      <c r="U1130" s="94"/>
      <c r="V1130" s="94"/>
      <c r="W1130" s="94"/>
      <c r="X1130" s="94"/>
      <c r="Y1130" s="94"/>
      <c r="Z1130" s="94"/>
      <c r="AA1130" s="94"/>
      <c r="AB1130" s="94"/>
      <c r="AC1130" s="94"/>
      <c r="AD1130" s="94"/>
      <c r="AE1130" s="94"/>
      <c r="AF1130" s="94"/>
      <c r="AG1130" s="94"/>
    </row>
    <row r="1131">
      <c r="A1131" s="96"/>
      <c r="B1131" s="95" t="str">
        <f>IFERROR(__xludf.DUMMYFUNCTION("""COMPUTED_VALUE"""),"#VALUE!")</f>
        <v>#VALUE!</v>
      </c>
      <c r="C1131" s="94"/>
      <c r="D1131" s="94"/>
      <c r="E1131" s="94"/>
      <c r="F1131" s="94"/>
      <c r="G1131" s="94"/>
      <c r="H1131" s="94"/>
      <c r="I1131" s="94"/>
      <c r="J1131" s="94"/>
      <c r="K1131" s="94"/>
      <c r="L1131" s="94"/>
      <c r="M1131" s="94"/>
      <c r="N1131" s="94"/>
      <c r="O1131" s="94"/>
      <c r="P1131" s="94"/>
      <c r="Q1131" s="94"/>
      <c r="R1131" s="94"/>
      <c r="S1131" s="94"/>
      <c r="T1131" s="94"/>
      <c r="U1131" s="94"/>
      <c r="V1131" s="94"/>
      <c r="W1131" s="94"/>
      <c r="X1131" s="94"/>
      <c r="Y1131" s="94"/>
      <c r="Z1131" s="94"/>
      <c r="AA1131" s="94"/>
      <c r="AB1131" s="94"/>
      <c r="AC1131" s="94"/>
      <c r="AD1131" s="94"/>
      <c r="AE1131" s="94"/>
      <c r="AF1131" s="94"/>
      <c r="AG1131" s="94"/>
    </row>
    <row r="1132">
      <c r="A1132" s="96"/>
      <c r="B1132" s="95" t="str">
        <f>IFERROR(__xludf.DUMMYFUNCTION("""COMPUTED_VALUE"""),"#VALUE!")</f>
        <v>#VALUE!</v>
      </c>
      <c r="C1132" s="94"/>
      <c r="D1132" s="94"/>
      <c r="E1132" s="94"/>
      <c r="F1132" s="94"/>
      <c r="G1132" s="94"/>
      <c r="H1132" s="94"/>
      <c r="I1132" s="94"/>
      <c r="J1132" s="94"/>
      <c r="K1132" s="94"/>
      <c r="L1132" s="94"/>
      <c r="M1132" s="94"/>
      <c r="N1132" s="94"/>
      <c r="O1132" s="94"/>
      <c r="P1132" s="94"/>
      <c r="Q1132" s="94"/>
      <c r="R1132" s="94"/>
      <c r="S1132" s="94"/>
      <c r="T1132" s="94"/>
      <c r="U1132" s="94"/>
      <c r="V1132" s="94"/>
      <c r="W1132" s="94"/>
      <c r="X1132" s="94"/>
      <c r="Y1132" s="94"/>
      <c r="Z1132" s="94"/>
      <c r="AA1132" s="94"/>
      <c r="AB1132" s="94"/>
      <c r="AC1132" s="94"/>
      <c r="AD1132" s="94"/>
      <c r="AE1132" s="94"/>
      <c r="AF1132" s="94"/>
      <c r="AG1132" s="94"/>
    </row>
    <row r="1133">
      <c r="A1133" s="96"/>
      <c r="B1133" s="95" t="str">
        <f>IFERROR(__xludf.DUMMYFUNCTION("""COMPUTED_VALUE"""),"#VALUE!")</f>
        <v>#VALUE!</v>
      </c>
      <c r="C1133" s="94"/>
      <c r="D1133" s="94"/>
      <c r="E1133" s="94"/>
      <c r="F1133" s="94"/>
      <c r="G1133" s="94"/>
      <c r="H1133" s="94"/>
      <c r="I1133" s="94"/>
      <c r="J1133" s="94"/>
      <c r="K1133" s="94"/>
      <c r="L1133" s="94"/>
      <c r="M1133" s="94"/>
      <c r="N1133" s="94"/>
      <c r="O1133" s="94"/>
      <c r="P1133" s="94"/>
      <c r="Q1133" s="94"/>
      <c r="R1133" s="94"/>
      <c r="S1133" s="94"/>
      <c r="T1133" s="94"/>
      <c r="U1133" s="94"/>
      <c r="V1133" s="94"/>
      <c r="W1133" s="94"/>
      <c r="X1133" s="94"/>
      <c r="Y1133" s="94"/>
      <c r="Z1133" s="94"/>
      <c r="AA1133" s="94"/>
      <c r="AB1133" s="94"/>
      <c r="AC1133" s="94"/>
      <c r="AD1133" s="94"/>
      <c r="AE1133" s="94"/>
      <c r="AF1133" s="94"/>
      <c r="AG1133" s="94"/>
    </row>
    <row r="1134">
      <c r="A1134" s="96"/>
      <c r="B1134" s="95" t="str">
        <f>IFERROR(__xludf.DUMMYFUNCTION("""COMPUTED_VALUE"""),"#VALUE!")</f>
        <v>#VALUE!</v>
      </c>
      <c r="C1134" s="94"/>
      <c r="D1134" s="94"/>
      <c r="E1134" s="94"/>
      <c r="F1134" s="94"/>
      <c r="G1134" s="94"/>
      <c r="H1134" s="94"/>
      <c r="I1134" s="94"/>
      <c r="J1134" s="94"/>
      <c r="K1134" s="94"/>
      <c r="L1134" s="94"/>
      <c r="M1134" s="94"/>
      <c r="N1134" s="94"/>
      <c r="O1134" s="94"/>
      <c r="P1134" s="94"/>
      <c r="Q1134" s="94"/>
      <c r="R1134" s="94"/>
      <c r="S1134" s="94"/>
      <c r="T1134" s="94"/>
      <c r="U1134" s="94"/>
      <c r="V1134" s="94"/>
      <c r="W1134" s="94"/>
      <c r="X1134" s="94"/>
      <c r="Y1134" s="94"/>
      <c r="Z1134" s="94"/>
      <c r="AA1134" s="94"/>
      <c r="AB1134" s="94"/>
      <c r="AC1134" s="94"/>
      <c r="AD1134" s="94"/>
      <c r="AE1134" s="94"/>
      <c r="AF1134" s="94"/>
      <c r="AG1134" s="94"/>
    </row>
    <row r="1135">
      <c r="A1135" s="96"/>
      <c r="B1135" s="95" t="str">
        <f>IFERROR(__xludf.DUMMYFUNCTION("""COMPUTED_VALUE"""),"#VALUE!")</f>
        <v>#VALUE!</v>
      </c>
      <c r="C1135" s="94"/>
      <c r="D1135" s="94"/>
      <c r="E1135" s="94"/>
      <c r="F1135" s="94"/>
      <c r="G1135" s="94"/>
      <c r="H1135" s="94"/>
      <c r="I1135" s="94"/>
      <c r="J1135" s="94"/>
      <c r="K1135" s="94"/>
      <c r="L1135" s="94"/>
      <c r="M1135" s="94"/>
      <c r="N1135" s="94"/>
      <c r="O1135" s="94"/>
      <c r="P1135" s="94"/>
      <c r="Q1135" s="94"/>
      <c r="R1135" s="94"/>
      <c r="S1135" s="94"/>
      <c r="T1135" s="94"/>
      <c r="U1135" s="94"/>
      <c r="V1135" s="94"/>
      <c r="W1135" s="94"/>
      <c r="X1135" s="94"/>
      <c r="Y1135" s="94"/>
      <c r="Z1135" s="94"/>
      <c r="AA1135" s="94"/>
      <c r="AB1135" s="94"/>
      <c r="AC1135" s="94"/>
      <c r="AD1135" s="94"/>
      <c r="AE1135" s="94"/>
      <c r="AF1135" s="94"/>
      <c r="AG1135" s="94"/>
    </row>
    <row r="1136">
      <c r="A1136" s="96"/>
      <c r="B1136" s="95" t="str">
        <f>IFERROR(__xludf.DUMMYFUNCTION("""COMPUTED_VALUE"""),"#VALUE!")</f>
        <v>#VALUE!</v>
      </c>
      <c r="C1136" s="94"/>
      <c r="D1136" s="94"/>
      <c r="E1136" s="94"/>
      <c r="F1136" s="94"/>
      <c r="G1136" s="94"/>
      <c r="H1136" s="94"/>
      <c r="I1136" s="94"/>
      <c r="J1136" s="94"/>
      <c r="K1136" s="94"/>
      <c r="L1136" s="94"/>
      <c r="M1136" s="94"/>
      <c r="N1136" s="94"/>
      <c r="O1136" s="94"/>
      <c r="P1136" s="94"/>
      <c r="Q1136" s="94"/>
      <c r="R1136" s="94"/>
      <c r="S1136" s="94"/>
      <c r="T1136" s="94"/>
      <c r="U1136" s="94"/>
      <c r="V1136" s="94"/>
      <c r="W1136" s="94"/>
      <c r="X1136" s="94"/>
      <c r="Y1136" s="94"/>
      <c r="Z1136" s="94"/>
      <c r="AA1136" s="94"/>
      <c r="AB1136" s="94"/>
      <c r="AC1136" s="94"/>
      <c r="AD1136" s="94"/>
      <c r="AE1136" s="94"/>
      <c r="AF1136" s="94"/>
      <c r="AG1136" s="94"/>
    </row>
    <row r="1137">
      <c r="A1137" s="96"/>
      <c r="B1137" s="95" t="str">
        <f>IFERROR(__xludf.DUMMYFUNCTION("""COMPUTED_VALUE"""),"#VALUE!")</f>
        <v>#VALUE!</v>
      </c>
      <c r="C1137" s="94"/>
      <c r="D1137" s="94"/>
      <c r="E1137" s="94"/>
      <c r="F1137" s="94"/>
      <c r="G1137" s="94"/>
      <c r="H1137" s="94"/>
      <c r="I1137" s="94"/>
      <c r="J1137" s="94"/>
      <c r="K1137" s="94"/>
      <c r="L1137" s="94"/>
      <c r="M1137" s="94"/>
      <c r="N1137" s="94"/>
      <c r="O1137" s="94"/>
      <c r="P1137" s="94"/>
      <c r="Q1137" s="94"/>
      <c r="R1137" s="94"/>
      <c r="S1137" s="94"/>
      <c r="T1137" s="94"/>
      <c r="U1137" s="94"/>
      <c r="V1137" s="94"/>
      <c r="W1137" s="94"/>
      <c r="X1137" s="94"/>
      <c r="Y1137" s="94"/>
      <c r="Z1137" s="94"/>
      <c r="AA1137" s="94"/>
      <c r="AB1137" s="94"/>
      <c r="AC1137" s="94"/>
      <c r="AD1137" s="94"/>
      <c r="AE1137" s="94"/>
      <c r="AF1137" s="94"/>
      <c r="AG1137" s="94"/>
    </row>
    <row r="1138">
      <c r="A1138" s="96"/>
      <c r="B1138" s="95" t="str">
        <f>IFERROR(__xludf.DUMMYFUNCTION("""COMPUTED_VALUE"""),"#VALUE!")</f>
        <v>#VALUE!</v>
      </c>
      <c r="C1138" s="94"/>
      <c r="D1138" s="94"/>
      <c r="E1138" s="94"/>
      <c r="F1138" s="94"/>
      <c r="G1138" s="94"/>
      <c r="H1138" s="94"/>
      <c r="I1138" s="94"/>
      <c r="J1138" s="94"/>
      <c r="K1138" s="94"/>
      <c r="L1138" s="94"/>
      <c r="M1138" s="94"/>
      <c r="N1138" s="94"/>
      <c r="O1138" s="94"/>
      <c r="P1138" s="94"/>
      <c r="Q1138" s="94"/>
      <c r="R1138" s="94"/>
      <c r="S1138" s="94"/>
      <c r="T1138" s="94"/>
      <c r="U1138" s="94"/>
      <c r="V1138" s="94"/>
      <c r="W1138" s="94"/>
      <c r="X1138" s="94"/>
      <c r="Y1138" s="94"/>
      <c r="Z1138" s="94"/>
      <c r="AA1138" s="94"/>
      <c r="AB1138" s="94"/>
      <c r="AC1138" s="94"/>
      <c r="AD1138" s="94"/>
      <c r="AE1138" s="94"/>
      <c r="AF1138" s="94"/>
      <c r="AG1138" s="94"/>
    </row>
    <row r="1139">
      <c r="A1139" s="96"/>
      <c r="B1139" s="95" t="str">
        <f>IFERROR(__xludf.DUMMYFUNCTION("""COMPUTED_VALUE"""),"#VALUE!")</f>
        <v>#VALUE!</v>
      </c>
      <c r="C1139" s="94"/>
      <c r="D1139" s="94"/>
      <c r="E1139" s="94"/>
      <c r="F1139" s="94"/>
      <c r="G1139" s="94"/>
      <c r="H1139" s="94"/>
      <c r="I1139" s="94"/>
      <c r="J1139" s="94"/>
      <c r="K1139" s="94"/>
      <c r="L1139" s="94"/>
      <c r="M1139" s="94"/>
      <c r="N1139" s="94"/>
      <c r="O1139" s="94"/>
      <c r="P1139" s="94"/>
      <c r="Q1139" s="94"/>
      <c r="R1139" s="94"/>
      <c r="S1139" s="94"/>
      <c r="T1139" s="94"/>
      <c r="U1139" s="94"/>
      <c r="V1139" s="94"/>
      <c r="W1139" s="94"/>
      <c r="X1139" s="94"/>
      <c r="Y1139" s="94"/>
      <c r="Z1139" s="94"/>
      <c r="AA1139" s="94"/>
      <c r="AB1139" s="94"/>
      <c r="AC1139" s="94"/>
      <c r="AD1139" s="94"/>
      <c r="AE1139" s="94"/>
      <c r="AF1139" s="94"/>
      <c r="AG1139" s="94"/>
    </row>
    <row r="1140">
      <c r="A1140" s="96"/>
      <c r="B1140" s="95" t="str">
        <f>IFERROR(__xludf.DUMMYFUNCTION("""COMPUTED_VALUE"""),"#VALUE!")</f>
        <v>#VALUE!</v>
      </c>
      <c r="C1140" s="94"/>
      <c r="D1140" s="94"/>
      <c r="E1140" s="94"/>
      <c r="F1140" s="94"/>
      <c r="G1140" s="94"/>
      <c r="H1140" s="94"/>
      <c r="I1140" s="94"/>
      <c r="J1140" s="94"/>
      <c r="K1140" s="94"/>
      <c r="L1140" s="94"/>
      <c r="M1140" s="94"/>
      <c r="N1140" s="94"/>
      <c r="O1140" s="94"/>
      <c r="P1140" s="94"/>
      <c r="Q1140" s="94"/>
      <c r="R1140" s="94"/>
      <c r="S1140" s="94"/>
      <c r="T1140" s="94"/>
      <c r="U1140" s="94"/>
      <c r="V1140" s="94"/>
      <c r="W1140" s="94"/>
      <c r="X1140" s="94"/>
      <c r="Y1140" s="94"/>
      <c r="Z1140" s="94"/>
      <c r="AA1140" s="94"/>
      <c r="AB1140" s="94"/>
      <c r="AC1140" s="94"/>
      <c r="AD1140" s="94"/>
      <c r="AE1140" s="94"/>
      <c r="AF1140" s="94"/>
      <c r="AG1140" s="94"/>
    </row>
    <row r="1141">
      <c r="A1141" s="96"/>
      <c r="B1141" s="95" t="str">
        <f>IFERROR(__xludf.DUMMYFUNCTION("""COMPUTED_VALUE"""),"#VALUE!")</f>
        <v>#VALUE!</v>
      </c>
      <c r="C1141" s="94"/>
      <c r="D1141" s="94"/>
      <c r="E1141" s="94"/>
      <c r="F1141" s="94"/>
      <c r="G1141" s="94"/>
      <c r="H1141" s="94"/>
      <c r="I1141" s="94"/>
      <c r="J1141" s="94"/>
      <c r="K1141" s="94"/>
      <c r="L1141" s="94"/>
      <c r="M1141" s="94"/>
      <c r="N1141" s="94"/>
      <c r="O1141" s="94"/>
      <c r="P1141" s="94"/>
      <c r="Q1141" s="94"/>
      <c r="R1141" s="94"/>
      <c r="S1141" s="94"/>
      <c r="T1141" s="94"/>
      <c r="U1141" s="94"/>
      <c r="V1141" s="94"/>
      <c r="W1141" s="94"/>
      <c r="X1141" s="94"/>
      <c r="Y1141" s="94"/>
      <c r="Z1141" s="94"/>
      <c r="AA1141" s="94"/>
      <c r="AB1141" s="94"/>
      <c r="AC1141" s="94"/>
      <c r="AD1141" s="94"/>
      <c r="AE1141" s="94"/>
      <c r="AF1141" s="94"/>
      <c r="AG1141" s="94"/>
    </row>
    <row r="1142">
      <c r="A1142" s="96"/>
      <c r="B1142" s="95" t="str">
        <f>IFERROR(__xludf.DUMMYFUNCTION("""COMPUTED_VALUE"""),"#VALUE!")</f>
        <v>#VALUE!</v>
      </c>
      <c r="C1142" s="94"/>
      <c r="D1142" s="94"/>
      <c r="E1142" s="94"/>
      <c r="F1142" s="94"/>
      <c r="G1142" s="94"/>
      <c r="H1142" s="94"/>
      <c r="I1142" s="94"/>
      <c r="J1142" s="94"/>
      <c r="K1142" s="94"/>
      <c r="L1142" s="94"/>
      <c r="M1142" s="94"/>
      <c r="N1142" s="94"/>
      <c r="O1142" s="94"/>
      <c r="P1142" s="94"/>
      <c r="Q1142" s="94"/>
      <c r="R1142" s="94"/>
      <c r="S1142" s="94"/>
      <c r="T1142" s="94"/>
      <c r="U1142" s="94"/>
      <c r="V1142" s="94"/>
      <c r="W1142" s="94"/>
      <c r="X1142" s="94"/>
      <c r="Y1142" s="94"/>
      <c r="Z1142" s="94"/>
      <c r="AA1142" s="94"/>
      <c r="AB1142" s="94"/>
      <c r="AC1142" s="94"/>
      <c r="AD1142" s="94"/>
      <c r="AE1142" s="94"/>
      <c r="AF1142" s="94"/>
      <c r="AG1142" s="94"/>
    </row>
    <row r="1143">
      <c r="A1143" s="96"/>
      <c r="B1143" s="95" t="str">
        <f>IFERROR(__xludf.DUMMYFUNCTION("""COMPUTED_VALUE"""),"#VALUE!")</f>
        <v>#VALUE!</v>
      </c>
      <c r="C1143" s="94"/>
      <c r="D1143" s="94"/>
      <c r="E1143" s="94"/>
      <c r="F1143" s="94"/>
      <c r="G1143" s="94"/>
      <c r="H1143" s="94"/>
      <c r="I1143" s="94"/>
      <c r="J1143" s="94"/>
      <c r="K1143" s="94"/>
      <c r="L1143" s="94"/>
      <c r="M1143" s="94"/>
      <c r="N1143" s="94"/>
      <c r="O1143" s="94"/>
      <c r="P1143" s="94"/>
      <c r="Q1143" s="94"/>
      <c r="R1143" s="94"/>
      <c r="S1143" s="94"/>
      <c r="T1143" s="94"/>
      <c r="U1143" s="94"/>
      <c r="V1143" s="94"/>
      <c r="W1143" s="94"/>
      <c r="X1143" s="94"/>
      <c r="Y1143" s="94"/>
      <c r="Z1143" s="94"/>
      <c r="AA1143" s="94"/>
      <c r="AB1143" s="94"/>
      <c r="AC1143" s="94"/>
      <c r="AD1143" s="94"/>
      <c r="AE1143" s="94"/>
      <c r="AF1143" s="94"/>
      <c r="AG1143" s="94"/>
    </row>
    <row r="1144">
      <c r="A1144" s="96"/>
      <c r="B1144" s="95" t="str">
        <f>IFERROR(__xludf.DUMMYFUNCTION("""COMPUTED_VALUE"""),"#VALUE!")</f>
        <v>#VALUE!</v>
      </c>
      <c r="C1144" s="94"/>
      <c r="D1144" s="94"/>
      <c r="E1144" s="94"/>
      <c r="F1144" s="94"/>
      <c r="G1144" s="94"/>
      <c r="H1144" s="94"/>
      <c r="I1144" s="94"/>
      <c r="J1144" s="94"/>
      <c r="K1144" s="94"/>
      <c r="L1144" s="94"/>
      <c r="M1144" s="94"/>
      <c r="N1144" s="94"/>
      <c r="O1144" s="94"/>
      <c r="P1144" s="94"/>
      <c r="Q1144" s="94"/>
      <c r="R1144" s="94"/>
      <c r="S1144" s="94"/>
      <c r="T1144" s="94"/>
      <c r="U1144" s="94"/>
      <c r="V1144" s="94"/>
      <c r="W1144" s="94"/>
      <c r="X1144" s="94"/>
      <c r="Y1144" s="94"/>
      <c r="Z1144" s="94"/>
      <c r="AA1144" s="94"/>
      <c r="AB1144" s="94"/>
      <c r="AC1144" s="94"/>
      <c r="AD1144" s="94"/>
      <c r="AE1144" s="94"/>
      <c r="AF1144" s="94"/>
      <c r="AG1144" s="94"/>
    </row>
    <row r="1145">
      <c r="A1145" s="96"/>
      <c r="B1145" s="95" t="str">
        <f>IFERROR(__xludf.DUMMYFUNCTION("""COMPUTED_VALUE"""),"#VALUE!")</f>
        <v>#VALUE!</v>
      </c>
      <c r="C1145" s="94"/>
      <c r="D1145" s="94"/>
      <c r="E1145" s="94"/>
      <c r="F1145" s="94"/>
      <c r="G1145" s="94"/>
      <c r="H1145" s="94"/>
      <c r="I1145" s="94"/>
      <c r="J1145" s="94"/>
      <c r="K1145" s="94"/>
      <c r="L1145" s="94"/>
      <c r="M1145" s="94"/>
      <c r="N1145" s="94"/>
      <c r="O1145" s="94"/>
      <c r="P1145" s="94"/>
      <c r="Q1145" s="94"/>
      <c r="R1145" s="94"/>
      <c r="S1145" s="94"/>
      <c r="T1145" s="94"/>
      <c r="U1145" s="94"/>
      <c r="V1145" s="94"/>
      <c r="W1145" s="94"/>
      <c r="X1145" s="94"/>
      <c r="Y1145" s="94"/>
      <c r="Z1145" s="94"/>
      <c r="AA1145" s="94"/>
      <c r="AB1145" s="94"/>
      <c r="AC1145" s="94"/>
      <c r="AD1145" s="94"/>
      <c r="AE1145" s="94"/>
      <c r="AF1145" s="94"/>
      <c r="AG1145" s="94"/>
    </row>
    <row r="1146">
      <c r="A1146" s="96"/>
      <c r="B1146" s="95" t="str">
        <f>IFERROR(__xludf.DUMMYFUNCTION("""COMPUTED_VALUE"""),"#VALUE!")</f>
        <v>#VALUE!</v>
      </c>
      <c r="C1146" s="94"/>
      <c r="D1146" s="94"/>
      <c r="E1146" s="94"/>
      <c r="F1146" s="94"/>
      <c r="G1146" s="94"/>
      <c r="H1146" s="94"/>
      <c r="I1146" s="94"/>
      <c r="J1146" s="94"/>
      <c r="K1146" s="94"/>
      <c r="L1146" s="94"/>
      <c r="M1146" s="94"/>
      <c r="N1146" s="94"/>
      <c r="O1146" s="94"/>
      <c r="P1146" s="94"/>
      <c r="Q1146" s="94"/>
      <c r="R1146" s="94"/>
      <c r="S1146" s="94"/>
      <c r="T1146" s="94"/>
      <c r="U1146" s="94"/>
      <c r="V1146" s="94"/>
      <c r="W1146" s="94"/>
      <c r="X1146" s="94"/>
      <c r="Y1146" s="94"/>
      <c r="Z1146" s="94"/>
      <c r="AA1146" s="94"/>
      <c r="AB1146" s="94"/>
      <c r="AC1146" s="94"/>
      <c r="AD1146" s="94"/>
      <c r="AE1146" s="94"/>
      <c r="AF1146" s="94"/>
      <c r="AG1146" s="94"/>
    </row>
    <row r="1147">
      <c r="A1147" s="96"/>
      <c r="B1147" s="95" t="str">
        <f>IFERROR(__xludf.DUMMYFUNCTION("""COMPUTED_VALUE"""),"#VALUE!")</f>
        <v>#VALUE!</v>
      </c>
      <c r="C1147" s="94"/>
      <c r="D1147" s="94"/>
      <c r="E1147" s="94"/>
      <c r="F1147" s="94"/>
      <c r="G1147" s="94"/>
      <c r="H1147" s="94"/>
      <c r="I1147" s="94"/>
      <c r="J1147" s="94"/>
      <c r="K1147" s="94"/>
      <c r="L1147" s="94"/>
      <c r="M1147" s="94"/>
      <c r="N1147" s="94"/>
      <c r="O1147" s="94"/>
      <c r="P1147" s="94"/>
      <c r="Q1147" s="94"/>
      <c r="R1147" s="94"/>
      <c r="S1147" s="94"/>
      <c r="T1147" s="94"/>
      <c r="U1147" s="94"/>
      <c r="V1147" s="94"/>
      <c r="W1147" s="94"/>
      <c r="X1147" s="94"/>
      <c r="Y1147" s="94"/>
      <c r="Z1147" s="94"/>
      <c r="AA1147" s="94"/>
      <c r="AB1147" s="94"/>
      <c r="AC1147" s="94"/>
      <c r="AD1147" s="94"/>
      <c r="AE1147" s="94"/>
      <c r="AF1147" s="94"/>
      <c r="AG1147" s="94"/>
    </row>
    <row r="1148">
      <c r="A1148" s="96"/>
      <c r="B1148" s="95" t="str">
        <f>IFERROR(__xludf.DUMMYFUNCTION("""COMPUTED_VALUE"""),"#VALUE!")</f>
        <v>#VALUE!</v>
      </c>
      <c r="C1148" s="94"/>
      <c r="D1148" s="94"/>
      <c r="E1148" s="94"/>
      <c r="F1148" s="94"/>
      <c r="G1148" s="94"/>
      <c r="H1148" s="94"/>
      <c r="I1148" s="94"/>
      <c r="J1148" s="94"/>
      <c r="K1148" s="94"/>
      <c r="L1148" s="94"/>
      <c r="M1148" s="94"/>
      <c r="N1148" s="94"/>
      <c r="O1148" s="94"/>
      <c r="P1148" s="94"/>
      <c r="Q1148" s="94"/>
      <c r="R1148" s="94"/>
      <c r="S1148" s="94"/>
      <c r="T1148" s="94"/>
      <c r="U1148" s="94"/>
      <c r="V1148" s="94"/>
      <c r="W1148" s="94"/>
      <c r="X1148" s="94"/>
      <c r="Y1148" s="94"/>
      <c r="Z1148" s="94"/>
      <c r="AA1148" s="94"/>
      <c r="AB1148" s="94"/>
      <c r="AC1148" s="94"/>
      <c r="AD1148" s="94"/>
      <c r="AE1148" s="94"/>
      <c r="AF1148" s="94"/>
      <c r="AG1148" s="94"/>
    </row>
    <row r="1149">
      <c r="A1149" s="96"/>
      <c r="B1149" s="95" t="str">
        <f>IFERROR(__xludf.DUMMYFUNCTION("""COMPUTED_VALUE"""),"#VALUE!")</f>
        <v>#VALUE!</v>
      </c>
      <c r="C1149" s="94"/>
      <c r="D1149" s="94"/>
      <c r="E1149" s="94"/>
      <c r="F1149" s="94"/>
      <c r="G1149" s="94"/>
      <c r="H1149" s="94"/>
      <c r="I1149" s="94"/>
      <c r="J1149" s="94"/>
      <c r="K1149" s="94"/>
      <c r="L1149" s="94"/>
      <c r="M1149" s="94"/>
      <c r="N1149" s="94"/>
      <c r="O1149" s="94"/>
      <c r="P1149" s="94"/>
      <c r="Q1149" s="94"/>
      <c r="R1149" s="94"/>
      <c r="S1149" s="94"/>
      <c r="T1149" s="94"/>
      <c r="U1149" s="94"/>
      <c r="V1149" s="94"/>
      <c r="W1149" s="94"/>
      <c r="X1149" s="94"/>
      <c r="Y1149" s="94"/>
      <c r="Z1149" s="94"/>
      <c r="AA1149" s="94"/>
      <c r="AB1149" s="94"/>
      <c r="AC1149" s="94"/>
      <c r="AD1149" s="94"/>
      <c r="AE1149" s="94"/>
      <c r="AF1149" s="94"/>
      <c r="AG1149" s="94"/>
    </row>
    <row r="1150">
      <c r="A1150" s="96"/>
      <c r="B1150" s="95" t="str">
        <f>IFERROR(__xludf.DUMMYFUNCTION("""COMPUTED_VALUE"""),"#VALUE!")</f>
        <v>#VALUE!</v>
      </c>
      <c r="C1150" s="94"/>
      <c r="D1150" s="94"/>
      <c r="E1150" s="94"/>
      <c r="F1150" s="94"/>
      <c r="G1150" s="94"/>
      <c r="H1150" s="94"/>
      <c r="I1150" s="94"/>
      <c r="J1150" s="94"/>
      <c r="K1150" s="94"/>
      <c r="L1150" s="94"/>
      <c r="M1150" s="94"/>
      <c r="N1150" s="94"/>
      <c r="O1150" s="94"/>
      <c r="P1150" s="94"/>
      <c r="Q1150" s="94"/>
      <c r="R1150" s="94"/>
      <c r="S1150" s="94"/>
      <c r="T1150" s="94"/>
      <c r="U1150" s="94"/>
      <c r="V1150" s="94"/>
      <c r="W1150" s="94"/>
      <c r="X1150" s="94"/>
      <c r="Y1150" s="94"/>
      <c r="Z1150" s="94"/>
      <c r="AA1150" s="94"/>
      <c r="AB1150" s="94"/>
      <c r="AC1150" s="94"/>
      <c r="AD1150" s="94"/>
      <c r="AE1150" s="94"/>
      <c r="AF1150" s="94"/>
      <c r="AG1150" s="94"/>
    </row>
    <row r="1151">
      <c r="A1151" s="96"/>
      <c r="B1151" s="95" t="str">
        <f>IFERROR(__xludf.DUMMYFUNCTION("""COMPUTED_VALUE"""),"#VALUE!")</f>
        <v>#VALUE!</v>
      </c>
      <c r="C1151" s="94"/>
      <c r="D1151" s="94"/>
      <c r="E1151" s="94"/>
      <c r="F1151" s="94"/>
      <c r="G1151" s="94"/>
      <c r="H1151" s="94"/>
      <c r="I1151" s="94"/>
      <c r="J1151" s="94"/>
      <c r="K1151" s="94"/>
      <c r="L1151" s="94"/>
      <c r="M1151" s="94"/>
      <c r="N1151" s="94"/>
      <c r="O1151" s="94"/>
      <c r="P1151" s="94"/>
      <c r="Q1151" s="94"/>
      <c r="R1151" s="94"/>
      <c r="S1151" s="94"/>
      <c r="T1151" s="94"/>
      <c r="U1151" s="94"/>
      <c r="V1151" s="94"/>
      <c r="W1151" s="94"/>
      <c r="X1151" s="94"/>
      <c r="Y1151" s="94"/>
      <c r="Z1151" s="94"/>
      <c r="AA1151" s="94"/>
      <c r="AB1151" s="94"/>
      <c r="AC1151" s="94"/>
      <c r="AD1151" s="94"/>
      <c r="AE1151" s="94"/>
      <c r="AF1151" s="94"/>
      <c r="AG1151" s="94"/>
    </row>
    <row r="1152">
      <c r="A1152" s="96"/>
      <c r="B1152" s="95" t="str">
        <f>IFERROR(__xludf.DUMMYFUNCTION("""COMPUTED_VALUE"""),"#VALUE!")</f>
        <v>#VALUE!</v>
      </c>
      <c r="C1152" s="94"/>
      <c r="D1152" s="94"/>
      <c r="E1152" s="94"/>
      <c r="F1152" s="94"/>
      <c r="G1152" s="94"/>
      <c r="H1152" s="94"/>
      <c r="I1152" s="94"/>
      <c r="J1152" s="94"/>
      <c r="K1152" s="94"/>
      <c r="L1152" s="94"/>
      <c r="M1152" s="94"/>
      <c r="N1152" s="94"/>
      <c r="O1152" s="94"/>
      <c r="P1152" s="94"/>
      <c r="Q1152" s="94"/>
      <c r="R1152" s="94"/>
      <c r="S1152" s="94"/>
      <c r="T1152" s="94"/>
      <c r="U1152" s="94"/>
      <c r="V1152" s="94"/>
      <c r="W1152" s="94"/>
      <c r="X1152" s="94"/>
      <c r="Y1152" s="94"/>
      <c r="Z1152" s="94"/>
      <c r="AA1152" s="94"/>
      <c r="AB1152" s="94"/>
      <c r="AC1152" s="94"/>
      <c r="AD1152" s="94"/>
      <c r="AE1152" s="94"/>
      <c r="AF1152" s="94"/>
      <c r="AG1152" s="94"/>
    </row>
    <row r="1153">
      <c r="A1153" s="96"/>
      <c r="B1153" s="95" t="str">
        <f>IFERROR(__xludf.DUMMYFUNCTION("""COMPUTED_VALUE"""),"#VALUE!")</f>
        <v>#VALUE!</v>
      </c>
      <c r="C1153" s="94"/>
      <c r="D1153" s="94"/>
      <c r="E1153" s="94"/>
      <c r="F1153" s="94"/>
      <c r="G1153" s="94"/>
      <c r="H1153" s="94"/>
      <c r="I1153" s="94"/>
      <c r="J1153" s="94"/>
      <c r="K1153" s="94"/>
      <c r="L1153" s="94"/>
      <c r="M1153" s="94"/>
      <c r="N1153" s="94"/>
      <c r="O1153" s="94"/>
      <c r="P1153" s="94"/>
      <c r="Q1153" s="94"/>
      <c r="R1153" s="94"/>
      <c r="S1153" s="94"/>
      <c r="T1153" s="94"/>
      <c r="U1153" s="94"/>
      <c r="V1153" s="94"/>
      <c r="W1153" s="94"/>
      <c r="X1153" s="94"/>
      <c r="Y1153" s="94"/>
      <c r="Z1153" s="94"/>
      <c r="AA1153" s="94"/>
      <c r="AB1153" s="94"/>
      <c r="AC1153" s="94"/>
      <c r="AD1153" s="94"/>
      <c r="AE1153" s="94"/>
      <c r="AF1153" s="94"/>
      <c r="AG1153" s="94"/>
    </row>
    <row r="1154">
      <c r="A1154" s="96"/>
      <c r="B1154" s="95" t="str">
        <f>IFERROR(__xludf.DUMMYFUNCTION("""COMPUTED_VALUE"""),"#VALUE!")</f>
        <v>#VALUE!</v>
      </c>
      <c r="C1154" s="94"/>
      <c r="D1154" s="94"/>
      <c r="E1154" s="94"/>
      <c r="F1154" s="94"/>
      <c r="G1154" s="94"/>
      <c r="H1154" s="94"/>
      <c r="I1154" s="94"/>
      <c r="J1154" s="94"/>
      <c r="K1154" s="94"/>
      <c r="L1154" s="94"/>
      <c r="M1154" s="94"/>
      <c r="N1154" s="94"/>
      <c r="O1154" s="94"/>
      <c r="P1154" s="94"/>
      <c r="Q1154" s="94"/>
      <c r="R1154" s="94"/>
      <c r="S1154" s="94"/>
      <c r="T1154" s="94"/>
      <c r="U1154" s="94"/>
      <c r="V1154" s="94"/>
      <c r="W1154" s="94"/>
      <c r="X1154" s="94"/>
      <c r="Y1154" s="94"/>
      <c r="Z1154" s="94"/>
      <c r="AA1154" s="94"/>
      <c r="AB1154" s="94"/>
      <c r="AC1154" s="94"/>
      <c r="AD1154" s="94"/>
      <c r="AE1154" s="94"/>
      <c r="AF1154" s="94"/>
      <c r="AG1154" s="94"/>
    </row>
    <row r="1155">
      <c r="A1155" s="96"/>
      <c r="B1155" s="95" t="str">
        <f>IFERROR(__xludf.DUMMYFUNCTION("""COMPUTED_VALUE"""),"#VALUE!")</f>
        <v>#VALUE!</v>
      </c>
      <c r="C1155" s="94"/>
      <c r="D1155" s="94"/>
      <c r="E1155" s="94"/>
      <c r="F1155" s="94"/>
      <c r="G1155" s="94"/>
      <c r="H1155" s="94"/>
      <c r="I1155" s="94"/>
      <c r="J1155" s="94"/>
      <c r="K1155" s="94"/>
      <c r="L1155" s="94"/>
      <c r="M1155" s="94"/>
      <c r="N1155" s="94"/>
      <c r="O1155" s="94"/>
      <c r="P1155" s="94"/>
      <c r="Q1155" s="94"/>
      <c r="R1155" s="94"/>
      <c r="S1155" s="94"/>
      <c r="T1155" s="94"/>
      <c r="U1155" s="94"/>
      <c r="V1155" s="94"/>
      <c r="W1155" s="94"/>
      <c r="X1155" s="94"/>
      <c r="Y1155" s="94"/>
      <c r="Z1155" s="94"/>
      <c r="AA1155" s="94"/>
      <c r="AB1155" s="94"/>
      <c r="AC1155" s="94"/>
      <c r="AD1155" s="94"/>
      <c r="AE1155" s="94"/>
      <c r="AF1155" s="94"/>
      <c r="AG1155" s="94"/>
    </row>
    <row r="1156">
      <c r="A1156" s="96"/>
      <c r="B1156" s="95" t="str">
        <f>IFERROR(__xludf.DUMMYFUNCTION("""COMPUTED_VALUE"""),"#VALUE!")</f>
        <v>#VALUE!</v>
      </c>
      <c r="C1156" s="94"/>
      <c r="D1156" s="94"/>
      <c r="E1156" s="94"/>
      <c r="F1156" s="94"/>
      <c r="G1156" s="94"/>
      <c r="H1156" s="94"/>
      <c r="I1156" s="94"/>
      <c r="J1156" s="94"/>
      <c r="K1156" s="94"/>
      <c r="L1156" s="94"/>
      <c r="M1156" s="94"/>
      <c r="N1156" s="94"/>
      <c r="O1156" s="94"/>
      <c r="P1156" s="94"/>
      <c r="Q1156" s="94"/>
      <c r="R1156" s="94"/>
      <c r="S1156" s="94"/>
      <c r="T1156" s="94"/>
      <c r="U1156" s="94"/>
      <c r="V1156" s="94"/>
      <c r="W1156" s="94"/>
      <c r="X1156" s="94"/>
      <c r="Y1156" s="94"/>
      <c r="Z1156" s="94"/>
      <c r="AA1156" s="94"/>
      <c r="AB1156" s="94"/>
      <c r="AC1156" s="94"/>
      <c r="AD1156" s="94"/>
      <c r="AE1156" s="94"/>
      <c r="AF1156" s="94"/>
      <c r="AG1156" s="94"/>
    </row>
    <row r="1157">
      <c r="A1157" s="96"/>
      <c r="B1157" s="95" t="str">
        <f>IFERROR(__xludf.DUMMYFUNCTION("""COMPUTED_VALUE"""),"#VALUE!")</f>
        <v>#VALUE!</v>
      </c>
      <c r="C1157" s="94"/>
      <c r="D1157" s="94"/>
      <c r="E1157" s="94"/>
      <c r="F1157" s="94"/>
      <c r="G1157" s="94"/>
      <c r="H1157" s="94"/>
      <c r="I1157" s="94"/>
      <c r="J1157" s="94"/>
      <c r="K1157" s="94"/>
      <c r="L1157" s="94"/>
      <c r="M1157" s="94"/>
      <c r="N1157" s="94"/>
      <c r="O1157" s="94"/>
      <c r="P1157" s="94"/>
      <c r="Q1157" s="94"/>
      <c r="R1157" s="94"/>
      <c r="S1157" s="94"/>
      <c r="T1157" s="94"/>
      <c r="U1157" s="94"/>
      <c r="V1157" s="94"/>
      <c r="W1157" s="94"/>
      <c r="X1157" s="94"/>
      <c r="Y1157" s="94"/>
      <c r="Z1157" s="94"/>
      <c r="AA1157" s="94"/>
      <c r="AB1157" s="94"/>
      <c r="AC1157" s="94"/>
      <c r="AD1157" s="94"/>
      <c r="AE1157" s="94"/>
      <c r="AF1157" s="94"/>
      <c r="AG1157" s="94"/>
    </row>
    <row r="1158">
      <c r="A1158" s="96"/>
      <c r="B1158" s="95" t="str">
        <f>IFERROR(__xludf.DUMMYFUNCTION("""COMPUTED_VALUE"""),"#VALUE!")</f>
        <v>#VALUE!</v>
      </c>
      <c r="C1158" s="94"/>
      <c r="D1158" s="94"/>
      <c r="E1158" s="94"/>
      <c r="F1158" s="94"/>
      <c r="G1158" s="94"/>
      <c r="H1158" s="94"/>
      <c r="I1158" s="94"/>
      <c r="J1158" s="94"/>
      <c r="K1158" s="94"/>
      <c r="L1158" s="94"/>
      <c r="M1158" s="94"/>
      <c r="N1158" s="94"/>
      <c r="O1158" s="94"/>
      <c r="P1158" s="94"/>
      <c r="Q1158" s="94"/>
      <c r="R1158" s="94"/>
      <c r="S1158" s="94"/>
      <c r="T1158" s="94"/>
      <c r="U1158" s="94"/>
      <c r="V1158" s="94"/>
      <c r="W1158" s="94"/>
      <c r="X1158" s="94"/>
      <c r="Y1158" s="94"/>
      <c r="Z1158" s="94"/>
      <c r="AA1158" s="94"/>
      <c r="AB1158" s="94"/>
      <c r="AC1158" s="94"/>
      <c r="AD1158" s="94"/>
      <c r="AE1158" s="94"/>
      <c r="AF1158" s="94"/>
      <c r="AG1158" s="94"/>
    </row>
    <row r="1159">
      <c r="A1159" s="96"/>
      <c r="B1159" s="95" t="str">
        <f>IFERROR(__xludf.DUMMYFUNCTION("""COMPUTED_VALUE"""),"#VALUE!")</f>
        <v>#VALUE!</v>
      </c>
      <c r="C1159" s="94"/>
      <c r="D1159" s="94"/>
      <c r="E1159" s="94"/>
      <c r="F1159" s="94"/>
      <c r="G1159" s="94"/>
      <c r="H1159" s="94"/>
      <c r="I1159" s="94"/>
      <c r="J1159" s="94"/>
      <c r="K1159" s="94"/>
      <c r="L1159" s="94"/>
      <c r="M1159" s="94"/>
      <c r="N1159" s="94"/>
      <c r="O1159" s="94"/>
      <c r="P1159" s="94"/>
      <c r="Q1159" s="94"/>
      <c r="R1159" s="94"/>
      <c r="S1159" s="94"/>
      <c r="T1159" s="94"/>
      <c r="U1159" s="94"/>
      <c r="V1159" s="94"/>
      <c r="W1159" s="94"/>
      <c r="X1159" s="94"/>
      <c r="Y1159" s="94"/>
      <c r="Z1159" s="94"/>
      <c r="AA1159" s="94"/>
      <c r="AB1159" s="94"/>
      <c r="AC1159" s="94"/>
      <c r="AD1159" s="94"/>
      <c r="AE1159" s="94"/>
      <c r="AF1159" s="94"/>
      <c r="AG1159" s="94"/>
    </row>
    <row r="1160">
      <c r="A1160" s="96"/>
      <c r="B1160" s="95" t="str">
        <f>IFERROR(__xludf.DUMMYFUNCTION("""COMPUTED_VALUE"""),"#VALUE!")</f>
        <v>#VALUE!</v>
      </c>
      <c r="C1160" s="94"/>
      <c r="D1160" s="94"/>
      <c r="E1160" s="94"/>
      <c r="F1160" s="94"/>
      <c r="G1160" s="94"/>
      <c r="H1160" s="94"/>
      <c r="I1160" s="94"/>
      <c r="J1160" s="94"/>
      <c r="K1160" s="94"/>
      <c r="L1160" s="94"/>
      <c r="M1160" s="94"/>
      <c r="N1160" s="94"/>
      <c r="O1160" s="94"/>
      <c r="P1160" s="94"/>
      <c r="Q1160" s="94"/>
      <c r="R1160" s="94"/>
      <c r="S1160" s="94"/>
      <c r="T1160" s="94"/>
      <c r="U1160" s="94"/>
      <c r="V1160" s="94"/>
      <c r="W1160" s="94"/>
      <c r="X1160" s="94"/>
      <c r="Y1160" s="94"/>
      <c r="Z1160" s="94"/>
      <c r="AA1160" s="94"/>
      <c r="AB1160" s="94"/>
      <c r="AC1160" s="94"/>
      <c r="AD1160" s="94"/>
      <c r="AE1160" s="94"/>
      <c r="AF1160" s="94"/>
      <c r="AG1160" s="94"/>
    </row>
    <row r="1161">
      <c r="B1161" s="95"/>
    </row>
    <row r="1162">
      <c r="B1162" s="95"/>
    </row>
    <row r="1163">
      <c r="B1163" s="95"/>
    </row>
    <row r="1164">
      <c r="B1164" s="95"/>
    </row>
    <row r="1165">
      <c r="B1165" s="95"/>
    </row>
    <row r="1166">
      <c r="B1166" s="95"/>
    </row>
    <row r="1167">
      <c r="B1167" s="95"/>
    </row>
    <row r="1168">
      <c r="B1168" s="95"/>
    </row>
    <row r="1169">
      <c r="B1169" s="95"/>
    </row>
    <row r="1170">
      <c r="B1170" s="95"/>
    </row>
    <row r="1171">
      <c r="B1171" s="95"/>
    </row>
    <row r="1172">
      <c r="B1172" s="95"/>
    </row>
    <row r="1173">
      <c r="B1173" s="95"/>
    </row>
    <row r="1174">
      <c r="B1174" s="95"/>
    </row>
    <row r="1175">
      <c r="B1175" s="95"/>
    </row>
    <row r="1176">
      <c r="B1176" s="95"/>
    </row>
    <row r="1177">
      <c r="B1177" s="95"/>
    </row>
    <row r="1178">
      <c r="B1178" s="95"/>
    </row>
    <row r="1179">
      <c r="B1179" s="95"/>
    </row>
    <row r="1180">
      <c r="B1180" s="95"/>
    </row>
    <row r="1181">
      <c r="B1181" s="95"/>
    </row>
    <row r="1182">
      <c r="B1182" s="95"/>
    </row>
    <row r="1183">
      <c r="B1183" s="95"/>
    </row>
    <row r="1184">
      <c r="B1184" s="95"/>
    </row>
    <row r="1185">
      <c r="B1185" s="95"/>
    </row>
    <row r="1186">
      <c r="B1186" s="95"/>
    </row>
    <row r="1187">
      <c r="B1187" s="95"/>
    </row>
    <row r="1188">
      <c r="B1188" s="95"/>
    </row>
    <row r="1189">
      <c r="B1189" s="95"/>
    </row>
    <row r="1190">
      <c r="B1190" s="95"/>
    </row>
    <row r="1191">
      <c r="B1191" s="95"/>
    </row>
    <row r="1192">
      <c r="B1192" s="95"/>
    </row>
    <row r="1193">
      <c r="B1193" s="95"/>
    </row>
    <row r="1194">
      <c r="B1194" s="95"/>
    </row>
    <row r="1195">
      <c r="B1195" s="95"/>
    </row>
    <row r="1196">
      <c r="B1196" s="95"/>
    </row>
    <row r="1197">
      <c r="B1197" s="95"/>
    </row>
    <row r="1198">
      <c r="B1198" s="95"/>
    </row>
    <row r="1199">
      <c r="B1199" s="95"/>
    </row>
    <row r="1200">
      <c r="B1200" s="95"/>
    </row>
    <row r="1201">
      <c r="B1201" s="95"/>
    </row>
    <row r="1202">
      <c r="B1202" s="95"/>
    </row>
    <row r="1203">
      <c r="B1203" s="95"/>
    </row>
    <row r="1204">
      <c r="B1204" s="95"/>
    </row>
    <row r="1205">
      <c r="B1205" s="95"/>
    </row>
    <row r="1206">
      <c r="B1206" s="95"/>
    </row>
    <row r="1207">
      <c r="B1207" s="95"/>
    </row>
    <row r="1208">
      <c r="B1208" s="95"/>
    </row>
    <row r="1209">
      <c r="B1209" s="95"/>
    </row>
    <row r="1210">
      <c r="B1210" s="95"/>
    </row>
    <row r="1211">
      <c r="B1211" s="95"/>
    </row>
    <row r="1212">
      <c r="B1212" s="95"/>
    </row>
    <row r="1213">
      <c r="B1213" s="95"/>
    </row>
    <row r="1214">
      <c r="B1214" s="95"/>
    </row>
    <row r="1215">
      <c r="B1215" s="95"/>
    </row>
    <row r="1216">
      <c r="B1216" s="95"/>
    </row>
    <row r="1217">
      <c r="B1217" s="95"/>
    </row>
    <row r="1218">
      <c r="B1218" s="95"/>
    </row>
    <row r="1219">
      <c r="B1219" s="95"/>
    </row>
    <row r="1220">
      <c r="B1220" s="95"/>
    </row>
    <row r="1221">
      <c r="B1221" s="95"/>
    </row>
    <row r="1222">
      <c r="B1222" s="95"/>
    </row>
    <row r="1223">
      <c r="B1223" s="95"/>
    </row>
    <row r="1224">
      <c r="B1224" s="95"/>
    </row>
    <row r="1225">
      <c r="B1225" s="95"/>
    </row>
    <row r="1226">
      <c r="B1226" s="95"/>
    </row>
    <row r="1227">
      <c r="B1227" s="95"/>
    </row>
    <row r="1228">
      <c r="B1228" s="95"/>
    </row>
    <row r="1229">
      <c r="B1229" s="95"/>
    </row>
    <row r="1230">
      <c r="B1230" s="95"/>
    </row>
    <row r="1231">
      <c r="B1231" s="95"/>
    </row>
    <row r="1232">
      <c r="B1232" s="95"/>
    </row>
    <row r="1233">
      <c r="B1233" s="95"/>
    </row>
    <row r="1234">
      <c r="B1234" s="95"/>
    </row>
    <row r="1235">
      <c r="B1235" s="95"/>
    </row>
    <row r="1236">
      <c r="B1236" s="95"/>
    </row>
    <row r="1237">
      <c r="B1237" s="95"/>
    </row>
    <row r="1238">
      <c r="B1238" s="95"/>
    </row>
    <row r="1239">
      <c r="B1239" s="95"/>
    </row>
    <row r="1240">
      <c r="B1240" s="95"/>
    </row>
    <row r="1241">
      <c r="B1241" s="95"/>
    </row>
    <row r="1242">
      <c r="B1242" s="95"/>
    </row>
    <row r="1243">
      <c r="B1243" s="95"/>
    </row>
    <row r="1244">
      <c r="B1244" s="95"/>
    </row>
    <row r="1245">
      <c r="B1245" s="95"/>
    </row>
    <row r="1246">
      <c r="B1246" s="95"/>
    </row>
    <row r="1247">
      <c r="B1247" s="95"/>
    </row>
    <row r="1248">
      <c r="B1248" s="95"/>
    </row>
    <row r="1249">
      <c r="B1249" s="95"/>
    </row>
    <row r="1250">
      <c r="B1250" s="95"/>
    </row>
    <row r="1251">
      <c r="B1251" s="95"/>
    </row>
    <row r="1252">
      <c r="B1252" s="95"/>
    </row>
    <row r="1253">
      <c r="B1253" s="95"/>
    </row>
    <row r="1254">
      <c r="B1254" s="95"/>
    </row>
    <row r="1255">
      <c r="B1255" s="95"/>
    </row>
    <row r="1256">
      <c r="B1256" s="95"/>
    </row>
    <row r="1257">
      <c r="B1257" s="95"/>
    </row>
    <row r="1258">
      <c r="B1258" s="95"/>
    </row>
    <row r="1259">
      <c r="B1259" s="95"/>
    </row>
    <row r="1260">
      <c r="B1260" s="95"/>
    </row>
    <row r="1261">
      <c r="B1261" s="95"/>
    </row>
    <row r="1262">
      <c r="B1262" s="95"/>
    </row>
    <row r="1263">
      <c r="B1263" s="95"/>
    </row>
    <row r="1264">
      <c r="B1264" s="95"/>
    </row>
    <row r="1265">
      <c r="B1265" s="95"/>
    </row>
    <row r="1266">
      <c r="B1266" s="95"/>
    </row>
    <row r="1267">
      <c r="B1267" s="95"/>
    </row>
    <row r="1268">
      <c r="B1268" s="95"/>
    </row>
    <row r="1269">
      <c r="B1269" s="95"/>
    </row>
    <row r="1270">
      <c r="B1270" s="95"/>
    </row>
    <row r="1271">
      <c r="B1271" s="95"/>
    </row>
    <row r="1272">
      <c r="B1272" s="95"/>
    </row>
    <row r="1273">
      <c r="B1273" s="95"/>
    </row>
    <row r="1274">
      <c r="B1274" s="95"/>
    </row>
    <row r="1275">
      <c r="B1275" s="95"/>
    </row>
    <row r="1276">
      <c r="B1276" s="95"/>
    </row>
    <row r="1277">
      <c r="B1277" s="95"/>
    </row>
    <row r="1278">
      <c r="B1278" s="95"/>
    </row>
    <row r="1279">
      <c r="B1279" s="95"/>
    </row>
    <row r="1280">
      <c r="B1280" s="95"/>
    </row>
    <row r="1281">
      <c r="B1281" s="95"/>
    </row>
    <row r="1282">
      <c r="B1282" s="95"/>
    </row>
    <row r="1283">
      <c r="B1283" s="95"/>
    </row>
    <row r="1284">
      <c r="B1284" s="95"/>
    </row>
    <row r="1285">
      <c r="B1285" s="95"/>
    </row>
    <row r="1286">
      <c r="B1286" s="95"/>
    </row>
    <row r="1287">
      <c r="B1287" s="95"/>
    </row>
    <row r="1288">
      <c r="B1288" s="95"/>
    </row>
    <row r="1289">
      <c r="B1289" s="95"/>
    </row>
    <row r="1290">
      <c r="B1290" s="95"/>
    </row>
    <row r="1291">
      <c r="B1291" s="95"/>
    </row>
    <row r="1292">
      <c r="B1292" s="95"/>
    </row>
    <row r="1293">
      <c r="B1293" s="95"/>
    </row>
    <row r="1294">
      <c r="B1294" s="95"/>
    </row>
    <row r="1295">
      <c r="B1295" s="95"/>
    </row>
    <row r="1296">
      <c r="B1296" s="95"/>
    </row>
    <row r="1297">
      <c r="B1297" s="95"/>
    </row>
    <row r="1298">
      <c r="B1298" s="95"/>
    </row>
    <row r="1299">
      <c r="B1299" s="95"/>
    </row>
    <row r="1300">
      <c r="B1300" s="95"/>
    </row>
    <row r="1301">
      <c r="B1301" s="95"/>
    </row>
    <row r="1302">
      <c r="B1302" s="95"/>
    </row>
    <row r="1303">
      <c r="B1303" s="95"/>
    </row>
    <row r="1304">
      <c r="B1304" s="95"/>
    </row>
    <row r="1305">
      <c r="B1305" s="95"/>
    </row>
    <row r="1306">
      <c r="B1306" s="95"/>
    </row>
    <row r="1307">
      <c r="B1307" s="95"/>
    </row>
    <row r="1308">
      <c r="B1308" s="95"/>
    </row>
    <row r="1309">
      <c r="B1309" s="95"/>
    </row>
    <row r="1310">
      <c r="B1310" s="95"/>
    </row>
    <row r="1311">
      <c r="B1311" s="95"/>
    </row>
    <row r="1312">
      <c r="B1312" s="95"/>
    </row>
    <row r="1313">
      <c r="B1313" s="95"/>
    </row>
    <row r="1314">
      <c r="B1314" s="95"/>
    </row>
    <row r="1315">
      <c r="B1315" s="95"/>
    </row>
    <row r="1316">
      <c r="B1316" s="95"/>
    </row>
    <row r="1317">
      <c r="B1317" s="95"/>
    </row>
    <row r="1318">
      <c r="B1318" s="95"/>
    </row>
    <row r="1319">
      <c r="B1319" s="95"/>
    </row>
    <row r="1320">
      <c r="B1320" s="95"/>
    </row>
    <row r="1321">
      <c r="B1321" s="95"/>
    </row>
    <row r="1322">
      <c r="B1322" s="95"/>
    </row>
    <row r="1323">
      <c r="B1323" s="95"/>
    </row>
    <row r="1324">
      <c r="B1324" s="95"/>
    </row>
    <row r="1325">
      <c r="B1325" s="95"/>
    </row>
    <row r="1326">
      <c r="B1326" s="95"/>
    </row>
    <row r="1327">
      <c r="B1327" s="95"/>
    </row>
    <row r="1328">
      <c r="B1328" s="95"/>
    </row>
    <row r="1329">
      <c r="B1329" s="95"/>
    </row>
    <row r="1330">
      <c r="B1330" s="95"/>
    </row>
    <row r="1331">
      <c r="B1331" s="95"/>
    </row>
    <row r="1332">
      <c r="B1332" s="95"/>
    </row>
    <row r="1333">
      <c r="B1333" s="95"/>
    </row>
    <row r="1334">
      <c r="B1334" s="95"/>
    </row>
    <row r="1335">
      <c r="B1335" s="95"/>
    </row>
    <row r="1336">
      <c r="B1336" s="95"/>
    </row>
    <row r="1337">
      <c r="B1337" s="95"/>
    </row>
    <row r="1338">
      <c r="B1338" s="95"/>
    </row>
    <row r="1339">
      <c r="B1339" s="95"/>
    </row>
    <row r="1340">
      <c r="B1340" s="95"/>
    </row>
    <row r="1341">
      <c r="B1341" s="95"/>
    </row>
    <row r="1342">
      <c r="B1342" s="95"/>
    </row>
    <row r="1343">
      <c r="B1343" s="95"/>
    </row>
    <row r="1344">
      <c r="B1344" s="95"/>
    </row>
    <row r="1345">
      <c r="B1345" s="95"/>
    </row>
    <row r="1346">
      <c r="B1346" s="95"/>
    </row>
    <row r="1347">
      <c r="B1347" s="95"/>
    </row>
    <row r="1348">
      <c r="B1348" s="95"/>
    </row>
    <row r="1349">
      <c r="B1349" s="95"/>
    </row>
    <row r="1350">
      <c r="B1350" s="95"/>
    </row>
    <row r="1351">
      <c r="B1351" s="95"/>
    </row>
    <row r="1352">
      <c r="B1352" s="95"/>
    </row>
    <row r="1353">
      <c r="B1353" s="95"/>
    </row>
    <row r="1354">
      <c r="B1354" s="95"/>
    </row>
    <row r="1355">
      <c r="B1355" s="95"/>
    </row>
    <row r="1356">
      <c r="B1356" s="95"/>
    </row>
    <row r="1357">
      <c r="B1357" s="95"/>
    </row>
    <row r="1358">
      <c r="B1358" s="95"/>
    </row>
    <row r="1359">
      <c r="B1359" s="95"/>
    </row>
    <row r="1360">
      <c r="B1360" s="95"/>
    </row>
    <row r="1361">
      <c r="B1361" s="95"/>
    </row>
    <row r="1362">
      <c r="B1362" s="95"/>
    </row>
    <row r="1363">
      <c r="B1363" s="95"/>
    </row>
    <row r="1364">
      <c r="B1364" s="95"/>
    </row>
    <row r="1365">
      <c r="B1365" s="95"/>
    </row>
    <row r="1366">
      <c r="B1366" s="95"/>
    </row>
    <row r="1367">
      <c r="B1367" s="95"/>
    </row>
    <row r="1368">
      <c r="B1368" s="95"/>
    </row>
    <row r="1369">
      <c r="B1369" s="95"/>
    </row>
    <row r="1370">
      <c r="B1370" s="95"/>
    </row>
    <row r="1371">
      <c r="B1371" s="95"/>
    </row>
    <row r="1372">
      <c r="B1372" s="95"/>
    </row>
    <row r="1373">
      <c r="B1373" s="95"/>
    </row>
    <row r="1374">
      <c r="B1374" s="95"/>
    </row>
    <row r="1375">
      <c r="B1375" s="95"/>
    </row>
    <row r="1376">
      <c r="B1376" s="95"/>
    </row>
    <row r="1377">
      <c r="B1377" s="95"/>
    </row>
    <row r="1378">
      <c r="B1378" s="95"/>
    </row>
    <row r="1379">
      <c r="B1379" s="95"/>
    </row>
    <row r="1380">
      <c r="B1380" s="95"/>
    </row>
    <row r="1381">
      <c r="B1381" s="95"/>
    </row>
    <row r="1382">
      <c r="B1382" s="95"/>
    </row>
    <row r="1383">
      <c r="B1383" s="95"/>
    </row>
    <row r="1384">
      <c r="B1384" s="95"/>
    </row>
    <row r="1385">
      <c r="B1385" s="95"/>
    </row>
    <row r="1386">
      <c r="B1386" s="95"/>
    </row>
    <row r="1387">
      <c r="B1387" s="95"/>
    </row>
    <row r="1388">
      <c r="B1388" s="95"/>
    </row>
    <row r="1389">
      <c r="B1389" s="95"/>
    </row>
    <row r="1390">
      <c r="B1390" s="95"/>
    </row>
    <row r="1391">
      <c r="B1391" s="95"/>
    </row>
    <row r="1392">
      <c r="B1392" s="95"/>
    </row>
    <row r="1393">
      <c r="B1393" s="95"/>
    </row>
    <row r="1394">
      <c r="B1394" s="95"/>
    </row>
    <row r="1395">
      <c r="B1395" s="95"/>
    </row>
    <row r="1396">
      <c r="B1396" s="95"/>
    </row>
    <row r="1397">
      <c r="B1397" s="95"/>
    </row>
    <row r="1398">
      <c r="B1398" s="95"/>
    </row>
    <row r="1399">
      <c r="B1399" s="95"/>
    </row>
    <row r="1400">
      <c r="B1400" s="95"/>
    </row>
    <row r="1401">
      <c r="B1401" s="95"/>
    </row>
    <row r="1402">
      <c r="B1402" s="95"/>
    </row>
    <row r="1403">
      <c r="B1403" s="95"/>
    </row>
    <row r="1404">
      <c r="B1404" s="95"/>
    </row>
    <row r="1405">
      <c r="B1405" s="95"/>
    </row>
    <row r="1406">
      <c r="B1406" s="95"/>
    </row>
    <row r="1407">
      <c r="B1407" s="95"/>
    </row>
    <row r="1408">
      <c r="B1408" s="95"/>
    </row>
    <row r="1409">
      <c r="B1409" s="95"/>
    </row>
    <row r="1410">
      <c r="B1410" s="95"/>
    </row>
    <row r="1411">
      <c r="B1411" s="95"/>
    </row>
    <row r="1412">
      <c r="B1412" s="95"/>
    </row>
    <row r="1413">
      <c r="B1413" s="95"/>
    </row>
    <row r="1414">
      <c r="B1414" s="95"/>
    </row>
    <row r="1415">
      <c r="B1415" s="95"/>
    </row>
    <row r="1416">
      <c r="B1416" s="95"/>
    </row>
    <row r="1417">
      <c r="B1417" s="95"/>
    </row>
    <row r="1418">
      <c r="B1418" s="95"/>
    </row>
    <row r="1419">
      <c r="B1419" s="95"/>
    </row>
    <row r="1420">
      <c r="B1420" s="95"/>
    </row>
    <row r="1421">
      <c r="B1421" s="95"/>
    </row>
    <row r="1422">
      <c r="B1422" s="95"/>
    </row>
    <row r="1423">
      <c r="B1423" s="95"/>
    </row>
    <row r="1424">
      <c r="B1424" s="95"/>
    </row>
    <row r="1425">
      <c r="B1425" s="95"/>
    </row>
    <row r="1426">
      <c r="B1426" s="95"/>
    </row>
    <row r="1427">
      <c r="B1427" s="95"/>
    </row>
    <row r="1428">
      <c r="B1428" s="95"/>
    </row>
    <row r="1429">
      <c r="B1429" s="95"/>
    </row>
    <row r="1430">
      <c r="B1430" s="95"/>
    </row>
    <row r="1431">
      <c r="B1431" s="95"/>
    </row>
    <row r="1432">
      <c r="B1432" s="95"/>
    </row>
    <row r="1433">
      <c r="B1433" s="95"/>
    </row>
    <row r="1434">
      <c r="B1434" s="95"/>
    </row>
    <row r="1435">
      <c r="B1435" s="95"/>
    </row>
    <row r="1436">
      <c r="B1436" s="95"/>
    </row>
    <row r="1437">
      <c r="B1437" s="95"/>
    </row>
    <row r="1438">
      <c r="B1438" s="95"/>
    </row>
    <row r="1439">
      <c r="B1439" s="95"/>
    </row>
    <row r="1440">
      <c r="B1440" s="95"/>
    </row>
    <row r="1441">
      <c r="B1441" s="95"/>
    </row>
    <row r="1442">
      <c r="B1442" s="95"/>
    </row>
    <row r="1443">
      <c r="B1443" s="95"/>
    </row>
    <row r="1444">
      <c r="B1444" s="95"/>
    </row>
    <row r="1445">
      <c r="B1445" s="95"/>
    </row>
    <row r="1446">
      <c r="B1446" s="95"/>
    </row>
    <row r="1447">
      <c r="B1447" s="95"/>
    </row>
    <row r="1448">
      <c r="B1448" s="95"/>
    </row>
    <row r="1449">
      <c r="B1449" s="95"/>
    </row>
    <row r="1450">
      <c r="B1450" s="95"/>
    </row>
    <row r="1451">
      <c r="B1451" s="95"/>
    </row>
    <row r="1452">
      <c r="B1452" s="95"/>
    </row>
    <row r="1453">
      <c r="B1453" s="95"/>
    </row>
    <row r="1454">
      <c r="B1454" s="95"/>
    </row>
    <row r="1455">
      <c r="B1455" s="95"/>
    </row>
    <row r="1456">
      <c r="B1456" s="95"/>
    </row>
    <row r="1457">
      <c r="B1457" s="95"/>
    </row>
    <row r="1458">
      <c r="B1458" s="95"/>
    </row>
    <row r="1459">
      <c r="B1459" s="95"/>
    </row>
    <row r="1460">
      <c r="B1460" s="95"/>
    </row>
    <row r="1461">
      <c r="B1461" s="95"/>
    </row>
    <row r="1462">
      <c r="B1462" s="95"/>
    </row>
    <row r="1463">
      <c r="B1463" s="95"/>
    </row>
    <row r="1464">
      <c r="B1464" s="95"/>
    </row>
    <row r="1465">
      <c r="B1465" s="95"/>
    </row>
    <row r="1466">
      <c r="B1466" s="95"/>
    </row>
    <row r="1467">
      <c r="B1467" s="95"/>
    </row>
    <row r="1468">
      <c r="B1468" s="95"/>
    </row>
    <row r="1469">
      <c r="B1469" s="95"/>
    </row>
    <row r="1470">
      <c r="B1470" s="95"/>
    </row>
    <row r="1471">
      <c r="B1471" s="95"/>
    </row>
    <row r="1472">
      <c r="B1472" s="95"/>
    </row>
    <row r="1473">
      <c r="B1473" s="95"/>
    </row>
    <row r="1474">
      <c r="B1474" s="95"/>
    </row>
    <row r="1475">
      <c r="B1475" s="95"/>
    </row>
    <row r="1476">
      <c r="B1476" s="95"/>
    </row>
    <row r="1477">
      <c r="B1477" s="95"/>
    </row>
    <row r="1478">
      <c r="B1478" s="95"/>
    </row>
    <row r="1479">
      <c r="B1479" s="95"/>
    </row>
    <row r="1480">
      <c r="B1480" s="95"/>
    </row>
    <row r="1481">
      <c r="B1481" s="95"/>
    </row>
    <row r="1482">
      <c r="B1482" s="95"/>
    </row>
    <row r="1483">
      <c r="B1483" s="95"/>
    </row>
    <row r="1484">
      <c r="B1484" s="95"/>
    </row>
    <row r="1485">
      <c r="B1485" s="95"/>
    </row>
    <row r="1486">
      <c r="B1486" s="95"/>
    </row>
    <row r="1487">
      <c r="B1487" s="95"/>
    </row>
    <row r="1488">
      <c r="B1488" s="95"/>
    </row>
    <row r="1489">
      <c r="B1489" s="95"/>
    </row>
    <row r="1490">
      <c r="B1490" s="95"/>
    </row>
    <row r="1491">
      <c r="B1491" s="95"/>
    </row>
    <row r="1492">
      <c r="B1492" s="95"/>
    </row>
    <row r="1493">
      <c r="B1493" s="95"/>
    </row>
    <row r="1494">
      <c r="B1494" s="95"/>
    </row>
    <row r="1495">
      <c r="B1495" s="95"/>
    </row>
    <row r="1496">
      <c r="B1496" s="95"/>
    </row>
    <row r="1497">
      <c r="B1497" s="95"/>
    </row>
    <row r="1498">
      <c r="B1498" s="95"/>
    </row>
    <row r="1499">
      <c r="B1499" s="95"/>
    </row>
    <row r="1500">
      <c r="B1500" s="95"/>
    </row>
    <row r="1501">
      <c r="B1501" s="95"/>
    </row>
    <row r="1502">
      <c r="B1502" s="95"/>
    </row>
    <row r="1503">
      <c r="B1503" s="95"/>
    </row>
    <row r="1504">
      <c r="B1504" s="95"/>
    </row>
    <row r="1505">
      <c r="B1505" s="95"/>
    </row>
    <row r="1506">
      <c r="B1506" s="95"/>
    </row>
    <row r="1507">
      <c r="B1507" s="95"/>
    </row>
    <row r="1508">
      <c r="B1508" s="95"/>
    </row>
    <row r="1509">
      <c r="B1509" s="95"/>
    </row>
    <row r="1510">
      <c r="B1510" s="95"/>
    </row>
    <row r="1511">
      <c r="B1511" s="95"/>
    </row>
    <row r="1512">
      <c r="B1512" s="95"/>
    </row>
    <row r="1513">
      <c r="B1513" s="95"/>
    </row>
    <row r="1514">
      <c r="B1514" s="95"/>
    </row>
    <row r="1515">
      <c r="B1515" s="95"/>
    </row>
    <row r="1516">
      <c r="B1516" s="95"/>
    </row>
    <row r="1517">
      <c r="B1517" s="95"/>
    </row>
    <row r="1518">
      <c r="B1518" s="95"/>
    </row>
    <row r="1519">
      <c r="B1519" s="95"/>
    </row>
    <row r="1520">
      <c r="B1520" s="95"/>
    </row>
    <row r="1521">
      <c r="B1521" s="95"/>
    </row>
    <row r="1522">
      <c r="B1522" s="95"/>
    </row>
    <row r="1523">
      <c r="B1523" s="95"/>
    </row>
    <row r="1524">
      <c r="B1524" s="95"/>
    </row>
    <row r="1525">
      <c r="B1525" s="95"/>
    </row>
    <row r="1526">
      <c r="B1526" s="95"/>
    </row>
  </sheetData>
  <drawing r:id="rId1"/>
</worksheet>
</file>